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sharedStrings.xml" ContentType="application/vnd.openxmlformats-officedocument.spreadsheetml.sharedStrings+xml"/>
  <Override PartName="/xl/worksheets/sheet1.xml" ContentType="application/vnd.openxmlformats-officedocument.spreadsheetml.worksheet+xml"/>
  <Override PartName="/xl/worksheets/sheet27.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styles.xml" ContentType="application/vnd.openxmlformats-officedocument.spreadsheetml.styles+xml"/>
  <Override PartName="/xl/worksheets/sheet22.xml" ContentType="application/vnd.openxmlformats-officedocument.spreadsheetml.worksheet+xml"/>
  <Override PartName="/xl/worksheets/sheet28.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26.xml" ContentType="application/vnd.openxmlformats-officedocument.spreadsheetml.worksheet+xml"/>
  <Override PartName="/xl/worksheets/sheet31.xml" ContentType="application/vnd.openxmlformats-officedocument.spreadsheetml.worksheet+xml"/>
  <Override PartName="/xl/worksheets/sheet29.xml" ContentType="application/vnd.openxmlformats-officedocument.spreadsheetml.worksheet+xml"/>
  <Override PartName="/xl/worksheets/sheet9.xml" ContentType="application/vnd.openxmlformats-officedocument.spreadsheetml.worksheet+xml"/>
  <Override PartName="/xl/worksheets/sheet3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onnections.xml" ContentType="application/vnd.openxmlformats-officedocument.spreadsheetml.connection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1.xml" ContentType="application/vnd.openxmlformats-officedocument.customXml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24226"/>
  <mc:AlternateContent xmlns:mc="http://schemas.openxmlformats.org/markup-compatibility/2006">
    <mc:Choice Requires="x15">
      <x15ac:absPath xmlns:x15ac="http://schemas.microsoft.com/office/spreadsheetml/2010/11/ac" url="\\svfile01\finansnorge\SFA\Statistikk og analyse\Livstatistikk\Faste statistikker\MA\2017\Q2\Publisering\"/>
    </mc:Choice>
  </mc:AlternateContent>
  <bookViews>
    <workbookView xWindow="4275" yWindow="4305" windowWidth="10710" windowHeight="3225" tabRatio="835" activeTab="1"/>
  </bookViews>
  <sheets>
    <sheet name="Forside" sheetId="6" r:id="rId1"/>
    <sheet name="Innhold" sheetId="7" r:id="rId2"/>
    <sheet name="Figurer" sheetId="8" r:id="rId3"/>
    <sheet name="Tabel 1.1" sheetId="9" r:id="rId4"/>
    <sheet name="Tabell 1.2" sheetId="10" r:id="rId5"/>
    <sheet name="Tabell 1.3" sheetId="58" r:id="rId6"/>
    <sheet name="Skjema total MA" sheetId="4" r:id="rId7"/>
    <sheet name="ACE European Group" sheetId="16" r:id="rId8"/>
    <sheet name="Danica Pensjonsforsikring" sheetId="18" r:id="rId9"/>
    <sheet name="DNB Livsforsikring" sheetId="13" r:id="rId10"/>
    <sheet name="Eika Forsikring AS" sheetId="19" r:id="rId11"/>
    <sheet name="Frende Livsforsikring" sheetId="20" r:id="rId12"/>
    <sheet name="Frende Skadeforsikring" sheetId="21" r:id="rId13"/>
    <sheet name="Gjensidige Forsikring" sheetId="22" r:id="rId14"/>
    <sheet name="Gjensidige Pensjon" sheetId="23" r:id="rId15"/>
    <sheet name="Handelsbanken Liv" sheetId="24" r:id="rId16"/>
    <sheet name="If Skadeforsikring NUF" sheetId="25" r:id="rId17"/>
    <sheet name="KLP" sheetId="26" r:id="rId18"/>
    <sheet name="KLP Bedriftspensjon AS" sheetId="27" r:id="rId19"/>
    <sheet name="KLP Skadeforsikring AS" sheetId="51" r:id="rId20"/>
    <sheet name="Landbruksforsikring AS" sheetId="40" r:id="rId21"/>
    <sheet name="NEMI Forsikring" sheetId="41" r:id="rId22"/>
    <sheet name="Nordea Liv " sheetId="29" r:id="rId23"/>
    <sheet name="Oslo Pensjonsforsikring" sheetId="34" r:id="rId24"/>
    <sheet name="SHB Liv" sheetId="35" r:id="rId25"/>
    <sheet name="Silver Pensjonsforsikring AS" sheetId="36" r:id="rId26"/>
    <sheet name="Sparebank 1" sheetId="33" r:id="rId27"/>
    <sheet name="Storebrand Livsforsikring" sheetId="37" r:id="rId28"/>
    <sheet name="Telenor Forsikring" sheetId="38" r:id="rId29"/>
    <sheet name="Tryg Forsikring" sheetId="39" r:id="rId30"/>
    <sheet name="Tabell 4" sheetId="65" r:id="rId31"/>
    <sheet name="Tabell 6" sheetId="63" r:id="rId32"/>
    <sheet name="Tabell 8" sheetId="64" r:id="rId33"/>
    <sheet name="Noter og kommentarer" sheetId="3" r:id="rId34"/>
  </sheets>
  <externalReferences>
    <externalReference r:id="rId35"/>
    <externalReference r:id="rId36"/>
  </externalReferences>
  <definedNames>
    <definedName name="Dag">#REF!</definedName>
    <definedName name="Dager">#REF!</definedName>
    <definedName name="dato" localSheetId="30">#REF!</definedName>
    <definedName name="dato">#REF!</definedName>
    <definedName name="Feilmelding" localSheetId="30">#REF!</definedName>
    <definedName name="Feilmelding">#REF!</definedName>
    <definedName name="FilNavn">[1]Oppslagstabeller!$N$5</definedName>
    <definedName name="Fjorårstall" localSheetId="30">#REF!</definedName>
    <definedName name="Fjorårstall">#REF!</definedName>
    <definedName name="Koder2a">[2]!Tabell2[#All]</definedName>
    <definedName name="Kvartal" localSheetId="30">#REF!</definedName>
    <definedName name="kvartal">#REF!</definedName>
    <definedName name="Måned">#REF!</definedName>
    <definedName name="OppslagsKolonneDataVerdi">#REF!</definedName>
    <definedName name="OppslagsKolonneSelskapNavn">#REF!</definedName>
    <definedName name="Selskap">[1]Oppslagstabeller!$N$4</definedName>
    <definedName name="SelskapKolonneIndeks">[1]!Tabell3[#All]</definedName>
    <definedName name="SelskapListe">#REF!</definedName>
    <definedName name="Selskapsliste">[1]Oppslagstabeller!$A$1:$G$36</definedName>
    <definedName name="UtfylteTall">#REF!</definedName>
    <definedName name="_xlnm.Print_Area" localSheetId="7">'ACE European Group'!$A$1:$M$135</definedName>
    <definedName name="_xlnm.Print_Area" localSheetId="21">'NEMI Forsikring'!$A$1:$M$135</definedName>
    <definedName name="_xlnm.Print_Area" localSheetId="33">'Noter og kommentarer'!$A$1:$L$43</definedName>
    <definedName name="_xlnm.Print_Area" localSheetId="6">'Skjema total MA'!$A$1:$J$136</definedName>
    <definedName name="År" localSheetId="30">#REF!</definedName>
    <definedName name="år">#REF!</definedName>
    <definedName name="ÅrFratrekk">#REF!</definedName>
  </definedNames>
  <calcPr calcId="171027"/>
</workbook>
</file>

<file path=xl/calcChain.xml><?xml version="1.0" encoding="utf-8"?>
<calcChain xmlns="http://schemas.openxmlformats.org/spreadsheetml/2006/main">
  <c r="K27" i="37" l="1"/>
  <c r="J27" i="37"/>
  <c r="D8" i="4" l="1"/>
  <c r="B9" i="4"/>
  <c r="B8" i="4"/>
  <c r="C9" i="4"/>
  <c r="J9" i="37"/>
  <c r="J8" i="37"/>
  <c r="K9" i="37"/>
  <c r="K8" i="37"/>
  <c r="C27" i="58" l="1"/>
  <c r="B27" i="58"/>
  <c r="AN45" i="63"/>
  <c r="AK45" i="63"/>
  <c r="AH45" i="63"/>
  <c r="AB45" i="63"/>
  <c r="Y45" i="63"/>
  <c r="S45" i="63"/>
  <c r="M45" i="63"/>
  <c r="J45" i="63"/>
  <c r="S50" i="63"/>
  <c r="AN50" i="63"/>
  <c r="J74" i="63"/>
  <c r="M74" i="63"/>
  <c r="S74" i="63"/>
  <c r="V74" i="63"/>
  <c r="Y74" i="63"/>
  <c r="AB74" i="63"/>
  <c r="AH74" i="63"/>
  <c r="AK74" i="63"/>
  <c r="AN74" i="63"/>
  <c r="AN69" i="63"/>
  <c r="AH69" i="63"/>
  <c r="AE69" i="63"/>
  <c r="AB69" i="63"/>
  <c r="Y69" i="63"/>
  <c r="V69" i="63"/>
  <c r="S69" i="63"/>
  <c r="P69" i="63"/>
  <c r="M69" i="63"/>
  <c r="J69" i="63"/>
  <c r="G69" i="63"/>
  <c r="G74" i="63"/>
  <c r="D74" i="63"/>
  <c r="D69" i="63"/>
  <c r="D45" i="63"/>
  <c r="D21" i="63"/>
  <c r="L63" i="65"/>
  <c r="AD29" i="65"/>
  <c r="AC29" i="65"/>
  <c r="AK69" i="63" l="1"/>
  <c r="AK68" i="63"/>
  <c r="V45" i="63"/>
  <c r="AN45" i="65" l="1"/>
  <c r="AE45" i="65"/>
  <c r="AS44" i="65"/>
  <c r="AR44" i="65"/>
  <c r="AP44" i="65"/>
  <c r="AO44" i="65"/>
  <c r="AQ44" i="65" s="1"/>
  <c r="AN44" i="65"/>
  <c r="AK44" i="65"/>
  <c r="V44" i="65"/>
  <c r="S44" i="65"/>
  <c r="AN43" i="65"/>
  <c r="AE43" i="65"/>
  <c r="AS42" i="65"/>
  <c r="AR42" i="65"/>
  <c r="AP42" i="65"/>
  <c r="AO42" i="65"/>
  <c r="AN42" i="65"/>
  <c r="AK42" i="65"/>
  <c r="AB42" i="65"/>
  <c r="Y42" i="65"/>
  <c r="S42" i="65"/>
  <c r="M42" i="65"/>
  <c r="J42" i="65"/>
  <c r="G42" i="65"/>
  <c r="D42" i="65"/>
  <c r="AN41" i="65"/>
  <c r="AE41" i="65"/>
  <c r="AN40" i="65"/>
  <c r="AJ40" i="65"/>
  <c r="AI40" i="65"/>
  <c r="AK40" i="65" s="1"/>
  <c r="AF40" i="65"/>
  <c r="AH40" i="65" s="1"/>
  <c r="AA40" i="65"/>
  <c r="X40" i="65"/>
  <c r="U40" i="65"/>
  <c r="L40" i="65"/>
  <c r="M40" i="65" s="1"/>
  <c r="I40" i="65"/>
  <c r="H40" i="65"/>
  <c r="F40" i="65"/>
  <c r="G40" i="65" s="1"/>
  <c r="C40" i="65"/>
  <c r="B40" i="65"/>
  <c r="AS39" i="65"/>
  <c r="AR39" i="65"/>
  <c r="AP39" i="65"/>
  <c r="AO39" i="65"/>
  <c r="AN39" i="65"/>
  <c r="AK39" i="65"/>
  <c r="AH39" i="65"/>
  <c r="AB39" i="65"/>
  <c r="Y39" i="65"/>
  <c r="V39" i="65"/>
  <c r="S39" i="65"/>
  <c r="M39" i="65"/>
  <c r="G39" i="65"/>
  <c r="AS38" i="65"/>
  <c r="AR38" i="65"/>
  <c r="AP38" i="65"/>
  <c r="AO38" i="65"/>
  <c r="AN38" i="65"/>
  <c r="AK38" i="65"/>
  <c r="AH38" i="65"/>
  <c r="AB38" i="65"/>
  <c r="V38" i="65"/>
  <c r="S38" i="65"/>
  <c r="M38" i="65"/>
  <c r="J38" i="65"/>
  <c r="G38" i="65"/>
  <c r="AS37" i="65"/>
  <c r="AR37" i="65"/>
  <c r="AP37" i="65"/>
  <c r="AO37" i="65"/>
  <c r="AN37" i="65"/>
  <c r="AK37" i="65"/>
  <c r="AH37" i="65"/>
  <c r="AB37" i="65"/>
  <c r="Y37" i="65"/>
  <c r="V37" i="65"/>
  <c r="S37" i="65"/>
  <c r="M37" i="65"/>
  <c r="J37" i="65"/>
  <c r="G37" i="65"/>
  <c r="D37" i="65"/>
  <c r="L34" i="65"/>
  <c r="AS33" i="65"/>
  <c r="AR33" i="65"/>
  <c r="AP33" i="65"/>
  <c r="AO33" i="65"/>
  <c r="AN33" i="65"/>
  <c r="AK33" i="65"/>
  <c r="AH33" i="65"/>
  <c r="AB33" i="65"/>
  <c r="Y33" i="65"/>
  <c r="V33" i="65"/>
  <c r="S33" i="65"/>
  <c r="G33" i="65"/>
  <c r="AS32" i="65"/>
  <c r="AR32" i="65"/>
  <c r="AP32" i="65"/>
  <c r="AO32" i="65"/>
  <c r="AN32" i="65"/>
  <c r="AK32" i="65"/>
  <c r="AH32" i="65"/>
  <c r="AE32" i="65"/>
  <c r="Y32" i="65"/>
  <c r="V32" i="65"/>
  <c r="S32" i="65"/>
  <c r="M32" i="65"/>
  <c r="J32" i="65"/>
  <c r="G32" i="65"/>
  <c r="D32" i="65"/>
  <c r="AS31" i="65"/>
  <c r="AR31" i="65"/>
  <c r="AP31" i="65"/>
  <c r="AO31" i="65"/>
  <c r="AN31" i="65"/>
  <c r="AK31" i="65"/>
  <c r="AH31" i="65"/>
  <c r="AB31" i="65"/>
  <c r="Y31" i="65"/>
  <c r="V31" i="65"/>
  <c r="S31" i="65"/>
  <c r="M31" i="65"/>
  <c r="G31" i="65"/>
  <c r="AS30" i="65"/>
  <c r="AR30" i="65"/>
  <c r="AP30" i="65"/>
  <c r="AO30" i="65"/>
  <c r="AN30" i="65"/>
  <c r="AK30" i="65"/>
  <c r="AH30" i="65"/>
  <c r="AE30" i="65"/>
  <c r="Y30" i="65"/>
  <c r="V30" i="65"/>
  <c r="S30" i="65"/>
  <c r="M30" i="65"/>
  <c r="J30" i="65"/>
  <c r="G30" i="65"/>
  <c r="D30" i="65"/>
  <c r="AM29" i="65"/>
  <c r="AJ29" i="65"/>
  <c r="AG29" i="65"/>
  <c r="AA29" i="65"/>
  <c r="X29" i="65"/>
  <c r="U29" i="65"/>
  <c r="T29" i="65"/>
  <c r="O29" i="65"/>
  <c r="N29" i="65"/>
  <c r="I29" i="65"/>
  <c r="F29" i="65"/>
  <c r="C29" i="65"/>
  <c r="AS28" i="65"/>
  <c r="AR28" i="65"/>
  <c r="AP28" i="65"/>
  <c r="AO28" i="65"/>
  <c r="AN28" i="65"/>
  <c r="AK28" i="65"/>
  <c r="S28" i="65"/>
  <c r="G28" i="65"/>
  <c r="AS27" i="65"/>
  <c r="AR27" i="65"/>
  <c r="AP27" i="65"/>
  <c r="AO27" i="65"/>
  <c r="AN27" i="65"/>
  <c r="J27" i="65"/>
  <c r="G27" i="65"/>
  <c r="D27" i="65"/>
  <c r="AS26" i="65"/>
  <c r="AR26" i="65"/>
  <c r="AP26" i="65"/>
  <c r="AO26" i="65"/>
  <c r="AN26" i="65"/>
  <c r="AK26" i="65"/>
  <c r="AB26" i="65"/>
  <c r="Y26" i="65"/>
  <c r="V26" i="65"/>
  <c r="S26" i="65"/>
  <c r="M26" i="65"/>
  <c r="G26" i="65"/>
  <c r="AS25" i="65"/>
  <c r="AR25" i="65"/>
  <c r="AP25" i="65"/>
  <c r="AO25" i="65"/>
  <c r="AN25" i="65"/>
  <c r="AK25" i="65"/>
  <c r="AH25" i="65"/>
  <c r="AB25" i="65"/>
  <c r="Y25" i="65"/>
  <c r="V25" i="65"/>
  <c r="S25" i="65"/>
  <c r="M25" i="65"/>
  <c r="G25" i="65"/>
  <c r="D25" i="65"/>
  <c r="AS24" i="65"/>
  <c r="AR24" i="65"/>
  <c r="AP24" i="65"/>
  <c r="AO24" i="65"/>
  <c r="AN24" i="65"/>
  <c r="AK24" i="65"/>
  <c r="AH24" i="65"/>
  <c r="Y24" i="65"/>
  <c r="V24" i="65"/>
  <c r="S24" i="65"/>
  <c r="M24" i="65"/>
  <c r="G24" i="65"/>
  <c r="AL23" i="65"/>
  <c r="AL29" i="65" s="1"/>
  <c r="AI23" i="65"/>
  <c r="AI29" i="65" s="1"/>
  <c r="AF23" i="65"/>
  <c r="AF29" i="65" s="1"/>
  <c r="Z23" i="65"/>
  <c r="W23" i="65"/>
  <c r="Y23" i="65" s="1"/>
  <c r="V23" i="65"/>
  <c r="S23" i="65"/>
  <c r="L23" i="65"/>
  <c r="K23" i="65"/>
  <c r="H23" i="65"/>
  <c r="H29" i="65" s="1"/>
  <c r="E23" i="65"/>
  <c r="G23" i="65" s="1"/>
  <c r="B23" i="65"/>
  <c r="D23" i="65" s="1"/>
  <c r="AM21" i="65"/>
  <c r="AL21" i="65"/>
  <c r="AN21" i="65" s="1"/>
  <c r="AJ21" i="65"/>
  <c r="AI21" i="65"/>
  <c r="AG21" i="65"/>
  <c r="AF21" i="65"/>
  <c r="AH21" i="65" s="1"/>
  <c r="AD21" i="65"/>
  <c r="AC21" i="65"/>
  <c r="AA21" i="65"/>
  <c r="Z21" i="65"/>
  <c r="AB21" i="65" s="1"/>
  <c r="X21" i="65"/>
  <c r="W21" i="65"/>
  <c r="U21" i="65"/>
  <c r="T21" i="65"/>
  <c r="O21" i="65"/>
  <c r="N21" i="65"/>
  <c r="K21" i="65"/>
  <c r="M21" i="65" s="1"/>
  <c r="I21" i="65"/>
  <c r="H21" i="65"/>
  <c r="F21" i="65"/>
  <c r="E21" i="65"/>
  <c r="C21" i="65"/>
  <c r="B21" i="65"/>
  <c r="AS20" i="65"/>
  <c r="AR20" i="65"/>
  <c r="AP20" i="65"/>
  <c r="AO20" i="65"/>
  <c r="AN20" i="65"/>
  <c r="AK20" i="65"/>
  <c r="AH20" i="65"/>
  <c r="AE20" i="65"/>
  <c r="Y20" i="65"/>
  <c r="V20" i="65"/>
  <c r="S20" i="65"/>
  <c r="M20" i="65"/>
  <c r="J20" i="65"/>
  <c r="G20" i="65"/>
  <c r="D20" i="65"/>
  <c r="AR19" i="65"/>
  <c r="AO19" i="65"/>
  <c r="AN19" i="65"/>
  <c r="AK19" i="65"/>
  <c r="AH19" i="65"/>
  <c r="AE19" i="65"/>
  <c r="AB19" i="65"/>
  <c r="Y19" i="65"/>
  <c r="V19" i="65"/>
  <c r="S19" i="65"/>
  <c r="L19" i="65"/>
  <c r="M19" i="65" s="1"/>
  <c r="J19" i="65"/>
  <c r="G19" i="65"/>
  <c r="D19" i="65"/>
  <c r="AS17" i="65"/>
  <c r="AR17" i="65"/>
  <c r="AP17" i="65"/>
  <c r="AO17" i="65"/>
  <c r="AN17" i="65"/>
  <c r="AK17" i="65"/>
  <c r="AB17" i="65"/>
  <c r="Y17" i="65"/>
  <c r="V17" i="65"/>
  <c r="S17" i="65"/>
  <c r="M17" i="65"/>
  <c r="J17" i="65"/>
  <c r="G17" i="65"/>
  <c r="AS16" i="65"/>
  <c r="AR16" i="65"/>
  <c r="AP16" i="65"/>
  <c r="AO16" i="65"/>
  <c r="AN16" i="65"/>
  <c r="AK16" i="65"/>
  <c r="AH16" i="65"/>
  <c r="AE16" i="65"/>
  <c r="Y16" i="65"/>
  <c r="V16" i="65"/>
  <c r="S16" i="65"/>
  <c r="M16" i="65"/>
  <c r="J16" i="65"/>
  <c r="G16" i="65"/>
  <c r="D16" i="65"/>
  <c r="AS15" i="65"/>
  <c r="AR15" i="65"/>
  <c r="AP15" i="65"/>
  <c r="AO15" i="65"/>
  <c r="AN15" i="65"/>
  <c r="AK15" i="65"/>
  <c r="AH15" i="65"/>
  <c r="AB15" i="65"/>
  <c r="Y15" i="65"/>
  <c r="V15" i="65"/>
  <c r="S15" i="65"/>
  <c r="M15" i="65"/>
  <c r="J15" i="65"/>
  <c r="G15" i="65"/>
  <c r="D15" i="65"/>
  <c r="AM14" i="65"/>
  <c r="AM63" i="65" s="1"/>
  <c r="AL14" i="65"/>
  <c r="AL63" i="65" s="1"/>
  <c r="AJ14" i="65"/>
  <c r="AJ63" i="65" s="1"/>
  <c r="AI14" i="65"/>
  <c r="AI63" i="65" s="1"/>
  <c r="AG14" i="65"/>
  <c r="AG63" i="65" s="1"/>
  <c r="AF14" i="65"/>
  <c r="AF63" i="65" s="1"/>
  <c r="AD14" i="65"/>
  <c r="AD63" i="65" s="1"/>
  <c r="AC14" i="65"/>
  <c r="AC63" i="65" s="1"/>
  <c r="AA14" i="65"/>
  <c r="AA63" i="65" s="1"/>
  <c r="Z14" i="65"/>
  <c r="Z63" i="65" s="1"/>
  <c r="X14" i="65"/>
  <c r="X63" i="65" s="1"/>
  <c r="W14" i="65"/>
  <c r="W63" i="65" s="1"/>
  <c r="U14" i="65"/>
  <c r="U63" i="65" s="1"/>
  <c r="T14" i="65"/>
  <c r="T63" i="65" s="1"/>
  <c r="R63" i="65"/>
  <c r="Q63" i="65"/>
  <c r="O14" i="65"/>
  <c r="O63" i="65" s="1"/>
  <c r="N14" i="65"/>
  <c r="N63" i="65" s="1"/>
  <c r="K14" i="65"/>
  <c r="K63" i="65" s="1"/>
  <c r="I14" i="65"/>
  <c r="I63" i="65" s="1"/>
  <c r="H14" i="65"/>
  <c r="H63" i="65" s="1"/>
  <c r="F14" i="65"/>
  <c r="F63" i="65" s="1"/>
  <c r="E14" i="65"/>
  <c r="E63" i="65" s="1"/>
  <c r="C14" i="65"/>
  <c r="C63" i="65" s="1"/>
  <c r="B14" i="65"/>
  <c r="B63" i="65" s="1"/>
  <c r="AS13" i="65"/>
  <c r="AR13" i="65"/>
  <c r="AP13" i="65"/>
  <c r="AO13" i="65"/>
  <c r="AN13" i="65"/>
  <c r="AK13" i="65"/>
  <c r="AH13" i="65"/>
  <c r="AE13" i="65"/>
  <c r="Y13" i="65"/>
  <c r="V13" i="65"/>
  <c r="S13" i="65"/>
  <c r="M13" i="65"/>
  <c r="J13" i="65"/>
  <c r="G13" i="65"/>
  <c r="D13" i="65"/>
  <c r="AS12" i="65"/>
  <c r="AR12" i="65"/>
  <c r="AP12" i="65"/>
  <c r="AO12" i="65"/>
  <c r="AN12" i="65"/>
  <c r="AK12" i="65"/>
  <c r="AB12" i="65"/>
  <c r="Y12" i="65"/>
  <c r="S12" i="65"/>
  <c r="M12" i="65"/>
  <c r="J12" i="65"/>
  <c r="G12" i="65"/>
  <c r="D12" i="65"/>
  <c r="AS11" i="65"/>
  <c r="AR11" i="65"/>
  <c r="AP11" i="65"/>
  <c r="AO11" i="65"/>
  <c r="AN11" i="65"/>
  <c r="AK11" i="65"/>
  <c r="AE11" i="65"/>
  <c r="AB11" i="65"/>
  <c r="Y11" i="65"/>
  <c r="V11" i="65"/>
  <c r="S11" i="65"/>
  <c r="M11" i="65"/>
  <c r="J11" i="65"/>
  <c r="G11" i="65"/>
  <c r="D11" i="65"/>
  <c r="AQ15" i="65" l="1"/>
  <c r="AQ17" i="65"/>
  <c r="AQ42" i="65"/>
  <c r="AQ32" i="65"/>
  <c r="AT13" i="65"/>
  <c r="AQ16" i="65"/>
  <c r="Y21" i="65"/>
  <c r="AQ37" i="65"/>
  <c r="AQ12" i="65"/>
  <c r="AK23" i="65"/>
  <c r="AT24" i="65"/>
  <c r="AQ25" i="65"/>
  <c r="W29" i="65"/>
  <c r="Y29" i="65" s="1"/>
  <c r="AK29" i="65"/>
  <c r="AT11" i="65"/>
  <c r="M14" i="65"/>
  <c r="AE14" i="65"/>
  <c r="AT16" i="65"/>
  <c r="AQ20" i="65"/>
  <c r="J21" i="65"/>
  <c r="J23" i="65"/>
  <c r="AH23" i="65"/>
  <c r="AN23" i="65"/>
  <c r="V40" i="65"/>
  <c r="AR40" i="65"/>
  <c r="AH14" i="65"/>
  <c r="AP23" i="65"/>
  <c r="V14" i="65"/>
  <c r="G21" i="65"/>
  <c r="AQ33" i="65"/>
  <c r="AT15" i="65"/>
  <c r="AK21" i="65"/>
  <c r="AT25" i="65"/>
  <c r="AT26" i="65"/>
  <c r="AT27" i="65"/>
  <c r="AQ30" i="65"/>
  <c r="AO14" i="65"/>
  <c r="AO63" i="65" s="1"/>
  <c r="AP19" i="65"/>
  <c r="AQ19" i="65" s="1"/>
  <c r="AT31" i="65"/>
  <c r="AT32" i="65"/>
  <c r="AT44" i="65"/>
  <c r="U34" i="65"/>
  <c r="AQ11" i="65"/>
  <c r="AT12" i="65"/>
  <c r="D14" i="65"/>
  <c r="AS19" i="65"/>
  <c r="AT19" i="65" s="1"/>
  <c r="AT20" i="65"/>
  <c r="S21" i="65"/>
  <c r="M23" i="65"/>
  <c r="AQ26" i="65"/>
  <c r="AQ31" i="65"/>
  <c r="AT37" i="65"/>
  <c r="AQ38" i="65"/>
  <c r="AQ39" i="65"/>
  <c r="AI34" i="65"/>
  <c r="AQ27" i="65"/>
  <c r="AT28" i="65"/>
  <c r="AB23" i="65"/>
  <c r="Z29" i="65"/>
  <c r="N34" i="65"/>
  <c r="AR21" i="65"/>
  <c r="AP40" i="65"/>
  <c r="H34" i="65"/>
  <c r="J14" i="65"/>
  <c r="S14" i="65"/>
  <c r="Y14" i="65"/>
  <c r="AL34" i="65"/>
  <c r="AN14" i="65"/>
  <c r="I34" i="65"/>
  <c r="AD34" i="65"/>
  <c r="AM34" i="65"/>
  <c r="AT17" i="65"/>
  <c r="D21" i="65"/>
  <c r="AO21" i="65"/>
  <c r="AB40" i="65"/>
  <c r="AQ13" i="65"/>
  <c r="G14" i="65"/>
  <c r="AB14" i="65"/>
  <c r="AK14" i="65"/>
  <c r="AP14" i="65"/>
  <c r="AP63" i="65" s="1"/>
  <c r="AS21" i="65"/>
  <c r="AP21" i="65"/>
  <c r="V21" i="65"/>
  <c r="AE21" i="65"/>
  <c r="AC34" i="65"/>
  <c r="AP29" i="65"/>
  <c r="AS29" i="65"/>
  <c r="AA34" i="65"/>
  <c r="AR23" i="65"/>
  <c r="E29" i="65"/>
  <c r="K29" i="65"/>
  <c r="AO40" i="65"/>
  <c r="O34" i="65"/>
  <c r="T34" i="65"/>
  <c r="X34" i="65"/>
  <c r="AF34" i="65"/>
  <c r="AJ34" i="65"/>
  <c r="AR14" i="65"/>
  <c r="AR63" i="65" s="1"/>
  <c r="AS23" i="65"/>
  <c r="AH29" i="65"/>
  <c r="AN29" i="65"/>
  <c r="AT33" i="65"/>
  <c r="F34" i="65"/>
  <c r="AT38" i="65"/>
  <c r="AS40" i="65"/>
  <c r="J40" i="65"/>
  <c r="AT42" i="65"/>
  <c r="L41" i="65"/>
  <c r="S40" i="65"/>
  <c r="C34" i="65"/>
  <c r="AS14" i="65"/>
  <c r="AS63" i="65" s="1"/>
  <c r="B29" i="65"/>
  <c r="AO23" i="65"/>
  <c r="J29" i="65"/>
  <c r="AQ24" i="65"/>
  <c r="AQ28" i="65"/>
  <c r="V29" i="65"/>
  <c r="AT30" i="65"/>
  <c r="AG34" i="65"/>
  <c r="AT39" i="65"/>
  <c r="D40" i="65"/>
  <c r="Y40" i="65"/>
  <c r="AJ18" i="64"/>
  <c r="AI18" i="64"/>
  <c r="AK18" i="64" s="1"/>
  <c r="AH18" i="64"/>
  <c r="AE18" i="64"/>
  <c r="AB18" i="64"/>
  <c r="Y18" i="64"/>
  <c r="V18" i="64"/>
  <c r="S18" i="64"/>
  <c r="P18" i="64"/>
  <c r="G18" i="64"/>
  <c r="AJ16" i="64"/>
  <c r="AI16" i="64"/>
  <c r="AH16" i="64"/>
  <c r="AE16" i="64"/>
  <c r="AB16" i="64"/>
  <c r="Y16" i="64"/>
  <c r="V16" i="64"/>
  <c r="S16" i="64"/>
  <c r="P16" i="64"/>
  <c r="M16" i="64"/>
  <c r="G16" i="64"/>
  <c r="D16" i="64"/>
  <c r="AJ14" i="64"/>
  <c r="AI14" i="64"/>
  <c r="AH14" i="64"/>
  <c r="AE14" i="64"/>
  <c r="AB14" i="64"/>
  <c r="Y14" i="64"/>
  <c r="V14" i="64"/>
  <c r="S14" i="64"/>
  <c r="P14" i="64"/>
  <c r="M14" i="64"/>
  <c r="J14" i="64"/>
  <c r="G14" i="64"/>
  <c r="AJ12" i="64"/>
  <c r="AI12" i="64"/>
  <c r="AH12" i="64"/>
  <c r="AE12" i="64"/>
  <c r="AB12" i="64"/>
  <c r="Y12" i="64"/>
  <c r="V12" i="64"/>
  <c r="S12" i="64"/>
  <c r="P12" i="64"/>
  <c r="M12" i="64"/>
  <c r="G12" i="64"/>
  <c r="D12" i="64"/>
  <c r="AJ11" i="64"/>
  <c r="AI11" i="64"/>
  <c r="AH11" i="64"/>
  <c r="AE11" i="64"/>
  <c r="AB11" i="64"/>
  <c r="Y11" i="64"/>
  <c r="V11" i="64"/>
  <c r="S11" i="64"/>
  <c r="P11" i="64"/>
  <c r="M11" i="64"/>
  <c r="G11" i="64"/>
  <c r="D11" i="64"/>
  <c r="AM96" i="63"/>
  <c r="AL96" i="63"/>
  <c r="AJ96" i="63"/>
  <c r="AI96" i="63"/>
  <c r="AG96" i="63"/>
  <c r="AF96" i="63"/>
  <c r="AD96" i="63"/>
  <c r="AC96" i="63"/>
  <c r="AA96" i="63"/>
  <c r="Z96" i="63"/>
  <c r="X96" i="63"/>
  <c r="W96" i="63"/>
  <c r="U96" i="63"/>
  <c r="T96" i="63"/>
  <c r="R96" i="63"/>
  <c r="Q96" i="63"/>
  <c r="O96" i="63"/>
  <c r="N96" i="63"/>
  <c r="K96" i="63"/>
  <c r="I96" i="63"/>
  <c r="H96" i="63"/>
  <c r="E96" i="63"/>
  <c r="C96" i="63"/>
  <c r="B96" i="63"/>
  <c r="AN91" i="63"/>
  <c r="AH91" i="63"/>
  <c r="AB91" i="63"/>
  <c r="V91" i="63"/>
  <c r="J91" i="63"/>
  <c r="AR89" i="63"/>
  <c r="AP89" i="63"/>
  <c r="AS89" i="63" s="1"/>
  <c r="AO89" i="63"/>
  <c r="AN89" i="63"/>
  <c r="AK89" i="63"/>
  <c r="AH89" i="63"/>
  <c r="AB89" i="63"/>
  <c r="Y89" i="63"/>
  <c r="V89" i="63"/>
  <c r="S89" i="63"/>
  <c r="P89" i="63"/>
  <c r="M89" i="63"/>
  <c r="J89" i="63"/>
  <c r="G89" i="63"/>
  <c r="D89" i="63"/>
  <c r="AR88" i="63"/>
  <c r="AO88" i="63"/>
  <c r="AN88" i="63"/>
  <c r="AK88" i="63"/>
  <c r="AH88" i="63"/>
  <c r="AE88" i="63"/>
  <c r="AB88" i="63"/>
  <c r="Y88" i="63"/>
  <c r="V88" i="63"/>
  <c r="S88" i="63"/>
  <c r="P88" i="63"/>
  <c r="M88" i="63"/>
  <c r="AP88" i="63"/>
  <c r="AS88" i="63" s="1"/>
  <c r="D88" i="63"/>
  <c r="AR87" i="63"/>
  <c r="AP87" i="63"/>
  <c r="AS87" i="63" s="1"/>
  <c r="AO87" i="63"/>
  <c r="AK87" i="63"/>
  <c r="AH87" i="63"/>
  <c r="AR86" i="63"/>
  <c r="AP86" i="63"/>
  <c r="AS86" i="63" s="1"/>
  <c r="AO86" i="63"/>
  <c r="AN86" i="63"/>
  <c r="AK86" i="63"/>
  <c r="AH86" i="63"/>
  <c r="Y86" i="63"/>
  <c r="V86" i="63"/>
  <c r="S86" i="63"/>
  <c r="P86" i="63"/>
  <c r="M86" i="63"/>
  <c r="J86" i="63"/>
  <c r="G86" i="63"/>
  <c r="D86" i="63"/>
  <c r="AR85" i="63"/>
  <c r="AO85" i="63"/>
  <c r="AN85" i="63"/>
  <c r="AK85" i="63"/>
  <c r="AH85" i="63"/>
  <c r="AE85" i="63"/>
  <c r="Y85" i="63"/>
  <c r="V85" i="63"/>
  <c r="S85" i="63"/>
  <c r="M85" i="63"/>
  <c r="J85" i="63"/>
  <c r="D85" i="63"/>
  <c r="AR84" i="63"/>
  <c r="AP84" i="63"/>
  <c r="AS84" i="63" s="1"/>
  <c r="AO84" i="63"/>
  <c r="S84" i="63"/>
  <c r="AR83" i="63"/>
  <c r="AP83" i="63"/>
  <c r="AS83" i="63" s="1"/>
  <c r="AO83" i="63"/>
  <c r="AK83" i="63"/>
  <c r="V83" i="63"/>
  <c r="S83" i="63"/>
  <c r="M83" i="63"/>
  <c r="G83" i="63"/>
  <c r="D83" i="63"/>
  <c r="AR82" i="63"/>
  <c r="AP82" i="63"/>
  <c r="AS82" i="63" s="1"/>
  <c r="AO82" i="63"/>
  <c r="S82" i="63"/>
  <c r="AP81" i="63"/>
  <c r="AN81" i="63"/>
  <c r="AK81" i="63"/>
  <c r="AH81" i="63"/>
  <c r="AE81" i="63"/>
  <c r="Y81" i="63"/>
  <c r="V81" i="63"/>
  <c r="S81" i="63"/>
  <c r="M81" i="63"/>
  <c r="J81" i="63"/>
  <c r="D81" i="63"/>
  <c r="AR79" i="63"/>
  <c r="AO79" i="63"/>
  <c r="AN79" i="63"/>
  <c r="AK79" i="63"/>
  <c r="AH79" i="63"/>
  <c r="AB79" i="63"/>
  <c r="Y79" i="63"/>
  <c r="V79" i="63"/>
  <c r="S79" i="63"/>
  <c r="P79" i="63"/>
  <c r="M79" i="63"/>
  <c r="J79" i="63"/>
  <c r="G79" i="63"/>
  <c r="D79" i="63"/>
  <c r="AR78" i="63"/>
  <c r="AP78" i="63"/>
  <c r="AS78" i="63" s="1"/>
  <c r="AO78" i="63"/>
  <c r="AN78" i="63"/>
  <c r="AK78" i="63"/>
  <c r="AB78" i="63"/>
  <c r="V78" i="63"/>
  <c r="S78" i="63"/>
  <c r="M78" i="63"/>
  <c r="G78" i="63"/>
  <c r="AS77" i="63"/>
  <c r="AR77" i="63"/>
  <c r="AO77" i="63"/>
  <c r="AQ77" i="63" s="1"/>
  <c r="AN77" i="63"/>
  <c r="AB77" i="63"/>
  <c r="P77" i="63"/>
  <c r="J77" i="63"/>
  <c r="G77" i="63"/>
  <c r="D77" i="63"/>
  <c r="AR76" i="63"/>
  <c r="AP76" i="63"/>
  <c r="AS76" i="63" s="1"/>
  <c r="AO76" i="63"/>
  <c r="AN76" i="63"/>
  <c r="AK76" i="63"/>
  <c r="AB76" i="63"/>
  <c r="Y76" i="63"/>
  <c r="V76" i="63"/>
  <c r="S76" i="63"/>
  <c r="M76" i="63"/>
  <c r="G76" i="63"/>
  <c r="D76" i="63"/>
  <c r="AR75" i="63"/>
  <c r="AP75" i="63"/>
  <c r="AS75" i="63" s="1"/>
  <c r="AO75" i="63"/>
  <c r="AN75" i="63"/>
  <c r="AK75" i="63"/>
  <c r="AH75" i="63"/>
  <c r="AB75" i="63"/>
  <c r="Y75" i="63"/>
  <c r="V75" i="63"/>
  <c r="S75" i="63"/>
  <c r="M75" i="63"/>
  <c r="G75" i="63"/>
  <c r="D75" i="63"/>
  <c r="AR74" i="63"/>
  <c r="AP74" i="63"/>
  <c r="AS74" i="63" s="1"/>
  <c r="AO74" i="63"/>
  <c r="AP73" i="63"/>
  <c r="AS73" i="63" s="1"/>
  <c r="AB73" i="63"/>
  <c r="V73" i="63"/>
  <c r="S73" i="63"/>
  <c r="P73" i="63"/>
  <c r="M73" i="63"/>
  <c r="J73" i="63"/>
  <c r="G73" i="63"/>
  <c r="D73" i="63"/>
  <c r="AR71" i="63"/>
  <c r="AP71" i="63"/>
  <c r="AS71" i="63" s="1"/>
  <c r="AO71" i="63"/>
  <c r="AN71" i="63"/>
  <c r="AK71" i="63"/>
  <c r="AB71" i="63"/>
  <c r="Y71" i="63"/>
  <c r="S71" i="63"/>
  <c r="M71" i="63"/>
  <c r="G71" i="63"/>
  <c r="AR70" i="63"/>
  <c r="AP70" i="63"/>
  <c r="AO70" i="63"/>
  <c r="AN70" i="63"/>
  <c r="AK70" i="63"/>
  <c r="Y70" i="63"/>
  <c r="V70" i="63"/>
  <c r="S70" i="63"/>
  <c r="J70" i="63"/>
  <c r="G70" i="63"/>
  <c r="D70" i="63"/>
  <c r="AR69" i="63"/>
  <c r="AP69" i="63"/>
  <c r="AS69" i="63" s="1"/>
  <c r="AO69" i="63"/>
  <c r="AR68" i="63"/>
  <c r="AP68" i="63"/>
  <c r="AO68" i="63"/>
  <c r="AN68" i="63"/>
  <c r="AH68" i="63"/>
  <c r="AE68" i="63"/>
  <c r="AB68" i="63"/>
  <c r="Y68" i="63"/>
  <c r="V68" i="63"/>
  <c r="S68" i="63"/>
  <c r="P68" i="63"/>
  <c r="M68" i="63"/>
  <c r="J68" i="63"/>
  <c r="G68" i="63"/>
  <c r="D68" i="63"/>
  <c r="AN64" i="63"/>
  <c r="AB64" i="63"/>
  <c r="J64" i="63"/>
  <c r="AR62" i="63"/>
  <c r="AO62" i="63"/>
  <c r="AN62" i="63"/>
  <c r="AK62" i="63"/>
  <c r="AH62" i="63"/>
  <c r="AE62" i="63"/>
  <c r="AB62" i="63"/>
  <c r="Y62" i="63"/>
  <c r="V62" i="63"/>
  <c r="S62" i="63"/>
  <c r="M62" i="63"/>
  <c r="J62" i="63"/>
  <c r="D62" i="63"/>
  <c r="AR61" i="63"/>
  <c r="AP61" i="63"/>
  <c r="AS61" i="63" s="1"/>
  <c r="AO61" i="63"/>
  <c r="AH61" i="63"/>
  <c r="AR60" i="63"/>
  <c r="F27" i="58" s="1"/>
  <c r="AO60" i="63"/>
  <c r="AN60" i="63"/>
  <c r="AK60" i="63"/>
  <c r="AH60" i="63"/>
  <c r="AE60" i="63"/>
  <c r="Y60" i="63"/>
  <c r="V60" i="63"/>
  <c r="S60" i="63"/>
  <c r="J60" i="63"/>
  <c r="D60" i="63"/>
  <c r="AR59" i="63"/>
  <c r="AP59" i="63"/>
  <c r="AS59" i="63" s="1"/>
  <c r="AO59" i="63"/>
  <c r="AN59" i="63"/>
  <c r="AK59" i="63"/>
  <c r="AH59" i="63"/>
  <c r="Y59" i="63"/>
  <c r="S59" i="63"/>
  <c r="M59" i="63"/>
  <c r="J59" i="63"/>
  <c r="D59" i="63"/>
  <c r="AR58" i="63"/>
  <c r="AP58" i="63"/>
  <c r="AS58" i="63" s="1"/>
  <c r="AO58" i="63"/>
  <c r="AN58" i="63"/>
  <c r="AK58" i="63"/>
  <c r="S58" i="63"/>
  <c r="AR57" i="63"/>
  <c r="AP57" i="63"/>
  <c r="AS57" i="63" s="1"/>
  <c r="AO57" i="63"/>
  <c r="AH57" i="63"/>
  <c r="V57" i="63"/>
  <c r="S57" i="63"/>
  <c r="M57" i="63"/>
  <c r="G57" i="63"/>
  <c r="AR56" i="63"/>
  <c r="AP56" i="63"/>
  <c r="AO56" i="63"/>
  <c r="AN56" i="63"/>
  <c r="AK56" i="63"/>
  <c r="AH56" i="63"/>
  <c r="S56" i="63"/>
  <c r="M56" i="63"/>
  <c r="G56" i="63"/>
  <c r="D56" i="63"/>
  <c r="AR55" i="63"/>
  <c r="AP55" i="63"/>
  <c r="AS55" i="63" s="1"/>
  <c r="AO55" i="63"/>
  <c r="AN55" i="63"/>
  <c r="AK55" i="63"/>
  <c r="AH55" i="63"/>
  <c r="AE55" i="63"/>
  <c r="Y55" i="63"/>
  <c r="V55" i="63"/>
  <c r="S55" i="63"/>
  <c r="M55" i="63"/>
  <c r="J55" i="63"/>
  <c r="G55" i="63"/>
  <c r="D55" i="63"/>
  <c r="AR54" i="63"/>
  <c r="AO54" i="63"/>
  <c r="AN54" i="63"/>
  <c r="AK54" i="63"/>
  <c r="AH54" i="63"/>
  <c r="AE54" i="63"/>
  <c r="Y54" i="63"/>
  <c r="V54" i="63"/>
  <c r="S54" i="63"/>
  <c r="J54" i="63"/>
  <c r="G54" i="63"/>
  <c r="D54" i="63"/>
  <c r="AR53" i="63"/>
  <c r="AP53" i="63"/>
  <c r="AS53" i="63" s="1"/>
  <c r="AO53" i="63"/>
  <c r="AN53" i="63"/>
  <c r="S53" i="63"/>
  <c r="AR52" i="63"/>
  <c r="AP52" i="63"/>
  <c r="AS52" i="63" s="1"/>
  <c r="AO52" i="63"/>
  <c r="AQ52" i="63" s="1"/>
  <c r="S52" i="63"/>
  <c r="AR51" i="63"/>
  <c r="AP51" i="63"/>
  <c r="AS51" i="63" s="1"/>
  <c r="AO51" i="63"/>
  <c r="S51" i="63"/>
  <c r="AR50" i="63"/>
  <c r="AP50" i="63"/>
  <c r="AO50" i="63"/>
  <c r="AR49" i="63"/>
  <c r="AP49" i="63"/>
  <c r="AS49" i="63" s="1"/>
  <c r="AO49" i="63"/>
  <c r="AN49" i="63"/>
  <c r="S49" i="63"/>
  <c r="AR46" i="63"/>
  <c r="AP46" i="63"/>
  <c r="AS46" i="63" s="1"/>
  <c r="AO46" i="63"/>
  <c r="AN46" i="63"/>
  <c r="AK46" i="63"/>
  <c r="AH46" i="63"/>
  <c r="Y46" i="63"/>
  <c r="M46" i="63"/>
  <c r="J46" i="63"/>
  <c r="D46" i="63"/>
  <c r="AR45" i="63"/>
  <c r="AO45" i="63"/>
  <c r="AR44" i="63"/>
  <c r="AP44" i="63"/>
  <c r="AS44" i="63" s="1"/>
  <c r="AO44" i="63"/>
  <c r="AN44" i="63"/>
  <c r="AK44" i="63"/>
  <c r="AH44" i="63"/>
  <c r="AB44" i="63"/>
  <c r="Y44" i="63"/>
  <c r="S44" i="63"/>
  <c r="M44" i="63"/>
  <c r="J44" i="63"/>
  <c r="G44" i="63"/>
  <c r="D44" i="63"/>
  <c r="AR43" i="63"/>
  <c r="AP43" i="63"/>
  <c r="AS43" i="63" s="1"/>
  <c r="AO43" i="63"/>
  <c r="AN43" i="63"/>
  <c r="AK43" i="63"/>
  <c r="AB43" i="63"/>
  <c r="Y43" i="63"/>
  <c r="S43" i="63"/>
  <c r="G43" i="63"/>
  <c r="D43" i="63"/>
  <c r="AR42" i="63"/>
  <c r="AP42" i="63"/>
  <c r="AO42" i="63"/>
  <c r="AH42" i="63"/>
  <c r="AB42" i="63"/>
  <c r="V42" i="63"/>
  <c r="S42" i="63"/>
  <c r="M42" i="63"/>
  <c r="G42" i="63"/>
  <c r="AR41" i="63"/>
  <c r="AP41" i="63"/>
  <c r="AO41" i="63"/>
  <c r="AN41" i="63"/>
  <c r="AK41" i="63"/>
  <c r="AH41" i="63"/>
  <c r="AB41" i="63"/>
  <c r="Y41" i="63"/>
  <c r="S41" i="63"/>
  <c r="M41" i="63"/>
  <c r="J41" i="63"/>
  <c r="G41" i="63"/>
  <c r="D41" i="63"/>
  <c r="AR40" i="63"/>
  <c r="AP40" i="63"/>
  <c r="AS40" i="63" s="1"/>
  <c r="AO40" i="63"/>
  <c r="AN40" i="63"/>
  <c r="AK40" i="63"/>
  <c r="AH40" i="63"/>
  <c r="AB40" i="63"/>
  <c r="Y40" i="63"/>
  <c r="V40" i="63"/>
  <c r="S40" i="63"/>
  <c r="M40" i="63"/>
  <c r="J40" i="63"/>
  <c r="G40" i="63"/>
  <c r="D40" i="63"/>
  <c r="AR39" i="63"/>
  <c r="AO39" i="63"/>
  <c r="AN39" i="63"/>
  <c r="AK39" i="63"/>
  <c r="AH39" i="63"/>
  <c r="AB39" i="63"/>
  <c r="Y39" i="63"/>
  <c r="V39" i="63"/>
  <c r="S39" i="63"/>
  <c r="M39" i="63"/>
  <c r="J39" i="63"/>
  <c r="G39" i="63"/>
  <c r="D39" i="63"/>
  <c r="AR38" i="63"/>
  <c r="AP38" i="63"/>
  <c r="AS38" i="63" s="1"/>
  <c r="AO38" i="63"/>
  <c r="AN38" i="63"/>
  <c r="AK38" i="63"/>
  <c r="AH38" i="63"/>
  <c r="AB38" i="63"/>
  <c r="Y38" i="63"/>
  <c r="V38" i="63"/>
  <c r="S38" i="63"/>
  <c r="M38" i="63"/>
  <c r="G38" i="63"/>
  <c r="AR37" i="63"/>
  <c r="AP37" i="63"/>
  <c r="AS37" i="63" s="1"/>
  <c r="AO37" i="63"/>
  <c r="AN37" i="63"/>
  <c r="AK37" i="63"/>
  <c r="Y37" i="63"/>
  <c r="S37" i="63"/>
  <c r="M37" i="63"/>
  <c r="G37" i="63"/>
  <c r="AR36" i="63"/>
  <c r="AP36" i="63"/>
  <c r="AS36" i="63" s="1"/>
  <c r="AO36" i="63"/>
  <c r="AN36" i="63"/>
  <c r="AK36" i="63"/>
  <c r="AB36" i="63"/>
  <c r="Y36" i="63"/>
  <c r="V36" i="63"/>
  <c r="S36" i="63"/>
  <c r="M36" i="63"/>
  <c r="J36" i="63"/>
  <c r="G36" i="63"/>
  <c r="AR35" i="63"/>
  <c r="AO35" i="63"/>
  <c r="AN35" i="63"/>
  <c r="AK35" i="63"/>
  <c r="AH35" i="63"/>
  <c r="AB35" i="63"/>
  <c r="Y35" i="63"/>
  <c r="V35" i="63"/>
  <c r="S35" i="63"/>
  <c r="L96" i="63"/>
  <c r="J35" i="63"/>
  <c r="F96" i="63"/>
  <c r="AR34" i="63"/>
  <c r="AO34" i="63"/>
  <c r="AN34" i="63"/>
  <c r="AK34" i="63"/>
  <c r="AB34" i="63"/>
  <c r="Y34" i="63"/>
  <c r="V34" i="63"/>
  <c r="S34" i="63"/>
  <c r="AR33" i="63"/>
  <c r="AP33" i="63"/>
  <c r="AS33" i="63" s="1"/>
  <c r="AO33" i="63"/>
  <c r="AK33" i="63"/>
  <c r="G33" i="63"/>
  <c r="AR29" i="63"/>
  <c r="AO29" i="63"/>
  <c r="AN29" i="63"/>
  <c r="AK29" i="63"/>
  <c r="AH29" i="63"/>
  <c r="AE29" i="63"/>
  <c r="AB29" i="63"/>
  <c r="Y29" i="63"/>
  <c r="V29" i="63"/>
  <c r="S29" i="63"/>
  <c r="P29" i="63"/>
  <c r="M29" i="63"/>
  <c r="J29" i="63"/>
  <c r="D29" i="63"/>
  <c r="AR28" i="63"/>
  <c r="AO28" i="63"/>
  <c r="AN28" i="63"/>
  <c r="AK28" i="63"/>
  <c r="AH28" i="63"/>
  <c r="AE28" i="63"/>
  <c r="AB28" i="63"/>
  <c r="Y28" i="63"/>
  <c r="V28" i="63"/>
  <c r="S28" i="63"/>
  <c r="P28" i="63"/>
  <c r="M28" i="63"/>
  <c r="J28" i="63"/>
  <c r="D28" i="63"/>
  <c r="AR27" i="63"/>
  <c r="AO27" i="63"/>
  <c r="AN27" i="63"/>
  <c r="AK27" i="63"/>
  <c r="AH27" i="63"/>
  <c r="AE27" i="63"/>
  <c r="AB27" i="63"/>
  <c r="Y27" i="63"/>
  <c r="V27" i="63"/>
  <c r="S27" i="63"/>
  <c r="P27" i="63"/>
  <c r="M27" i="63"/>
  <c r="J27" i="63"/>
  <c r="D27" i="63"/>
  <c r="AS26" i="63"/>
  <c r="AR26" i="63"/>
  <c r="AR25" i="63"/>
  <c r="AP25" i="63"/>
  <c r="AS25" i="63" s="1"/>
  <c r="AO25" i="63"/>
  <c r="AN25" i="63"/>
  <c r="AK25" i="63"/>
  <c r="AE25" i="63"/>
  <c r="S25" i="63"/>
  <c r="P25" i="63"/>
  <c r="M25" i="63"/>
  <c r="J25" i="63"/>
  <c r="G25" i="63"/>
  <c r="AR24" i="63"/>
  <c r="AP24" i="63"/>
  <c r="AS24" i="63" s="1"/>
  <c r="AO24" i="63"/>
  <c r="AN24" i="63"/>
  <c r="AB24" i="63"/>
  <c r="S24" i="63"/>
  <c r="AR23" i="63"/>
  <c r="AP23" i="63"/>
  <c r="AS23" i="63" s="1"/>
  <c r="AO23" i="63"/>
  <c r="AH23" i="63"/>
  <c r="Y23" i="63"/>
  <c r="V23" i="63"/>
  <c r="S23" i="63"/>
  <c r="G23" i="63"/>
  <c r="AR22" i="63"/>
  <c r="AP22" i="63"/>
  <c r="AO22" i="63"/>
  <c r="AN22" i="63"/>
  <c r="AK22" i="63"/>
  <c r="AH22" i="63"/>
  <c r="AB22" i="63"/>
  <c r="Y22" i="63"/>
  <c r="S22" i="63"/>
  <c r="M22" i="63"/>
  <c r="J22" i="63"/>
  <c r="G22" i="63"/>
  <c r="D22" i="63"/>
  <c r="AS21" i="63"/>
  <c r="C9" i="58" s="1"/>
  <c r="AR21" i="63"/>
  <c r="AR20" i="63"/>
  <c r="AO20" i="63"/>
  <c r="AN20" i="63"/>
  <c r="AK20" i="63"/>
  <c r="AH20" i="63"/>
  <c r="AE20" i="63"/>
  <c r="AB20" i="63"/>
  <c r="Y20" i="63"/>
  <c r="V20" i="63"/>
  <c r="S20" i="63"/>
  <c r="P20" i="63"/>
  <c r="M20" i="63"/>
  <c r="J20" i="63"/>
  <c r="D20" i="63"/>
  <c r="AR19" i="63"/>
  <c r="AP19" i="63"/>
  <c r="AS19" i="63" s="1"/>
  <c r="AO19" i="63"/>
  <c r="AN19" i="63"/>
  <c r="AK19" i="63"/>
  <c r="AB19" i="63"/>
  <c r="S19" i="63"/>
  <c r="G19" i="63"/>
  <c r="AR18" i="63"/>
  <c r="AP18" i="63"/>
  <c r="AO18" i="63"/>
  <c r="AK18" i="63"/>
  <c r="S18" i="63"/>
  <c r="G18" i="63"/>
  <c r="AR17" i="63"/>
  <c r="AP17" i="63"/>
  <c r="AS17" i="63" s="1"/>
  <c r="AO17" i="63"/>
  <c r="AK17" i="63"/>
  <c r="AB17" i="63"/>
  <c r="V17" i="63"/>
  <c r="S17" i="63"/>
  <c r="G17" i="63"/>
  <c r="AR16" i="63"/>
  <c r="AO16" i="63"/>
  <c r="AN16" i="63"/>
  <c r="AK16" i="63"/>
  <c r="AB16" i="63"/>
  <c r="V16" i="63"/>
  <c r="S16" i="63"/>
  <c r="AR15" i="63"/>
  <c r="AP15" i="63"/>
  <c r="AS15" i="63" s="1"/>
  <c r="AO15" i="63"/>
  <c r="AN15" i="63"/>
  <c r="AK15" i="63"/>
  <c r="AB15" i="63"/>
  <c r="S15" i="63"/>
  <c r="G15" i="63"/>
  <c r="AR14" i="63"/>
  <c r="AP14" i="63"/>
  <c r="AS14" i="63" s="1"/>
  <c r="AO14" i="63"/>
  <c r="AK14" i="63"/>
  <c r="S14" i="63"/>
  <c r="AT59" i="63" l="1"/>
  <c r="AQ50" i="63"/>
  <c r="AQ86" i="63"/>
  <c r="AT44" i="63"/>
  <c r="AQ89" i="63"/>
  <c r="AQ69" i="63"/>
  <c r="AQ19" i="63"/>
  <c r="AQ37" i="63"/>
  <c r="C11" i="58"/>
  <c r="B10" i="58"/>
  <c r="F10" i="58"/>
  <c r="AT55" i="63"/>
  <c r="C25" i="58"/>
  <c r="F11" i="58"/>
  <c r="B11" i="58"/>
  <c r="F17" i="58"/>
  <c r="B17" i="58"/>
  <c r="C30" i="58"/>
  <c r="B25" i="58"/>
  <c r="F25" i="58"/>
  <c r="AT74" i="63"/>
  <c r="C22" i="58"/>
  <c r="C28" i="58"/>
  <c r="B30" i="58"/>
  <c r="F30" i="58"/>
  <c r="AT52" i="63"/>
  <c r="B26" i="58"/>
  <c r="F26" i="58"/>
  <c r="C29" i="58"/>
  <c r="AQ57" i="63"/>
  <c r="B13" i="58"/>
  <c r="F13" i="58"/>
  <c r="F9" i="58"/>
  <c r="B9" i="58"/>
  <c r="B18" i="58"/>
  <c r="F18" i="58"/>
  <c r="C17" i="58"/>
  <c r="AT15" i="63"/>
  <c r="C12" i="58"/>
  <c r="C19" i="58"/>
  <c r="B21" i="58"/>
  <c r="F21" i="58"/>
  <c r="F12" i="58"/>
  <c r="B12" i="58"/>
  <c r="B14" i="58"/>
  <c r="F14" i="58"/>
  <c r="B19" i="58"/>
  <c r="F19" i="58"/>
  <c r="C13" i="58"/>
  <c r="B20" i="58"/>
  <c r="F20" i="58"/>
  <c r="B22" i="58"/>
  <c r="F22" i="58"/>
  <c r="B28" i="58"/>
  <c r="F28" i="58"/>
  <c r="B29" i="58"/>
  <c r="F29" i="58"/>
  <c r="AQ68" i="63"/>
  <c r="AT69" i="63"/>
  <c r="AQ74" i="63"/>
  <c r="W34" i="65"/>
  <c r="AT40" i="65"/>
  <c r="B34" i="65"/>
  <c r="AQ40" i="65"/>
  <c r="Z34" i="65"/>
  <c r="AI41" i="65"/>
  <c r="AQ23" i="65"/>
  <c r="S41" i="65"/>
  <c r="U41" i="65"/>
  <c r="U43" i="65" s="1"/>
  <c r="X41" i="65"/>
  <c r="X43" i="65" s="1"/>
  <c r="AT23" i="65"/>
  <c r="AJ41" i="65"/>
  <c r="AJ43" i="65" s="1"/>
  <c r="AJ45" i="65" s="1"/>
  <c r="AT77" i="63"/>
  <c r="AT37" i="63"/>
  <c r="AT38" i="63"/>
  <c r="AT40" i="63"/>
  <c r="AQ61" i="63"/>
  <c r="S64" i="63"/>
  <c r="AK64" i="63"/>
  <c r="Y91" i="63"/>
  <c r="AQ42" i="63"/>
  <c r="AQ14" i="63"/>
  <c r="AP16" i="63"/>
  <c r="AS16" i="63" s="1"/>
  <c r="AQ40" i="63"/>
  <c r="AT53" i="63"/>
  <c r="P64" i="63"/>
  <c r="AQ70" i="63"/>
  <c r="AT82" i="63"/>
  <c r="AT89" i="63"/>
  <c r="AT17" i="63"/>
  <c r="AQ22" i="63"/>
  <c r="AQ43" i="63"/>
  <c r="AQ59" i="63"/>
  <c r="AT61" i="63"/>
  <c r="AH73" i="63"/>
  <c r="AN73" i="63"/>
  <c r="AQ76" i="63"/>
  <c r="G88" i="63"/>
  <c r="P91" i="63"/>
  <c r="AK91" i="63"/>
  <c r="G16" i="63"/>
  <c r="AT25" i="63"/>
  <c r="AR96" i="63"/>
  <c r="AQ41" i="63"/>
  <c r="AT43" i="63"/>
  <c r="AQ44" i="63"/>
  <c r="AQ46" i="63"/>
  <c r="AE64" i="63"/>
  <c r="AQ71" i="63"/>
  <c r="AK73" i="63"/>
  <c r="AO81" i="63"/>
  <c r="AQ81" i="63" s="1"/>
  <c r="AS81" i="63"/>
  <c r="AP54" i="63"/>
  <c r="AS54" i="63" s="1"/>
  <c r="AQ75" i="63"/>
  <c r="AQ83" i="63"/>
  <c r="AQ36" i="63"/>
  <c r="AT75" i="63"/>
  <c r="AT14" i="63"/>
  <c r="AQ38" i="63"/>
  <c r="AT46" i="63"/>
  <c r="AQ55" i="63"/>
  <c r="AT71" i="63"/>
  <c r="AT76" i="63"/>
  <c r="AS68" i="63"/>
  <c r="AT68" i="63" s="1"/>
  <c r="AQ23" i="63"/>
  <c r="AQ51" i="63"/>
  <c r="AT16" i="63"/>
  <c r="AT19" i="63"/>
  <c r="AS42" i="63"/>
  <c r="AT42" i="63" s="1"/>
  <c r="AT49" i="63"/>
  <c r="AQ53" i="63"/>
  <c r="AQ58" i="63"/>
  <c r="AQ84" i="63"/>
  <c r="AT87" i="63"/>
  <c r="AT51" i="63"/>
  <c r="AQ17" i="63"/>
  <c r="AQ24" i="63"/>
  <c r="AQ25" i="63"/>
  <c r="AT57" i="63"/>
  <c r="AT83" i="63"/>
  <c r="AT84" i="63"/>
  <c r="AQ87" i="63"/>
  <c r="AT24" i="63"/>
  <c r="AQ33" i="63"/>
  <c r="AK11" i="64"/>
  <c r="AK12" i="64"/>
  <c r="AK14" i="64"/>
  <c r="AK16" i="64"/>
  <c r="D34" i="65"/>
  <c r="B41" i="65"/>
  <c r="AP34" i="65"/>
  <c r="AS34" i="65"/>
  <c r="C41" i="65"/>
  <c r="AH34" i="65"/>
  <c r="AF41" i="65"/>
  <c r="H41" i="65"/>
  <c r="J34" i="65"/>
  <c r="AQ14" i="65"/>
  <c r="M29" i="65"/>
  <c r="S29" i="65"/>
  <c r="M41" i="65"/>
  <c r="L43" i="65"/>
  <c r="G29" i="65"/>
  <c r="AA41" i="65"/>
  <c r="I41" i="65"/>
  <c r="I43" i="65" s="1"/>
  <c r="I45" i="65" s="1"/>
  <c r="AN34" i="65"/>
  <c r="AB29" i="65"/>
  <c r="AK34" i="65"/>
  <c r="Y41" i="65"/>
  <c r="AR29" i="65"/>
  <c r="D29" i="65"/>
  <c r="AO29" i="65"/>
  <c r="AT14" i="65"/>
  <c r="AE34" i="65"/>
  <c r="K34" i="65"/>
  <c r="U45" i="65"/>
  <c r="V43" i="65"/>
  <c r="F41" i="65"/>
  <c r="V34" i="65"/>
  <c r="V41" i="65" s="1"/>
  <c r="E34" i="65"/>
  <c r="AQ21" i="65"/>
  <c r="Y34" i="65"/>
  <c r="AT21" i="65"/>
  <c r="AI43" i="65"/>
  <c r="AQ18" i="63"/>
  <c r="AQ15" i="63"/>
  <c r="AQ78" i="63"/>
  <c r="AT78" i="63"/>
  <c r="AT23" i="63"/>
  <c r="AT36" i="63"/>
  <c r="AT33" i="63"/>
  <c r="D64" i="63"/>
  <c r="V64" i="63"/>
  <c r="AS18" i="63"/>
  <c r="AP20" i="63"/>
  <c r="AQ20" i="63" s="1"/>
  <c r="AS22" i="63"/>
  <c r="AT22" i="63" s="1"/>
  <c r="AP28" i="63"/>
  <c r="AQ28" i="63" s="1"/>
  <c r="AP34" i="63"/>
  <c r="AQ34" i="63" s="1"/>
  <c r="AO96" i="63"/>
  <c r="AS41" i="63"/>
  <c r="AT41" i="63" s="1"/>
  <c r="AS50" i="63"/>
  <c r="AT50" i="63" s="1"/>
  <c r="AO64" i="63"/>
  <c r="Y64" i="63"/>
  <c r="AQ82" i="63"/>
  <c r="AO91" i="63"/>
  <c r="D91" i="63"/>
  <c r="AR91" i="63"/>
  <c r="M35" i="63"/>
  <c r="AQ49" i="63"/>
  <c r="M54" i="63"/>
  <c r="AR64" i="63"/>
  <c r="AH64" i="63"/>
  <c r="AO73" i="63"/>
  <c r="AQ73" i="63" s="1"/>
  <c r="AT86" i="63"/>
  <c r="AQ88" i="63"/>
  <c r="AP35" i="63"/>
  <c r="AR73" i="63"/>
  <c r="Y73" i="63"/>
  <c r="G20" i="63"/>
  <c r="G28" i="63"/>
  <c r="G34" i="63"/>
  <c r="G35" i="63"/>
  <c r="AP39" i="63"/>
  <c r="AQ39" i="63" s="1"/>
  <c r="AS56" i="63"/>
  <c r="AT56" i="63" s="1"/>
  <c r="AQ56" i="63"/>
  <c r="AT58" i="63"/>
  <c r="M64" i="63"/>
  <c r="AR81" i="63"/>
  <c r="G81" i="63"/>
  <c r="AP85" i="63"/>
  <c r="G85" i="63"/>
  <c r="AT88" i="63"/>
  <c r="AP91" i="63"/>
  <c r="M91" i="63"/>
  <c r="AS70" i="63"/>
  <c r="AT70" i="63" s="1"/>
  <c r="S91" i="63"/>
  <c r="AE91" i="63"/>
  <c r="AP79" i="63"/>
  <c r="AQ16" i="63" l="1"/>
  <c r="D22" i="58"/>
  <c r="C35" i="58"/>
  <c r="AT81" i="63"/>
  <c r="B38" i="58"/>
  <c r="D28" i="58"/>
  <c r="D12" i="58"/>
  <c r="B36" i="58"/>
  <c r="C33" i="58"/>
  <c r="F24" i="58"/>
  <c r="D17" i="58"/>
  <c r="B16" i="58"/>
  <c r="B34" i="58"/>
  <c r="AT18" i="63"/>
  <c r="C10" i="58"/>
  <c r="D10" i="58" s="1"/>
  <c r="D19" i="58"/>
  <c r="B37" i="58"/>
  <c r="D13" i="58"/>
  <c r="D30" i="58"/>
  <c r="B24" i="58"/>
  <c r="D25" i="58"/>
  <c r="F16" i="58"/>
  <c r="F8" i="58"/>
  <c r="D29" i="58"/>
  <c r="C26" i="58"/>
  <c r="C24" i="58" s="1"/>
  <c r="C18" i="58"/>
  <c r="C21" i="58"/>
  <c r="C37" i="58" s="1"/>
  <c r="D9" i="58"/>
  <c r="B33" i="58"/>
  <c r="B8" i="58"/>
  <c r="B35" i="58"/>
  <c r="D11" i="58"/>
  <c r="AK41" i="65"/>
  <c r="AB34" i="65"/>
  <c r="S34" i="65"/>
  <c r="AQ54" i="63"/>
  <c r="AS85" i="63"/>
  <c r="AT85" i="63" s="1"/>
  <c r="AS20" i="63"/>
  <c r="AT20" i="63" s="1"/>
  <c r="AK43" i="65"/>
  <c r="AI45" i="65"/>
  <c r="V45" i="65"/>
  <c r="X45" i="65"/>
  <c r="Y43" i="65"/>
  <c r="C43" i="65"/>
  <c r="AP41" i="65"/>
  <c r="AS41" i="65"/>
  <c r="F43" i="65"/>
  <c r="G41" i="65"/>
  <c r="M34" i="65"/>
  <c r="G34" i="65"/>
  <c r="AT29" i="65"/>
  <c r="AO34" i="65"/>
  <c r="AQ29" i="65"/>
  <c r="AB41" i="65"/>
  <c r="AA43" i="65"/>
  <c r="L45" i="65"/>
  <c r="M43" i="65"/>
  <c r="H43" i="65"/>
  <c r="J41" i="65"/>
  <c r="AF43" i="65"/>
  <c r="AH41" i="65"/>
  <c r="AR41" i="65"/>
  <c r="D41" i="65"/>
  <c r="AO41" i="65"/>
  <c r="B43" i="65"/>
  <c r="AR34" i="65"/>
  <c r="AS79" i="63"/>
  <c r="AQ79" i="63"/>
  <c r="AT73" i="63"/>
  <c r="G27" i="63"/>
  <c r="AP27" i="63"/>
  <c r="AQ27" i="63" s="1"/>
  <c r="AS34" i="63"/>
  <c r="AP60" i="63"/>
  <c r="G60" i="63"/>
  <c r="AS91" i="63"/>
  <c r="AQ85" i="63"/>
  <c r="AP96" i="63"/>
  <c r="AQ35" i="63"/>
  <c r="AP45" i="63"/>
  <c r="AQ45" i="63" s="1"/>
  <c r="G91" i="63"/>
  <c r="AS39" i="63"/>
  <c r="M60" i="63"/>
  <c r="AS35" i="63"/>
  <c r="AS28" i="63"/>
  <c r="C14" i="58" s="1"/>
  <c r="C38" i="58" s="1"/>
  <c r="AT54" i="63"/>
  <c r="D21" i="58" l="1"/>
  <c r="D26" i="58"/>
  <c r="D38" i="58"/>
  <c r="AT28" i="63"/>
  <c r="D35" i="58"/>
  <c r="D24" i="58"/>
  <c r="D37" i="58"/>
  <c r="D14" i="58"/>
  <c r="D33" i="58"/>
  <c r="B32" i="58"/>
  <c r="F36" i="58" s="1"/>
  <c r="C34" i="58"/>
  <c r="C8" i="58"/>
  <c r="D8" i="58" s="1"/>
  <c r="AT34" i="63"/>
  <c r="C20" i="58"/>
  <c r="D18" i="58"/>
  <c r="S43" i="65"/>
  <c r="AT41" i="65"/>
  <c r="AQ41" i="65"/>
  <c r="AT91" i="63"/>
  <c r="AS45" i="63"/>
  <c r="G20" i="58" s="1"/>
  <c r="H20" i="58" s="1"/>
  <c r="AT34" i="65"/>
  <c r="J43" i="65"/>
  <c r="H45" i="65"/>
  <c r="B45" i="65"/>
  <c r="AO43" i="65"/>
  <c r="AR43" i="65"/>
  <c r="D43" i="65"/>
  <c r="S45" i="65"/>
  <c r="M45" i="65"/>
  <c r="AS43" i="65"/>
  <c r="C45" i="65"/>
  <c r="AP43" i="65"/>
  <c r="AF45" i="65"/>
  <c r="AH43" i="65"/>
  <c r="AA45" i="65"/>
  <c r="AB43" i="65"/>
  <c r="AQ34" i="65"/>
  <c r="F45" i="65"/>
  <c r="G43" i="65"/>
  <c r="AK45" i="65"/>
  <c r="Y45" i="65"/>
  <c r="AQ60" i="63"/>
  <c r="G29" i="63"/>
  <c r="AP29" i="63"/>
  <c r="AQ29" i="63" s="1"/>
  <c r="AS96" i="63"/>
  <c r="AT35" i="63"/>
  <c r="AT39" i="63"/>
  <c r="AP62" i="63"/>
  <c r="AS62" i="63" s="1"/>
  <c r="G62" i="63"/>
  <c r="AQ91" i="63"/>
  <c r="AS60" i="63"/>
  <c r="AS27" i="63"/>
  <c r="AT27" i="63" s="1"/>
  <c r="AT79" i="63"/>
  <c r="F34" i="58" l="1"/>
  <c r="F38" i="58"/>
  <c r="F37" i="58"/>
  <c r="D34" i="58"/>
  <c r="F35" i="58"/>
  <c r="D20" i="58"/>
  <c r="C36" i="58"/>
  <c r="G27" i="58"/>
  <c r="G30" i="58"/>
  <c r="H30" i="58" s="1"/>
  <c r="G26" i="58"/>
  <c r="H26" i="58" s="1"/>
  <c r="G25" i="58"/>
  <c r="G28" i="58"/>
  <c r="H28" i="58" s="1"/>
  <c r="G29" i="58"/>
  <c r="H29" i="58" s="1"/>
  <c r="G22" i="58"/>
  <c r="H22" i="58" s="1"/>
  <c r="AT45" i="63"/>
  <c r="G17" i="58"/>
  <c r="G19" i="58"/>
  <c r="H19" i="58" s="1"/>
  <c r="G21" i="58"/>
  <c r="H21" i="58" s="1"/>
  <c r="G18" i="58"/>
  <c r="H18" i="58" s="1"/>
  <c r="F33" i="58"/>
  <c r="C16" i="58"/>
  <c r="D16" i="58" s="1"/>
  <c r="AP64" i="63"/>
  <c r="AS64" i="63" s="1"/>
  <c r="AH45" i="65"/>
  <c r="J45" i="65"/>
  <c r="AT43" i="65"/>
  <c r="G45" i="65"/>
  <c r="AB45" i="65"/>
  <c r="AP45" i="65"/>
  <c r="AS45" i="65"/>
  <c r="AQ43" i="65"/>
  <c r="D45" i="65"/>
  <c r="AR45" i="65"/>
  <c r="AO45" i="65"/>
  <c r="AT62" i="63"/>
  <c r="G64" i="63"/>
  <c r="AS29" i="63"/>
  <c r="AT60" i="63"/>
  <c r="AQ62" i="63"/>
  <c r="AT29" i="63" l="1"/>
  <c r="G9" i="58"/>
  <c r="G11" i="58"/>
  <c r="H11" i="58" s="1"/>
  <c r="G13" i="58"/>
  <c r="H13" i="58" s="1"/>
  <c r="G12" i="58"/>
  <c r="H12" i="58" s="1"/>
  <c r="G10" i="58"/>
  <c r="H10" i="58" s="1"/>
  <c r="G14" i="58"/>
  <c r="H14" i="58" s="1"/>
  <c r="F32" i="58"/>
  <c r="G16" i="58"/>
  <c r="H16" i="58" s="1"/>
  <c r="H17" i="58"/>
  <c r="G24" i="58"/>
  <c r="H24" i="58" s="1"/>
  <c r="H25" i="58"/>
  <c r="D36" i="58"/>
  <c r="C32" i="58"/>
  <c r="AQ45" i="65"/>
  <c r="AT45" i="65"/>
  <c r="AQ64" i="63"/>
  <c r="G8" i="58" l="1"/>
  <c r="H8" i="58" s="1"/>
  <c r="H9" i="58"/>
  <c r="G35" i="58"/>
  <c r="H35" i="58" s="1"/>
  <c r="G33" i="58"/>
  <c r="G37" i="58"/>
  <c r="H37" i="58" s="1"/>
  <c r="G38" i="58"/>
  <c r="H38" i="58" s="1"/>
  <c r="G34" i="58"/>
  <c r="H34" i="58" s="1"/>
  <c r="D32" i="58"/>
  <c r="G36" i="58"/>
  <c r="H36" i="58" s="1"/>
  <c r="AT64" i="63"/>
  <c r="G32" i="58" l="1"/>
  <c r="H32" i="58" s="1"/>
  <c r="H33" i="58"/>
  <c r="E37" i="13"/>
  <c r="N67" i="8" l="1"/>
  <c r="N68" i="8"/>
  <c r="N69" i="8"/>
  <c r="N70" i="8"/>
  <c r="N71" i="8"/>
  <c r="N72" i="8"/>
  <c r="N73" i="8"/>
  <c r="N74" i="8"/>
  <c r="M74" i="8"/>
  <c r="M73" i="8"/>
  <c r="M72" i="8"/>
  <c r="M71" i="8"/>
  <c r="M70" i="8"/>
  <c r="N66" i="8"/>
  <c r="N63" i="8"/>
  <c r="N64" i="8"/>
  <c r="M66" i="8"/>
  <c r="M67" i="8"/>
  <c r="M68" i="8"/>
  <c r="M69" i="8"/>
  <c r="N65" i="8"/>
  <c r="M65" i="8"/>
  <c r="M64" i="8"/>
  <c r="L27" i="13" l="1"/>
  <c r="H28" i="13"/>
  <c r="L28" i="13"/>
  <c r="L9" i="19" l="1"/>
  <c r="L8" i="19"/>
  <c r="L9" i="20"/>
  <c r="L8" i="20"/>
  <c r="L9" i="22"/>
  <c r="L8" i="22"/>
  <c r="L9" i="24"/>
  <c r="L8" i="24"/>
  <c r="L9" i="25"/>
  <c r="L8" i="25"/>
  <c r="L9" i="51"/>
  <c r="L8" i="51"/>
  <c r="L9" i="29"/>
  <c r="L8" i="29"/>
  <c r="L9" i="33"/>
  <c r="L8" i="33"/>
  <c r="L9" i="37"/>
  <c r="L8" i="37"/>
  <c r="L9" i="13"/>
  <c r="L8" i="13"/>
  <c r="H117" i="18" l="1"/>
  <c r="H10" i="18"/>
  <c r="D7" i="18"/>
  <c r="D10" i="18"/>
  <c r="H114" i="18"/>
  <c r="H115" i="18"/>
  <c r="H119" i="18"/>
  <c r="H87" i="18"/>
  <c r="H107" i="18"/>
  <c r="H111" i="18"/>
  <c r="H123" i="18"/>
  <c r="H7" i="18"/>
  <c r="D97" i="18"/>
  <c r="D27" i="18"/>
  <c r="H32" i="18"/>
  <c r="H33" i="18"/>
  <c r="H98" i="18"/>
  <c r="H106" i="18"/>
  <c r="H11" i="18"/>
  <c r="H75" i="18"/>
  <c r="H12" i="18"/>
  <c r="H28" i="18"/>
  <c r="D65" i="18"/>
  <c r="H77" i="18"/>
  <c r="D86" i="18"/>
  <c r="L77" i="18"/>
  <c r="D46" i="18"/>
  <c r="D118" i="18"/>
  <c r="D22" i="18"/>
  <c r="D28" i="18"/>
  <c r="D110" i="18"/>
  <c r="D114" i="18"/>
  <c r="H22" i="18"/>
  <c r="D76" i="18"/>
  <c r="D85" i="18"/>
  <c r="D106" i="18"/>
  <c r="D9" i="18"/>
  <c r="D8" i="18"/>
  <c r="H85" i="18"/>
  <c r="H66" i="18"/>
  <c r="L22" i="18" l="1"/>
  <c r="L98" i="18"/>
  <c r="L111" i="18"/>
  <c r="D45" i="18"/>
  <c r="L12" i="18"/>
  <c r="L96" i="18"/>
  <c r="L27" i="18"/>
  <c r="H96" i="18"/>
  <c r="L87" i="18"/>
  <c r="L86" i="18"/>
  <c r="L119" i="18"/>
  <c r="L28" i="18"/>
  <c r="L107" i="18"/>
  <c r="L118" i="18"/>
  <c r="L97" i="18"/>
  <c r="L33" i="18"/>
  <c r="H109" i="18"/>
  <c r="L115" i="18"/>
  <c r="L76" i="18"/>
  <c r="L7" i="18"/>
  <c r="L106" i="18"/>
  <c r="L114" i="18"/>
  <c r="L11" i="18"/>
  <c r="L65" i="18"/>
  <c r="L110" i="18"/>
  <c r="L66" i="18"/>
  <c r="D96" i="18"/>
  <c r="L10" i="18"/>
  <c r="H64" i="18"/>
  <c r="L117" i="18"/>
  <c r="D117" i="18"/>
  <c r="L32" i="18"/>
  <c r="L123" i="18"/>
  <c r="D109" i="18"/>
  <c r="D75" i="18"/>
  <c r="L75" i="18"/>
  <c r="L85" i="18"/>
  <c r="D64" i="18"/>
  <c r="L64" i="18"/>
  <c r="C74" i="4"/>
  <c r="F74" i="4"/>
  <c r="E74" i="4"/>
  <c r="B74" i="4"/>
  <c r="D74" i="4" s="1"/>
  <c r="F95" i="4"/>
  <c r="E95" i="4"/>
  <c r="C95" i="4"/>
  <c r="L95" i="37"/>
  <c r="D95" i="16"/>
  <c r="D95" i="29"/>
  <c r="B95" i="4"/>
  <c r="D95" i="4" s="1"/>
  <c r="H95" i="16"/>
  <c r="L95" i="13"/>
  <c r="L95" i="33"/>
  <c r="L95" i="29"/>
  <c r="D95" i="37"/>
  <c r="D95" i="13"/>
  <c r="D95" i="33"/>
  <c r="D74" i="16"/>
  <c r="D74" i="33"/>
  <c r="D74" i="37"/>
  <c r="L74" i="13"/>
  <c r="H74" i="16"/>
  <c r="L74" i="37"/>
  <c r="D74" i="29"/>
  <c r="L74" i="33"/>
  <c r="L74" i="29"/>
  <c r="D74" i="13"/>
  <c r="I95" i="4" l="1"/>
  <c r="I74" i="4"/>
  <c r="L109" i="18"/>
  <c r="H28" i="37"/>
  <c r="H32" i="37"/>
  <c r="D114" i="37"/>
  <c r="H74" i="4"/>
  <c r="J74" i="4" s="1"/>
  <c r="H95" i="4"/>
  <c r="J95" i="4" s="1"/>
  <c r="L95" i="16"/>
  <c r="H111" i="37"/>
  <c r="L74" i="16"/>
  <c r="H115" i="37"/>
  <c r="D7" i="37"/>
  <c r="D135" i="37"/>
  <c r="H119" i="37"/>
  <c r="D8" i="37"/>
  <c r="H106" i="37"/>
  <c r="D65" i="37"/>
  <c r="H7" i="37"/>
  <c r="D133" i="37"/>
  <c r="H122" i="37"/>
  <c r="D106" i="37"/>
  <c r="D27" i="37"/>
  <c r="D123" i="37"/>
  <c r="D32" i="37"/>
  <c r="H33" i="37"/>
  <c r="D33" i="37"/>
  <c r="H73" i="37"/>
  <c r="D46" i="37"/>
  <c r="H123" i="37"/>
  <c r="D122" i="37"/>
  <c r="H94" i="37"/>
  <c r="D53" i="37"/>
  <c r="D9" i="37"/>
  <c r="D105" i="37"/>
  <c r="D97" i="37"/>
  <c r="D132" i="37"/>
  <c r="D118" i="37"/>
  <c r="D98" i="37"/>
  <c r="D76" i="37"/>
  <c r="D73" i="37"/>
  <c r="D110" i="37"/>
  <c r="D134" i="37"/>
  <c r="D94" i="37"/>
  <c r="H107" i="37"/>
  <c r="D84" i="37"/>
  <c r="D86" i="37"/>
  <c r="H11" i="37"/>
  <c r="D10" i="37"/>
  <c r="D55" i="37"/>
  <c r="D52" i="37"/>
  <c r="H12" i="37"/>
  <c r="D35" i="37"/>
  <c r="H10" i="37"/>
  <c r="D34" i="37"/>
  <c r="D104" i="16"/>
  <c r="D103" i="16"/>
  <c r="D101" i="16"/>
  <c r="D100" i="16"/>
  <c r="D93" i="16"/>
  <c r="D92" i="16"/>
  <c r="D90" i="16"/>
  <c r="D89" i="16"/>
  <c r="D83" i="16"/>
  <c r="D82" i="16"/>
  <c r="D80" i="16"/>
  <c r="D79" i="16"/>
  <c r="D72" i="16"/>
  <c r="D71" i="16"/>
  <c r="D69" i="16"/>
  <c r="D68" i="16"/>
  <c r="H37" i="16"/>
  <c r="H36" i="16"/>
  <c r="H35" i="16"/>
  <c r="H34" i="16"/>
  <c r="H9" i="16"/>
  <c r="H8" i="16"/>
  <c r="L114" i="37" l="1"/>
  <c r="D87" i="37"/>
  <c r="D47" i="37"/>
  <c r="H96" i="37"/>
  <c r="L22" i="37"/>
  <c r="H75" i="37"/>
  <c r="H22" i="37"/>
  <c r="L98" i="37"/>
  <c r="H98" i="37"/>
  <c r="H77" i="37"/>
  <c r="D28" i="37"/>
  <c r="D22" i="37"/>
  <c r="D85" i="37"/>
  <c r="H66" i="37"/>
  <c r="D54" i="37"/>
  <c r="L86" i="37"/>
  <c r="L122" i="37"/>
  <c r="L12" i="37"/>
  <c r="L76" i="37"/>
  <c r="L7" i="37"/>
  <c r="L133" i="37"/>
  <c r="D51" i="37"/>
  <c r="L27" i="37"/>
  <c r="L28" i="37"/>
  <c r="L134" i="37"/>
  <c r="L94" i="37"/>
  <c r="L32" i="37"/>
  <c r="L107" i="37"/>
  <c r="L65" i="37"/>
  <c r="L97" i="37"/>
  <c r="L106" i="37"/>
  <c r="L132" i="37"/>
  <c r="L10" i="37"/>
  <c r="D45" i="37"/>
  <c r="L105" i="37"/>
  <c r="L73" i="37"/>
  <c r="L77" i="37"/>
  <c r="H109" i="37"/>
  <c r="L84" i="37"/>
  <c r="L119" i="37"/>
  <c r="H117" i="37"/>
  <c r="L135" i="37"/>
  <c r="L33" i="37"/>
  <c r="L118" i="37"/>
  <c r="L11" i="37"/>
  <c r="D117" i="37"/>
  <c r="L115" i="37"/>
  <c r="L123" i="37"/>
  <c r="L111" i="37"/>
  <c r="D109" i="37"/>
  <c r="D64" i="37"/>
  <c r="D96" i="37"/>
  <c r="L110" i="37"/>
  <c r="D75" i="37"/>
  <c r="G121" i="4"/>
  <c r="G113" i="4"/>
  <c r="G104" i="4"/>
  <c r="G103" i="4"/>
  <c r="G102" i="4"/>
  <c r="G101" i="4"/>
  <c r="G100" i="4"/>
  <c r="G99" i="4"/>
  <c r="G93" i="4"/>
  <c r="G92" i="4"/>
  <c r="G91" i="4"/>
  <c r="G90" i="4"/>
  <c r="G89" i="4"/>
  <c r="G88" i="4"/>
  <c r="G83" i="4"/>
  <c r="G82" i="4"/>
  <c r="G81" i="4"/>
  <c r="G80" i="4"/>
  <c r="G79" i="4"/>
  <c r="G78" i="4"/>
  <c r="G72" i="4"/>
  <c r="G71" i="4"/>
  <c r="G70" i="4"/>
  <c r="G69" i="4"/>
  <c r="G68" i="4"/>
  <c r="G67" i="4"/>
  <c r="G37" i="4"/>
  <c r="G36" i="4"/>
  <c r="G35" i="4"/>
  <c r="G34" i="4"/>
  <c r="G31" i="4"/>
  <c r="G30" i="4"/>
  <c r="G29" i="4"/>
  <c r="G26" i="4"/>
  <c r="G25" i="4"/>
  <c r="G24" i="4"/>
  <c r="G23" i="4"/>
  <c r="D121" i="4"/>
  <c r="D113" i="4"/>
  <c r="D104" i="4"/>
  <c r="D103" i="4"/>
  <c r="D102" i="4"/>
  <c r="D101" i="4"/>
  <c r="D100" i="4"/>
  <c r="D99" i="4"/>
  <c r="D93" i="4"/>
  <c r="D92" i="4"/>
  <c r="D91" i="4"/>
  <c r="D90" i="4"/>
  <c r="D89" i="4"/>
  <c r="D88" i="4"/>
  <c r="D83" i="4"/>
  <c r="D82" i="4"/>
  <c r="D81" i="4"/>
  <c r="D80" i="4"/>
  <c r="D79" i="4"/>
  <c r="D72" i="4"/>
  <c r="D71" i="4"/>
  <c r="D69" i="4"/>
  <c r="D68" i="4"/>
  <c r="D78" i="4"/>
  <c r="D70" i="4"/>
  <c r="D67" i="4"/>
  <c r="D50" i="4"/>
  <c r="D49" i="4"/>
  <c r="D48" i="4"/>
  <c r="D31" i="4"/>
  <c r="D30" i="4"/>
  <c r="D29" i="4"/>
  <c r="D26" i="4"/>
  <c r="D25" i="4"/>
  <c r="D24" i="4"/>
  <c r="D23" i="4"/>
  <c r="F121" i="4"/>
  <c r="E121" i="4"/>
  <c r="F113" i="4"/>
  <c r="E113" i="4"/>
  <c r="F104" i="4"/>
  <c r="E104" i="4"/>
  <c r="F103" i="4"/>
  <c r="E103" i="4"/>
  <c r="F102" i="4"/>
  <c r="E102" i="4"/>
  <c r="F101" i="4"/>
  <c r="E101" i="4"/>
  <c r="F100" i="4"/>
  <c r="E100" i="4"/>
  <c r="F99" i="4"/>
  <c r="E99" i="4"/>
  <c r="F93" i="4"/>
  <c r="E93" i="4"/>
  <c r="F92" i="4"/>
  <c r="E92" i="4"/>
  <c r="F91" i="4"/>
  <c r="E91" i="4"/>
  <c r="F90" i="4"/>
  <c r="E90" i="4"/>
  <c r="F89" i="4"/>
  <c r="E89" i="4"/>
  <c r="F88" i="4"/>
  <c r="E88" i="4"/>
  <c r="F83" i="4"/>
  <c r="E83" i="4"/>
  <c r="F82" i="4"/>
  <c r="E82" i="4"/>
  <c r="F81" i="4"/>
  <c r="E81" i="4"/>
  <c r="F80" i="4"/>
  <c r="E80" i="4"/>
  <c r="F79" i="4"/>
  <c r="E79" i="4"/>
  <c r="F78" i="4"/>
  <c r="E78" i="4"/>
  <c r="F72" i="4"/>
  <c r="E72" i="4"/>
  <c r="F71" i="4"/>
  <c r="E71" i="4"/>
  <c r="F70" i="4"/>
  <c r="E70" i="4"/>
  <c r="F69" i="4"/>
  <c r="E69" i="4"/>
  <c r="F68" i="4"/>
  <c r="E68" i="4"/>
  <c r="F67" i="4"/>
  <c r="E67" i="4"/>
  <c r="C121" i="4"/>
  <c r="E121" i="16" s="1"/>
  <c r="B121" i="4"/>
  <c r="C113" i="4"/>
  <c r="E113" i="16" s="1"/>
  <c r="B113" i="4"/>
  <c r="C102" i="4"/>
  <c r="E102" i="16" s="1"/>
  <c r="B102" i="4"/>
  <c r="C99" i="4"/>
  <c r="E99" i="16" s="1"/>
  <c r="B99" i="4"/>
  <c r="C91" i="4"/>
  <c r="E91" i="16" s="1"/>
  <c r="B91" i="4"/>
  <c r="C88" i="4"/>
  <c r="E88" i="16" s="1"/>
  <c r="B88" i="4"/>
  <c r="C81" i="4"/>
  <c r="E81" i="16" s="1"/>
  <c r="B81" i="4"/>
  <c r="C78" i="4"/>
  <c r="E78" i="16" s="1"/>
  <c r="B78" i="4"/>
  <c r="C70" i="4"/>
  <c r="E70" i="16" s="1"/>
  <c r="B70" i="4"/>
  <c r="C67" i="4"/>
  <c r="E67" i="16" s="1"/>
  <c r="B67" i="4"/>
  <c r="C50" i="4"/>
  <c r="E50" i="16" s="1"/>
  <c r="B50" i="4"/>
  <c r="C49" i="4"/>
  <c r="E49" i="16" s="1"/>
  <c r="B49" i="4"/>
  <c r="C48" i="4"/>
  <c r="E48" i="16" s="1"/>
  <c r="B48" i="4"/>
  <c r="C31" i="4"/>
  <c r="E31" i="16" s="1"/>
  <c r="B31" i="4"/>
  <c r="C30" i="4"/>
  <c r="E30" i="16" s="1"/>
  <c r="B30" i="4"/>
  <c r="C29" i="4"/>
  <c r="E29" i="16" s="1"/>
  <c r="B29" i="4"/>
  <c r="F31" i="4"/>
  <c r="E31" i="4"/>
  <c r="F30" i="4"/>
  <c r="E30" i="4"/>
  <c r="F29" i="4"/>
  <c r="E29" i="4"/>
  <c r="F23" i="4"/>
  <c r="F26" i="4"/>
  <c r="E26" i="4"/>
  <c r="F25" i="4"/>
  <c r="E25" i="4"/>
  <c r="F24" i="4"/>
  <c r="E24" i="4"/>
  <c r="E23" i="4"/>
  <c r="C26" i="4"/>
  <c r="E26" i="16" s="1"/>
  <c r="C25" i="4"/>
  <c r="E25" i="16" s="1"/>
  <c r="C24" i="4"/>
  <c r="E24" i="16" s="1"/>
  <c r="C23" i="4"/>
  <c r="E23" i="16" s="1"/>
  <c r="B26" i="4"/>
  <c r="B25" i="4"/>
  <c r="B24" i="4"/>
  <c r="B23" i="4"/>
  <c r="L96" i="37" l="1"/>
  <c r="L75" i="37"/>
  <c r="L66" i="37"/>
  <c r="H87" i="37"/>
  <c r="L87" i="37"/>
  <c r="H85" i="37"/>
  <c r="L109" i="37"/>
  <c r="L117" i="37"/>
  <c r="L85" i="37" l="1"/>
  <c r="H64" i="37"/>
  <c r="L64" i="37"/>
  <c r="L81" i="16" l="1"/>
  <c r="H102" i="16"/>
  <c r="L67" i="16"/>
  <c r="L88" i="16"/>
  <c r="L71" i="16"/>
  <c r="L92" i="16"/>
  <c r="L30" i="16"/>
  <c r="L70" i="16"/>
  <c r="L68" i="16"/>
  <c r="L26" i="16"/>
  <c r="L25" i="16"/>
  <c r="L24" i="16"/>
  <c r="L82" i="16"/>
  <c r="D30" i="16"/>
  <c r="D29" i="16"/>
  <c r="H31" i="16"/>
  <c r="L23" i="16"/>
  <c r="D23" i="16"/>
  <c r="D25" i="16"/>
  <c r="H23" i="16"/>
  <c r="H25" i="16"/>
  <c r="H26" i="16"/>
  <c r="L29" i="16"/>
  <c r="L31" i="16"/>
  <c r="D67" i="16"/>
  <c r="D78" i="16"/>
  <c r="D88" i="16"/>
  <c r="D99" i="16"/>
  <c r="D113" i="16"/>
  <c r="H68" i="16"/>
  <c r="H71" i="16"/>
  <c r="H79" i="16"/>
  <c r="H82" i="16"/>
  <c r="H89" i="16"/>
  <c r="H92" i="16"/>
  <c r="H100" i="16"/>
  <c r="H103" i="16"/>
  <c r="H113" i="16"/>
  <c r="L69" i="16"/>
  <c r="L80" i="16"/>
  <c r="L90" i="16"/>
  <c r="L101" i="16"/>
  <c r="L113" i="16"/>
  <c r="H29" i="16"/>
  <c r="D24" i="16"/>
  <c r="H24" i="16"/>
  <c r="D26" i="16"/>
  <c r="D70" i="16"/>
  <c r="D81" i="16"/>
  <c r="D91" i="16"/>
  <c r="D102" i="16"/>
  <c r="D121" i="16"/>
  <c r="H69" i="16"/>
  <c r="H72" i="16"/>
  <c r="H80" i="16"/>
  <c r="H83" i="16"/>
  <c r="H90" i="16"/>
  <c r="H93" i="16"/>
  <c r="H101" i="16"/>
  <c r="H104" i="16"/>
  <c r="H121" i="16"/>
  <c r="L72" i="16"/>
  <c r="L79" i="16"/>
  <c r="L83" i="16"/>
  <c r="L89" i="16"/>
  <c r="L93" i="16"/>
  <c r="L100" i="16"/>
  <c r="L104" i="16"/>
  <c r="L121" i="16"/>
  <c r="D31" i="16"/>
  <c r="H30" i="16"/>
  <c r="C104" i="4"/>
  <c r="E104" i="16" s="1"/>
  <c r="B104" i="4"/>
  <c r="C103" i="4"/>
  <c r="E103" i="16" s="1"/>
  <c r="B103" i="4"/>
  <c r="C101" i="4"/>
  <c r="E101" i="16" s="1"/>
  <c r="B101" i="4"/>
  <c r="C100" i="4"/>
  <c r="E100" i="16" s="1"/>
  <c r="B100" i="4"/>
  <c r="C93" i="4"/>
  <c r="E93" i="16" s="1"/>
  <c r="B93" i="4"/>
  <c r="C92" i="4"/>
  <c r="E92" i="16" s="1"/>
  <c r="B92" i="4"/>
  <c r="C90" i="4"/>
  <c r="E90" i="16" s="1"/>
  <c r="B90" i="4"/>
  <c r="C89" i="4"/>
  <c r="E89" i="16" s="1"/>
  <c r="B89" i="4"/>
  <c r="C83" i="4"/>
  <c r="E83" i="16" s="1"/>
  <c r="B83" i="4"/>
  <c r="C82" i="4"/>
  <c r="E82" i="16" s="1"/>
  <c r="B82" i="4"/>
  <c r="C80" i="4"/>
  <c r="E80" i="16" s="1"/>
  <c r="B80" i="4"/>
  <c r="C79" i="4"/>
  <c r="E79" i="16" s="1"/>
  <c r="B79" i="4"/>
  <c r="C72" i="4"/>
  <c r="E72" i="16" s="1"/>
  <c r="B72" i="4"/>
  <c r="C71" i="4"/>
  <c r="E71" i="16" s="1"/>
  <c r="B71" i="4"/>
  <c r="C69" i="4"/>
  <c r="E69" i="16" s="1"/>
  <c r="B69" i="4"/>
  <c r="C68" i="4"/>
  <c r="E68" i="16" s="1"/>
  <c r="B68" i="4"/>
  <c r="F37" i="4"/>
  <c r="F36" i="4"/>
  <c r="F35" i="4"/>
  <c r="F34" i="4"/>
  <c r="E37" i="4"/>
  <c r="E36" i="4"/>
  <c r="F34" i="10" s="1"/>
  <c r="E35" i="4"/>
  <c r="F26" i="10" s="1"/>
  <c r="E34" i="4"/>
  <c r="F16" i="10" s="1"/>
  <c r="H81" i="16" l="1"/>
  <c r="H70" i="16"/>
  <c r="H67" i="16"/>
  <c r="H88" i="16"/>
  <c r="H99" i="16"/>
  <c r="I34" i="37"/>
  <c r="I35" i="37"/>
  <c r="H91" i="16"/>
  <c r="H78" i="16"/>
  <c r="L103" i="16"/>
  <c r="L78" i="16"/>
  <c r="L91" i="16"/>
  <c r="L102" i="16"/>
  <c r="L99" i="16"/>
  <c r="G16" i="10"/>
  <c r="I34" i="16"/>
  <c r="G26" i="10"/>
  <c r="I35" i="16"/>
  <c r="I37" i="16"/>
  <c r="I36" i="16"/>
  <c r="G34" i="10"/>
  <c r="F9" i="4"/>
  <c r="F8" i="4"/>
  <c r="E9" i="4"/>
  <c r="E8" i="4"/>
  <c r="I9" i="16" l="1"/>
  <c r="I8" i="16"/>
  <c r="D49" i="16" l="1"/>
  <c r="D48" i="16"/>
  <c r="D50" i="16"/>
  <c r="G56" i="10" l="1"/>
  <c r="G60" i="10"/>
  <c r="I67" i="16" l="1"/>
  <c r="F60" i="10"/>
  <c r="F56" i="10"/>
  <c r="K28" i="10" l="1"/>
  <c r="J28" i="10"/>
  <c r="D22" i="16" l="1"/>
  <c r="H28" i="29" l="1"/>
  <c r="H119" i="33"/>
  <c r="H28" i="20"/>
  <c r="H123" i="33"/>
  <c r="H66" i="29"/>
  <c r="H107" i="36"/>
  <c r="H66" i="35"/>
  <c r="L34" i="16"/>
  <c r="L37" i="16"/>
  <c r="L35" i="16"/>
  <c r="L36" i="16"/>
  <c r="D119" i="16"/>
  <c r="D132" i="16"/>
  <c r="H123" i="36"/>
  <c r="H22" i="33"/>
  <c r="H33" i="29"/>
  <c r="D122" i="16"/>
  <c r="H32" i="13"/>
  <c r="D86" i="16"/>
  <c r="D35" i="16"/>
  <c r="D133" i="16"/>
  <c r="H98" i="16"/>
  <c r="H115" i="16"/>
  <c r="H119" i="27"/>
  <c r="D53" i="39"/>
  <c r="H119" i="35"/>
  <c r="H98" i="29"/>
  <c r="H42" i="9"/>
  <c r="H98" i="36"/>
  <c r="H32" i="16"/>
  <c r="H124" i="16"/>
  <c r="D123" i="16"/>
  <c r="H116" i="16"/>
  <c r="H87" i="29"/>
  <c r="H132" i="16"/>
  <c r="H32" i="33"/>
  <c r="H119" i="16"/>
  <c r="H22" i="16"/>
  <c r="H12" i="33"/>
  <c r="H112" i="16"/>
  <c r="H33" i="16"/>
  <c r="H77" i="27"/>
  <c r="H123" i="29"/>
  <c r="D135" i="16"/>
  <c r="H7" i="16"/>
  <c r="D53" i="22"/>
  <c r="H40" i="9"/>
  <c r="H28" i="16"/>
  <c r="D124" i="16"/>
  <c r="H84" i="35"/>
  <c r="H134" i="16"/>
  <c r="H28" i="33"/>
  <c r="D56" i="39"/>
  <c r="H73" i="33"/>
  <c r="H118" i="16"/>
  <c r="D34" i="16"/>
  <c r="D12" i="16"/>
  <c r="H11" i="16"/>
  <c r="D76" i="16"/>
  <c r="D110" i="16"/>
  <c r="D112" i="16"/>
  <c r="H65" i="16"/>
  <c r="D11" i="16"/>
  <c r="D35" i="13"/>
  <c r="H98" i="20"/>
  <c r="H133" i="26"/>
  <c r="H22" i="29"/>
  <c r="H12" i="35"/>
  <c r="H94" i="33"/>
  <c r="H115" i="33"/>
  <c r="H33" i="33"/>
  <c r="D47" i="33"/>
  <c r="H98" i="27"/>
  <c r="H22" i="36"/>
  <c r="H107" i="35"/>
  <c r="H41" i="9"/>
  <c r="H111" i="35"/>
  <c r="H135" i="16"/>
  <c r="H77" i="16"/>
  <c r="D77" i="16"/>
  <c r="D73" i="16"/>
  <c r="H120" i="16"/>
  <c r="D97" i="16"/>
  <c r="D55" i="16"/>
  <c r="H27" i="16"/>
  <c r="D33" i="16"/>
  <c r="D27" i="16"/>
  <c r="H133" i="16"/>
  <c r="H94" i="16"/>
  <c r="D28" i="16"/>
  <c r="H108" i="16"/>
  <c r="D108" i="16"/>
  <c r="D116" i="16"/>
  <c r="D107" i="16"/>
  <c r="D115" i="16"/>
  <c r="H73" i="16"/>
  <c r="D9" i="16"/>
  <c r="H97" i="16"/>
  <c r="H111" i="16"/>
  <c r="D10" i="16"/>
  <c r="D37" i="16"/>
  <c r="D56" i="16"/>
  <c r="H110" i="16"/>
  <c r="D52" i="16"/>
  <c r="H86" i="16"/>
  <c r="D120" i="16"/>
  <c r="H107" i="16"/>
  <c r="H106" i="16"/>
  <c r="H114" i="16"/>
  <c r="H10" i="16"/>
  <c r="D84" i="16"/>
  <c r="D8" i="16"/>
  <c r="H76" i="16"/>
  <c r="D111" i="16"/>
  <c r="D134" i="16"/>
  <c r="D47" i="16"/>
  <c r="H87" i="16"/>
  <c r="D7" i="16"/>
  <c r="D53" i="16"/>
  <c r="D105" i="16"/>
  <c r="D32" i="16"/>
  <c r="H12" i="16"/>
  <c r="H105" i="16"/>
  <c r="D36" i="16"/>
  <c r="D94" i="16"/>
  <c r="D46" i="16"/>
  <c r="H84" i="16"/>
  <c r="D118" i="16"/>
  <c r="D65" i="16"/>
  <c r="H66" i="16"/>
  <c r="D87" i="16"/>
  <c r="D66" i="16"/>
  <c r="D98" i="16"/>
  <c r="D106" i="16"/>
  <c r="H123" i="16"/>
  <c r="H122" i="16"/>
  <c r="D114" i="16"/>
  <c r="H98" i="23"/>
  <c r="C37" i="9"/>
  <c r="B28" i="4"/>
  <c r="B21" i="10" s="1"/>
  <c r="H107" i="27"/>
  <c r="H107" i="23"/>
  <c r="H22" i="23"/>
  <c r="C40" i="9"/>
  <c r="H87" i="35"/>
  <c r="H28" i="36"/>
  <c r="C42" i="9"/>
  <c r="H98" i="33"/>
  <c r="H66" i="33"/>
  <c r="D47" i="39"/>
  <c r="H7" i="23"/>
  <c r="H7" i="29"/>
  <c r="H7" i="33"/>
  <c r="H10" i="13"/>
  <c r="H10" i="35"/>
  <c r="H11" i="13"/>
  <c r="H87" i="20"/>
  <c r="H77" i="13"/>
  <c r="H119" i="13"/>
  <c r="C39" i="9"/>
  <c r="D47" i="26"/>
  <c r="H22" i="35"/>
  <c r="H111" i="29"/>
  <c r="H7" i="35"/>
  <c r="H11" i="35"/>
  <c r="H87" i="33"/>
  <c r="H105" i="33"/>
  <c r="H87" i="13"/>
  <c r="H22" i="20"/>
  <c r="H111" i="33"/>
  <c r="H105" i="35"/>
  <c r="H12" i="23"/>
  <c r="H134" i="26"/>
  <c r="H87" i="27"/>
  <c r="H132" i="26"/>
  <c r="H119" i="36"/>
  <c r="H33" i="35"/>
  <c r="H77" i="23"/>
  <c r="H87" i="23"/>
  <c r="H115" i="23"/>
  <c r="H115" i="29"/>
  <c r="D47" i="13"/>
  <c r="H38" i="9"/>
  <c r="H44" i="9"/>
  <c r="D37" i="13"/>
  <c r="H22" i="13"/>
  <c r="H111" i="20"/>
  <c r="H7" i="13"/>
  <c r="B44" i="10"/>
  <c r="H105" i="13"/>
  <c r="C43" i="9"/>
  <c r="C44" i="9"/>
  <c r="H37" i="9"/>
  <c r="H39" i="9"/>
  <c r="C41" i="9"/>
  <c r="D46" i="13"/>
  <c r="D10" i="13"/>
  <c r="D133" i="13"/>
  <c r="H33" i="13"/>
  <c r="B35" i="9"/>
  <c r="H107" i="13"/>
  <c r="H118" i="13"/>
  <c r="D87" i="13"/>
  <c r="D11" i="13"/>
  <c r="D9" i="19"/>
  <c r="B34" i="9"/>
  <c r="D9" i="13"/>
  <c r="H66" i="13"/>
  <c r="G11" i="9"/>
  <c r="D86" i="13"/>
  <c r="H98" i="13"/>
  <c r="H12" i="13"/>
  <c r="C34" i="9"/>
  <c r="H34" i="9"/>
  <c r="G34" i="9"/>
  <c r="D76" i="13"/>
  <c r="D12" i="13"/>
  <c r="H75" i="13"/>
  <c r="C35" i="9"/>
  <c r="H11" i="9"/>
  <c r="H35" i="9"/>
  <c r="H115" i="13"/>
  <c r="H13" i="9"/>
  <c r="D33" i="13"/>
  <c r="D105" i="13"/>
  <c r="D110" i="13"/>
  <c r="D132" i="13"/>
  <c r="D84" i="13"/>
  <c r="G10" i="9"/>
  <c r="D8" i="20"/>
  <c r="D97" i="13"/>
  <c r="D122" i="13"/>
  <c r="H106" i="13"/>
  <c r="H111" i="13"/>
  <c r="D66" i="20"/>
  <c r="D98" i="20"/>
  <c r="D34" i="13"/>
  <c r="D52" i="13"/>
  <c r="D106" i="13"/>
  <c r="H12" i="9"/>
  <c r="D7" i="20"/>
  <c r="D7" i="13"/>
  <c r="D22" i="13"/>
  <c r="D28" i="13"/>
  <c r="D55" i="13"/>
  <c r="D107" i="13"/>
  <c r="D118" i="13"/>
  <c r="H123" i="13"/>
  <c r="D10" i="20"/>
  <c r="D7" i="19"/>
  <c r="D27" i="20"/>
  <c r="B36" i="9"/>
  <c r="H36" i="9"/>
  <c r="G12" i="9"/>
  <c r="H75" i="20"/>
  <c r="H117" i="20"/>
  <c r="D52" i="22"/>
  <c r="D22" i="23"/>
  <c r="D27" i="24"/>
  <c r="D27" i="25"/>
  <c r="D122" i="23"/>
  <c r="D110" i="23"/>
  <c r="D22" i="24"/>
  <c r="G20" i="9"/>
  <c r="D86" i="27"/>
  <c r="D8" i="22"/>
  <c r="D28" i="23"/>
  <c r="G37" i="9"/>
  <c r="D7" i="24"/>
  <c r="L22" i="51"/>
  <c r="D22" i="51"/>
  <c r="G21" i="9"/>
  <c r="D46" i="25"/>
  <c r="D9" i="22"/>
  <c r="D76" i="23"/>
  <c r="D106" i="23"/>
  <c r="H111" i="23"/>
  <c r="H20" i="9"/>
  <c r="D65" i="29"/>
  <c r="D73" i="33"/>
  <c r="D46" i="26"/>
  <c r="H19" i="9"/>
  <c r="D46" i="51"/>
  <c r="G23" i="9"/>
  <c r="D27" i="29"/>
  <c r="B41" i="9"/>
  <c r="D134" i="26"/>
  <c r="H66" i="27"/>
  <c r="H115" i="27"/>
  <c r="D7" i="29"/>
  <c r="D12" i="29"/>
  <c r="H12" i="29"/>
  <c r="D107" i="29"/>
  <c r="D66" i="29"/>
  <c r="D84" i="29"/>
  <c r="D110" i="29"/>
  <c r="D114" i="29"/>
  <c r="H119" i="29"/>
  <c r="D10" i="33"/>
  <c r="D66" i="33"/>
  <c r="D52" i="33"/>
  <c r="D55" i="33"/>
  <c r="D118" i="36"/>
  <c r="D8" i="33"/>
  <c r="H11" i="33"/>
  <c r="D53" i="33"/>
  <c r="D94" i="33"/>
  <c r="D106" i="33"/>
  <c r="D114" i="33"/>
  <c r="D52" i="39"/>
  <c r="D8" i="13"/>
  <c r="D27" i="13"/>
  <c r="D32" i="13"/>
  <c r="D65" i="13"/>
  <c r="G35" i="9"/>
  <c r="D98" i="13"/>
  <c r="D114" i="13"/>
  <c r="D111" i="20"/>
  <c r="D8" i="19"/>
  <c r="D77" i="20"/>
  <c r="D119" i="20"/>
  <c r="D55" i="22"/>
  <c r="D9" i="20"/>
  <c r="H66" i="20"/>
  <c r="C36" i="9"/>
  <c r="H77" i="20"/>
  <c r="G13" i="9"/>
  <c r="H119" i="20"/>
  <c r="D47" i="22"/>
  <c r="D8" i="24"/>
  <c r="G17" i="9"/>
  <c r="D7" i="25"/>
  <c r="D10" i="24"/>
  <c r="H28" i="23"/>
  <c r="G16" i="9"/>
  <c r="D86" i="23"/>
  <c r="C38" i="9"/>
  <c r="D46" i="40"/>
  <c r="D28" i="29"/>
  <c r="G19" i="9"/>
  <c r="D110" i="27"/>
  <c r="D46" i="41"/>
  <c r="D132" i="26"/>
  <c r="D135" i="26"/>
  <c r="H111" i="27"/>
  <c r="D76" i="29"/>
  <c r="D22" i="29"/>
  <c r="G24" i="9"/>
  <c r="D86" i="29"/>
  <c r="D119" i="29"/>
  <c r="D132" i="34"/>
  <c r="H28" i="35"/>
  <c r="D46" i="34"/>
  <c r="G25" i="9"/>
  <c r="H75" i="29"/>
  <c r="H105" i="29"/>
  <c r="D133" i="34"/>
  <c r="D9" i="33"/>
  <c r="D76" i="33"/>
  <c r="D22" i="33"/>
  <c r="D28" i="33"/>
  <c r="B43" i="9"/>
  <c r="H43" i="9"/>
  <c r="H115" i="35"/>
  <c r="H86" i="36"/>
  <c r="H75" i="33"/>
  <c r="D97" i="33"/>
  <c r="D107" i="33"/>
  <c r="D46" i="38"/>
  <c r="G44" i="9"/>
  <c r="H30" i="9"/>
  <c r="D110" i="33"/>
  <c r="D115" i="33"/>
  <c r="D46" i="39"/>
  <c r="D45" i="39"/>
  <c r="D87" i="20"/>
  <c r="D27" i="23"/>
  <c r="D46" i="21"/>
  <c r="D55" i="25"/>
  <c r="D8" i="25"/>
  <c r="D9" i="51"/>
  <c r="D65" i="23"/>
  <c r="D97" i="23"/>
  <c r="D118" i="23"/>
  <c r="D46" i="22"/>
  <c r="H10" i="23"/>
  <c r="H32" i="23"/>
  <c r="H123" i="23"/>
  <c r="D9" i="24"/>
  <c r="D52" i="25"/>
  <c r="D97" i="27"/>
  <c r="D55" i="41"/>
  <c r="L7" i="51"/>
  <c r="D7" i="51"/>
  <c r="H22" i="9"/>
  <c r="D32" i="29"/>
  <c r="H123" i="27"/>
  <c r="D10" i="29"/>
  <c r="D87" i="29"/>
  <c r="H23" i="9"/>
  <c r="H10" i="29"/>
  <c r="D118" i="29"/>
  <c r="D105" i="29"/>
  <c r="H32" i="35"/>
  <c r="D123" i="29"/>
  <c r="H28" i="9"/>
  <c r="H77" i="29"/>
  <c r="D46" i="33"/>
  <c r="G26" i="9"/>
  <c r="D86" i="36"/>
  <c r="D65" i="33"/>
  <c r="D77" i="33"/>
  <c r="D106" i="36"/>
  <c r="D27" i="33"/>
  <c r="D32" i="33"/>
  <c r="D120" i="33"/>
  <c r="H87" i="36"/>
  <c r="H77" i="33"/>
  <c r="D86" i="33"/>
  <c r="G27" i="9"/>
  <c r="D98" i="33"/>
  <c r="D111" i="33"/>
  <c r="C30" i="9"/>
  <c r="D55" i="39"/>
  <c r="D22" i="20"/>
  <c r="D28" i="20"/>
  <c r="D46" i="20"/>
  <c r="G15" i="9"/>
  <c r="G14" i="9"/>
  <c r="D33" i="29"/>
  <c r="D7" i="22"/>
  <c r="H119" i="23"/>
  <c r="D28" i="24"/>
  <c r="H18" i="9"/>
  <c r="H66" i="23"/>
  <c r="D114" i="23"/>
  <c r="D106" i="27"/>
  <c r="L27" i="51"/>
  <c r="D27" i="51"/>
  <c r="H11" i="23"/>
  <c r="H33" i="23"/>
  <c r="D9" i="25"/>
  <c r="H75" i="27"/>
  <c r="D65" i="27"/>
  <c r="G22" i="9"/>
  <c r="D76" i="27"/>
  <c r="D118" i="27"/>
  <c r="D8" i="51"/>
  <c r="G18" i="9"/>
  <c r="D133" i="26"/>
  <c r="D55" i="40"/>
  <c r="D52" i="41"/>
  <c r="D8" i="29"/>
  <c r="B40" i="9"/>
  <c r="D97" i="29"/>
  <c r="D9" i="29"/>
  <c r="H11" i="29"/>
  <c r="H32" i="29"/>
  <c r="D98" i="29"/>
  <c r="D106" i="29"/>
  <c r="D122" i="29"/>
  <c r="D123" i="33"/>
  <c r="D77" i="29"/>
  <c r="H84" i="29"/>
  <c r="H107" i="29"/>
  <c r="D119" i="33"/>
  <c r="D97" i="36"/>
  <c r="D33" i="33"/>
  <c r="D122" i="36"/>
  <c r="D7" i="33"/>
  <c r="H10" i="33"/>
  <c r="H84" i="33"/>
  <c r="D87" i="33"/>
  <c r="L108" i="33"/>
  <c r="D108" i="33"/>
  <c r="H107" i="33"/>
  <c r="D112" i="33"/>
  <c r="G28" i="9"/>
  <c r="G29" i="9"/>
  <c r="G30" i="9"/>
  <c r="B10" i="4"/>
  <c r="B20" i="10" s="1"/>
  <c r="C55" i="4"/>
  <c r="F124" i="4"/>
  <c r="B107" i="4"/>
  <c r="C34" i="4"/>
  <c r="E34" i="16" s="1"/>
  <c r="B73" i="4"/>
  <c r="B15" i="10"/>
  <c r="C111" i="4"/>
  <c r="C10" i="4"/>
  <c r="H75" i="16"/>
  <c r="C22" i="4"/>
  <c r="B7" i="4"/>
  <c r="B9" i="10" s="1"/>
  <c r="F106" i="4"/>
  <c r="C28" i="4"/>
  <c r="E28" i="16" s="1"/>
  <c r="B112" i="4"/>
  <c r="C73" i="4"/>
  <c r="F111" i="4"/>
  <c r="F27" i="4"/>
  <c r="F115" i="4"/>
  <c r="C120" i="4"/>
  <c r="C118" i="4"/>
  <c r="F84" i="4"/>
  <c r="B22" i="4"/>
  <c r="B10" i="10" s="1"/>
  <c r="B12" i="4"/>
  <c r="B41" i="10" s="1"/>
  <c r="B110" i="4"/>
  <c r="C53" i="4"/>
  <c r="C119" i="4"/>
  <c r="F108" i="4"/>
  <c r="B33" i="4"/>
  <c r="B42" i="10" s="1"/>
  <c r="C112" i="4"/>
  <c r="B116" i="4"/>
  <c r="F94" i="4"/>
  <c r="B105" i="4"/>
  <c r="B123" i="4"/>
  <c r="F76" i="4"/>
  <c r="C12" i="4"/>
  <c r="B32" i="4"/>
  <c r="B31" i="10" s="1"/>
  <c r="C105" i="4"/>
  <c r="C114" i="4"/>
  <c r="B11" i="4"/>
  <c r="B30" i="10" s="1"/>
  <c r="C94" i="4"/>
  <c r="F110" i="4"/>
  <c r="F119" i="4"/>
  <c r="B94" i="4"/>
  <c r="C36" i="4"/>
  <c r="B111" i="4"/>
  <c r="B122" i="4"/>
  <c r="C98" i="4"/>
  <c r="F22" i="4"/>
  <c r="C87" i="4"/>
  <c r="E87" i="4"/>
  <c r="F23" i="10" s="1"/>
  <c r="F120" i="4"/>
  <c r="C7" i="4"/>
  <c r="F32" i="4"/>
  <c r="C108" i="4"/>
  <c r="B25" i="10"/>
  <c r="C32" i="4"/>
  <c r="E32" i="16" s="1"/>
  <c r="F86" i="4"/>
  <c r="B55" i="4"/>
  <c r="F122" i="4"/>
  <c r="C106" i="4"/>
  <c r="E106" i="18" s="1"/>
  <c r="F65" i="4"/>
  <c r="C107" i="4"/>
  <c r="C35" i="4"/>
  <c r="E35" i="16" s="1"/>
  <c r="F98" i="4"/>
  <c r="F112" i="4"/>
  <c r="F123" i="4"/>
  <c r="E110" i="4"/>
  <c r="G110" i="4" s="1"/>
  <c r="C52" i="4"/>
  <c r="E94" i="4"/>
  <c r="B115" i="4"/>
  <c r="B124" i="4"/>
  <c r="C47" i="4"/>
  <c r="B65" i="4"/>
  <c r="B98" i="4"/>
  <c r="C122" i="4"/>
  <c r="F11" i="4"/>
  <c r="E7" i="4"/>
  <c r="F9" i="10" s="1"/>
  <c r="F73" i="4"/>
  <c r="F97" i="4"/>
  <c r="C110" i="4"/>
  <c r="E110" i="18" s="1"/>
  <c r="F10" i="4"/>
  <c r="F15" i="10"/>
  <c r="B27" i="4"/>
  <c r="F105" i="4"/>
  <c r="F12" i="4"/>
  <c r="B46" i="4"/>
  <c r="C11" i="4"/>
  <c r="C27" i="4"/>
  <c r="E27" i="18" s="1"/>
  <c r="E84" i="4"/>
  <c r="B106" i="4"/>
  <c r="B118" i="4"/>
  <c r="B87" i="4"/>
  <c r="B23" i="10" s="1"/>
  <c r="C115" i="4"/>
  <c r="E33" i="4"/>
  <c r="F42" i="10" s="1"/>
  <c r="C84" i="4"/>
  <c r="F107" i="4"/>
  <c r="C33" i="4"/>
  <c r="E33" i="16" s="1"/>
  <c r="B52" i="4"/>
  <c r="F33" i="4"/>
  <c r="B108" i="4"/>
  <c r="D108" i="4" s="1"/>
  <c r="B120" i="4"/>
  <c r="B33" i="10"/>
  <c r="F87" i="4"/>
  <c r="E28" i="4"/>
  <c r="F21" i="10" s="1"/>
  <c r="E77" i="4"/>
  <c r="C37" i="4"/>
  <c r="E37" i="16" s="1"/>
  <c r="F118" i="4"/>
  <c r="C56" i="4"/>
  <c r="F25" i="10"/>
  <c r="B77" i="4"/>
  <c r="B114" i="4"/>
  <c r="E118" i="4"/>
  <c r="F114" i="4"/>
  <c r="E22" i="4"/>
  <c r="F10" i="10" s="1"/>
  <c r="B47" i="4"/>
  <c r="C65" i="4"/>
  <c r="E65" i="18" s="1"/>
  <c r="C124" i="4"/>
  <c r="C116" i="4"/>
  <c r="E114" i="4"/>
  <c r="F7" i="4"/>
  <c r="F77" i="4"/>
  <c r="B119" i="4"/>
  <c r="B84" i="4"/>
  <c r="F116" i="4"/>
  <c r="C46" i="4"/>
  <c r="C77" i="4"/>
  <c r="F28" i="4"/>
  <c r="I28" i="13" s="1"/>
  <c r="E111" i="4"/>
  <c r="E120" i="4"/>
  <c r="E32" i="4"/>
  <c r="F31" i="10" s="1"/>
  <c r="E65" i="4"/>
  <c r="E73" i="4"/>
  <c r="B53" i="4"/>
  <c r="B34" i="4"/>
  <c r="B16" i="10" s="1"/>
  <c r="E9" i="18"/>
  <c r="C97" i="4"/>
  <c r="E97" i="18" s="1"/>
  <c r="E97" i="4"/>
  <c r="E11" i="4"/>
  <c r="F30" i="10" s="1"/>
  <c r="B97" i="4"/>
  <c r="E27" i="4"/>
  <c r="B37" i="4"/>
  <c r="E10" i="4"/>
  <c r="F20" i="10" s="1"/>
  <c r="E12" i="4"/>
  <c r="F41" i="10" s="1"/>
  <c r="B56" i="4"/>
  <c r="B35" i="4"/>
  <c r="B26" i="10" s="1"/>
  <c r="E105" i="4"/>
  <c r="B76" i="4"/>
  <c r="B86" i="4"/>
  <c r="E98" i="4"/>
  <c r="E112" i="4"/>
  <c r="E119" i="4"/>
  <c r="B36" i="4"/>
  <c r="B34" i="10" s="1"/>
  <c r="C76" i="4"/>
  <c r="E76" i="18" s="1"/>
  <c r="H9" i="9"/>
  <c r="C86" i="4"/>
  <c r="E86" i="18" s="1"/>
  <c r="C8" i="4"/>
  <c r="E8" i="18" s="1"/>
  <c r="E76" i="4"/>
  <c r="E86" i="4"/>
  <c r="C66" i="4"/>
  <c r="E66" i="4"/>
  <c r="F13" i="10" s="1"/>
  <c r="B66" i="4"/>
  <c r="B13" i="10" s="1"/>
  <c r="F66" i="4"/>
  <c r="E124" i="4"/>
  <c r="E123" i="4"/>
  <c r="C123" i="4"/>
  <c r="E122" i="4"/>
  <c r="E116" i="4"/>
  <c r="E115" i="4"/>
  <c r="E108" i="4"/>
  <c r="E107" i="4"/>
  <c r="E106" i="4"/>
  <c r="E115" i="16" l="1"/>
  <c r="E114" i="18"/>
  <c r="E114" i="16"/>
  <c r="E119" i="16"/>
  <c r="E120" i="16"/>
  <c r="E116" i="16"/>
  <c r="E118" i="18"/>
  <c r="E118" i="16"/>
  <c r="L7" i="35"/>
  <c r="L122" i="23"/>
  <c r="L115" i="35"/>
  <c r="D51" i="41"/>
  <c r="L120" i="33"/>
  <c r="L133" i="26"/>
  <c r="H109" i="35"/>
  <c r="L111" i="35"/>
  <c r="L123" i="36"/>
  <c r="D120" i="4"/>
  <c r="H117" i="35"/>
  <c r="D45" i="34"/>
  <c r="L119" i="13"/>
  <c r="L106" i="33"/>
  <c r="L119" i="35"/>
  <c r="L119" i="36"/>
  <c r="E46" i="37"/>
  <c r="E46" i="18"/>
  <c r="E33" i="37"/>
  <c r="I11" i="37"/>
  <c r="I11" i="18"/>
  <c r="E52" i="37"/>
  <c r="I32" i="37"/>
  <c r="I32" i="18"/>
  <c r="I115" i="37"/>
  <c r="I115" i="18"/>
  <c r="E22" i="37"/>
  <c r="E22" i="18"/>
  <c r="I107" i="37"/>
  <c r="I107" i="18"/>
  <c r="E7" i="37"/>
  <c r="E7" i="18"/>
  <c r="E132" i="37"/>
  <c r="E53" i="37"/>
  <c r="I87" i="37"/>
  <c r="I87" i="18"/>
  <c r="I10" i="37"/>
  <c r="I10" i="18"/>
  <c r="I123" i="37"/>
  <c r="I123" i="18"/>
  <c r="I122" i="37"/>
  <c r="I111" i="37"/>
  <c r="I111" i="18"/>
  <c r="I66" i="37"/>
  <c r="I66" i="18"/>
  <c r="E135" i="37"/>
  <c r="I94" i="37"/>
  <c r="E73" i="37"/>
  <c r="E34" i="37"/>
  <c r="E47" i="37"/>
  <c r="I98" i="37"/>
  <c r="I98" i="18"/>
  <c r="E87" i="37"/>
  <c r="D112" i="4"/>
  <c r="I12" i="37"/>
  <c r="I12" i="18"/>
  <c r="E35" i="37"/>
  <c r="E32" i="37"/>
  <c r="I22" i="37"/>
  <c r="I22" i="18"/>
  <c r="I119" i="37"/>
  <c r="I119" i="18"/>
  <c r="E28" i="37"/>
  <c r="E28" i="18"/>
  <c r="I28" i="37"/>
  <c r="I28" i="18"/>
  <c r="I77" i="37"/>
  <c r="I77" i="18"/>
  <c r="I114" i="18"/>
  <c r="I33" i="37"/>
  <c r="I33" i="18"/>
  <c r="I73" i="37"/>
  <c r="E133" i="37"/>
  <c r="I106" i="37"/>
  <c r="I106" i="18"/>
  <c r="E10" i="37"/>
  <c r="E10" i="18"/>
  <c r="E55" i="37"/>
  <c r="I7" i="37"/>
  <c r="I7" i="18"/>
  <c r="E94" i="37"/>
  <c r="E134" i="37"/>
  <c r="L112" i="33"/>
  <c r="H117" i="36"/>
  <c r="H75" i="23"/>
  <c r="F75" i="4"/>
  <c r="L123" i="16"/>
  <c r="L112" i="16"/>
  <c r="L84" i="16"/>
  <c r="L94" i="16"/>
  <c r="D45" i="21"/>
  <c r="D45" i="20"/>
  <c r="D117" i="16"/>
  <c r="L105" i="29"/>
  <c r="L132" i="26"/>
  <c r="L107" i="23"/>
  <c r="L111" i="33"/>
  <c r="L12" i="33"/>
  <c r="D54" i="22"/>
  <c r="H109" i="20"/>
  <c r="D54" i="41"/>
  <c r="G122" i="4"/>
  <c r="E98" i="37"/>
  <c r="E76" i="37"/>
  <c r="E9" i="37"/>
  <c r="E27" i="37"/>
  <c r="E122" i="37"/>
  <c r="E8" i="37"/>
  <c r="E65" i="37"/>
  <c r="E114" i="37"/>
  <c r="E123" i="37"/>
  <c r="E97" i="37"/>
  <c r="E110" i="37"/>
  <c r="E105" i="37"/>
  <c r="E86" i="37"/>
  <c r="E84" i="37"/>
  <c r="E106" i="37"/>
  <c r="E118" i="37"/>
  <c r="G114" i="4"/>
  <c r="H64" i="27"/>
  <c r="D45" i="38"/>
  <c r="L94" i="33"/>
  <c r="L111" i="29"/>
  <c r="L87" i="23"/>
  <c r="L73" i="33"/>
  <c r="L66" i="20"/>
  <c r="H96" i="20"/>
  <c r="L66" i="33"/>
  <c r="L66" i="23"/>
  <c r="L27" i="24"/>
  <c r="H96" i="29"/>
  <c r="L87" i="20"/>
  <c r="L22" i="23"/>
  <c r="L135" i="26"/>
  <c r="D45" i="40"/>
  <c r="L87" i="27"/>
  <c r="L111" i="20"/>
  <c r="L27" i="23"/>
  <c r="L12" i="29"/>
  <c r="D51" i="13"/>
  <c r="H85" i="36"/>
  <c r="L87" i="33"/>
  <c r="H85" i="29"/>
  <c r="L133" i="34"/>
  <c r="L107" i="27"/>
  <c r="L10" i="29"/>
  <c r="L7" i="33"/>
  <c r="H96" i="27"/>
  <c r="H64" i="23"/>
  <c r="L33" i="29"/>
  <c r="D54" i="39"/>
  <c r="L11" i="35"/>
  <c r="H85" i="35"/>
  <c r="L114" i="29"/>
  <c r="L11" i="29"/>
  <c r="D45" i="41"/>
  <c r="H109" i="13"/>
  <c r="L106" i="27"/>
  <c r="L33" i="23"/>
  <c r="N141" i="8"/>
  <c r="C12" i="9"/>
  <c r="N115" i="8"/>
  <c r="C24" i="9"/>
  <c r="C13" i="9"/>
  <c r="L73" i="16"/>
  <c r="C22" i="9"/>
  <c r="L98" i="16"/>
  <c r="C27" i="9"/>
  <c r="L105" i="33"/>
  <c r="L98" i="33"/>
  <c r="L98" i="20"/>
  <c r="N144" i="8"/>
  <c r="M115" i="8"/>
  <c r="L106" i="13"/>
  <c r="D54" i="40"/>
  <c r="L97" i="16"/>
  <c r="L134" i="16"/>
  <c r="N146" i="8"/>
  <c r="L107" i="35"/>
  <c r="H117" i="23"/>
  <c r="L114" i="33"/>
  <c r="L98" i="27"/>
  <c r="C19" i="9"/>
  <c r="D51" i="22"/>
  <c r="L33" i="33"/>
  <c r="L8" i="16"/>
  <c r="L110" i="16"/>
  <c r="L65" i="29"/>
  <c r="L28" i="20"/>
  <c r="L114" i="23"/>
  <c r="L12" i="35"/>
  <c r="H85" i="27"/>
  <c r="L133" i="16"/>
  <c r="L122" i="36"/>
  <c r="L106" i="23"/>
  <c r="L27" i="25"/>
  <c r="L132" i="16"/>
  <c r="L9" i="16"/>
  <c r="H96" i="13"/>
  <c r="L76" i="16"/>
  <c r="N145" i="8"/>
  <c r="L7" i="16"/>
  <c r="L115" i="16"/>
  <c r="D96" i="16"/>
  <c r="D51" i="16"/>
  <c r="L122" i="16"/>
  <c r="D45" i="33"/>
  <c r="D54" i="25"/>
  <c r="L115" i="33"/>
  <c r="L10" i="35"/>
  <c r="L132" i="13"/>
  <c r="L12" i="13"/>
  <c r="L124" i="16"/>
  <c r="D54" i="16"/>
  <c r="N139" i="8"/>
  <c r="L77" i="16"/>
  <c r="L97" i="23"/>
  <c r="H117" i="16"/>
  <c r="L7" i="20"/>
  <c r="M117" i="8"/>
  <c r="M112" i="8"/>
  <c r="L11" i="33"/>
  <c r="H117" i="13"/>
  <c r="L22" i="16"/>
  <c r="D64" i="16"/>
  <c r="L28" i="16"/>
  <c r="L105" i="16"/>
  <c r="L66" i="16"/>
  <c r="C14" i="9"/>
  <c r="D75" i="16"/>
  <c r="D109" i="16"/>
  <c r="H109" i="16"/>
  <c r="L33" i="16"/>
  <c r="L107" i="16"/>
  <c r="H85" i="16"/>
  <c r="L106" i="16"/>
  <c r="L10" i="16"/>
  <c r="L119" i="16"/>
  <c r="L65" i="16"/>
  <c r="G9" i="9"/>
  <c r="D85" i="16"/>
  <c r="E134" i="16"/>
  <c r="H64" i="16"/>
  <c r="L86" i="16"/>
  <c r="D45" i="16"/>
  <c r="L27" i="16"/>
  <c r="L87" i="16"/>
  <c r="L135" i="16"/>
  <c r="L12" i="16"/>
  <c r="L116" i="16"/>
  <c r="L120" i="16"/>
  <c r="L11" i="16"/>
  <c r="L114" i="16"/>
  <c r="L118" i="16"/>
  <c r="L111" i="16"/>
  <c r="L32" i="16"/>
  <c r="L108" i="16"/>
  <c r="H96" i="16"/>
  <c r="N143" i="8"/>
  <c r="L7" i="13"/>
  <c r="M142" i="8"/>
  <c r="N138" i="8"/>
  <c r="B28" i="9"/>
  <c r="M119" i="8"/>
  <c r="M143" i="8"/>
  <c r="N114" i="8"/>
  <c r="N140" i="8"/>
  <c r="N147" i="8"/>
  <c r="C9" i="9"/>
  <c r="C28" i="9"/>
  <c r="C21" i="9"/>
  <c r="C17" i="9"/>
  <c r="M114" i="8"/>
  <c r="B11" i="9"/>
  <c r="B15" i="9"/>
  <c r="B9" i="9"/>
  <c r="M120" i="8"/>
  <c r="H117" i="33"/>
  <c r="L107" i="36"/>
  <c r="L123" i="33"/>
  <c r="M145" i="8"/>
  <c r="L119" i="23"/>
  <c r="M116" i="8"/>
  <c r="M141" i="8"/>
  <c r="L114" i="13"/>
  <c r="N119" i="8"/>
  <c r="C26" i="9"/>
  <c r="L10" i="33"/>
  <c r="C18" i="9"/>
  <c r="B18" i="9"/>
  <c r="L22" i="13"/>
  <c r="L105" i="13"/>
  <c r="B10" i="9"/>
  <c r="L10" i="13"/>
  <c r="L119" i="33"/>
  <c r="C25" i="9"/>
  <c r="H85" i="23"/>
  <c r="L28" i="24"/>
  <c r="L7" i="23"/>
  <c r="H85" i="33"/>
  <c r="L118" i="29"/>
  <c r="D45" i="22"/>
  <c r="L11" i="23"/>
  <c r="M118" i="8"/>
  <c r="L115" i="29"/>
  <c r="B23" i="9"/>
  <c r="N116" i="8"/>
  <c r="L32" i="13"/>
  <c r="M146" i="8"/>
  <c r="B21" i="9"/>
  <c r="B19" i="9"/>
  <c r="N142" i="8"/>
  <c r="L22" i="24"/>
  <c r="L7" i="19"/>
  <c r="N112" i="8"/>
  <c r="M113" i="8"/>
  <c r="C10" i="9"/>
  <c r="L11" i="13"/>
  <c r="C11" i="9"/>
  <c r="M138" i="8"/>
  <c r="C29" i="9"/>
  <c r="G73" i="4"/>
  <c r="F14" i="10"/>
  <c r="E46" i="39"/>
  <c r="E46" i="16"/>
  <c r="I71" i="16"/>
  <c r="I87" i="20"/>
  <c r="I87" i="13"/>
  <c r="I87" i="29"/>
  <c r="I87" i="35"/>
  <c r="I87" i="33"/>
  <c r="I87" i="27"/>
  <c r="I87" i="23"/>
  <c r="I87" i="16"/>
  <c r="G23" i="10"/>
  <c r="I33" i="23"/>
  <c r="I33" i="29"/>
  <c r="I33" i="35"/>
  <c r="I33" i="33"/>
  <c r="I33" i="13"/>
  <c r="I33" i="16"/>
  <c r="G42" i="10"/>
  <c r="I132" i="26"/>
  <c r="G15" i="10"/>
  <c r="I132" i="16"/>
  <c r="I10" i="23"/>
  <c r="I10" i="35"/>
  <c r="I10" i="29"/>
  <c r="I10" i="33"/>
  <c r="I10" i="13"/>
  <c r="G20" i="10"/>
  <c r="I10" i="16"/>
  <c r="E47" i="39"/>
  <c r="E47" i="16"/>
  <c r="I100" i="16"/>
  <c r="I23" i="16"/>
  <c r="E52" i="39"/>
  <c r="E52" i="16"/>
  <c r="I112" i="16"/>
  <c r="C25" i="10"/>
  <c r="C31" i="10"/>
  <c r="C9" i="10"/>
  <c r="C23" i="10"/>
  <c r="G44" i="10"/>
  <c r="I135" i="16"/>
  <c r="C41" i="10"/>
  <c r="I108" i="16"/>
  <c r="I84" i="29"/>
  <c r="I84" i="33"/>
  <c r="I84" i="35"/>
  <c r="I84" i="16"/>
  <c r="I27" i="16"/>
  <c r="C21" i="10"/>
  <c r="C33" i="10"/>
  <c r="C16" i="10"/>
  <c r="N118" i="8"/>
  <c r="H16" i="9"/>
  <c r="B14" i="9"/>
  <c r="M147" i="8"/>
  <c r="B12" i="9"/>
  <c r="H26" i="9"/>
  <c r="H17" i="9"/>
  <c r="M140" i="8"/>
  <c r="N113" i="8"/>
  <c r="B42" i="9"/>
  <c r="G39" i="9"/>
  <c r="I28" i="33"/>
  <c r="I28" i="20"/>
  <c r="I28" i="23"/>
  <c r="I28" i="29"/>
  <c r="I28" i="35"/>
  <c r="I28" i="16"/>
  <c r="G21" i="10"/>
  <c r="I121" i="16"/>
  <c r="I25" i="16"/>
  <c r="I29" i="16"/>
  <c r="C30" i="10"/>
  <c r="I105" i="13"/>
  <c r="I105" i="29"/>
  <c r="I105" i="35"/>
  <c r="I105" i="33"/>
  <c r="I105" i="16"/>
  <c r="C44" i="10"/>
  <c r="I73" i="33"/>
  <c r="G14" i="10"/>
  <c r="I73" i="16"/>
  <c r="I31" i="16"/>
  <c r="I98" i="13"/>
  <c r="I98" i="20"/>
  <c r="I98" i="23"/>
  <c r="I98" i="27"/>
  <c r="I98" i="29"/>
  <c r="I98" i="33"/>
  <c r="I98" i="16"/>
  <c r="I122" i="16"/>
  <c r="I120" i="16"/>
  <c r="I22" i="23"/>
  <c r="I22" i="29"/>
  <c r="I22" i="35"/>
  <c r="I22" i="33"/>
  <c r="I22" i="20"/>
  <c r="I22" i="16"/>
  <c r="I22" i="13"/>
  <c r="G10" i="10"/>
  <c r="I79" i="16"/>
  <c r="C34" i="10"/>
  <c r="I119" i="20"/>
  <c r="I119" i="13"/>
  <c r="I119" i="23"/>
  <c r="I119" i="35"/>
  <c r="I119" i="27"/>
  <c r="I119" i="33"/>
  <c r="I119" i="29"/>
  <c r="I119" i="16"/>
  <c r="I111" i="20"/>
  <c r="I111" i="23"/>
  <c r="I111" i="13"/>
  <c r="I111" i="27"/>
  <c r="I111" i="35"/>
  <c r="I111" i="33"/>
  <c r="I111" i="29"/>
  <c r="I111" i="16"/>
  <c r="I106" i="13"/>
  <c r="I106" i="16"/>
  <c r="B26" i="9"/>
  <c r="M144" i="8"/>
  <c r="N117" i="8"/>
  <c r="B38" i="9"/>
  <c r="B13" i="9"/>
  <c r="B30" i="9"/>
  <c r="G43" i="9"/>
  <c r="B39" i="9"/>
  <c r="H21" i="9"/>
  <c r="C15" i="9"/>
  <c r="B29" i="9"/>
  <c r="H27" i="9"/>
  <c r="G42" i="9"/>
  <c r="B37" i="9"/>
  <c r="B17" i="9"/>
  <c r="I69" i="16"/>
  <c r="I104" i="16"/>
  <c r="I134" i="26"/>
  <c r="I134" i="16"/>
  <c r="G33" i="10"/>
  <c r="I7" i="29"/>
  <c r="I7" i="33"/>
  <c r="I7" i="23"/>
  <c r="I7" i="35"/>
  <c r="I7" i="13"/>
  <c r="G9" i="10"/>
  <c r="I7" i="16"/>
  <c r="I114" i="16"/>
  <c r="I101" i="16"/>
  <c r="I90" i="16"/>
  <c r="D37" i="4"/>
  <c r="B45" i="10"/>
  <c r="I89" i="16"/>
  <c r="I30" i="16"/>
  <c r="C45" i="10"/>
  <c r="I103" i="16"/>
  <c r="C42" i="10"/>
  <c r="I24" i="16"/>
  <c r="I65" i="16"/>
  <c r="I92" i="16"/>
  <c r="C15" i="10"/>
  <c r="I76" i="16"/>
  <c r="B27" i="9"/>
  <c r="B20" i="9"/>
  <c r="H15" i="9"/>
  <c r="M139" i="8"/>
  <c r="B44" i="9"/>
  <c r="G41" i="9"/>
  <c r="C23" i="9"/>
  <c r="H10" i="9"/>
  <c r="N120" i="8"/>
  <c r="C16" i="9"/>
  <c r="H29" i="9"/>
  <c r="I68" i="16"/>
  <c r="I72" i="16"/>
  <c r="C13" i="10"/>
  <c r="I83" i="16"/>
  <c r="I80" i="16"/>
  <c r="F44" i="10"/>
  <c r="I133" i="26"/>
  <c r="G25" i="10"/>
  <c r="I133" i="16"/>
  <c r="E56" i="39"/>
  <c r="E56" i="16"/>
  <c r="I26" i="16"/>
  <c r="I110" i="16"/>
  <c r="I94" i="33"/>
  <c r="G24" i="10"/>
  <c r="I94" i="16"/>
  <c r="E53" i="39"/>
  <c r="E53" i="16"/>
  <c r="C14" i="10"/>
  <c r="I124" i="16"/>
  <c r="I66" i="20"/>
  <c r="I66" i="23"/>
  <c r="I66" i="27"/>
  <c r="I66" i="29"/>
  <c r="I66" i="35"/>
  <c r="I66" i="16"/>
  <c r="I66" i="33"/>
  <c r="I66" i="13"/>
  <c r="G13" i="10"/>
  <c r="I93" i="16"/>
  <c r="F33" i="10"/>
  <c r="I116" i="16"/>
  <c r="I77" i="13"/>
  <c r="I77" i="20"/>
  <c r="I77" i="23"/>
  <c r="I77" i="33"/>
  <c r="I77" i="16"/>
  <c r="I77" i="27"/>
  <c r="I77" i="29"/>
  <c r="I118" i="13"/>
  <c r="I118" i="16"/>
  <c r="I113" i="16"/>
  <c r="I107" i="13"/>
  <c r="I107" i="27"/>
  <c r="I107" i="35"/>
  <c r="I107" i="29"/>
  <c r="I107" i="23"/>
  <c r="I107" i="33"/>
  <c r="I107" i="16"/>
  <c r="I12" i="29"/>
  <c r="I12" i="33"/>
  <c r="I12" i="35"/>
  <c r="I12" i="23"/>
  <c r="I12" i="13"/>
  <c r="I12" i="16"/>
  <c r="G41" i="10"/>
  <c r="I97" i="16"/>
  <c r="I11" i="13"/>
  <c r="I11" i="23"/>
  <c r="I11" i="35"/>
  <c r="I11" i="33"/>
  <c r="I11" i="16"/>
  <c r="G30" i="10"/>
  <c r="I11" i="29"/>
  <c r="I82" i="16"/>
  <c r="G94" i="4"/>
  <c r="F24" i="10"/>
  <c r="I123" i="13"/>
  <c r="I123" i="27"/>
  <c r="I123" i="23"/>
  <c r="I123" i="29"/>
  <c r="I123" i="33"/>
  <c r="I123" i="16"/>
  <c r="C26" i="10"/>
  <c r="I86" i="16"/>
  <c r="I32" i="13"/>
  <c r="I32" i="35"/>
  <c r="I32" i="23"/>
  <c r="I32" i="29"/>
  <c r="I32" i="33"/>
  <c r="I32" i="16"/>
  <c r="G31" i="10"/>
  <c r="D94" i="4"/>
  <c r="B24" i="10"/>
  <c r="C24" i="10"/>
  <c r="I115" i="13"/>
  <c r="I115" i="23"/>
  <c r="I115" i="35"/>
  <c r="I115" i="29"/>
  <c r="I115" i="33"/>
  <c r="I115" i="27"/>
  <c r="I115" i="16"/>
  <c r="C10" i="10"/>
  <c r="C20" i="10"/>
  <c r="D73" i="4"/>
  <c r="B14" i="10"/>
  <c r="E55" i="39"/>
  <c r="E55" i="16"/>
  <c r="L87" i="36"/>
  <c r="L122" i="29"/>
  <c r="L118" i="27"/>
  <c r="L118" i="23"/>
  <c r="L65" i="23"/>
  <c r="H96" i="33"/>
  <c r="L22" i="35"/>
  <c r="H85" i="20"/>
  <c r="L98" i="13"/>
  <c r="D51" i="39"/>
  <c r="D54" i="33"/>
  <c r="L98" i="36"/>
  <c r="L107" i="29"/>
  <c r="L7" i="29"/>
  <c r="L27" i="29"/>
  <c r="L115" i="23"/>
  <c r="H96" i="23"/>
  <c r="L10" i="20"/>
  <c r="G38" i="9"/>
  <c r="B16" i="9"/>
  <c r="G40" i="9"/>
  <c r="B22" i="9"/>
  <c r="H14" i="9"/>
  <c r="B25" i="9"/>
  <c r="C20" i="9"/>
  <c r="G36" i="9"/>
  <c r="H25" i="9"/>
  <c r="B24" i="9"/>
  <c r="H24" i="9"/>
  <c r="L22" i="20"/>
  <c r="L107" i="33"/>
  <c r="L97" i="33"/>
  <c r="H109" i="29"/>
  <c r="L10" i="23"/>
  <c r="L87" i="35"/>
  <c r="D54" i="13"/>
  <c r="F85" i="4"/>
  <c r="L33" i="35"/>
  <c r="L97" i="29"/>
  <c r="L86" i="33"/>
  <c r="L27" i="33"/>
  <c r="L77" i="33"/>
  <c r="L32" i="29"/>
  <c r="H64" i="33"/>
  <c r="L76" i="33"/>
  <c r="L65" i="13"/>
  <c r="H64" i="35"/>
  <c r="L107" i="13"/>
  <c r="L110" i="13"/>
  <c r="L33" i="13"/>
  <c r="L77" i="29"/>
  <c r="L84" i="29"/>
  <c r="L7" i="22"/>
  <c r="L76" i="27"/>
  <c r="L86" i="36"/>
  <c r="L87" i="29"/>
  <c r="L110" i="27"/>
  <c r="L12" i="23"/>
  <c r="H85" i="13"/>
  <c r="L118" i="13"/>
  <c r="L66" i="13"/>
  <c r="L7" i="25"/>
  <c r="L132" i="34"/>
  <c r="L123" i="27"/>
  <c r="F64" i="4"/>
  <c r="B75" i="4"/>
  <c r="L97" i="36"/>
  <c r="L106" i="29"/>
  <c r="L65" i="27"/>
  <c r="L32" i="35"/>
  <c r="D51" i="25"/>
  <c r="L110" i="33"/>
  <c r="L28" i="33"/>
  <c r="L119" i="29"/>
  <c r="L28" i="29"/>
  <c r="H109" i="23"/>
  <c r="L22" i="36"/>
  <c r="L84" i="35"/>
  <c r="D51" i="33"/>
  <c r="L110" i="29"/>
  <c r="L66" i="29"/>
  <c r="L134" i="26"/>
  <c r="L77" i="27"/>
  <c r="D45" i="25"/>
  <c r="L86" i="27"/>
  <c r="L110" i="23"/>
  <c r="H64" i="20"/>
  <c r="L111" i="13"/>
  <c r="L115" i="13"/>
  <c r="L66" i="35"/>
  <c r="L84" i="33"/>
  <c r="H117" i="29"/>
  <c r="L98" i="29"/>
  <c r="L32" i="33"/>
  <c r="L123" i="29"/>
  <c r="L97" i="27"/>
  <c r="L28" i="35"/>
  <c r="L86" i="29"/>
  <c r="L76" i="29"/>
  <c r="L86" i="23"/>
  <c r="L123" i="23"/>
  <c r="L111" i="23"/>
  <c r="L77" i="20"/>
  <c r="H109" i="33"/>
  <c r="L28" i="36"/>
  <c r="L105" i="35"/>
  <c r="H96" i="36"/>
  <c r="D45" i="51"/>
  <c r="D45" i="26"/>
  <c r="L7" i="24"/>
  <c r="L28" i="23"/>
  <c r="L27" i="20"/>
  <c r="L119" i="27"/>
  <c r="L98" i="23"/>
  <c r="L106" i="36"/>
  <c r="L111" i="27"/>
  <c r="L77" i="23"/>
  <c r="L65" i="33"/>
  <c r="L22" i="33"/>
  <c r="L22" i="29"/>
  <c r="L115" i="27"/>
  <c r="L10" i="24"/>
  <c r="L76" i="23"/>
  <c r="L32" i="23"/>
  <c r="L119" i="20"/>
  <c r="L118" i="36"/>
  <c r="H109" i="27"/>
  <c r="L66" i="27"/>
  <c r="C96" i="4"/>
  <c r="B64" i="4"/>
  <c r="C64" i="4"/>
  <c r="E64" i="18" s="1"/>
  <c r="C85" i="4"/>
  <c r="E85" i="18" s="1"/>
  <c r="B85" i="4"/>
  <c r="B22" i="10" s="1"/>
  <c r="F96" i="4"/>
  <c r="B96" i="4"/>
  <c r="L122" i="13"/>
  <c r="L77" i="13"/>
  <c r="L87" i="13"/>
  <c r="L133" i="13"/>
  <c r="L97" i="13"/>
  <c r="L123" i="13"/>
  <c r="L76" i="13"/>
  <c r="L84" i="13"/>
  <c r="L86" i="13"/>
  <c r="H64" i="13"/>
  <c r="D45" i="13"/>
  <c r="D64" i="33"/>
  <c r="D75" i="27"/>
  <c r="L75" i="27"/>
  <c r="D96" i="23"/>
  <c r="D109" i="33"/>
  <c r="D85" i="20"/>
  <c r="D64" i="13"/>
  <c r="D109" i="29"/>
  <c r="D109" i="23"/>
  <c r="L75" i="20"/>
  <c r="D75" i="20"/>
  <c r="D85" i="13"/>
  <c r="D117" i="33"/>
  <c r="D117" i="27"/>
  <c r="D64" i="27"/>
  <c r="D75" i="29"/>
  <c r="D96" i="27"/>
  <c r="D75" i="13"/>
  <c r="D96" i="20"/>
  <c r="D96" i="36"/>
  <c r="D85" i="33"/>
  <c r="D85" i="36"/>
  <c r="D117" i="29"/>
  <c r="D96" i="33"/>
  <c r="L96" i="33"/>
  <c r="D85" i="29"/>
  <c r="D109" i="27"/>
  <c r="D85" i="23"/>
  <c r="H117" i="27"/>
  <c r="D117" i="13"/>
  <c r="D96" i="13"/>
  <c r="D109" i="13"/>
  <c r="D96" i="29"/>
  <c r="L117" i="35"/>
  <c r="H64" i="29"/>
  <c r="D117" i="23"/>
  <c r="D64" i="23"/>
  <c r="D75" i="33"/>
  <c r="L75" i="33"/>
  <c r="L75" i="23"/>
  <c r="D75" i="23"/>
  <c r="D117" i="36"/>
  <c r="D64" i="29"/>
  <c r="D85" i="27"/>
  <c r="D117" i="20"/>
  <c r="D109" i="20"/>
  <c r="D64" i="20"/>
  <c r="E46" i="38"/>
  <c r="E86" i="33"/>
  <c r="E106" i="33"/>
  <c r="E22" i="33"/>
  <c r="E55" i="33"/>
  <c r="E97" i="33"/>
  <c r="E9" i="33"/>
  <c r="E46" i="33"/>
  <c r="E115" i="33"/>
  <c r="E108" i="33"/>
  <c r="E53" i="33"/>
  <c r="E120" i="33"/>
  <c r="E73" i="33"/>
  <c r="E27" i="33"/>
  <c r="E114" i="33"/>
  <c r="E10" i="33"/>
  <c r="E77" i="33"/>
  <c r="E33" i="33"/>
  <c r="E47" i="33"/>
  <c r="E52" i="33"/>
  <c r="E32" i="33"/>
  <c r="E7" i="33"/>
  <c r="E87" i="33"/>
  <c r="E98" i="33"/>
  <c r="E28" i="33"/>
  <c r="E123" i="33"/>
  <c r="E66" i="33"/>
  <c r="E94" i="33"/>
  <c r="E8" i="33"/>
  <c r="E76" i="33"/>
  <c r="E65" i="33"/>
  <c r="E110" i="33"/>
  <c r="E107" i="33"/>
  <c r="E112" i="33"/>
  <c r="E119" i="33"/>
  <c r="E111" i="33"/>
  <c r="G115" i="4"/>
  <c r="E97" i="29"/>
  <c r="E9" i="29"/>
  <c r="E46" i="34"/>
  <c r="E84" i="29"/>
  <c r="E132" i="34"/>
  <c r="E123" i="29"/>
  <c r="E66" i="29"/>
  <c r="E86" i="29"/>
  <c r="E27" i="29"/>
  <c r="E122" i="29"/>
  <c r="E106" i="29"/>
  <c r="E114" i="29"/>
  <c r="E22" i="29"/>
  <c r="E10" i="29"/>
  <c r="E77" i="29"/>
  <c r="E33" i="29"/>
  <c r="E133" i="34"/>
  <c r="E32" i="29"/>
  <c r="E7" i="29"/>
  <c r="E87" i="29"/>
  <c r="E98" i="29"/>
  <c r="E105" i="29"/>
  <c r="E12" i="29"/>
  <c r="E28" i="29"/>
  <c r="E8" i="29"/>
  <c r="E76" i="29"/>
  <c r="E65" i="29"/>
  <c r="E110" i="29"/>
  <c r="E107" i="29"/>
  <c r="E119" i="29"/>
  <c r="E118" i="29"/>
  <c r="E46" i="40"/>
  <c r="E46" i="41"/>
  <c r="E55" i="40"/>
  <c r="E55" i="41"/>
  <c r="E52" i="41"/>
  <c r="E97" i="27"/>
  <c r="E9" i="51"/>
  <c r="E46" i="51"/>
  <c r="E86" i="27"/>
  <c r="E27" i="51"/>
  <c r="E106" i="27"/>
  <c r="E22" i="51"/>
  <c r="E7" i="51"/>
  <c r="E8" i="51"/>
  <c r="E76" i="27"/>
  <c r="E65" i="27"/>
  <c r="E110" i="27"/>
  <c r="E118" i="27"/>
  <c r="E9" i="25"/>
  <c r="E27" i="25"/>
  <c r="E55" i="25"/>
  <c r="E46" i="25"/>
  <c r="E46" i="26"/>
  <c r="E135" i="26"/>
  <c r="E47" i="26"/>
  <c r="E52" i="25"/>
  <c r="E133" i="26"/>
  <c r="E7" i="25"/>
  <c r="E134" i="26"/>
  <c r="E132" i="26"/>
  <c r="E8" i="25"/>
  <c r="E97" i="23"/>
  <c r="E9" i="24"/>
  <c r="E86" i="23"/>
  <c r="E27" i="23"/>
  <c r="E27" i="24"/>
  <c r="E122" i="23"/>
  <c r="E106" i="23"/>
  <c r="E114" i="23"/>
  <c r="E22" i="23"/>
  <c r="E22" i="24"/>
  <c r="E10" i="24"/>
  <c r="E7" i="24"/>
  <c r="E28" i="23"/>
  <c r="E28" i="24"/>
  <c r="E8" i="24"/>
  <c r="E76" i="23"/>
  <c r="E65" i="23"/>
  <c r="E110" i="23"/>
  <c r="E118" i="23"/>
  <c r="E9" i="22"/>
  <c r="E46" i="21"/>
  <c r="E46" i="22"/>
  <c r="E53" i="22"/>
  <c r="E55" i="22"/>
  <c r="E47" i="22"/>
  <c r="E52" i="22"/>
  <c r="E7" i="22"/>
  <c r="E8" i="22"/>
  <c r="E66" i="20"/>
  <c r="E27" i="20"/>
  <c r="E22" i="20"/>
  <c r="E10" i="20"/>
  <c r="E77" i="20"/>
  <c r="E7" i="19"/>
  <c r="E7" i="20"/>
  <c r="E87" i="20"/>
  <c r="E98" i="20"/>
  <c r="E28" i="20"/>
  <c r="E9" i="19"/>
  <c r="E9" i="20"/>
  <c r="E46" i="20"/>
  <c r="E8" i="19"/>
  <c r="E8" i="20"/>
  <c r="E119" i="20"/>
  <c r="E111" i="20"/>
  <c r="E97" i="13"/>
  <c r="E9" i="13"/>
  <c r="E46" i="13"/>
  <c r="E84" i="13"/>
  <c r="E132" i="13"/>
  <c r="E86" i="13"/>
  <c r="E27" i="13"/>
  <c r="E122" i="13"/>
  <c r="E35" i="13"/>
  <c r="E106" i="13"/>
  <c r="E114" i="13"/>
  <c r="E22" i="13"/>
  <c r="E10" i="13"/>
  <c r="E55" i="13"/>
  <c r="E33" i="13"/>
  <c r="E11" i="13"/>
  <c r="E47" i="13"/>
  <c r="E52" i="13"/>
  <c r="E133" i="13"/>
  <c r="E32" i="13"/>
  <c r="E7" i="13"/>
  <c r="E87" i="13"/>
  <c r="E98" i="13"/>
  <c r="E105" i="13"/>
  <c r="E12" i="13"/>
  <c r="E28" i="13"/>
  <c r="E34" i="13"/>
  <c r="E8" i="13"/>
  <c r="E76" i="13"/>
  <c r="E65" i="13"/>
  <c r="E110" i="13"/>
  <c r="E107" i="13"/>
  <c r="E118" i="13"/>
  <c r="G123" i="4"/>
  <c r="D114" i="4"/>
  <c r="D106" i="4"/>
  <c r="G106" i="4"/>
  <c r="G107" i="4"/>
  <c r="D115" i="4"/>
  <c r="D122" i="4"/>
  <c r="D123" i="4"/>
  <c r="D107" i="4"/>
  <c r="E76" i="16"/>
  <c r="E65" i="16"/>
  <c r="E133" i="16"/>
  <c r="E22" i="16"/>
  <c r="E97" i="16"/>
  <c r="E9" i="16"/>
  <c r="E84" i="16"/>
  <c r="E87" i="16"/>
  <c r="D22" i="4"/>
  <c r="E123" i="16"/>
  <c r="E66" i="16"/>
  <c r="E86" i="16"/>
  <c r="E124" i="16"/>
  <c r="E27" i="16"/>
  <c r="E122" i="16"/>
  <c r="D55" i="4"/>
  <c r="E105" i="16"/>
  <c r="E12" i="16"/>
  <c r="E73" i="16"/>
  <c r="E10" i="16"/>
  <c r="E111" i="16"/>
  <c r="E107" i="16"/>
  <c r="E98" i="16"/>
  <c r="E94" i="16"/>
  <c r="D34" i="4"/>
  <c r="E77" i="16"/>
  <c r="E11" i="16"/>
  <c r="E106" i="16"/>
  <c r="E108" i="16"/>
  <c r="E112" i="16"/>
  <c r="G22" i="4"/>
  <c r="E75" i="4"/>
  <c r="D111" i="4"/>
  <c r="E96" i="4"/>
  <c r="E85" i="4"/>
  <c r="E135" i="16"/>
  <c r="D10" i="4"/>
  <c r="D110" i="4"/>
  <c r="E110" i="16"/>
  <c r="D53" i="4"/>
  <c r="D118" i="4"/>
  <c r="D7" i="4"/>
  <c r="E7" i="16"/>
  <c r="D66" i="4"/>
  <c r="E8" i="16"/>
  <c r="E132" i="16"/>
  <c r="D33" i="4"/>
  <c r="D28" i="4"/>
  <c r="G7" i="4"/>
  <c r="D46" i="4"/>
  <c r="G84" i="4"/>
  <c r="G105" i="4"/>
  <c r="G111" i="4"/>
  <c r="D52" i="4"/>
  <c r="D47" i="4"/>
  <c r="D12" i="4"/>
  <c r="D35" i="4"/>
  <c r="D32" i="4"/>
  <c r="D11" i="4"/>
  <c r="G119" i="4"/>
  <c r="G98" i="4"/>
  <c r="G12" i="4"/>
  <c r="G32" i="4"/>
  <c r="D119" i="4"/>
  <c r="G11" i="4"/>
  <c r="H22" i="4"/>
  <c r="G28" i="4"/>
  <c r="D65" i="4"/>
  <c r="D98" i="4"/>
  <c r="D56" i="4"/>
  <c r="G10" i="4"/>
  <c r="G77" i="4"/>
  <c r="D87" i="4"/>
  <c r="G33" i="4"/>
  <c r="D97" i="4"/>
  <c r="D84" i="4"/>
  <c r="D105" i="4"/>
  <c r="G87" i="4"/>
  <c r="D27" i="4"/>
  <c r="C109" i="4"/>
  <c r="B51" i="4"/>
  <c r="B38" i="10" s="1"/>
  <c r="F117" i="4"/>
  <c r="C117" i="4"/>
  <c r="E117" i="16" s="1"/>
  <c r="D76" i="4"/>
  <c r="C51" i="4"/>
  <c r="C54" i="4"/>
  <c r="G66" i="4"/>
  <c r="D86" i="4"/>
  <c r="D77" i="4"/>
  <c r="C75" i="4"/>
  <c r="E64" i="4"/>
  <c r="D9" i="4"/>
  <c r="E117" i="4"/>
  <c r="F43" i="10" s="1"/>
  <c r="B109" i="4"/>
  <c r="B32" i="10" s="1"/>
  <c r="B117" i="4"/>
  <c r="B43" i="10" s="1"/>
  <c r="E109" i="4"/>
  <c r="F32" i="10" s="1"/>
  <c r="F109" i="4"/>
  <c r="B54" i="4"/>
  <c r="B49" i="10" s="1"/>
  <c r="B45" i="4"/>
  <c r="B11" i="10" s="1"/>
  <c r="C45" i="4"/>
  <c r="I75" i="16" l="1"/>
  <c r="I75" i="27"/>
  <c r="I75" i="29"/>
  <c r="I75" i="20"/>
  <c r="G75" i="4"/>
  <c r="I75" i="23"/>
  <c r="I75" i="13"/>
  <c r="I75" i="33"/>
  <c r="L109" i="35"/>
  <c r="E54" i="37"/>
  <c r="I109" i="37"/>
  <c r="I109" i="18"/>
  <c r="I96" i="18"/>
  <c r="E75" i="18"/>
  <c r="I75" i="18"/>
  <c r="E117" i="37"/>
  <c r="E117" i="18"/>
  <c r="I117" i="37"/>
  <c r="I117" i="18"/>
  <c r="E45" i="37"/>
  <c r="E45" i="18"/>
  <c r="E96" i="18"/>
  <c r="I85" i="37"/>
  <c r="I85" i="18"/>
  <c r="E109" i="37"/>
  <c r="E109" i="18"/>
  <c r="E51" i="37"/>
  <c r="I64" i="37"/>
  <c r="I64" i="18"/>
  <c r="I75" i="37"/>
  <c r="I74" i="16"/>
  <c r="L96" i="27"/>
  <c r="L85" i="29"/>
  <c r="E95" i="16"/>
  <c r="E95" i="33"/>
  <c r="E95" i="29"/>
  <c r="E95" i="37"/>
  <c r="E95" i="13"/>
  <c r="I96" i="37"/>
  <c r="I95" i="16"/>
  <c r="L117" i="13"/>
  <c r="E74" i="33"/>
  <c r="E74" i="29"/>
  <c r="E74" i="37"/>
  <c r="E74" i="13"/>
  <c r="E74" i="16"/>
  <c r="E64" i="37"/>
  <c r="E85" i="33"/>
  <c r="E85" i="37"/>
  <c r="E96" i="37"/>
  <c r="E75" i="37"/>
  <c r="L96" i="20"/>
  <c r="L109" i="29"/>
  <c r="L64" i="27"/>
  <c r="L109" i="13"/>
  <c r="L85" i="33"/>
  <c r="L85" i="36"/>
  <c r="L96" i="29"/>
  <c r="L85" i="20"/>
  <c r="L117" i="23"/>
  <c r="L85" i="23"/>
  <c r="L96" i="23"/>
  <c r="L117" i="20"/>
  <c r="L109" i="27"/>
  <c r="E64" i="20"/>
  <c r="E64" i="16"/>
  <c r="E85" i="13"/>
  <c r="E85" i="16"/>
  <c r="E85" i="23"/>
  <c r="L85" i="16"/>
  <c r="E96" i="16"/>
  <c r="D96" i="4"/>
  <c r="L64" i="35"/>
  <c r="E96" i="29"/>
  <c r="E96" i="33"/>
  <c r="L85" i="27"/>
  <c r="L117" i="36"/>
  <c r="L117" i="33"/>
  <c r="L75" i="16"/>
  <c r="L96" i="13"/>
  <c r="L64" i="33"/>
  <c r="G96" i="4"/>
  <c r="L85" i="35"/>
  <c r="L64" i="23"/>
  <c r="L96" i="36"/>
  <c r="L64" i="13"/>
  <c r="L117" i="16"/>
  <c r="E64" i="23"/>
  <c r="L109" i="16"/>
  <c r="E64" i="13"/>
  <c r="E64" i="27"/>
  <c r="E64" i="29"/>
  <c r="E64" i="33"/>
  <c r="L64" i="16"/>
  <c r="L96" i="16"/>
  <c r="L109" i="33"/>
  <c r="D85" i="4"/>
  <c r="E96" i="20"/>
  <c r="E96" i="23"/>
  <c r="E85" i="27"/>
  <c r="E96" i="27"/>
  <c r="E85" i="29"/>
  <c r="L117" i="27"/>
  <c r="I78" i="16"/>
  <c r="I88" i="16"/>
  <c r="C43" i="10"/>
  <c r="I117" i="13"/>
  <c r="I117" i="20"/>
  <c r="I117" i="23"/>
  <c r="I117" i="27"/>
  <c r="I117" i="29"/>
  <c r="I117" i="35"/>
  <c r="I117" i="33"/>
  <c r="G43" i="10"/>
  <c r="I117" i="16"/>
  <c r="G85" i="4"/>
  <c r="F22" i="10"/>
  <c r="I96" i="20"/>
  <c r="I96" i="13"/>
  <c r="I96" i="23"/>
  <c r="I96" i="29"/>
  <c r="I96" i="27"/>
  <c r="I96" i="33"/>
  <c r="I96" i="16"/>
  <c r="D64" i="4"/>
  <c r="B12" i="10"/>
  <c r="I64" i="13"/>
  <c r="I64" i="20"/>
  <c r="I64" i="27"/>
  <c r="I64" i="29"/>
  <c r="I64" i="35"/>
  <c r="I64" i="33"/>
  <c r="G12" i="10"/>
  <c r="I64" i="23"/>
  <c r="I64" i="16"/>
  <c r="I99" i="16"/>
  <c r="G64" i="4"/>
  <c r="F12" i="10"/>
  <c r="E51" i="39"/>
  <c r="C38" i="10"/>
  <c r="E51" i="16"/>
  <c r="I70" i="16"/>
  <c r="I81" i="16"/>
  <c r="I91" i="16"/>
  <c r="I102" i="16"/>
  <c r="I109" i="13"/>
  <c r="I109" i="20"/>
  <c r="I109" i="23"/>
  <c r="I109" i="27"/>
  <c r="I109" i="29"/>
  <c r="I109" i="35"/>
  <c r="I109" i="33"/>
  <c r="G32" i="10"/>
  <c r="I109" i="16"/>
  <c r="E54" i="39"/>
  <c r="E54" i="16"/>
  <c r="C49" i="10"/>
  <c r="C32" i="10"/>
  <c r="C22" i="10"/>
  <c r="E45" i="39"/>
  <c r="C11" i="10"/>
  <c r="E45" i="16"/>
  <c r="C12" i="10"/>
  <c r="I85" i="13"/>
  <c r="I85" i="20"/>
  <c r="I85" i="27"/>
  <c r="I85" i="29"/>
  <c r="I85" i="23"/>
  <c r="I85" i="33"/>
  <c r="I85" i="35"/>
  <c r="G22" i="10"/>
  <c r="I85" i="16"/>
  <c r="L64" i="20"/>
  <c r="L109" i="20"/>
  <c r="L85" i="13"/>
  <c r="L117" i="29"/>
  <c r="L64" i="29"/>
  <c r="L75" i="29"/>
  <c r="L109" i="23"/>
  <c r="E96" i="13"/>
  <c r="E85" i="20"/>
  <c r="L75" i="13"/>
  <c r="E45" i="38"/>
  <c r="E75" i="33"/>
  <c r="E109" i="33"/>
  <c r="E45" i="33"/>
  <c r="E117" i="33"/>
  <c r="E51" i="33"/>
  <c r="E54" i="33"/>
  <c r="E45" i="34"/>
  <c r="E117" i="29"/>
  <c r="E75" i="29"/>
  <c r="E109" i="29"/>
  <c r="E51" i="41"/>
  <c r="E54" i="40"/>
  <c r="E54" i="41"/>
  <c r="E45" i="40"/>
  <c r="E45" i="41"/>
  <c r="E75" i="27"/>
  <c r="E109" i="27"/>
  <c r="E45" i="51"/>
  <c r="E117" i="27"/>
  <c r="E51" i="25"/>
  <c r="E45" i="25"/>
  <c r="E45" i="26"/>
  <c r="E54" i="25"/>
  <c r="E117" i="23"/>
  <c r="E75" i="23"/>
  <c r="E109" i="23"/>
  <c r="E54" i="22"/>
  <c r="E45" i="21"/>
  <c r="E45" i="22"/>
  <c r="E51" i="22"/>
  <c r="E117" i="20"/>
  <c r="E45" i="20"/>
  <c r="E75" i="20"/>
  <c r="E109" i="20"/>
  <c r="E51" i="13"/>
  <c r="E75" i="13"/>
  <c r="E54" i="13"/>
  <c r="E109" i="13"/>
  <c r="E45" i="13"/>
  <c r="E117" i="13"/>
  <c r="E109" i="16"/>
  <c r="D109" i="4"/>
  <c r="D75" i="4"/>
  <c r="E75" i="16"/>
  <c r="D117" i="4"/>
  <c r="G109" i="4"/>
  <c r="D51" i="4"/>
  <c r="G117" i="4"/>
  <c r="D54" i="4"/>
  <c r="D45" i="4"/>
  <c r="I71" i="4"/>
  <c r="I82" i="4"/>
  <c r="M71" i="16" l="1"/>
  <c r="M82" i="16"/>
  <c r="C60" i="10"/>
  <c r="H82" i="4"/>
  <c r="H80" i="4"/>
  <c r="H69" i="4"/>
  <c r="H90" i="4"/>
  <c r="H105" i="4"/>
  <c r="H104" i="4"/>
  <c r="H83" i="4"/>
  <c r="H100" i="4"/>
  <c r="H71" i="4"/>
  <c r="H112" i="4"/>
  <c r="H114" i="4"/>
  <c r="H79" i="4"/>
  <c r="H93" i="4"/>
  <c r="H72" i="4"/>
  <c r="H92" i="4"/>
  <c r="H89" i="4"/>
  <c r="H102" i="4"/>
  <c r="H103" i="4"/>
  <c r="H91" i="4"/>
  <c r="H121" i="4"/>
  <c r="H27" i="4"/>
  <c r="H68" i="4"/>
  <c r="H113" i="4"/>
  <c r="H101" i="4"/>
  <c r="H96" i="4" l="1"/>
  <c r="H115" i="4"/>
  <c r="H97" i="4"/>
  <c r="H24" i="4"/>
  <c r="H88" i="4"/>
  <c r="H70" i="4"/>
  <c r="H116" i="4"/>
  <c r="H26" i="4"/>
  <c r="H76" i="4"/>
  <c r="D9" i="10"/>
  <c r="H122" i="4"/>
  <c r="H110" i="4"/>
  <c r="H86" i="4"/>
  <c r="H9" i="4"/>
  <c r="H8" i="4"/>
  <c r="H77" i="4"/>
  <c r="H81" i="4"/>
  <c r="H120" i="4"/>
  <c r="H78" i="4"/>
  <c r="H14" i="10"/>
  <c r="H35" i="4"/>
  <c r="H119" i="4"/>
  <c r="I119" i="4"/>
  <c r="I110" i="4"/>
  <c r="I9" i="4"/>
  <c r="I107" i="4"/>
  <c r="K49" i="10"/>
  <c r="H111" i="4"/>
  <c r="I103" i="4"/>
  <c r="I91" i="4"/>
  <c r="I106" i="4"/>
  <c r="H11" i="4"/>
  <c r="I83" i="4"/>
  <c r="I120" i="4"/>
  <c r="I77" i="4"/>
  <c r="I98" i="4"/>
  <c r="I102" i="4"/>
  <c r="H108" i="4"/>
  <c r="J108" i="4" s="1"/>
  <c r="H25" i="4"/>
  <c r="H123" i="4"/>
  <c r="H84" i="4"/>
  <c r="H42" i="10"/>
  <c r="H21" i="10"/>
  <c r="I118" i="4"/>
  <c r="I79" i="4"/>
  <c r="I99" i="4"/>
  <c r="H99" i="4"/>
  <c r="I27" i="4"/>
  <c r="M27" i="13" s="1"/>
  <c r="H107" i="4"/>
  <c r="I31" i="4"/>
  <c r="I65" i="4"/>
  <c r="K11" i="10"/>
  <c r="I23" i="4"/>
  <c r="H22" i="10"/>
  <c r="H106" i="4"/>
  <c r="I93" i="4"/>
  <c r="H10" i="4"/>
  <c r="I124" i="4"/>
  <c r="H36" i="4"/>
  <c r="I75" i="4"/>
  <c r="I86" i="4"/>
  <c r="I89" i="4"/>
  <c r="I115" i="4"/>
  <c r="I101" i="4"/>
  <c r="H65" i="4"/>
  <c r="H12" i="10"/>
  <c r="I114" i="4"/>
  <c r="I116" i="4"/>
  <c r="H118" i="4"/>
  <c r="I108" i="4"/>
  <c r="I111" i="4"/>
  <c r="I67" i="4"/>
  <c r="I88" i="4"/>
  <c r="I76" i="4"/>
  <c r="I113" i="4"/>
  <c r="K26" i="10"/>
  <c r="I78" i="4"/>
  <c r="I96" i="4"/>
  <c r="I97" i="4"/>
  <c r="K9" i="10"/>
  <c r="H75" i="4"/>
  <c r="I90" i="4"/>
  <c r="H24" i="10"/>
  <c r="I30" i="4"/>
  <c r="I24" i="4"/>
  <c r="H67" i="4"/>
  <c r="H124" i="4"/>
  <c r="K16" i="10"/>
  <c r="I70" i="4"/>
  <c r="I29" i="4"/>
  <c r="H34" i="4"/>
  <c r="I121" i="4"/>
  <c r="K45" i="10"/>
  <c r="H37" i="4"/>
  <c r="I92" i="4"/>
  <c r="I105" i="4"/>
  <c r="I80" i="4"/>
  <c r="I100" i="4"/>
  <c r="I72" i="4"/>
  <c r="I8" i="4"/>
  <c r="I112" i="4"/>
  <c r="I81" i="4"/>
  <c r="I84" i="4"/>
  <c r="I104" i="4"/>
  <c r="H10" i="10"/>
  <c r="I122" i="4"/>
  <c r="I68" i="4"/>
  <c r="H98" i="4"/>
  <c r="H7" i="4"/>
  <c r="H23" i="4"/>
  <c r="H15" i="10"/>
  <c r="I69" i="4"/>
  <c r="I123" i="4"/>
  <c r="M8" i="20" l="1"/>
  <c r="M8" i="24"/>
  <c r="M8" i="51"/>
  <c r="M8" i="37"/>
  <c r="M8" i="19"/>
  <c r="M8" i="29"/>
  <c r="M8" i="33"/>
  <c r="M8" i="13"/>
  <c r="M8" i="22"/>
  <c r="M8" i="25"/>
  <c r="M9" i="25"/>
  <c r="M9" i="20"/>
  <c r="M9" i="24"/>
  <c r="M9" i="51"/>
  <c r="M9" i="37"/>
  <c r="M9" i="19"/>
  <c r="M9" i="29"/>
  <c r="M9" i="33"/>
  <c r="M9" i="13"/>
  <c r="M9" i="22"/>
  <c r="M65" i="37"/>
  <c r="M65" i="18"/>
  <c r="M105" i="37"/>
  <c r="M77" i="37"/>
  <c r="M77" i="18"/>
  <c r="M122" i="37"/>
  <c r="M86" i="37"/>
  <c r="M86" i="18"/>
  <c r="M76" i="37"/>
  <c r="M76" i="18"/>
  <c r="M98" i="37"/>
  <c r="M98" i="18"/>
  <c r="M84" i="37"/>
  <c r="M107" i="37"/>
  <c r="M107" i="18"/>
  <c r="M97" i="37"/>
  <c r="M97" i="18"/>
  <c r="M111" i="37"/>
  <c r="M111" i="18"/>
  <c r="M115" i="37"/>
  <c r="M115" i="18"/>
  <c r="M27" i="37"/>
  <c r="M27" i="18"/>
  <c r="M96" i="18"/>
  <c r="M9" i="18"/>
  <c r="M8" i="18"/>
  <c r="M106" i="37"/>
  <c r="M106" i="18"/>
  <c r="M110" i="37"/>
  <c r="M110" i="18"/>
  <c r="J120" i="4"/>
  <c r="M119" i="37"/>
  <c r="M119" i="18"/>
  <c r="M123" i="37"/>
  <c r="M123" i="18"/>
  <c r="M114" i="37"/>
  <c r="M114" i="18"/>
  <c r="M75" i="18"/>
  <c r="M118" i="37"/>
  <c r="M118" i="18"/>
  <c r="J112" i="4"/>
  <c r="M96" i="37"/>
  <c r="M95" i="37"/>
  <c r="M95" i="13"/>
  <c r="M95" i="29"/>
  <c r="M95" i="33"/>
  <c r="M95" i="16"/>
  <c r="M75" i="37"/>
  <c r="M74" i="37"/>
  <c r="M74" i="33"/>
  <c r="M74" i="29"/>
  <c r="M74" i="13"/>
  <c r="M74" i="16"/>
  <c r="M68" i="16"/>
  <c r="M104" i="16"/>
  <c r="M81" i="16"/>
  <c r="M72" i="16"/>
  <c r="M92" i="16"/>
  <c r="M24" i="16"/>
  <c r="M78" i="16"/>
  <c r="M67" i="16"/>
  <c r="M116" i="16"/>
  <c r="M101" i="16"/>
  <c r="M86" i="13"/>
  <c r="M86" i="27"/>
  <c r="M86" i="29"/>
  <c r="M86" i="23"/>
  <c r="M86" i="16"/>
  <c r="M86" i="33"/>
  <c r="J27" i="4"/>
  <c r="M27" i="20"/>
  <c r="M27" i="25"/>
  <c r="M27" i="23"/>
  <c r="M27" i="24"/>
  <c r="M27" i="51"/>
  <c r="M27" i="29"/>
  <c r="M27" i="16"/>
  <c r="M27" i="33"/>
  <c r="M83" i="16"/>
  <c r="M103" i="16"/>
  <c r="M119" i="23"/>
  <c r="M119" i="13"/>
  <c r="M119" i="27"/>
  <c r="M119" i="29"/>
  <c r="M119" i="33"/>
  <c r="M119" i="20"/>
  <c r="M119" i="35"/>
  <c r="M119" i="16"/>
  <c r="M69" i="16"/>
  <c r="M123" i="23"/>
  <c r="M123" i="27"/>
  <c r="M123" i="13"/>
  <c r="M123" i="29"/>
  <c r="M123" i="33"/>
  <c r="M123" i="16"/>
  <c r="M122" i="13"/>
  <c r="M122" i="23"/>
  <c r="M122" i="29"/>
  <c r="M122" i="16"/>
  <c r="M112" i="16"/>
  <c r="M112" i="33"/>
  <c r="M100" i="16"/>
  <c r="M70" i="16"/>
  <c r="M30" i="16"/>
  <c r="M76" i="23"/>
  <c r="M76" i="27"/>
  <c r="M76" i="13"/>
  <c r="M76" i="16"/>
  <c r="M76" i="29"/>
  <c r="M76" i="33"/>
  <c r="M111" i="23"/>
  <c r="M111" i="13"/>
  <c r="M111" i="27"/>
  <c r="M111" i="20"/>
  <c r="M111" i="29"/>
  <c r="M111" i="33"/>
  <c r="M111" i="16"/>
  <c r="M111" i="35"/>
  <c r="J114" i="4"/>
  <c r="M114" i="13"/>
  <c r="M114" i="23"/>
  <c r="M114" i="29"/>
  <c r="M114" i="33"/>
  <c r="M114" i="16"/>
  <c r="M115" i="23"/>
  <c r="M115" i="27"/>
  <c r="M115" i="13"/>
  <c r="M115" i="29"/>
  <c r="M115" i="33"/>
  <c r="M115" i="35"/>
  <c r="M115" i="16"/>
  <c r="M23" i="16"/>
  <c r="M31" i="16"/>
  <c r="M79" i="16"/>
  <c r="M102" i="16"/>
  <c r="M77" i="13"/>
  <c r="M77" i="20"/>
  <c r="M77" i="23"/>
  <c r="M77" i="33"/>
  <c r="M77" i="29"/>
  <c r="M77" i="27"/>
  <c r="M77" i="16"/>
  <c r="M8" i="16"/>
  <c r="M80" i="16"/>
  <c r="M29" i="16"/>
  <c r="M97" i="23"/>
  <c r="M97" i="27"/>
  <c r="M97" i="16"/>
  <c r="M97" i="29"/>
  <c r="M97" i="13"/>
  <c r="M97" i="33"/>
  <c r="M108" i="33"/>
  <c r="M108" i="16"/>
  <c r="M93" i="16"/>
  <c r="M118" i="13"/>
  <c r="M118" i="23"/>
  <c r="M118" i="27"/>
  <c r="M118" i="29"/>
  <c r="M118" i="16"/>
  <c r="M98" i="13"/>
  <c r="M98" i="20"/>
  <c r="M98" i="29"/>
  <c r="M98" i="33"/>
  <c r="M98" i="27"/>
  <c r="M98" i="23"/>
  <c r="M98" i="16"/>
  <c r="M120" i="16"/>
  <c r="M120" i="33"/>
  <c r="M106" i="13"/>
  <c r="M106" i="23"/>
  <c r="M106" i="33"/>
  <c r="M106" i="29"/>
  <c r="M106" i="27"/>
  <c r="M106" i="16"/>
  <c r="M9" i="16"/>
  <c r="M84" i="35"/>
  <c r="M84" i="16"/>
  <c r="M84" i="29"/>
  <c r="M84" i="13"/>
  <c r="M84" i="33"/>
  <c r="J105" i="4"/>
  <c r="M105" i="13"/>
  <c r="M105" i="35"/>
  <c r="M105" i="16"/>
  <c r="M105" i="29"/>
  <c r="M105" i="33"/>
  <c r="M121" i="16"/>
  <c r="M90" i="16"/>
  <c r="M96" i="20"/>
  <c r="M96" i="13"/>
  <c r="M96" i="23"/>
  <c r="M96" i="27"/>
  <c r="M96" i="29"/>
  <c r="M96" i="33"/>
  <c r="M96" i="16"/>
  <c r="M113" i="16"/>
  <c r="M88" i="16"/>
  <c r="M89" i="16"/>
  <c r="M75" i="20"/>
  <c r="M75" i="13"/>
  <c r="M75" i="27"/>
  <c r="M75" i="23"/>
  <c r="M75" i="29"/>
  <c r="M75" i="33"/>
  <c r="M75" i="16"/>
  <c r="M124" i="16"/>
  <c r="M65" i="13"/>
  <c r="M65" i="23"/>
  <c r="M65" i="27"/>
  <c r="M65" i="29"/>
  <c r="M65" i="16"/>
  <c r="M65" i="33"/>
  <c r="M99" i="16"/>
  <c r="M91" i="16"/>
  <c r="M107" i="27"/>
  <c r="M107" i="13"/>
  <c r="M107" i="23"/>
  <c r="M107" i="29"/>
  <c r="M107" i="35"/>
  <c r="M107" i="16"/>
  <c r="M107" i="33"/>
  <c r="M110" i="13"/>
  <c r="M110" i="23"/>
  <c r="M110" i="27"/>
  <c r="M110" i="33"/>
  <c r="M110" i="29"/>
  <c r="M110" i="16"/>
  <c r="J106" i="4"/>
  <c r="M42" i="8"/>
  <c r="D40" i="9"/>
  <c r="H65" i="9"/>
  <c r="B66" i="9"/>
  <c r="M43" i="8"/>
  <c r="D41" i="9"/>
  <c r="M38" i="8"/>
  <c r="D36" i="9"/>
  <c r="C53" i="9"/>
  <c r="N13" i="8"/>
  <c r="H52" i="9"/>
  <c r="N62" i="8"/>
  <c r="N46" i="8"/>
  <c r="G55" i="9"/>
  <c r="G49" i="9"/>
  <c r="G31" i="9"/>
  <c r="M29" i="8"/>
  <c r="B71" i="9"/>
  <c r="D30" i="9"/>
  <c r="D14" i="9"/>
  <c r="B54" i="9"/>
  <c r="M14" i="8"/>
  <c r="M22" i="8"/>
  <c r="D22" i="9"/>
  <c r="B62" i="9"/>
  <c r="M36" i="8"/>
  <c r="B45" i="9"/>
  <c r="D34" i="9"/>
  <c r="G52" i="9"/>
  <c r="M62" i="8"/>
  <c r="G50" i="9"/>
  <c r="M60" i="8"/>
  <c r="I10" i="9"/>
  <c r="G64" i="9"/>
  <c r="I24" i="9"/>
  <c r="H54" i="9"/>
  <c r="G63" i="9"/>
  <c r="N10" i="8"/>
  <c r="C50" i="9"/>
  <c r="B70" i="9"/>
  <c r="D29" i="9"/>
  <c r="M28" i="8"/>
  <c r="M87" i="8"/>
  <c r="I36" i="9"/>
  <c r="G60" i="9"/>
  <c r="I20" i="9"/>
  <c r="N42" i="8"/>
  <c r="N12" i="8"/>
  <c r="C52" i="9"/>
  <c r="N22" i="8"/>
  <c r="C62" i="9"/>
  <c r="M19" i="8"/>
  <c r="B59" i="9"/>
  <c r="D19" i="9"/>
  <c r="H55" i="9"/>
  <c r="N40" i="8"/>
  <c r="D39" i="9"/>
  <c r="M41" i="8"/>
  <c r="N39" i="8"/>
  <c r="N27" i="8"/>
  <c r="C69" i="9"/>
  <c r="H53" i="9"/>
  <c r="N45" i="8"/>
  <c r="M46" i="8"/>
  <c r="D44" i="9"/>
  <c r="B69" i="9"/>
  <c r="H31" i="9"/>
  <c r="J24" i="9" s="1"/>
  <c r="H49" i="9"/>
  <c r="I19" i="9"/>
  <c r="G59" i="9"/>
  <c r="N93" i="8"/>
  <c r="N11" i="8"/>
  <c r="C51" i="9"/>
  <c r="M86" i="8"/>
  <c r="I35" i="9"/>
  <c r="G54" i="9"/>
  <c r="H58" i="9"/>
  <c r="D43" i="9"/>
  <c r="M45" i="8"/>
  <c r="H62" i="9"/>
  <c r="G61" i="9"/>
  <c r="D13" i="9"/>
  <c r="M13" i="8"/>
  <c r="B53" i="9"/>
  <c r="N87" i="8"/>
  <c r="M93" i="8"/>
  <c r="I42" i="9"/>
  <c r="B65" i="9"/>
  <c r="M25" i="8"/>
  <c r="D25" i="9"/>
  <c r="N19" i="8"/>
  <c r="C59" i="9"/>
  <c r="H59" i="9"/>
  <c r="M20" i="8"/>
  <c r="D20" i="9"/>
  <c r="B60" i="9"/>
  <c r="N20" i="8"/>
  <c r="C60" i="9"/>
  <c r="D11" i="9"/>
  <c r="M11" i="8"/>
  <c r="B51" i="9"/>
  <c r="G67" i="9"/>
  <c r="I26" i="9"/>
  <c r="M88" i="8"/>
  <c r="I37" i="9"/>
  <c r="H57" i="9"/>
  <c r="G62" i="9"/>
  <c r="I27" i="9"/>
  <c r="G68" i="9"/>
  <c r="G71" i="9"/>
  <c r="H68" i="9"/>
  <c r="H69" i="9"/>
  <c r="N95" i="8"/>
  <c r="B50" i="9"/>
  <c r="D10" i="9"/>
  <c r="M10" i="8"/>
  <c r="N43" i="8"/>
  <c r="C66" i="9"/>
  <c r="H64" i="9"/>
  <c r="N88" i="8"/>
  <c r="H51" i="9"/>
  <c r="N61" i="8"/>
  <c r="C55" i="9"/>
  <c r="N15" i="8"/>
  <c r="I40" i="9"/>
  <c r="M91" i="8"/>
  <c r="B57" i="9"/>
  <c r="M17" i="8"/>
  <c r="D17" i="9"/>
  <c r="C49" i="9"/>
  <c r="C31" i="9"/>
  <c r="E16" i="9" s="1"/>
  <c r="N9" i="8"/>
  <c r="N91" i="8"/>
  <c r="C71" i="9"/>
  <c r="N29" i="8"/>
  <c r="G66" i="9"/>
  <c r="I41" i="9"/>
  <c r="M92" i="8"/>
  <c r="C68" i="9"/>
  <c r="N26" i="8"/>
  <c r="N90" i="8"/>
  <c r="D21" i="9"/>
  <c r="B61" i="9"/>
  <c r="M21" i="8"/>
  <c r="N16" i="8"/>
  <c r="C56" i="9"/>
  <c r="N94" i="8"/>
  <c r="C45" i="9"/>
  <c r="E34" i="9" s="1"/>
  <c r="N36" i="8"/>
  <c r="M40" i="8"/>
  <c r="D38" i="9"/>
  <c r="I25" i="9"/>
  <c r="G65" i="9"/>
  <c r="N38" i="8"/>
  <c r="B64" i="9"/>
  <c r="D24" i="9"/>
  <c r="M24" i="8"/>
  <c r="H60" i="9"/>
  <c r="D35" i="9"/>
  <c r="M37" i="8"/>
  <c r="N89" i="8"/>
  <c r="D28" i="9"/>
  <c r="M27" i="8"/>
  <c r="M61" i="8"/>
  <c r="I11" i="9"/>
  <c r="G51" i="9"/>
  <c r="H45" i="9"/>
  <c r="J38" i="9" s="1"/>
  <c r="N85" i="8"/>
  <c r="C65" i="9"/>
  <c r="N25" i="8"/>
  <c r="N37" i="8"/>
  <c r="B56" i="9"/>
  <c r="D16" i="9"/>
  <c r="M16" i="8"/>
  <c r="N21" i="8"/>
  <c r="C61" i="9"/>
  <c r="H71" i="9"/>
  <c r="N86" i="8"/>
  <c r="N23" i="8"/>
  <c r="C63" i="9"/>
  <c r="N28" i="8"/>
  <c r="C70" i="9"/>
  <c r="H50" i="9"/>
  <c r="N60" i="8"/>
  <c r="I38" i="9"/>
  <c r="M89" i="8"/>
  <c r="D12" i="9"/>
  <c r="M12" i="8"/>
  <c r="B52" i="9"/>
  <c r="C54" i="9"/>
  <c r="N14" i="8"/>
  <c r="I34" i="9"/>
  <c r="G45" i="9"/>
  <c r="F27" i="10" s="1"/>
  <c r="M85" i="8"/>
  <c r="N17" i="8"/>
  <c r="C57" i="9"/>
  <c r="H66" i="9"/>
  <c r="N92" i="8"/>
  <c r="D42" i="9"/>
  <c r="M44" i="8"/>
  <c r="B67" i="9"/>
  <c r="M26" i="8"/>
  <c r="D27" i="9"/>
  <c r="B68" i="9"/>
  <c r="H56" i="9"/>
  <c r="M94" i="8"/>
  <c r="I43" i="9"/>
  <c r="H61" i="9"/>
  <c r="D18" i="9"/>
  <c r="M18" i="8"/>
  <c r="B58" i="9"/>
  <c r="H70" i="9"/>
  <c r="N18" i="8"/>
  <c r="C58" i="9"/>
  <c r="M95" i="8"/>
  <c r="I44" i="9"/>
  <c r="B31" i="9"/>
  <c r="B17" i="10" s="1"/>
  <c r="B49" i="9"/>
  <c r="M9" i="8"/>
  <c r="N41" i="8"/>
  <c r="G58" i="9"/>
  <c r="M39" i="8"/>
  <c r="D37" i="9"/>
  <c r="B55" i="9"/>
  <c r="M15" i="8"/>
  <c r="D15" i="9"/>
  <c r="D23" i="9"/>
  <c r="M23" i="8"/>
  <c r="B63" i="9"/>
  <c r="G70" i="9"/>
  <c r="C67" i="9"/>
  <c r="H63" i="9"/>
  <c r="N44" i="8"/>
  <c r="I13" i="9"/>
  <c r="G53" i="9"/>
  <c r="M63" i="8"/>
  <c r="H67" i="9"/>
  <c r="I28" i="9"/>
  <c r="G69" i="9"/>
  <c r="G56" i="9"/>
  <c r="I16" i="9"/>
  <c r="N24" i="8"/>
  <c r="C64" i="9"/>
  <c r="G57" i="9"/>
  <c r="I17" i="9"/>
  <c r="M90" i="8"/>
  <c r="I39" i="9"/>
  <c r="J107" i="4"/>
  <c r="J115" i="4"/>
  <c r="J123" i="4"/>
  <c r="J122" i="4"/>
  <c r="J118" i="4"/>
  <c r="J8" i="4"/>
  <c r="J110" i="4"/>
  <c r="J76" i="4"/>
  <c r="J9" i="4"/>
  <c r="J65" i="4"/>
  <c r="J84" i="4"/>
  <c r="J111" i="4"/>
  <c r="J86" i="4"/>
  <c r="J97" i="4"/>
  <c r="J98" i="4"/>
  <c r="J119" i="4"/>
  <c r="J75" i="4"/>
  <c r="J77" i="4"/>
  <c r="J96" i="4"/>
  <c r="K21" i="10"/>
  <c r="H73" i="4"/>
  <c r="H25" i="10"/>
  <c r="G55" i="10"/>
  <c r="H94" i="4"/>
  <c r="K42" i="10"/>
  <c r="G53" i="10"/>
  <c r="H28" i="4"/>
  <c r="H87" i="4"/>
  <c r="K12" i="10"/>
  <c r="K14" i="10"/>
  <c r="K23" i="10"/>
  <c r="H85" i="4"/>
  <c r="H109" i="4"/>
  <c r="K44" i="10"/>
  <c r="K24" i="10"/>
  <c r="G46" i="10"/>
  <c r="H43" i="10"/>
  <c r="H30" i="4"/>
  <c r="H31" i="4"/>
  <c r="J10" i="10"/>
  <c r="D10" i="10"/>
  <c r="J24" i="10"/>
  <c r="D24" i="10"/>
  <c r="I25" i="4"/>
  <c r="B60" i="10"/>
  <c r="D38" i="10"/>
  <c r="J38" i="10"/>
  <c r="I35" i="4"/>
  <c r="F55" i="10"/>
  <c r="D23" i="10"/>
  <c r="J23" i="10"/>
  <c r="H32" i="4"/>
  <c r="J14" i="10"/>
  <c r="D14" i="10"/>
  <c r="I85" i="4"/>
  <c r="J11" i="10"/>
  <c r="L11" i="10" s="1"/>
  <c r="D11" i="10"/>
  <c r="K32" i="10"/>
  <c r="C54" i="10"/>
  <c r="K15" i="10"/>
  <c r="H41" i="10"/>
  <c r="F46" i="10"/>
  <c r="D42" i="10"/>
  <c r="J42" i="10"/>
  <c r="C52" i="10"/>
  <c r="C35" i="10"/>
  <c r="K30" i="10"/>
  <c r="H23" i="10"/>
  <c r="K25" i="10"/>
  <c r="D33" i="10"/>
  <c r="B55" i="10"/>
  <c r="J33" i="10"/>
  <c r="D45" i="10"/>
  <c r="J45" i="10"/>
  <c r="L45" i="10" s="1"/>
  <c r="J16" i="10"/>
  <c r="L16" i="10" s="1"/>
  <c r="D16" i="10"/>
  <c r="I73" i="4"/>
  <c r="D22" i="10"/>
  <c r="J22" i="10"/>
  <c r="G54" i="10"/>
  <c r="J31" i="10"/>
  <c r="B53" i="10"/>
  <c r="D31" i="10"/>
  <c r="J15" i="10"/>
  <c r="D15" i="10"/>
  <c r="I94" i="4"/>
  <c r="H20" i="10"/>
  <c r="K22" i="10"/>
  <c r="K10" i="10"/>
  <c r="D44" i="10"/>
  <c r="J44" i="10"/>
  <c r="I109" i="4"/>
  <c r="C55" i="10"/>
  <c r="K33" i="10"/>
  <c r="J13" i="10"/>
  <c r="D13" i="10"/>
  <c r="K13" i="10"/>
  <c r="H33" i="4"/>
  <c r="C56" i="10"/>
  <c r="K56" i="10" s="1"/>
  <c r="K34" i="10"/>
  <c r="I117" i="4"/>
  <c r="F35" i="10"/>
  <c r="F52" i="10"/>
  <c r="H30" i="10"/>
  <c r="I28" i="4"/>
  <c r="M28" i="13" s="1"/>
  <c r="H31" i="10"/>
  <c r="F53" i="10"/>
  <c r="I87" i="4"/>
  <c r="J32" i="10"/>
  <c r="D32" i="10"/>
  <c r="B54" i="10"/>
  <c r="I64" i="4"/>
  <c r="J20" i="10"/>
  <c r="D20" i="10"/>
  <c r="B56" i="10"/>
  <c r="J34" i="10"/>
  <c r="H64" i="4"/>
  <c r="H32" i="10"/>
  <c r="F54" i="10"/>
  <c r="I22" i="4"/>
  <c r="K41" i="10"/>
  <c r="C46" i="10"/>
  <c r="H117" i="4"/>
  <c r="H66" i="4"/>
  <c r="I66" i="4"/>
  <c r="I36" i="4"/>
  <c r="K43" i="10"/>
  <c r="I10" i="4"/>
  <c r="H12" i="4"/>
  <c r="J26" i="10"/>
  <c r="L26" i="10" s="1"/>
  <c r="D26" i="10"/>
  <c r="I32" i="4"/>
  <c r="H9" i="10"/>
  <c r="J9" i="10"/>
  <c r="L9" i="10" s="1"/>
  <c r="J49" i="10"/>
  <c r="L49" i="10" s="1"/>
  <c r="D49" i="10"/>
  <c r="D21" i="10"/>
  <c r="J21" i="10"/>
  <c r="I37" i="4"/>
  <c r="I26" i="4"/>
  <c r="I34" i="4"/>
  <c r="B35" i="10"/>
  <c r="J30" i="10"/>
  <c r="B52" i="10"/>
  <c r="D30" i="10"/>
  <c r="I7" i="4"/>
  <c r="K60" i="10"/>
  <c r="K38" i="10"/>
  <c r="H13" i="10"/>
  <c r="G35" i="10"/>
  <c r="G52" i="10"/>
  <c r="I33" i="4"/>
  <c r="D12" i="10"/>
  <c r="J12" i="10"/>
  <c r="I12" i="4"/>
  <c r="D43" i="10"/>
  <c r="J43" i="10"/>
  <c r="I11" i="4"/>
  <c r="K20" i="10"/>
  <c r="D25" i="10"/>
  <c r="J25" i="10"/>
  <c r="D41" i="10"/>
  <c r="J41" i="10"/>
  <c r="B46" i="10"/>
  <c r="K31" i="10"/>
  <c r="C53" i="10"/>
  <c r="M10" i="35" l="1"/>
  <c r="M10" i="33"/>
  <c r="M10" i="13"/>
  <c r="M10" i="20"/>
  <c r="M10" i="24"/>
  <c r="M10" i="37"/>
  <c r="M10" i="23"/>
  <c r="M10" i="29"/>
  <c r="M7" i="19"/>
  <c r="M7" i="23"/>
  <c r="M7" i="29"/>
  <c r="M7" i="33"/>
  <c r="M7" i="13"/>
  <c r="M7" i="20"/>
  <c r="M7" i="24"/>
  <c r="M7" i="51"/>
  <c r="M7" i="37"/>
  <c r="M7" i="25"/>
  <c r="M7" i="35"/>
  <c r="M7" i="22"/>
  <c r="M33" i="37"/>
  <c r="M33" i="18"/>
  <c r="M22" i="37"/>
  <c r="M22" i="18"/>
  <c r="M28" i="37"/>
  <c r="M28" i="18"/>
  <c r="M133" i="37"/>
  <c r="M35" i="37"/>
  <c r="M135" i="37"/>
  <c r="M64" i="37"/>
  <c r="M64" i="18"/>
  <c r="M109" i="37"/>
  <c r="M109" i="18"/>
  <c r="M10" i="18"/>
  <c r="M134" i="37"/>
  <c r="M73" i="37"/>
  <c r="M132" i="37"/>
  <c r="M34" i="37"/>
  <c r="M12" i="37"/>
  <c r="M12" i="18"/>
  <c r="M87" i="37"/>
  <c r="M87" i="18"/>
  <c r="M85" i="37"/>
  <c r="M85" i="18"/>
  <c r="M11" i="37"/>
  <c r="M11" i="18"/>
  <c r="M7" i="18"/>
  <c r="M32" i="37"/>
  <c r="M32" i="18"/>
  <c r="M117" i="37"/>
  <c r="M117" i="18"/>
  <c r="M66" i="37"/>
  <c r="M66" i="18"/>
  <c r="M94" i="37"/>
  <c r="L24" i="10"/>
  <c r="L14" i="10"/>
  <c r="J37" i="4"/>
  <c r="J73" i="4"/>
  <c r="J94" i="4"/>
  <c r="L15" i="10"/>
  <c r="L42" i="10"/>
  <c r="J11" i="4"/>
  <c r="M11" i="13"/>
  <c r="M11" i="33"/>
  <c r="M11" i="23"/>
  <c r="M11" i="29"/>
  <c r="M11" i="35"/>
  <c r="M11" i="16"/>
  <c r="M26" i="16"/>
  <c r="J10" i="4"/>
  <c r="M10" i="16"/>
  <c r="M66" i="20"/>
  <c r="M66" i="13"/>
  <c r="M66" i="27"/>
  <c r="M66" i="23"/>
  <c r="M66" i="29"/>
  <c r="M66" i="35"/>
  <c r="M66" i="33"/>
  <c r="M66" i="16"/>
  <c r="M134" i="26"/>
  <c r="M134" i="16"/>
  <c r="M117" i="23"/>
  <c r="M117" i="20"/>
  <c r="M117" i="27"/>
  <c r="M117" i="13"/>
  <c r="M117" i="35"/>
  <c r="M117" i="16"/>
  <c r="M117" i="29"/>
  <c r="M117" i="33"/>
  <c r="M109" i="23"/>
  <c r="M109" i="20"/>
  <c r="M109" i="27"/>
  <c r="M109" i="35"/>
  <c r="M109" i="29"/>
  <c r="M109" i="16"/>
  <c r="M109" i="13"/>
  <c r="M109" i="33"/>
  <c r="J7" i="4"/>
  <c r="M7" i="16"/>
  <c r="J22" i="4"/>
  <c r="M22" i="20"/>
  <c r="M22" i="13"/>
  <c r="M22" i="24"/>
  <c r="M22" i="51"/>
  <c r="M22" i="23"/>
  <c r="M22" i="29"/>
  <c r="M22" i="35"/>
  <c r="M22" i="33"/>
  <c r="M22" i="16"/>
  <c r="M28" i="23"/>
  <c r="M28" i="29"/>
  <c r="M28" i="35"/>
  <c r="M28" i="24"/>
  <c r="M28" i="16"/>
  <c r="M28" i="20"/>
  <c r="M28" i="33"/>
  <c r="M135" i="26"/>
  <c r="M135" i="16"/>
  <c r="M85" i="13"/>
  <c r="M85" i="20"/>
  <c r="M85" i="23"/>
  <c r="M85" i="27"/>
  <c r="M85" i="33"/>
  <c r="M85" i="29"/>
  <c r="M85" i="35"/>
  <c r="M85" i="16"/>
  <c r="J9" i="9"/>
  <c r="M33" i="13"/>
  <c r="M33" i="23"/>
  <c r="M33" i="29"/>
  <c r="M33" i="35"/>
  <c r="M33" i="33"/>
  <c r="M33" i="16"/>
  <c r="M37" i="16"/>
  <c r="M37" i="13"/>
  <c r="M32" i="13"/>
  <c r="M32" i="23"/>
  <c r="M32" i="29"/>
  <c r="M32" i="35"/>
  <c r="M32" i="16"/>
  <c r="M32" i="33"/>
  <c r="M36" i="16"/>
  <c r="M64" i="13"/>
  <c r="M64" i="20"/>
  <c r="M64" i="27"/>
  <c r="M64" i="35"/>
  <c r="M64" i="33"/>
  <c r="M64" i="23"/>
  <c r="M64" i="29"/>
  <c r="M64" i="16"/>
  <c r="M87" i="20"/>
  <c r="M87" i="13"/>
  <c r="M87" i="23"/>
  <c r="M87" i="27"/>
  <c r="M87" i="29"/>
  <c r="M87" i="35"/>
  <c r="M87" i="33"/>
  <c r="M87" i="16"/>
  <c r="M94" i="16"/>
  <c r="M94" i="33"/>
  <c r="M73" i="16"/>
  <c r="M73" i="33"/>
  <c r="J35" i="4"/>
  <c r="M35" i="13"/>
  <c r="M35" i="16"/>
  <c r="I69" i="9"/>
  <c r="M132" i="26"/>
  <c r="M132" i="16"/>
  <c r="M132" i="34"/>
  <c r="M132" i="13"/>
  <c r="M12" i="13"/>
  <c r="M12" i="23"/>
  <c r="M12" i="29"/>
  <c r="M12" i="35"/>
  <c r="M12" i="16"/>
  <c r="M12" i="33"/>
  <c r="J34" i="4"/>
  <c r="M34" i="13"/>
  <c r="M34" i="16"/>
  <c r="L21" i="10"/>
  <c r="H53" i="10"/>
  <c r="M133" i="13"/>
  <c r="M133" i="26"/>
  <c r="M133" i="34"/>
  <c r="M133" i="16"/>
  <c r="M25" i="16"/>
  <c r="L31" i="10"/>
  <c r="L22" i="10"/>
  <c r="L12" i="10"/>
  <c r="L10" i="10"/>
  <c r="I66" i="9"/>
  <c r="I64" i="9"/>
  <c r="I67" i="9"/>
  <c r="I60" i="9"/>
  <c r="I56" i="9"/>
  <c r="I53" i="9"/>
  <c r="I31" i="9"/>
  <c r="I50" i="9"/>
  <c r="D66" i="9"/>
  <c r="D45" i="9"/>
  <c r="D50" i="9"/>
  <c r="G17" i="10"/>
  <c r="E37" i="9"/>
  <c r="E41" i="9"/>
  <c r="E35" i="9"/>
  <c r="E36" i="9"/>
  <c r="E44" i="9"/>
  <c r="D31" i="9"/>
  <c r="E43" i="9"/>
  <c r="E40" i="9"/>
  <c r="E42" i="9"/>
  <c r="F17" i="10"/>
  <c r="J17" i="10" s="1"/>
  <c r="E39" i="9"/>
  <c r="E38" i="9"/>
  <c r="B27" i="10"/>
  <c r="J27" i="10" s="1"/>
  <c r="J34" i="9"/>
  <c r="E20" i="9"/>
  <c r="C72" i="9"/>
  <c r="E70" i="9" s="1"/>
  <c r="D70" i="9" s="1"/>
  <c r="E11" i="9"/>
  <c r="J40" i="9"/>
  <c r="E23" i="9"/>
  <c r="J12" i="9"/>
  <c r="E15" i="9"/>
  <c r="G27" i="10"/>
  <c r="H27" i="10" s="1"/>
  <c r="J26" i="9"/>
  <c r="E19" i="9"/>
  <c r="E13" i="9"/>
  <c r="J20" i="9"/>
  <c r="J14" i="9"/>
  <c r="H72" i="9"/>
  <c r="J71" i="9" s="1"/>
  <c r="E29" i="9"/>
  <c r="E22" i="9"/>
  <c r="E17" i="9"/>
  <c r="E18" i="9"/>
  <c r="J10" i="9"/>
  <c r="J18" i="9"/>
  <c r="J30" i="9"/>
  <c r="J13" i="9"/>
  <c r="J11" i="9"/>
  <c r="J15" i="9"/>
  <c r="B72" i="9"/>
  <c r="E25" i="9"/>
  <c r="E9" i="9"/>
  <c r="E14" i="9"/>
  <c r="E10" i="9"/>
  <c r="C17" i="10"/>
  <c r="D17" i="10" s="1"/>
  <c r="J27" i="9"/>
  <c r="C27" i="10"/>
  <c r="J22" i="9"/>
  <c r="J16" i="9"/>
  <c r="J19" i="9"/>
  <c r="J17" i="9"/>
  <c r="J25" i="9"/>
  <c r="E30" i="9"/>
  <c r="E12" i="9"/>
  <c r="E21" i="9"/>
  <c r="E24" i="9"/>
  <c r="E26" i="9"/>
  <c r="E27" i="9"/>
  <c r="E28" i="9"/>
  <c r="J23" i="9"/>
  <c r="J28" i="9"/>
  <c r="J29" i="9"/>
  <c r="J21" i="9"/>
  <c r="J41" i="9"/>
  <c r="J43" i="9"/>
  <c r="J42" i="9"/>
  <c r="G72" i="9"/>
  <c r="J35" i="9"/>
  <c r="J36" i="9"/>
  <c r="J39" i="9"/>
  <c r="I45" i="9"/>
  <c r="J37" i="9"/>
  <c r="J44" i="9"/>
  <c r="J117" i="4"/>
  <c r="J109" i="4"/>
  <c r="J12" i="4"/>
  <c r="J64" i="4"/>
  <c r="J33" i="4"/>
  <c r="J32" i="4"/>
  <c r="J66" i="4"/>
  <c r="J87" i="4"/>
  <c r="J85" i="4"/>
  <c r="J28" i="4"/>
  <c r="K53" i="10"/>
  <c r="K55" i="10"/>
  <c r="L44" i="10"/>
  <c r="L23" i="10"/>
  <c r="L30" i="10"/>
  <c r="G57" i="10"/>
  <c r="L32" i="10"/>
  <c r="H54" i="10"/>
  <c r="L43" i="10"/>
  <c r="K46" i="10"/>
  <c r="H46" i="10"/>
  <c r="L41" i="10"/>
  <c r="L13" i="10"/>
  <c r="L25" i="10"/>
  <c r="H29" i="4"/>
  <c r="K54" i="10"/>
  <c r="L38" i="10"/>
  <c r="D46" i="10"/>
  <c r="J46" i="10"/>
  <c r="D52" i="10"/>
  <c r="J52" i="10"/>
  <c r="B57" i="10"/>
  <c r="J54" i="10"/>
  <c r="D54" i="10"/>
  <c r="F57" i="10"/>
  <c r="H52" i="10"/>
  <c r="L33" i="10"/>
  <c r="K35" i="10"/>
  <c r="L20" i="10"/>
  <c r="H35" i="10"/>
  <c r="J53" i="10"/>
  <c r="D53" i="10"/>
  <c r="D55" i="10"/>
  <c r="J55" i="10"/>
  <c r="K52" i="10"/>
  <c r="C57" i="10"/>
  <c r="J60" i="10"/>
  <c r="L60" i="10" s="1"/>
  <c r="D60" i="10"/>
  <c r="J35" i="10"/>
  <c r="D35" i="10"/>
  <c r="D56" i="10"/>
  <c r="J56" i="10"/>
  <c r="L56" i="10" s="1"/>
  <c r="L55" i="10" l="1"/>
  <c r="L53" i="10"/>
  <c r="J45" i="9"/>
  <c r="J31" i="9"/>
  <c r="I72" i="9"/>
  <c r="E45" i="9"/>
  <c r="D72" i="9"/>
  <c r="H17" i="10"/>
  <c r="E55" i="9"/>
  <c r="D55" i="9" s="1"/>
  <c r="E61" i="9"/>
  <c r="D61" i="9" s="1"/>
  <c r="E54" i="9"/>
  <c r="D54" i="9" s="1"/>
  <c r="E53" i="9"/>
  <c r="D53" i="9" s="1"/>
  <c r="J56" i="9"/>
  <c r="J55" i="9"/>
  <c r="D27" i="10"/>
  <c r="E57" i="9"/>
  <c r="D57" i="9" s="1"/>
  <c r="E63" i="9"/>
  <c r="D63" i="9" s="1"/>
  <c r="E58" i="9"/>
  <c r="D58" i="9" s="1"/>
  <c r="E64" i="9"/>
  <c r="D64" i="9" s="1"/>
  <c r="K27" i="10"/>
  <c r="L27" i="10" s="1"/>
  <c r="J66" i="9"/>
  <c r="J63" i="9"/>
  <c r="J52" i="9"/>
  <c r="J59" i="9"/>
  <c r="I59" i="9" s="1"/>
  <c r="E59" i="9"/>
  <c r="D59" i="9" s="1"/>
  <c r="E51" i="9"/>
  <c r="D51" i="9" s="1"/>
  <c r="E50" i="9"/>
  <c r="E49" i="9"/>
  <c r="E66" i="9"/>
  <c r="E71" i="9"/>
  <c r="D71" i="9" s="1"/>
  <c r="E68" i="9"/>
  <c r="D68" i="9" s="1"/>
  <c r="E62" i="9"/>
  <c r="D62" i="9" s="1"/>
  <c r="K17" i="10"/>
  <c r="L17" i="10" s="1"/>
  <c r="J62" i="9"/>
  <c r="J51" i="9"/>
  <c r="I51" i="9" s="1"/>
  <c r="J57" i="9"/>
  <c r="I57" i="9" s="1"/>
  <c r="J64" i="9"/>
  <c r="J58" i="9"/>
  <c r="J65" i="9"/>
  <c r="I65" i="9" s="1"/>
  <c r="J53" i="9"/>
  <c r="J60" i="9"/>
  <c r="J70" i="9"/>
  <c r="J50" i="9"/>
  <c r="J61" i="9"/>
  <c r="J54" i="9"/>
  <c r="J68" i="9"/>
  <c r="I68" i="9" s="1"/>
  <c r="J69" i="9"/>
  <c r="J49" i="9"/>
  <c r="J67" i="9"/>
  <c r="E60" i="9"/>
  <c r="D60" i="9" s="1"/>
  <c r="E65" i="9"/>
  <c r="D65" i="9" s="1"/>
  <c r="E52" i="9"/>
  <c r="D52" i="9" s="1"/>
  <c r="E56" i="9"/>
  <c r="D56" i="9" s="1"/>
  <c r="E67" i="9"/>
  <c r="D67" i="9" s="1"/>
  <c r="E69" i="9"/>
  <c r="D69" i="9" s="1"/>
  <c r="E31" i="9"/>
  <c r="K57" i="10"/>
  <c r="H57" i="10"/>
  <c r="L46" i="10"/>
  <c r="L35" i="10"/>
  <c r="L54" i="10"/>
  <c r="J57" i="10"/>
  <c r="D57" i="10"/>
  <c r="L52" i="10"/>
  <c r="O23" i="9"/>
  <c r="M10" i="9"/>
  <c r="O20" i="9"/>
  <c r="O28" i="9"/>
  <c r="L38" i="9"/>
  <c r="M11" i="9"/>
  <c r="L25" i="9"/>
  <c r="N20" i="9"/>
  <c r="O9" i="9"/>
  <c r="N21" i="9"/>
  <c r="N36" i="9"/>
  <c r="O21" i="9"/>
  <c r="L39" i="9"/>
  <c r="L37" i="9"/>
  <c r="L27" i="9"/>
  <c r="M16" i="9"/>
  <c r="O36" i="9"/>
  <c r="N10" i="9"/>
  <c r="O40" i="9"/>
  <c r="N28" i="9"/>
  <c r="O13" i="9"/>
  <c r="N26" i="9"/>
  <c r="L43" i="9"/>
  <c r="N18" i="9"/>
  <c r="M12" i="9"/>
  <c r="O15" i="9"/>
  <c r="L24" i="9"/>
  <c r="N37" i="9"/>
  <c r="O18" i="9"/>
  <c r="N12" i="9"/>
  <c r="N27" i="9"/>
  <c r="L26" i="9"/>
  <c r="M38" i="9"/>
  <c r="O39" i="9"/>
  <c r="L18" i="9"/>
  <c r="M35" i="9"/>
  <c r="N41" i="9"/>
  <c r="M19" i="9"/>
  <c r="L44" i="9"/>
  <c r="M42" i="9"/>
  <c r="M24" i="9"/>
  <c r="N9" i="9"/>
  <c r="M18" i="9"/>
  <c r="M22" i="9"/>
  <c r="M43" i="9"/>
  <c r="L19" i="9"/>
  <c r="L13" i="9"/>
  <c r="M30" i="9"/>
  <c r="N24" i="9"/>
  <c r="M23" i="9"/>
  <c r="M9" i="9"/>
  <c r="L29" i="9"/>
  <c r="M39" i="9"/>
  <c r="L9" i="9"/>
  <c r="M14" i="9"/>
  <c r="N42" i="9"/>
  <c r="M15" i="9"/>
  <c r="O34" i="9"/>
  <c r="M21" i="9"/>
  <c r="M17" i="9"/>
  <c r="L10" i="9"/>
  <c r="N43" i="9"/>
  <c r="N40" i="9"/>
  <c r="M29" i="9"/>
  <c r="N30" i="9"/>
  <c r="O12" i="9"/>
  <c r="O35" i="9"/>
  <c r="M37" i="9"/>
  <c r="O27" i="9"/>
  <c r="L21" i="9"/>
  <c r="L23" i="9"/>
  <c r="N19" i="9"/>
  <c r="N22" i="9"/>
  <c r="M28" i="9"/>
  <c r="N25" i="9"/>
  <c r="N15" i="9"/>
  <c r="L42" i="9"/>
  <c r="N38" i="9"/>
  <c r="M44" i="9"/>
  <c r="L11" i="9"/>
  <c r="O30" i="9"/>
  <c r="N39" i="9"/>
  <c r="O14" i="9"/>
  <c r="L36" i="9"/>
  <c r="M40" i="9"/>
  <c r="N17" i="9"/>
  <c r="L15" i="9"/>
  <c r="O41" i="9"/>
  <c r="O26" i="9"/>
  <c r="N16" i="9"/>
  <c r="L20" i="9"/>
  <c r="L16" i="9"/>
  <c r="O16" i="9"/>
  <c r="N11" i="9"/>
  <c r="N35" i="9"/>
  <c r="N29" i="9"/>
  <c r="M25" i="9"/>
  <c r="M41" i="9"/>
  <c r="N13" i="9"/>
  <c r="O25" i="9"/>
  <c r="L40" i="9"/>
  <c r="L41" i="9"/>
  <c r="O42" i="9"/>
  <c r="L30" i="9"/>
  <c r="N44" i="9"/>
  <c r="O10" i="9"/>
  <c r="O11" i="9"/>
  <c r="N23" i="9"/>
  <c r="N34" i="9"/>
  <c r="O44" i="9"/>
  <c r="O19" i="9"/>
  <c r="M27" i="9"/>
  <c r="L17" i="9"/>
  <c r="M20" i="9"/>
  <c r="O43" i="9"/>
  <c r="O37" i="9"/>
  <c r="O22" i="9"/>
  <c r="O38" i="9"/>
  <c r="M13" i="9"/>
  <c r="M26" i="9"/>
  <c r="L14" i="9"/>
  <c r="L28" i="9"/>
  <c r="N14" i="9"/>
  <c r="L22" i="9"/>
  <c r="L34" i="9"/>
  <c r="O29" i="9"/>
  <c r="O17" i="9"/>
  <c r="M34" i="9"/>
  <c r="M36" i="9"/>
  <c r="L35" i="9"/>
  <c r="L12" i="9"/>
  <c r="O24" i="9"/>
  <c r="O52" i="9" l="1"/>
  <c r="M45" i="9"/>
  <c r="M66" i="9"/>
  <c r="M67" i="9"/>
  <c r="M59" i="9"/>
  <c r="O31" i="9"/>
  <c r="O49" i="9"/>
  <c r="N56" i="9"/>
  <c r="M52" i="9"/>
  <c r="L50" i="9"/>
  <c r="N50" i="9"/>
  <c r="O65" i="9"/>
  <c r="O62" i="9"/>
  <c r="M68" i="9"/>
  <c r="M63" i="9"/>
  <c r="M65" i="9"/>
  <c r="L61" i="9"/>
  <c r="N66" i="9"/>
  <c r="N60" i="9"/>
  <c r="L56" i="9"/>
  <c r="L55" i="9"/>
  <c r="M57" i="9"/>
  <c r="L53" i="9"/>
  <c r="N71" i="9"/>
  <c r="L67" i="9"/>
  <c r="M58" i="9"/>
  <c r="L69" i="9"/>
  <c r="O57" i="9"/>
  <c r="N52" i="9"/>
  <c r="O51" i="9"/>
  <c r="L65" i="9"/>
  <c r="N58" i="9"/>
  <c r="M61" i="9"/>
  <c r="O64" i="9"/>
  <c r="O67" i="9"/>
  <c r="N55" i="9"/>
  <c r="O68" i="9"/>
  <c r="O61" i="9"/>
  <c r="N64" i="9"/>
  <c r="N70" i="9"/>
  <c r="O59" i="9"/>
  <c r="O71" i="9"/>
  <c r="M51" i="9"/>
  <c r="M70" i="9"/>
  <c r="O45" i="9"/>
  <c r="L60" i="9"/>
  <c r="M49" i="9"/>
  <c r="M31" i="9"/>
  <c r="N65" i="9"/>
  <c r="L66" i="9"/>
  <c r="M53" i="9"/>
  <c r="O70" i="9"/>
  <c r="O58" i="9"/>
  <c r="M56" i="9"/>
  <c r="N45" i="9"/>
  <c r="O50" i="9"/>
  <c r="N53" i="9"/>
  <c r="N67" i="9"/>
  <c r="M55" i="9"/>
  <c r="O55" i="9"/>
  <c r="M69" i="9"/>
  <c r="N49" i="9"/>
  <c r="N31" i="9"/>
  <c r="L70" i="9"/>
  <c r="L45" i="9"/>
  <c r="L59" i="9"/>
  <c r="L51" i="9"/>
  <c r="O69" i="9"/>
  <c r="O53" i="9"/>
  <c r="N62" i="9"/>
  <c r="M60" i="9"/>
  <c r="L64" i="9"/>
  <c r="M71" i="9"/>
  <c r="N51" i="9"/>
  <c r="L68" i="9"/>
  <c r="N68" i="9"/>
  <c r="L58" i="9"/>
  <c r="O60" i="9"/>
  <c r="N63" i="9"/>
  <c r="N69" i="9"/>
  <c r="M54" i="9"/>
  <c r="O54" i="9"/>
  <c r="N61" i="9"/>
  <c r="N59" i="9"/>
  <c r="M64" i="9"/>
  <c r="L54" i="9"/>
  <c r="O66" i="9"/>
  <c r="L62" i="9"/>
  <c r="L52" i="9"/>
  <c r="L71" i="9"/>
  <c r="M50" i="9"/>
  <c r="L49" i="9"/>
  <c r="L31" i="9"/>
  <c r="M62" i="9"/>
  <c r="L63" i="9"/>
  <c r="L57" i="9"/>
  <c r="N57" i="9"/>
  <c r="N54" i="9"/>
  <c r="O56" i="9"/>
  <c r="O63" i="9"/>
  <c r="J72" i="9"/>
  <c r="E72" i="9"/>
  <c r="L57" i="10"/>
  <c r="O72" i="9" l="1"/>
  <c r="N72" i="9"/>
  <c r="L72" i="9"/>
  <c r="M72" i="9"/>
</calcChain>
</file>

<file path=xl/connections.xml><?xml version="1.0" encoding="utf-8"?>
<connections xmlns="http://schemas.openxmlformats.org/spreadsheetml/2006/main">
  <connection id="1" keepAlive="1" name="Spørring - Data" description="Tilkobling til spørringen Data i arbeidsboken." type="5" refreshedVersion="6" background="1" refreshOnLoad="1">
    <dbPr connection="Provider=Microsoft.Mashup.OleDb.1;Data Source=$Workbook$;Location=Data;Extended Properties=&quot;&quot;" command="SELECT * FROM [Data]"/>
  </connection>
</connections>
</file>

<file path=xl/sharedStrings.xml><?xml version="1.0" encoding="utf-8"?>
<sst xmlns="http://schemas.openxmlformats.org/spreadsheetml/2006/main" count="6486" uniqueCount="427">
  <si>
    <t>Produkter uten investeringsvalg</t>
  </si>
  <si>
    <t>Produkter med investeringsvalg</t>
  </si>
  <si>
    <t>Totalt</t>
  </si>
  <si>
    <t>Endring</t>
  </si>
  <si>
    <t>i %</t>
  </si>
  <si>
    <t xml:space="preserve">                     </t>
  </si>
  <si>
    <t xml:space="preserve">      Gjeldsgruppeliv</t>
  </si>
  <si>
    <t xml:space="preserve">      Foreningsgruppeliv</t>
  </si>
  <si>
    <t xml:space="preserve">      Andre grupper</t>
  </si>
  <si>
    <t xml:space="preserve">   Ytelsesbasert</t>
  </si>
  <si>
    <t xml:space="preserve">   Innskuddsbasert</t>
  </si>
  <si>
    <t xml:space="preserve">      herav kapitaliseringsprodukt IPA+IPS</t>
  </si>
  <si>
    <t xml:space="preserve">        Inv.valg foretak</t>
  </si>
  <si>
    <t xml:space="preserve">        Inv.valg kontohaver</t>
  </si>
  <si>
    <t xml:space="preserve">    Til pensjonskasser</t>
  </si>
  <si>
    <t xml:space="preserve">    Fra pensjonskasser</t>
  </si>
  <si>
    <t>Noter til tabellene</t>
  </si>
  <si>
    <t>Gruppeliv bedrift tilsvarer tjenestegruppeliv.</t>
  </si>
  <si>
    <t>Gruppeliv privat består av foreningsgruppeliv, gjeldsgruppeliv og annet.</t>
  </si>
  <si>
    <t xml:space="preserve">Engangsbetalt alderspensjon er innskuddsbasert pensjon med dødelighetsarv. </t>
  </si>
  <si>
    <t>LOF/LOI betyr lov om foretakspensjon og lov om innskuddspensjon.</t>
  </si>
  <si>
    <t>Overførte reserver fra andre tilsvarer post 1.3 i resultatregnskapet samt overførte tilleggsavsetninger som tilsvarer post 6.6 i  resultatregnskapet.</t>
  </si>
  <si>
    <t>Flytting av en gruppelivsordning fra andre eller til andre måles i brutto årlig premie (ikke brutto forfalt premie).</t>
  </si>
  <si>
    <t>Livrenter, IPA og IPS er individuelle pensjonsspareavtaler etter skattereglene (kun i årsstatistikken / 4.kvartal).</t>
  </si>
  <si>
    <r>
      <t>Overførte reserver til andre</t>
    </r>
    <r>
      <rPr>
        <b/>
        <vertAlign val="superscript"/>
        <sz val="10"/>
        <rFont val="Times New Roman"/>
        <family val="1"/>
      </rPr>
      <t xml:space="preserve"> 7</t>
    </r>
  </si>
  <si>
    <r>
      <t xml:space="preserve">Overførte reserver fra andre </t>
    </r>
    <r>
      <rPr>
        <b/>
        <vertAlign val="superscript"/>
        <sz val="10"/>
        <rFont val="Times New Roman"/>
        <family val="1"/>
      </rPr>
      <t>6</t>
    </r>
  </si>
  <si>
    <r>
      <t xml:space="preserve">Forsikringsforpliktelser </t>
    </r>
    <r>
      <rPr>
        <b/>
        <vertAlign val="superscript"/>
        <sz val="10"/>
        <rFont val="Times New Roman"/>
        <family val="1"/>
      </rPr>
      <t>5</t>
    </r>
  </si>
  <si>
    <r>
      <t xml:space="preserve">Brutto forfalt premie </t>
    </r>
    <r>
      <rPr>
        <b/>
        <vertAlign val="superscript"/>
        <sz val="10"/>
        <rFont val="Times New Roman"/>
        <family val="1"/>
      </rPr>
      <t>1</t>
    </r>
  </si>
  <si>
    <r>
      <t xml:space="preserve">    Herav brutto risikopremie uførekapital </t>
    </r>
    <r>
      <rPr>
        <vertAlign val="superscript"/>
        <sz val="10"/>
        <rFont val="Times New Roman"/>
        <family val="1"/>
      </rPr>
      <t>2</t>
    </r>
  </si>
  <si>
    <r>
      <t xml:space="preserve">    Herav brutto risikopremie død </t>
    </r>
    <r>
      <rPr>
        <vertAlign val="superscript"/>
        <sz val="10"/>
        <rFont val="Times New Roman"/>
        <family val="1"/>
      </rPr>
      <t>2</t>
    </r>
  </si>
  <si>
    <t xml:space="preserve">   Etter tjenestepensjonsloven</t>
  </si>
  <si>
    <t>Tabell 5: Kommunale ordninger</t>
  </si>
  <si>
    <t>Tabell 1 : Individuell kapitalforsikring*</t>
  </si>
  <si>
    <t>Markeds-</t>
  </si>
  <si>
    <t>andel</t>
  </si>
  <si>
    <t>INNHOLDSFORTEGNELSE</t>
  </si>
  <si>
    <t>FIGURER</t>
  </si>
  <si>
    <t>Figur 1</t>
  </si>
  <si>
    <t>Brutto forfalt premie livprodukter - produkter uten investeringsvalg</t>
  </si>
  <si>
    <t>Figur 2</t>
  </si>
  <si>
    <t>Brutto forfalt premie livprodukter - produkter med investeringsvalg</t>
  </si>
  <si>
    <t>Figur 3</t>
  </si>
  <si>
    <t>Figur 4</t>
  </si>
  <si>
    <t>Figur 5</t>
  </si>
  <si>
    <t>Forsikringsforpliktelser livprodukter - produkter uten investeringsvalg</t>
  </si>
  <si>
    <t>Figur 6</t>
  </si>
  <si>
    <t>Forsikringsforpliktelser livprodukter - produkter med investeringsvalg</t>
  </si>
  <si>
    <t>Netto tilflytting livprodukter - produkter uten investeringsvalg</t>
  </si>
  <si>
    <t>Netto tilflytting livprodukter - produkter med investeringsvalg</t>
  </si>
  <si>
    <t>TABELLER</t>
  </si>
  <si>
    <t>MARKEDSDEL</t>
  </si>
  <si>
    <t>Tabell 1.1</t>
  </si>
  <si>
    <t>Hovedtall - produkter uten  og med investeringsvalg</t>
  </si>
  <si>
    <t>Tabell 1.2</t>
  </si>
  <si>
    <t>Hovedtall - fordelt på bransjer</t>
  </si>
  <si>
    <t>NOTER OG KOMMENTARER</t>
  </si>
  <si>
    <t>Tilbake</t>
  </si>
  <si>
    <t xml:space="preserve">Brutto forfalt premie livprodukter </t>
  </si>
  <si>
    <t>ACE</t>
  </si>
  <si>
    <t>Danica Pensjon</t>
  </si>
  <si>
    <t>DNB Liv</t>
  </si>
  <si>
    <t>Eika Forsikring</t>
  </si>
  <si>
    <t>Frende Livsfors</t>
  </si>
  <si>
    <t>Frende Skade</t>
  </si>
  <si>
    <t>Gjensidige Fors</t>
  </si>
  <si>
    <t>Gjensidige Pensj</t>
  </si>
  <si>
    <t>Handelsb Liv</t>
  </si>
  <si>
    <t>If Skadefors</t>
  </si>
  <si>
    <t>KLP</t>
  </si>
  <si>
    <t>KLP Bedriftsp</t>
  </si>
  <si>
    <t>KLP Skadef</t>
  </si>
  <si>
    <t>Landbruksfors.</t>
  </si>
  <si>
    <t>NEMI</t>
  </si>
  <si>
    <t>Nordea Liv</t>
  </si>
  <si>
    <t>OPF</t>
  </si>
  <si>
    <t>SpareBank 1</t>
  </si>
  <si>
    <t xml:space="preserve">Storebrand </t>
  </si>
  <si>
    <t>Telenor Fors</t>
  </si>
  <si>
    <t>Tryg Fors</t>
  </si>
  <si>
    <t>SHB Liv</t>
  </si>
  <si>
    <t>Silver</t>
  </si>
  <si>
    <t>Storebrand</t>
  </si>
  <si>
    <t>Forsikringsforpliktelser i livsforsikring</t>
  </si>
  <si>
    <t xml:space="preserve">Netto tilflytting </t>
  </si>
  <si>
    <t>Netto tilflytting</t>
  </si>
  <si>
    <t>Markedsdel, endelig år</t>
  </si>
  <si>
    <t>Tabell 1.1 Hovedtall</t>
  </si>
  <si>
    <t>Produkter med og uten investeringsvalg</t>
  </si>
  <si>
    <r>
      <t>Brutto forfalt premie</t>
    </r>
    <r>
      <rPr>
        <sz val="14"/>
        <rFont val="Times New Roman"/>
        <family val="1"/>
      </rPr>
      <t xml:space="preserve"> </t>
    </r>
    <r>
      <rPr>
        <vertAlign val="superscript"/>
        <sz val="14"/>
        <rFont val="Times New Roman"/>
        <family val="1"/>
      </rPr>
      <t>1)</t>
    </r>
  </si>
  <si>
    <r>
      <t>Forsikringsforpliktelser</t>
    </r>
    <r>
      <rPr>
        <sz val="14"/>
        <rFont val="Times New Roman"/>
        <family val="1"/>
      </rPr>
      <t xml:space="preserve"> </t>
    </r>
    <r>
      <rPr>
        <vertAlign val="superscript"/>
        <sz val="14"/>
        <rFont val="Times New Roman"/>
        <family val="1"/>
      </rPr>
      <t>9)</t>
    </r>
  </si>
  <si>
    <t>%-</t>
  </si>
  <si>
    <t>Beløp i 1000  kroner</t>
  </si>
  <si>
    <t>endring</t>
  </si>
  <si>
    <t>ACE European Group</t>
  </si>
  <si>
    <t>Danica Pensjonsforsikring</t>
  </si>
  <si>
    <t>DNB Livsforsikring</t>
  </si>
  <si>
    <t>Eika Forsikring AS</t>
  </si>
  <si>
    <t>Frende Livsforsikring</t>
  </si>
  <si>
    <t>Frende Skadeforsikring</t>
  </si>
  <si>
    <t>Gjensidige Forsikring</t>
  </si>
  <si>
    <t>Gjensidige Pensjon</t>
  </si>
  <si>
    <t>Handelsbanken Liv</t>
  </si>
  <si>
    <t>If Skadeforsikring NUF</t>
  </si>
  <si>
    <t>KLP Bedriftspensjon AS</t>
  </si>
  <si>
    <t>KLP Skadeforsikring AS</t>
  </si>
  <si>
    <t>Landbruksforsikring AS</t>
  </si>
  <si>
    <t>NEMI Forsikring</t>
  </si>
  <si>
    <t xml:space="preserve">Nordea Liv </t>
  </si>
  <si>
    <t>Oslo Pensjonsforsikring</t>
  </si>
  <si>
    <t>Silver Pensjonsforsikring AS</t>
  </si>
  <si>
    <t>Storebrand Livsforsikring</t>
  </si>
  <si>
    <t>Telenor Forsikring</t>
  </si>
  <si>
    <t>Tryg Forsikring</t>
  </si>
  <si>
    <t>Totalt uten investeringsvalg</t>
  </si>
  <si>
    <t>Totalt med investeringsvalg</t>
  </si>
  <si>
    <t>Alle produkter</t>
  </si>
  <si>
    <t>Noter : Se "Noter og kommentarer"</t>
  </si>
  <si>
    <t>Tabell 1.2 Hovedtall</t>
  </si>
  <si>
    <t>Fordelt på bransjer</t>
  </si>
  <si>
    <t>Totalt alle produkter</t>
  </si>
  <si>
    <t>%</t>
  </si>
  <si>
    <t>Beløp i 1000 kr.</t>
  </si>
  <si>
    <r>
      <t xml:space="preserve">Brutto forfalt premie </t>
    </r>
    <r>
      <rPr>
        <vertAlign val="superscript"/>
        <sz val="14"/>
        <rFont val="Times New Roman"/>
        <family val="1"/>
      </rPr>
      <t>1)</t>
    </r>
  </si>
  <si>
    <t xml:space="preserve">   Individuell kapitalforsikring</t>
  </si>
  <si>
    <t xml:space="preserve">   Individuell pensjonsforsikring</t>
  </si>
  <si>
    <t xml:space="preserve">   Gruppeliv</t>
  </si>
  <si>
    <t xml:space="preserve">   Privat kollektiv pensjon</t>
  </si>
  <si>
    <t xml:space="preserve">     - herav innskuddsbasert *</t>
  </si>
  <si>
    <t xml:space="preserve">     - herav etter tjenestepensjonsloven</t>
  </si>
  <si>
    <t xml:space="preserve">   Foreningskollektiv</t>
  </si>
  <si>
    <t>Totalt brutto forfalt premie</t>
  </si>
  <si>
    <r>
      <t xml:space="preserve">     - herav innskuddsbasert </t>
    </r>
    <r>
      <rPr>
        <vertAlign val="superscript"/>
        <sz val="14"/>
        <rFont val="Times New Roman"/>
        <family val="1"/>
      </rPr>
      <t>*</t>
    </r>
  </si>
  <si>
    <t>Totalt forsikringsforpliktelser</t>
  </si>
  <si>
    <t>Totalt overførte reserver fra andre</t>
  </si>
  <si>
    <t>Totalt overførte reserver til andre</t>
  </si>
  <si>
    <t>Totalt netto overførte reserver fra andre</t>
  </si>
  <si>
    <t xml:space="preserve">* "Innskuddsbasert" er summen av "Engangsbetalt" og "Innskuddspensjon". </t>
  </si>
  <si>
    <t>** Bokført verdi, se tabell 6 i statistikken.</t>
  </si>
  <si>
    <t>ACE European Group Ltd</t>
  </si>
  <si>
    <t>DNB Livsforsikring ASA</t>
  </si>
  <si>
    <t>Eika Gruppen AS</t>
  </si>
  <si>
    <t>Frende Livsforsikring AS</t>
  </si>
  <si>
    <t>Frende Skadeforsikring AS</t>
  </si>
  <si>
    <t>Gjensidige Forsikring ASA</t>
  </si>
  <si>
    <t>Gjensidige Pensjon og Sparing</t>
  </si>
  <si>
    <t>If Skadeforsikring nuf</t>
  </si>
  <si>
    <t>NEMI Forsikring AS</t>
  </si>
  <si>
    <t>Silver Pensjonsforsikring  AS</t>
  </si>
  <si>
    <t>Telenor Forsikring AS</t>
  </si>
  <si>
    <t>SpareBank 1 Forsikring AS</t>
  </si>
  <si>
    <t>Storebrand ASA</t>
  </si>
  <si>
    <t>KLP Skadeforsikring</t>
  </si>
  <si>
    <t>Selskap</t>
  </si>
  <si>
    <t>Flytting fra andre</t>
  </si>
  <si>
    <t>Flytting til andre</t>
  </si>
  <si>
    <t>Q8</t>
  </si>
  <si>
    <t>Q9</t>
  </si>
  <si>
    <t>Q10</t>
  </si>
  <si>
    <t>Q14</t>
  </si>
  <si>
    <t>Q15</t>
  </si>
  <si>
    <t>Q16</t>
  </si>
  <si>
    <t>Q7</t>
  </si>
  <si>
    <t>R7</t>
  </si>
  <si>
    <t>R8</t>
  </si>
  <si>
    <t>R9</t>
  </si>
  <si>
    <t>R10</t>
  </si>
  <si>
    <t>R14</t>
  </si>
  <si>
    <t>R15</t>
  </si>
  <si>
    <t>R16</t>
  </si>
  <si>
    <t>Q11</t>
  </si>
  <si>
    <t>Q17</t>
  </si>
  <si>
    <t>Q18</t>
  </si>
  <si>
    <t>R17</t>
  </si>
  <si>
    <t>R18</t>
  </si>
  <si>
    <t>R11</t>
  </si>
  <si>
    <t>Tabell 1.3 Hovedtall</t>
  </si>
  <si>
    <t>Aktivaposter (aggregert)</t>
  </si>
  <si>
    <t>i mill. kr</t>
  </si>
  <si>
    <t>prosentvis andel</t>
  </si>
  <si>
    <t>Selskapsporteføljen</t>
  </si>
  <si>
    <t xml:space="preserve">   Aksjer</t>
  </si>
  <si>
    <t xml:space="preserve">   Obligasjoner</t>
  </si>
  <si>
    <t xml:space="preserve">   Eiendom</t>
  </si>
  <si>
    <t xml:space="preserve">   Datterforetak m.m.</t>
  </si>
  <si>
    <t xml:space="preserve">   Utlån</t>
  </si>
  <si>
    <t xml:space="preserve">   Annet</t>
  </si>
  <si>
    <t>Kollektivporteføljen</t>
  </si>
  <si>
    <t>Investeringsvalgporteføljen</t>
  </si>
  <si>
    <t>Tallene er hentet fra tabell 6 Balanse.</t>
  </si>
  <si>
    <t>Regnskapsdel, endelig år</t>
  </si>
  <si>
    <t>Tabell 6</t>
  </si>
  <si>
    <t>Balanse</t>
  </si>
  <si>
    <t>Danica</t>
  </si>
  <si>
    <t>DNB</t>
  </si>
  <si>
    <t>Frende</t>
  </si>
  <si>
    <t>Gjensidige</t>
  </si>
  <si>
    <t xml:space="preserve"> </t>
  </si>
  <si>
    <t>Oslo</t>
  </si>
  <si>
    <t>Pensjonsforsikring</t>
  </si>
  <si>
    <t>Livsforsikring</t>
  </si>
  <si>
    <t>Pensjon</t>
  </si>
  <si>
    <t>Bedriftspensjon AS</t>
  </si>
  <si>
    <t>Pensjonsforsikring AS</t>
  </si>
  <si>
    <r>
      <t>norske livselskaper</t>
    </r>
    <r>
      <rPr>
        <b/>
        <vertAlign val="superscript"/>
        <sz val="14"/>
        <rFont val="Times New Roman"/>
        <family val="1"/>
      </rPr>
      <t xml:space="preserve"> </t>
    </r>
  </si>
  <si>
    <r>
      <t>alle livselskaper</t>
    </r>
    <r>
      <rPr>
        <b/>
        <vertAlign val="superscript"/>
        <sz val="14"/>
        <rFont val="Times New Roman"/>
        <family val="1"/>
      </rPr>
      <t xml:space="preserve"> </t>
    </r>
  </si>
  <si>
    <t>Beløp i millioner kroner</t>
  </si>
  <si>
    <t>EIENDELER</t>
  </si>
  <si>
    <t>EIENDELER I SELSKAPSPORTEFØLJEN</t>
  </si>
  <si>
    <t>2. Investeringer i selskapsporteføljen</t>
  </si>
  <si>
    <t xml:space="preserve">    2.1 Bygninger og andre faste eiendommer</t>
  </si>
  <si>
    <t xml:space="preserve">    2.2 Datterforetak, tilknyttede foretak og felleskontrollerte foretak</t>
  </si>
  <si>
    <t xml:space="preserve">    2.3 Finansielle eiendeler som måles til amortisert kost</t>
  </si>
  <si>
    <t xml:space="preserve">         2.3.1 Investeringer som holdes til forfall</t>
  </si>
  <si>
    <t xml:space="preserve">            - Obligasjoner</t>
  </si>
  <si>
    <t xml:space="preserve">         2.3.2 Utlån og fordringer</t>
  </si>
  <si>
    <t xml:space="preserve">    2.4 Finansielle eiendeler som måles til virkelig verdi</t>
  </si>
  <si>
    <t xml:space="preserve">         2.4.1 Aksjer og andeler (inkl. aksjer og andeler målt til kost)</t>
  </si>
  <si>
    <t xml:space="preserve">         2.4.2 Obligasjoner og andre verdipapirer med fast avkastning</t>
  </si>
  <si>
    <t xml:space="preserve">         2.4.3 Utlån og fordringer</t>
  </si>
  <si>
    <t xml:space="preserve">         2.4.4 Finansielle derivater</t>
  </si>
  <si>
    <t xml:space="preserve">         2.4.5 Andre finansielle eiendeler</t>
  </si>
  <si>
    <t xml:space="preserve">    2.5 Gjenforsikringsdepoter</t>
  </si>
  <si>
    <t xml:space="preserve">    Sum investeringer i selskapsporteføljen</t>
  </si>
  <si>
    <t>Annet - postene 1, 3, 4 og 5</t>
  </si>
  <si>
    <t>Sum eiendeler i selskapsporteføljen</t>
  </si>
  <si>
    <t>EIENDELER I KUNDEPORTEFØLJENE</t>
  </si>
  <si>
    <t>6. Investeringer i kollektivporteføljen</t>
  </si>
  <si>
    <t xml:space="preserve">    6.1 Bygninger og andre faste eiendommer</t>
  </si>
  <si>
    <t xml:space="preserve">    6.2 Datterforetak, tilknyttede foretak og felleskontrollerte foretak</t>
  </si>
  <si>
    <t xml:space="preserve">    6.3 Finansielle eiendeler som måles til amortisert kost</t>
  </si>
  <si>
    <t xml:space="preserve">         6.3.1 Investeringer som holdes til forfall</t>
  </si>
  <si>
    <t xml:space="preserve">         6.3.2 Utlån og fordringer</t>
  </si>
  <si>
    <t xml:space="preserve">    6.4 Finansielle eiendeler som måles til virkelig verdi</t>
  </si>
  <si>
    <t xml:space="preserve">         6.4.1 Aksjer og andeler (inkl. aksjer og andeler målt til kost)</t>
  </si>
  <si>
    <t xml:space="preserve">         6.4.2 Obligasjoner og andre verdipapirer med fast avkastning</t>
  </si>
  <si>
    <t xml:space="preserve">         6.4.3 Utlån og fordringer</t>
  </si>
  <si>
    <t xml:space="preserve">         6.4.4 Finansielle derivater</t>
  </si>
  <si>
    <t xml:space="preserve">         6.4.5 Andre finansielle eiendeler</t>
  </si>
  <si>
    <t xml:space="preserve">    Sum investeringer i kollektivporteføljen</t>
  </si>
  <si>
    <t>8. Investeringer i investeringsvalgporteføljen</t>
  </si>
  <si>
    <t xml:space="preserve">    8.1 Bygninger og andre faste eiendommer</t>
  </si>
  <si>
    <t xml:space="preserve">    8.2 Datterforetak, tilknyttede foretak og felleskontrollerte foretak</t>
  </si>
  <si>
    <t xml:space="preserve">    8.3 Finansielle eiendeler som måles til amortisert kost</t>
  </si>
  <si>
    <t xml:space="preserve">         8.3.1 Investeringer som holdes til forfall</t>
  </si>
  <si>
    <t xml:space="preserve">         8.3.2 Utlån og fordringer</t>
  </si>
  <si>
    <t xml:space="preserve">    8.4 Finansielle eiendeler som måles til virkelig verdi</t>
  </si>
  <si>
    <t xml:space="preserve">         8.4.1 Aksjer og andeler (inkl. aksjer og andeler målt til kost)</t>
  </si>
  <si>
    <t xml:space="preserve">         8.4.2 Obligasjoner og andre verdipapirer med fast avkastning</t>
  </si>
  <si>
    <t xml:space="preserve">         8.4.3 Utlån og fordringer</t>
  </si>
  <si>
    <t xml:space="preserve">         8.4.4 Finansielle derivater</t>
  </si>
  <si>
    <t xml:space="preserve">         8.4.5 Andre finansielle eiendeler</t>
  </si>
  <si>
    <t xml:space="preserve">    Sum investeringer i investeringsvalgsporteføljen</t>
  </si>
  <si>
    <t>Sum eiendeler i kundeporteføljene</t>
  </si>
  <si>
    <t>SUM EIENDELER</t>
  </si>
  <si>
    <t>EGENKAPITAL OG FORPLIKTELSER</t>
  </si>
  <si>
    <t>10. Innskutt egenkapital</t>
  </si>
  <si>
    <t>11. Opptjent egenkapital</t>
  </si>
  <si>
    <t xml:space="preserve">    11.1 Risikoutjevningsfond</t>
  </si>
  <si>
    <t>12. Ansvarlig lånekapital mv.</t>
  </si>
  <si>
    <t>13. Forsikringsforpliktelser i livsforsikring - KF</t>
  </si>
  <si>
    <t xml:space="preserve">    13.1 Premiereserve</t>
  </si>
  <si>
    <t xml:space="preserve">    13.2 Tilleggsavsetninger</t>
  </si>
  <si>
    <t xml:space="preserve">    13.3 Kursreguleringsfond</t>
  </si>
  <si>
    <t xml:space="preserve">    Ufordelte overskuddsmidler til forsikringskontraktene</t>
  </si>
  <si>
    <t>Sum forsikringsforpliktelser i livsforsikring - KF</t>
  </si>
  <si>
    <t>14. Forsikringsforpliktelser i livsforsikring - SI</t>
  </si>
  <si>
    <t xml:space="preserve">    14.1 Premiereserve</t>
  </si>
  <si>
    <t>Sum forsikringsforpliktelser i livsforsikring - SI</t>
  </si>
  <si>
    <t>15. Avsetninger for forpliktelser</t>
  </si>
  <si>
    <t>16. Premiedepot fra gjenforsikringsselskaper</t>
  </si>
  <si>
    <t>17. Forpliktelser</t>
  </si>
  <si>
    <t>18. Påløpte kostnader og mottatte ikke opptjente inntekter</t>
  </si>
  <si>
    <t>SUM EGENKAPTAL OG FORPLIKTELSER</t>
  </si>
  <si>
    <t>Noter: Se "Noter og kommentarer"</t>
  </si>
  <si>
    <t>KF=Kontraktsfastsatte forpliktelser</t>
  </si>
  <si>
    <t>SI=Særskilt investeringsportefølje</t>
  </si>
  <si>
    <t>REGNSKAPSDEL</t>
  </si>
  <si>
    <t>Tabell 4</t>
  </si>
  <si>
    <t>Resultatregnskap - alle produkter</t>
  </si>
  <si>
    <t>Tabell 5.1</t>
  </si>
  <si>
    <t>Resultatanalyse - Individuell kapital og individuell pensjon - alle produkter</t>
  </si>
  <si>
    <t>Tabell 5.2</t>
  </si>
  <si>
    <t>Resultatanalyse - Kollektiv pensjon - alle produkter</t>
  </si>
  <si>
    <t>Tabell 5.3</t>
  </si>
  <si>
    <t>Resultatanalyse - Gruppeliv, ulykke o.a. og total - alle produkter</t>
  </si>
  <si>
    <t>Balanse - alle produkter</t>
  </si>
  <si>
    <t>Tabell 7a</t>
  </si>
  <si>
    <t>Spesifikasjon av post 12 - forsikringsforpliktelser - produkter uten investeringsvalg</t>
  </si>
  <si>
    <t>Tabell 7b</t>
  </si>
  <si>
    <t>Spesifikasjon post 13 forsikringsforpliktelser - produkter med investeringsvalg</t>
  </si>
  <si>
    <t>Tabell 8</t>
  </si>
  <si>
    <t>Diverse nøkkeltall - produkter uten investeringsvalg</t>
  </si>
  <si>
    <t>Totalt - alle produkter</t>
  </si>
  <si>
    <t>Tabell 2: Individuell  pensjonsforsikring, herunder foreningskollektiv</t>
  </si>
  <si>
    <t>Tabell 3: Gruppelivsforsikring</t>
  </si>
  <si>
    <t>Tabell 4: Privat kollektiv pensjonsforsikring, herunder fripoliser, pensjonskapitalbevis og pensjonsbevis</t>
  </si>
  <si>
    <t>* Brutto risiokopremie for invidiuell uførepensjon fremkommer i tabell 2.</t>
  </si>
  <si>
    <r>
      <t xml:space="preserve">Brutto risikopremie for individuell uførepensjon </t>
    </r>
    <r>
      <rPr>
        <vertAlign val="superscript"/>
        <sz val="10"/>
        <rFont val="Times New Roman"/>
        <family val="1"/>
      </rPr>
      <t>3</t>
    </r>
  </si>
  <si>
    <t>Brutto risikopremie rapporteres for produkter både med og uten sparing. Risikopremie for tilknyttede dekninger, som kritisk sykdom, ulykke m.m. skal ikke tas med. For Brutto risikopremie for individuell uførepensjon, se note 3.</t>
  </si>
  <si>
    <t xml:space="preserve">Risikopremie for individuell uførepensjon blir i noen selskap regnskapsført under Individuell kapital, mens den for de fleste regnskapsføres under Individuell pensjon. Brutto risikopremie for uførepensjon er derfor ikke en heravpost for verken Individuell kapital eller Individuell pensjon, men gjelder som en heravpost samlet for disse. </t>
  </si>
  <si>
    <t xml:space="preserve">Forsikringsforpliktelser i livsforsikring tilsvarer post 13 i balansen, ekskl. post 13.3 Kursreguleringsfond for produkter uten investeringsvalg og post 14 i balansen for produkter med investeringsvalg. Gjenforsikringsandel skal ikke tas hensyn til i markedsdelen. </t>
  </si>
  <si>
    <t>Herav fripoliser med investeringsvalg betraktes som innskuddsbasert.</t>
  </si>
  <si>
    <t>Innskuddspensjon er innskuddsbasert pensjon uten dødelighetsarv.</t>
  </si>
  <si>
    <t>Herav fripoliser, herav pensjonskapitalbevis og herav pensjonsbevis omfatter også fortsettelsesforsikringer. Herav-postene er uttrekk fra hovedpostene i tabellen Privat kollektiv pensjonsforsikring, uansett om det er Innenfor LOF/LOI eller Utenfor LOF/LOI - Livrenter.</t>
  </si>
  <si>
    <t>Gjelder ikke ordninger etter lov om tjenestepensjon</t>
  </si>
  <si>
    <r>
      <t xml:space="preserve">    Livrenter </t>
    </r>
    <r>
      <rPr>
        <vertAlign val="superscript"/>
        <sz val="10"/>
        <rFont val="Times New Roman"/>
        <family val="1"/>
      </rPr>
      <t>11</t>
    </r>
  </si>
  <si>
    <r>
      <t xml:space="preserve">    IPA </t>
    </r>
    <r>
      <rPr>
        <vertAlign val="superscript"/>
        <sz val="10"/>
        <rFont val="Times New Roman"/>
        <family val="1"/>
      </rPr>
      <t>11</t>
    </r>
  </si>
  <si>
    <r>
      <t xml:space="preserve">    IPS </t>
    </r>
    <r>
      <rPr>
        <vertAlign val="superscript"/>
        <sz val="10"/>
        <rFont val="Times New Roman"/>
        <family val="1"/>
      </rPr>
      <t>11</t>
    </r>
  </si>
  <si>
    <r>
      <t xml:space="preserve">Brutto forfalt premie - Foreningskollektiv </t>
    </r>
    <r>
      <rPr>
        <b/>
        <vertAlign val="superscript"/>
        <sz val="10"/>
        <rFont val="Times New Roman"/>
        <family val="1"/>
      </rPr>
      <t>1</t>
    </r>
  </si>
  <si>
    <r>
      <t xml:space="preserve">Forsikringsforpliktelser  - Foreningskollektiv </t>
    </r>
    <r>
      <rPr>
        <b/>
        <vertAlign val="superscript"/>
        <sz val="10"/>
        <rFont val="Times New Roman"/>
        <family val="1"/>
      </rPr>
      <t>5</t>
    </r>
  </si>
  <si>
    <r>
      <t xml:space="preserve">Overførte reserver fra andre - Foreningskollektiv </t>
    </r>
    <r>
      <rPr>
        <b/>
        <vertAlign val="superscript"/>
        <sz val="10"/>
        <rFont val="Times New Roman"/>
        <family val="1"/>
      </rPr>
      <t>6</t>
    </r>
  </si>
  <si>
    <r>
      <t xml:space="preserve">Overførte reserver til andre - Foreningskollektiv </t>
    </r>
    <r>
      <rPr>
        <b/>
        <vertAlign val="superscript"/>
        <sz val="10"/>
        <rFont val="Times New Roman"/>
        <family val="1"/>
      </rPr>
      <t>7</t>
    </r>
  </si>
  <si>
    <r>
      <t xml:space="preserve">    Bedrift </t>
    </r>
    <r>
      <rPr>
        <vertAlign val="superscript"/>
        <sz val="10"/>
        <rFont val="Times New Roman"/>
        <family val="1"/>
      </rPr>
      <t>8</t>
    </r>
  </si>
  <si>
    <r>
      <t xml:space="preserve">    Privat </t>
    </r>
    <r>
      <rPr>
        <vertAlign val="superscript"/>
        <sz val="10"/>
        <rFont val="Times New Roman"/>
        <family val="1"/>
      </rPr>
      <t>9</t>
    </r>
  </si>
  <si>
    <r>
      <t xml:space="preserve">Flytting fra andre </t>
    </r>
    <r>
      <rPr>
        <b/>
        <vertAlign val="superscript"/>
        <sz val="10"/>
        <rFont val="Times New Roman"/>
        <family val="1"/>
      </rPr>
      <t>10</t>
    </r>
  </si>
  <si>
    <r>
      <t xml:space="preserve">Flytting til andre </t>
    </r>
    <r>
      <rPr>
        <b/>
        <vertAlign val="superscript"/>
        <sz val="10"/>
        <rFont val="Times New Roman"/>
        <family val="1"/>
      </rPr>
      <t>10</t>
    </r>
  </si>
  <si>
    <r>
      <t xml:space="preserve">      Engangsbetalt </t>
    </r>
    <r>
      <rPr>
        <vertAlign val="superscript"/>
        <sz val="10"/>
        <rFont val="Times New Roman"/>
        <family val="1"/>
      </rPr>
      <t>12</t>
    </r>
  </si>
  <si>
    <r>
      <t xml:space="preserve">      Innskuddspensjon </t>
    </r>
    <r>
      <rPr>
        <vertAlign val="superscript"/>
        <sz val="10"/>
        <rFont val="Times New Roman"/>
        <family val="1"/>
      </rPr>
      <t>13</t>
    </r>
  </si>
  <si>
    <r>
      <t xml:space="preserve">  Innenfor LOF/LOI </t>
    </r>
    <r>
      <rPr>
        <vertAlign val="superscript"/>
        <sz val="10"/>
        <rFont val="Times New Roman"/>
        <family val="1"/>
      </rPr>
      <t>14</t>
    </r>
  </si>
  <si>
    <r>
      <t xml:space="preserve">  Herav fripoliser </t>
    </r>
    <r>
      <rPr>
        <vertAlign val="superscript"/>
        <sz val="10"/>
        <rFont val="Times New Roman"/>
        <family val="1"/>
      </rPr>
      <t>15</t>
    </r>
  </si>
  <si>
    <r>
      <t xml:space="preserve">  Herav pensjonskapitalbevis </t>
    </r>
    <r>
      <rPr>
        <vertAlign val="superscript"/>
        <sz val="10"/>
        <rFont val="Times New Roman"/>
        <family val="1"/>
      </rPr>
      <t>15</t>
    </r>
  </si>
  <si>
    <r>
      <t xml:space="preserve">  Herav pensjonsbevis</t>
    </r>
    <r>
      <rPr>
        <vertAlign val="superscript"/>
        <sz val="10"/>
        <rFont val="Times New Roman"/>
        <family val="1"/>
      </rPr>
      <t>15</t>
    </r>
  </si>
  <si>
    <r>
      <t xml:space="preserve">   Herav pensjonskapitalbevis </t>
    </r>
    <r>
      <rPr>
        <vertAlign val="superscript"/>
        <sz val="10"/>
        <rFont val="Times New Roman"/>
        <family val="1"/>
      </rPr>
      <t>15</t>
    </r>
  </si>
  <si>
    <r>
      <t xml:space="preserve">Brutto forfalt premie </t>
    </r>
    <r>
      <rPr>
        <b/>
        <vertAlign val="superscript"/>
        <sz val="10"/>
        <rFont val="Times New Roman"/>
        <family val="1"/>
      </rPr>
      <t>1, 16</t>
    </r>
  </si>
  <si>
    <r>
      <t xml:space="preserve">Forsikringsforpliktelser </t>
    </r>
    <r>
      <rPr>
        <b/>
        <vertAlign val="superscript"/>
        <sz val="10"/>
        <rFont val="Times New Roman"/>
        <family val="1"/>
      </rPr>
      <t>5, 16</t>
    </r>
  </si>
  <si>
    <r>
      <t xml:space="preserve">Overførte reserver fra andre </t>
    </r>
    <r>
      <rPr>
        <b/>
        <vertAlign val="superscript"/>
        <sz val="10"/>
        <rFont val="Times New Roman"/>
        <family val="1"/>
      </rPr>
      <t>6, 16</t>
    </r>
  </si>
  <si>
    <r>
      <t>Overførte reserver til andre</t>
    </r>
    <r>
      <rPr>
        <b/>
        <vertAlign val="superscript"/>
        <sz val="10"/>
        <rFont val="Times New Roman"/>
        <family val="1"/>
      </rPr>
      <t xml:space="preserve"> 7, 16</t>
    </r>
  </si>
  <si>
    <r>
      <t xml:space="preserve">  Utenfor LOF/LOI - Livrenter </t>
    </r>
    <r>
      <rPr>
        <vertAlign val="superscript"/>
        <sz val="10"/>
        <rFont val="Times New Roman"/>
        <family val="1"/>
      </rPr>
      <t>14,18</t>
    </r>
  </si>
  <si>
    <r>
      <t xml:space="preserve">  Herav fripoliser </t>
    </r>
    <r>
      <rPr>
        <vertAlign val="superscript"/>
        <sz val="10"/>
        <rFont val="Times New Roman"/>
        <family val="1"/>
      </rPr>
      <t>15,17</t>
    </r>
  </si>
  <si>
    <r>
      <t xml:space="preserve">   Herav fripoliser </t>
    </r>
    <r>
      <rPr>
        <vertAlign val="superscript"/>
        <sz val="10"/>
        <rFont val="Times New Roman"/>
        <family val="1"/>
      </rPr>
      <t>15,17</t>
    </r>
  </si>
  <si>
    <t>Regnskapsdel, endelig kvartal</t>
  </si>
  <si>
    <t>Resultatregnskap</t>
  </si>
  <si>
    <t xml:space="preserve">Totalt </t>
  </si>
  <si>
    <t>norske livselskaper</t>
  </si>
  <si>
    <t>alle livselskaper</t>
  </si>
  <si>
    <t xml:space="preserve">Beløp i millioner kroner </t>
  </si>
  <si>
    <t>TEKNISK REGNSKAP FOR LIVSFORSIKRING</t>
  </si>
  <si>
    <t>1. Premieinntekter f.e.r.</t>
  </si>
  <si>
    <t xml:space="preserve">    1.1 Forfalt premier, brutto</t>
  </si>
  <si>
    <t xml:space="preserve">    1.2 - Avgitte gjenforsikringspremier</t>
  </si>
  <si>
    <t xml:space="preserve">    1.3 Overføring av premiereserve fra andre selskap/kasser</t>
  </si>
  <si>
    <t xml:space="preserve">    Sum premieinntekter f.e.r.</t>
  </si>
  <si>
    <t>2. Netto inntekter fra investeringer i kollektivporteføljen</t>
  </si>
  <si>
    <t>3. Netto inntekter fra investeringer i investeringsvalgporteføljen</t>
  </si>
  <si>
    <t>4. Andre forsikringsrelaterte inntekter</t>
  </si>
  <si>
    <t>5. Erstatninger</t>
  </si>
  <si>
    <t xml:space="preserve">    5.1 Utbetalte erstatninger</t>
  </si>
  <si>
    <t>Sum erstatninger f.e.r.</t>
  </si>
  <si>
    <t>6. Resultatførte endringer i forsikringsforpliktelser - KF</t>
  </si>
  <si>
    <t xml:space="preserve">    6.1 Endring i premiereserve</t>
  </si>
  <si>
    <t xml:space="preserve">    6.2 Endring i tilleggsavsetninger</t>
  </si>
  <si>
    <t xml:space="preserve">    6.3 Endring i kursreguleringsfond</t>
  </si>
  <si>
    <t xml:space="preserve">    6.4 Endring i premie-, innskudds- og pensjonistenes overskuddsfond</t>
  </si>
  <si>
    <t xml:space="preserve">    6.5 Endring i tekniske avsetninger for skadeforsikringsvirksomhet</t>
  </si>
  <si>
    <t xml:space="preserve">    6.6 Overføring av tilleggsavsetninger fra andre fors.selskap/pensj.kasser</t>
  </si>
  <si>
    <t>Sum resultatførte endringer i forsikringsforpliktelser - KF</t>
  </si>
  <si>
    <t>7. Resultatførte endringer i forsikringsforpliktelser - SI</t>
  </si>
  <si>
    <t>8. Midler tilordnet forsikringskontrakter -KF</t>
  </si>
  <si>
    <t>9. Forsikringsrelaterte driftskostnader</t>
  </si>
  <si>
    <t>10. Andre forsikringsrelaterte kostnader</t>
  </si>
  <si>
    <t>11.Resultat av teknisk regnskap</t>
  </si>
  <si>
    <t>IKKE-TEKNISK REGNSKAP FOR LIVSFORSIKRING</t>
  </si>
  <si>
    <t>12. Netto inntekter fra investeringer i selskapsporteføljen</t>
  </si>
  <si>
    <t>13. Andre inntekter</t>
  </si>
  <si>
    <t>14. Forvaltningskostnader og andre kostnader knyttet til selskapsporteføljen</t>
  </si>
  <si>
    <t>15. Resultat av ikke-teknisk regnskap</t>
  </si>
  <si>
    <t>16. Resultat før skattekostnad</t>
  </si>
  <si>
    <t>17. Skattekostnader</t>
  </si>
  <si>
    <t>18. Resultat før andre resultatkomponenter</t>
  </si>
  <si>
    <t>19. Andre resultatkomponenter</t>
  </si>
  <si>
    <t>20. TOTALRESULTAT</t>
  </si>
  <si>
    <t>Overføringer og disponeringer</t>
  </si>
  <si>
    <t xml:space="preserve">    Overføringer</t>
  </si>
  <si>
    <t xml:space="preserve">        Mottatt konsernbidrag</t>
  </si>
  <si>
    <t xml:space="preserve">        Overført fra annen egenkapital</t>
  </si>
  <si>
    <t xml:space="preserve">    Sum overføringer</t>
  </si>
  <si>
    <t xml:space="preserve">    Disponeringer</t>
  </si>
  <si>
    <t xml:space="preserve">        Utbytte</t>
  </si>
  <si>
    <t xml:space="preserve">        Avgitt konsernbidrag</t>
  </si>
  <si>
    <t xml:space="preserve">        Overført til annen egenkapital</t>
  </si>
  <si>
    <t xml:space="preserve">    Sum disponeringer</t>
  </si>
  <si>
    <t>Sum overføringer og disponeringer</t>
  </si>
  <si>
    <t>Diverse nøkkeltall</t>
  </si>
  <si>
    <t>Avkastningstall (%)</t>
  </si>
  <si>
    <t>7. Gjenforsikringsandel av forsikringsforpliktelser i kollektivporteføljen</t>
  </si>
  <si>
    <t>9. Gjenforsikringsandel av forsikringsforpliktelser i investeringsvalgporteføljen</t>
  </si>
  <si>
    <t xml:space="preserve">Med kommunal kollektiv pensjon menes kollektive pensjonsordninger som definert i lov om forsikringsvirksomhet § 4-1 og § 4-2.   </t>
  </si>
  <si>
    <t>Tabell 1.3</t>
  </si>
  <si>
    <t>Hovedtall - aktivaposter</t>
  </si>
  <si>
    <t>Skjema total MA</t>
  </si>
  <si>
    <t>Tall pr. selskap - alle produkter</t>
  </si>
  <si>
    <t>Selskapsnavn</t>
  </si>
  <si>
    <r>
      <t>Kapitalavkastning I hittil i år</t>
    </r>
    <r>
      <rPr>
        <vertAlign val="superscript"/>
        <sz val="14"/>
        <rFont val="Times New Roman"/>
        <family val="1"/>
      </rPr>
      <t xml:space="preserve"> </t>
    </r>
  </si>
  <si>
    <t>Kapitalavkastning II hittil i år</t>
  </si>
  <si>
    <r>
      <t xml:space="preserve">Soliditetskapital </t>
    </r>
    <r>
      <rPr>
        <sz val="14"/>
        <rFont val="Times New Roman"/>
        <family val="1"/>
      </rPr>
      <t>(%)</t>
    </r>
  </si>
  <si>
    <t>Kursreguleringsfond</t>
  </si>
  <si>
    <t>Mer/mindre-verdier</t>
  </si>
  <si>
    <t xml:space="preserve">   Etter tjenestepensjonsloven - Uførepensjon</t>
  </si>
  <si>
    <t xml:space="preserve">   Etter tjenestepensjonsloven - Alderspensjon</t>
  </si>
  <si>
    <t xml:space="preserve">  Etter tjenestepensjonsloven - Uførepensjon</t>
  </si>
  <si>
    <t xml:space="preserve">  Etter tjenestepensjonsloven - Alderspensjon</t>
  </si>
  <si>
    <t>Brutto forfalt premie tilsvarer post 1.1 i resultatregnskapet, jf. forskrift til årsregnskap for livsforsikringsfortak.</t>
  </si>
  <si>
    <t>Overførte reserver til andre tilsvarer post 5.2 i resultatregnskapet.</t>
  </si>
  <si>
    <r>
      <t xml:space="preserve">   Kommunal kollektiv pensjon </t>
    </r>
    <r>
      <rPr>
        <vertAlign val="superscript"/>
        <sz val="14"/>
        <rFont val="Times New Roman"/>
        <family val="1"/>
      </rPr>
      <t>15)</t>
    </r>
  </si>
  <si>
    <r>
      <t xml:space="preserve">Forsikringsforpliktelser </t>
    </r>
    <r>
      <rPr>
        <vertAlign val="superscript"/>
        <sz val="14"/>
        <rFont val="Times New Roman"/>
        <family val="1"/>
      </rPr>
      <t>4)</t>
    </r>
  </si>
  <si>
    <r>
      <t xml:space="preserve">Overførte reserver fra andre </t>
    </r>
    <r>
      <rPr>
        <vertAlign val="superscript"/>
        <sz val="14"/>
        <rFont val="Times New Roman"/>
        <family val="1"/>
      </rPr>
      <t>5)</t>
    </r>
  </si>
  <si>
    <r>
      <t xml:space="preserve">Flytting fra andre </t>
    </r>
    <r>
      <rPr>
        <vertAlign val="superscript"/>
        <sz val="14"/>
        <rFont val="Times New Roman"/>
        <family val="1"/>
      </rPr>
      <t>9)</t>
    </r>
  </si>
  <si>
    <r>
      <t xml:space="preserve">Overførte reserver til andre </t>
    </r>
    <r>
      <rPr>
        <vertAlign val="superscript"/>
        <sz val="14"/>
        <rFont val="Times New Roman"/>
        <family val="1"/>
      </rPr>
      <t>6)</t>
    </r>
  </si>
  <si>
    <r>
      <t xml:space="preserve">Flytting til andre </t>
    </r>
    <r>
      <rPr>
        <vertAlign val="superscript"/>
        <sz val="14"/>
        <rFont val="Times New Roman"/>
        <family val="1"/>
      </rPr>
      <t>9)</t>
    </r>
  </si>
  <si>
    <r>
      <t xml:space="preserve">Netto overførte reserver fra andre </t>
    </r>
    <r>
      <rPr>
        <b/>
        <vertAlign val="superscript"/>
        <sz val="14"/>
        <rFont val="Times New Roman"/>
        <family val="1"/>
      </rPr>
      <t>9)</t>
    </r>
  </si>
  <si>
    <r>
      <t xml:space="preserve">Netto flytting fra andre </t>
    </r>
    <r>
      <rPr>
        <vertAlign val="superscript"/>
        <sz val="14"/>
        <rFont val="Times New Roman"/>
        <family val="1"/>
      </rPr>
      <t>9)</t>
    </r>
  </si>
  <si>
    <t>30.6.2016</t>
  </si>
  <si>
    <t>30.6.2017</t>
  </si>
  <si>
    <t/>
  </si>
  <si>
    <t xml:space="preserve">    ---- </t>
  </si>
  <si>
    <t>Figur 1  Brutto forfalt premie livprodukter  -  produkter uten investeringsvalg pr. 30.06.</t>
  </si>
  <si>
    <t>Figur 2  Brutto forfalt premie livprodukter  -  produkter med investeringsvalg pr. 30.06.</t>
  </si>
  <si>
    <t>Figur 3  Forsikringsforpliktelser i livsforsikring  -  produkter uten investeringsvalg pr. 30.06.</t>
  </si>
  <si>
    <t>Figur 4  Forsikringsforpliktelser i livsforsikring -  produkter med investeringsvalg pr. 30.06.</t>
  </si>
  <si>
    <t>Figur 5  Netto tilflytting livprodukter  -  produkter uten investeringsvalg pr. 30.06.</t>
  </si>
  <si>
    <t>Figur 6  Netto tilflytting livprodukter  -  produkter med investeringsvalg pr. 30.06.</t>
  </si>
  <si>
    <t>30.06.</t>
  </si>
  <si>
    <t xml:space="preserve">    13.4 Premiefond, innskuddsfond og pensjonistenes overskuddsfond</t>
  </si>
  <si>
    <t xml:space="preserve">    13.5 Andre tekniske avsetninger for skadeforsikringsvirksomheten</t>
  </si>
  <si>
    <t xml:space="preserve">    14.2 Tilleggsavsetninger</t>
  </si>
  <si>
    <t xml:space="preserve">    14.3 Premiefond, innskuddsfond og pensjonistenes overskuddsfond</t>
  </si>
  <si>
    <t xml:space="preserve">    5.2 Overføring av premieres., tilleggsavsetn. til andre selskap/kasser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</si>
</sst>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0.0"/>
    <numFmt numFmtId="165" formatCode="_ * #,##0_ ;_ * \-#,##0_ ;_ * &quot;-&quot;??_ ;_ @_ "/>
    <numFmt numFmtId="166" formatCode="dd/mm/yy;@"/>
    <numFmt numFmtId="167" formatCode="0;\-0;;@"/>
    <numFmt numFmtId="168" formatCode="0.0"/>
    <numFmt numFmtId="169" formatCode="#,##0_ ;\-#,##0\ "/>
    <numFmt numFmtId="170" formatCode="_ * #,##0_ ;_ * \-#,##0_ ;_ * &quot;&quot;??_ ;_ @_ "/>
    <numFmt numFmtId="171" formatCode="_ * #,##0.0_ ;_ * \-#,##0.0_ ;_ * &quot;&quot;??_ ;_ @_ "/>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12"/>
      <name val="Times New Roman"/>
      <family val="1"/>
    </font>
    <font>
      <b/>
      <sz val="10"/>
      <name val="Times New Roman"/>
      <family val="1"/>
    </font>
    <font>
      <b/>
      <sz val="9"/>
      <name val="Times New Roman"/>
      <family val="1"/>
    </font>
    <font>
      <sz val="10"/>
      <name val="Times New Roman"/>
      <family val="1"/>
    </font>
    <font>
      <sz val="10"/>
      <color rgb="FFFF0000"/>
      <name val="Times New Roman"/>
      <family val="1"/>
    </font>
    <font>
      <sz val="10"/>
      <name val="Arial"/>
      <family val="2"/>
    </font>
    <font>
      <b/>
      <vertAlign val="superscript"/>
      <sz val="10"/>
      <name val="Times New Roman"/>
      <family val="1"/>
    </font>
    <font>
      <sz val="12"/>
      <color rgb="FFFF0000"/>
      <name val="Times New Roman"/>
      <family val="1"/>
    </font>
    <font>
      <sz val="10"/>
      <color theme="1"/>
      <name val="Times New Roman"/>
      <family val="1"/>
    </font>
    <font>
      <i/>
      <sz val="10"/>
      <name val="Times New Roman"/>
      <family val="1"/>
    </font>
    <font>
      <vertAlign val="superscript"/>
      <sz val="10"/>
      <name val="Times New Roman"/>
      <family val="1"/>
    </font>
    <font>
      <sz val="10"/>
      <name val="Arial"/>
      <family val="2"/>
    </font>
    <font>
      <sz val="10"/>
      <color indexed="23"/>
      <name val="Arial"/>
      <family val="2"/>
    </font>
    <font>
      <sz val="18"/>
      <color indexed="23"/>
      <name val="Times New Roman"/>
      <family val="1"/>
    </font>
    <font>
      <b/>
      <sz val="28"/>
      <color rgb="FF3B6E8F"/>
      <name val="Cambria"/>
      <family val="1"/>
      <scheme val="major"/>
    </font>
    <font>
      <b/>
      <sz val="26"/>
      <color rgb="FF3B6E8F"/>
      <name val="Cambria"/>
      <family val="1"/>
      <scheme val="major"/>
    </font>
    <font>
      <sz val="14"/>
      <name val="Times New Roman"/>
      <family val="1"/>
    </font>
    <font>
      <sz val="12"/>
      <name val="Arial"/>
      <family val="2"/>
    </font>
    <font>
      <sz val="20"/>
      <color theme="1"/>
      <name val="Calibri"/>
      <family val="2"/>
      <scheme val="minor"/>
    </font>
    <font>
      <sz val="14"/>
      <color theme="1"/>
      <name val="Calibri"/>
      <family val="2"/>
      <scheme val="minor"/>
    </font>
    <font>
      <b/>
      <sz val="28"/>
      <color rgb="FF54758C"/>
      <name val="Arial"/>
      <family val="2"/>
    </font>
    <font>
      <sz val="26"/>
      <color rgb="FF54758C"/>
      <name val="Arial"/>
      <family val="2"/>
    </font>
    <font>
      <sz val="14"/>
      <name val="Arial"/>
      <family val="2"/>
    </font>
    <font>
      <sz val="14"/>
      <color indexed="23"/>
      <name val="Times New Roman"/>
      <family val="1"/>
    </font>
    <font>
      <sz val="20"/>
      <name val="Arial"/>
      <family val="2"/>
    </font>
    <font>
      <sz val="18"/>
      <name val="Times New Roman"/>
      <family val="1"/>
    </font>
    <font>
      <sz val="18"/>
      <name val="Arial"/>
      <family val="2"/>
    </font>
    <font>
      <b/>
      <sz val="16"/>
      <name val="Times New Roman"/>
      <family val="1"/>
    </font>
    <font>
      <sz val="16"/>
      <name val="Times New Roman"/>
      <family val="1"/>
    </font>
    <font>
      <u/>
      <sz val="10"/>
      <color indexed="12"/>
      <name val="Arial"/>
      <family val="2"/>
    </font>
    <font>
      <sz val="20"/>
      <name val="Times New Roman"/>
      <family val="1"/>
    </font>
    <font>
      <b/>
      <sz val="14"/>
      <name val="Times New Roman"/>
      <family val="1"/>
    </font>
    <font>
      <sz val="14"/>
      <color rgb="FFFF0000"/>
      <name val="Times New Roman"/>
      <family val="1"/>
    </font>
    <font>
      <vertAlign val="superscript"/>
      <sz val="14"/>
      <name val="Times New Roman"/>
      <family val="1"/>
    </font>
    <font>
      <b/>
      <i/>
      <sz val="12"/>
      <color indexed="63"/>
      <name val="Times New Roman"/>
      <family val="1"/>
    </font>
    <font>
      <b/>
      <sz val="10"/>
      <name val="Arial"/>
      <family val="2"/>
    </font>
    <font>
      <b/>
      <i/>
      <sz val="12"/>
      <name val="Times New Roman"/>
      <family val="1"/>
    </font>
    <font>
      <sz val="14"/>
      <color theme="1"/>
      <name val="Times New Roman"/>
      <family val="1"/>
    </font>
    <font>
      <sz val="14"/>
      <color rgb="FFFF0000"/>
      <name val="Arial"/>
      <family val="2"/>
    </font>
    <font>
      <b/>
      <sz val="14"/>
      <name val="Arial"/>
      <family val="2"/>
    </font>
    <font>
      <b/>
      <vertAlign val="superscript"/>
      <sz val="14"/>
      <name val="Times New Roman"/>
      <family val="1"/>
    </font>
    <font>
      <sz val="11"/>
      <name val="Calibri"/>
      <family val="2"/>
      <scheme val="minor"/>
    </font>
    <font>
      <b/>
      <sz val="10"/>
      <color rgb="FFFF0000"/>
      <name val="Times New Roman"/>
      <family val="1"/>
    </font>
    <font>
      <b/>
      <sz val="16"/>
      <color indexed="10"/>
      <name val="Times New Roman"/>
      <family val="1"/>
    </font>
    <font>
      <b/>
      <sz val="14"/>
      <color indexed="8"/>
      <name val="Times New Roman"/>
      <family val="1"/>
    </font>
    <font>
      <b/>
      <sz val="10"/>
      <color indexed="8"/>
      <name val="Times New Roman"/>
      <family val="1"/>
    </font>
    <font>
      <b/>
      <sz val="14"/>
      <color indexed="63"/>
      <name val="Times New Roman"/>
      <family val="1"/>
    </font>
    <font>
      <sz val="14"/>
      <color indexed="10"/>
      <name val="Times New Roman"/>
      <family val="1"/>
    </font>
    <font>
      <b/>
      <sz val="14"/>
      <color indexed="10"/>
      <name val="Times New Roman"/>
      <family val="1"/>
    </font>
    <font>
      <sz val="20"/>
      <color rgb="FFFF0000"/>
      <name val="Times New Roman"/>
      <family val="1"/>
    </font>
    <font>
      <sz val="20"/>
      <color rgb="FFFF0000"/>
      <name val="Arial"/>
      <family val="2"/>
    </font>
    <font>
      <sz val="16"/>
      <color theme="1"/>
      <name val="Times New Roman"/>
      <family val="1"/>
    </font>
    <font>
      <b/>
      <sz val="10"/>
      <color theme="1"/>
      <name val="Times New Roman"/>
      <family val="1"/>
    </font>
    <font>
      <sz val="12"/>
      <color theme="1"/>
      <name val="Times New Roman"/>
      <family val="1"/>
    </font>
    <font>
      <b/>
      <sz val="14"/>
      <color rgb="FFFF0000"/>
      <name val="Times New Roman"/>
      <family val="1"/>
    </font>
    <font>
      <u/>
      <sz val="12"/>
      <name val="Times New Roman"/>
      <family val="1"/>
    </font>
    <font>
      <b/>
      <sz val="12"/>
      <color rgb="FFFF0000"/>
      <name val="Times New Roman"/>
      <family val="1"/>
    </font>
    <font>
      <sz val="10"/>
      <color theme="0"/>
      <name val="Times New Roman"/>
      <family val="1"/>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rgb="FFFFFFCC"/>
      </patternFill>
    </fill>
    <fill>
      <patternFill patternType="solid">
        <fgColor theme="7" tint="0.59999389629810485"/>
        <bgColor indexed="65"/>
      </patternFill>
    </fill>
    <fill>
      <patternFill patternType="solid">
        <fgColor theme="5" tint="0.79998168889431442"/>
        <bgColor indexed="65"/>
      </patternFill>
    </fill>
    <fill>
      <patternFill patternType="solid">
        <fgColor theme="2"/>
        <bgColor indexed="64"/>
      </patternFill>
    </fill>
    <fill>
      <patternFill patternType="solid">
        <fgColor rgb="FFFFFF00"/>
        <bgColor indexed="64"/>
      </patternFill>
    </fill>
    <fill>
      <patternFill patternType="solid">
        <fgColor indexed="9"/>
        <bgColor indexed="9"/>
      </patternFill>
    </fill>
    <fill>
      <patternFill patternType="solid">
        <fgColor theme="4" tint="0.79995117038483843"/>
        <bgColor indexed="64"/>
      </patternFill>
    </fill>
  </fills>
  <borders count="17">
    <border>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848">
    <xf numFmtId="0" fontId="0" fillId="0" borderId="0"/>
    <xf numFmtId="0" fontId="19" fillId="0" borderId="0"/>
    <xf numFmtId="43" fontId="25" fillId="0" borderId="0" applyFont="0" applyFill="0" applyBorder="0" applyAlignment="0" applyProtection="0"/>
    <xf numFmtId="0" fontId="43" fillId="0" borderId="0" applyNumberFormat="0" applyFill="0" applyBorder="0" applyAlignment="0" applyProtection="0">
      <alignment vertical="top"/>
      <protection locked="0"/>
    </xf>
    <xf numFmtId="0" fontId="12" fillId="0" borderId="0"/>
    <xf numFmtId="0" fontId="19" fillId="0" borderId="0"/>
    <xf numFmtId="0" fontId="11" fillId="0" borderId="0"/>
    <xf numFmtId="0" fontId="19" fillId="0" borderId="0"/>
    <xf numFmtId="0" fontId="10" fillId="0" borderId="0"/>
    <xf numFmtId="0" fontId="19" fillId="0" borderId="0"/>
    <xf numFmtId="0" fontId="25" fillId="0" borderId="0"/>
    <xf numFmtId="0" fontId="10"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0" fillId="0" borderId="0" applyFont="0" applyFill="0" applyBorder="0" applyAlignment="0" applyProtection="0"/>
    <xf numFmtId="43" fontId="19" fillId="0" borderId="0" applyFont="0" applyFill="0" applyBorder="0" applyAlignment="0" applyProtection="0"/>
    <xf numFmtId="0" fontId="10" fillId="0" borderId="0"/>
    <xf numFmtId="0" fontId="19" fillId="0" borderId="0"/>
    <xf numFmtId="0" fontId="19" fillId="0" borderId="0"/>
    <xf numFmtId="43" fontId="19"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9"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6" borderId="0" applyNumberFormat="0" applyBorder="0" applyAlignment="0" applyProtection="0"/>
    <xf numFmtId="0" fontId="19" fillId="0" borderId="0"/>
    <xf numFmtId="43" fontId="19"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9"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9" fillId="0" borderId="0"/>
    <xf numFmtId="43" fontId="19"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6"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9" fillId="5" borderId="16" applyNumberFormat="0" applyFont="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43" fontId="25" fillId="0" borderId="0" applyFont="0" applyFill="0" applyBorder="0" applyAlignment="0" applyProtection="0"/>
    <xf numFmtId="0" fontId="10"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6"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6"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6" borderId="0" applyNumberFormat="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6" borderId="0" applyNumberFormat="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6"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6"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6"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6"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6"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6"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6"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6"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6"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6"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2" fillId="0" borderId="0"/>
    <xf numFmtId="0" fontId="2"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2" fillId="0" borderId="0"/>
    <xf numFmtId="43" fontId="19"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6" borderId="0" applyNumberFormat="0" applyBorder="0" applyAlignment="0" applyProtection="0"/>
    <xf numFmtId="43" fontId="19"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9"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6"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 fillId="7" borderId="0" applyNumberFormat="0" applyBorder="0" applyAlignment="0" applyProtection="0"/>
    <xf numFmtId="170" fontId="15" fillId="0" borderId="7" applyFont="0" applyFill="0" applyBorder="0" applyAlignment="0" applyProtection="0">
      <alignment horizontal="right"/>
    </xf>
    <xf numFmtId="0" fontId="19" fillId="0" borderId="0"/>
    <xf numFmtId="43" fontId="19" fillId="0" borderId="0" applyFont="0" applyFill="0" applyBorder="0" applyAlignment="0" applyProtection="0"/>
  </cellStyleXfs>
  <cellXfs count="702">
    <xf numFmtId="0" fontId="0" fillId="0" borderId="0" xfId="0"/>
    <xf numFmtId="0" fontId="17" fillId="0" borderId="0" xfId="1" applyFont="1"/>
    <xf numFmtId="0" fontId="23" fillId="0" borderId="0" xfId="1" applyFont="1"/>
    <xf numFmtId="0" fontId="17" fillId="0" borderId="0" xfId="1" applyFont="1" applyFill="1"/>
    <xf numFmtId="0" fontId="17" fillId="0" borderId="0" xfId="1" applyFont="1" applyBorder="1"/>
    <xf numFmtId="49" fontId="17" fillId="0" borderId="0" xfId="1" applyNumberFormat="1" applyFont="1" applyFill="1" applyBorder="1" applyAlignment="1">
      <alignment horizontal="center"/>
    </xf>
    <xf numFmtId="164" fontId="17" fillId="0" borderId="0" xfId="1" applyNumberFormat="1" applyFont="1" applyFill="1" applyBorder="1"/>
    <xf numFmtId="0" fontId="17" fillId="0" borderId="0" xfId="1" applyFont="1" applyFill="1" applyBorder="1"/>
    <xf numFmtId="0" fontId="17" fillId="0" borderId="0" xfId="1" applyFont="1" applyFill="1" applyAlignment="1">
      <alignment horizontal="left"/>
    </xf>
    <xf numFmtId="164" fontId="15" fillId="3" borderId="5" xfId="1" applyNumberFormat="1" applyFont="1" applyFill="1" applyBorder="1" applyAlignment="1">
      <alignment horizontal="right"/>
    </xf>
    <xf numFmtId="0" fontId="17" fillId="0" borderId="6" xfId="1" applyFont="1" applyBorder="1"/>
    <xf numFmtId="164" fontId="15" fillId="3" borderId="2" xfId="1" applyNumberFormat="1" applyFont="1" applyFill="1" applyBorder="1" applyAlignment="1">
      <alignment horizontal="right"/>
    </xf>
    <xf numFmtId="0" fontId="15" fillId="0" borderId="4" xfId="1" applyFont="1" applyBorder="1"/>
    <xf numFmtId="0" fontId="15" fillId="0" borderId="3" xfId="1" applyFont="1" applyBorder="1"/>
    <xf numFmtId="0" fontId="15" fillId="0" borderId="7" xfId="1" applyFont="1" applyBorder="1"/>
    <xf numFmtId="0" fontId="15" fillId="0" borderId="6" xfId="1" applyFont="1" applyBorder="1" applyAlignment="1">
      <alignment horizontal="center"/>
    </xf>
    <xf numFmtId="0" fontId="15" fillId="0" borderId="11" xfId="1" applyFont="1" applyBorder="1" applyAlignment="1">
      <alignment horizontal="center"/>
    </xf>
    <xf numFmtId="0" fontId="15" fillId="0" borderId="5" xfId="1" applyFont="1" applyBorder="1" applyAlignment="1">
      <alignment horizontal="center"/>
    </xf>
    <xf numFmtId="0" fontId="15" fillId="0" borderId="11" xfId="1" applyFont="1" applyBorder="1"/>
    <xf numFmtId="0" fontId="15" fillId="0" borderId="7" xfId="1" applyFont="1" applyBorder="1" applyAlignment="1">
      <alignment horizontal="center"/>
    </xf>
    <xf numFmtId="14" fontId="16" fillId="0" borderId="4" xfId="1" applyNumberFormat="1" applyFont="1" applyBorder="1" applyAlignment="1">
      <alignment horizontal="center"/>
    </xf>
    <xf numFmtId="0" fontId="17" fillId="0" borderId="3" xfId="1" applyFont="1" applyBorder="1"/>
    <xf numFmtId="164" fontId="17" fillId="3" borderId="6" xfId="1" applyNumberFormat="1" applyFont="1" applyFill="1" applyBorder="1" applyAlignment="1">
      <alignment horizontal="right"/>
    </xf>
    <xf numFmtId="164" fontId="17" fillId="3" borderId="3" xfId="1" applyNumberFormat="1" applyFont="1" applyFill="1" applyBorder="1" applyAlignment="1">
      <alignment horizontal="right"/>
    </xf>
    <xf numFmtId="164" fontId="15" fillId="3" borderId="3" xfId="1" applyNumberFormat="1" applyFont="1" applyFill="1" applyBorder="1" applyAlignment="1">
      <alignment horizontal="right"/>
    </xf>
    <xf numFmtId="164" fontId="17" fillId="0" borderId="0" xfId="1" applyNumberFormat="1" applyFont="1" applyBorder="1"/>
    <xf numFmtId="3" fontId="17" fillId="0" borderId="0" xfId="1" applyNumberFormat="1" applyFont="1" applyBorder="1"/>
    <xf numFmtId="164" fontId="17" fillId="3" borderId="2" xfId="1" applyNumberFormat="1" applyFont="1" applyFill="1" applyBorder="1" applyAlignment="1">
      <alignment horizontal="right"/>
    </xf>
    <xf numFmtId="0" fontId="14" fillId="0" borderId="0" xfId="1" applyFont="1"/>
    <xf numFmtId="0" fontId="21" fillId="0" borderId="0" xfId="1" applyFont="1"/>
    <xf numFmtId="0" fontId="14" fillId="0" borderId="0" xfId="1" applyFont="1" applyFill="1"/>
    <xf numFmtId="0" fontId="14" fillId="0" borderId="0" xfId="1" applyFont="1" applyFill="1" applyBorder="1"/>
    <xf numFmtId="164" fontId="15" fillId="0" borderId="0" xfId="1" applyNumberFormat="1" applyFont="1" applyFill="1" applyBorder="1" applyAlignment="1">
      <alignment horizontal="right"/>
    </xf>
    <xf numFmtId="3" fontId="17" fillId="0" borderId="0" xfId="1" applyNumberFormat="1" applyFont="1" applyFill="1" applyBorder="1" applyAlignment="1">
      <alignment horizontal="center"/>
    </xf>
    <xf numFmtId="164" fontId="17" fillId="0" borderId="0" xfId="1" applyNumberFormat="1" applyFont="1" applyFill="1" applyBorder="1" applyAlignment="1">
      <alignment horizontal="right"/>
    </xf>
    <xf numFmtId="49" fontId="17" fillId="0" borderId="0" xfId="1" applyNumberFormat="1" applyFont="1" applyFill="1" applyBorder="1" applyAlignment="1">
      <alignment horizontal="right"/>
    </xf>
    <xf numFmtId="164" fontId="15" fillId="3" borderId="6" xfId="1" applyNumberFormat="1" applyFont="1" applyFill="1" applyBorder="1" applyAlignment="1">
      <alignment horizontal="right"/>
    </xf>
    <xf numFmtId="3" fontId="17" fillId="0" borderId="0" xfId="1" quotePrefix="1" applyNumberFormat="1" applyFont="1" applyFill="1" applyBorder="1" applyAlignment="1">
      <alignment horizontal="center"/>
    </xf>
    <xf numFmtId="0" fontId="17" fillId="0" borderId="3" xfId="1" applyFont="1" applyFill="1" applyBorder="1"/>
    <xf numFmtId="0" fontId="15" fillId="0" borderId="3" xfId="1" applyFont="1" applyFill="1" applyBorder="1"/>
    <xf numFmtId="0" fontId="15" fillId="0" borderId="0" xfId="1" applyFont="1" applyFill="1" applyBorder="1" applyAlignment="1">
      <alignment horizontal="center"/>
    </xf>
    <xf numFmtId="0" fontId="15" fillId="0" borderId="6" xfId="1" applyFont="1" applyBorder="1"/>
    <xf numFmtId="14" fontId="16" fillId="0" borderId="0" xfId="1" applyNumberFormat="1" applyFont="1" applyFill="1" applyBorder="1" applyAlignment="1">
      <alignment horizontal="center"/>
    </xf>
    <xf numFmtId="0" fontId="15" fillId="0" borderId="0" xfId="1" applyFont="1"/>
    <xf numFmtId="3" fontId="17" fillId="0" borderId="3" xfId="1" applyNumberFormat="1" applyFont="1" applyFill="1" applyBorder="1" applyAlignment="1">
      <alignment horizontal="right"/>
    </xf>
    <xf numFmtId="3" fontId="17" fillId="0" borderId="6" xfId="1" applyNumberFormat="1" applyFont="1" applyFill="1" applyBorder="1" applyAlignment="1">
      <alignment horizontal="right"/>
    </xf>
    <xf numFmtId="0" fontId="17" fillId="0" borderId="6" xfId="1" applyFont="1" applyFill="1" applyBorder="1"/>
    <xf numFmtId="0" fontId="15" fillId="0" borderId="0" xfId="1" applyFont="1" applyBorder="1"/>
    <xf numFmtId="3" fontId="18" fillId="0" borderId="0" xfId="1" applyNumberFormat="1" applyFont="1" applyFill="1" applyBorder="1" applyAlignment="1">
      <alignment horizontal="right"/>
    </xf>
    <xf numFmtId="0" fontId="17" fillId="0" borderId="4" xfId="1" applyFont="1" applyFill="1" applyBorder="1"/>
    <xf numFmtId="0" fontId="17" fillId="0" borderId="0" xfId="1" applyFont="1" applyFill="1" applyAlignment="1">
      <alignment horizontal="right"/>
    </xf>
    <xf numFmtId="0" fontId="19" fillId="0" borderId="0" xfId="1"/>
    <xf numFmtId="0" fontId="26" fillId="0" borderId="0" xfId="1" applyFont="1"/>
    <xf numFmtId="0" fontId="0" fillId="0" borderId="0" xfId="1" applyFont="1"/>
    <xf numFmtId="0" fontId="27" fillId="0" borderId="0" xfId="1" applyFont="1" applyAlignment="1">
      <alignment horizontal="right"/>
    </xf>
    <xf numFmtId="0" fontId="28" fillId="0" borderId="0" xfId="1" applyFont="1" applyAlignment="1">
      <alignment horizontal="left"/>
    </xf>
    <xf numFmtId="0" fontId="29" fillId="0" borderId="0" xfId="1" applyFont="1" applyAlignment="1">
      <alignment horizontal="left"/>
    </xf>
    <xf numFmtId="0" fontId="30" fillId="0" borderId="0" xfId="1" applyFont="1" applyAlignment="1">
      <alignment horizontal="left"/>
    </xf>
    <xf numFmtId="0" fontId="31" fillId="0" borderId="0" xfId="1" applyFont="1" applyAlignment="1">
      <alignment horizontal="right"/>
    </xf>
    <xf numFmtId="0" fontId="19" fillId="0" borderId="0" xfId="1" applyAlignment="1">
      <alignment horizontal="right"/>
    </xf>
    <xf numFmtId="0" fontId="32" fillId="0" borderId="0" xfId="1" applyFont="1" applyAlignment="1">
      <alignment horizontal="left"/>
    </xf>
    <xf numFmtId="14" fontId="33" fillId="0" borderId="0" xfId="1" applyNumberFormat="1" applyFont="1" applyAlignment="1">
      <alignment horizontal="left"/>
    </xf>
    <xf numFmtId="0" fontId="33" fillId="0" borderId="0" xfId="1" applyFont="1" applyAlignment="1">
      <alignment horizontal="left"/>
    </xf>
    <xf numFmtId="0" fontId="34" fillId="0" borderId="0" xfId="1" applyFont="1" applyAlignment="1">
      <alignment vertical="center"/>
    </xf>
    <xf numFmtId="0" fontId="35" fillId="0" borderId="0" xfId="1" applyFont="1" applyAlignment="1">
      <alignment vertical="center"/>
    </xf>
    <xf numFmtId="0" fontId="36" fillId="0" borderId="0" xfId="1" applyFont="1"/>
    <xf numFmtId="14" fontId="37" fillId="0" borderId="0" xfId="1" applyNumberFormat="1" applyFont="1"/>
    <xf numFmtId="0" fontId="38" fillId="0" borderId="0" xfId="0" applyFont="1"/>
    <xf numFmtId="0" fontId="39" fillId="0" borderId="0" xfId="0" applyFont="1"/>
    <xf numFmtId="0" fontId="40" fillId="0" borderId="0" xfId="0" applyFont="1"/>
    <xf numFmtId="0" fontId="42" fillId="0" borderId="0" xfId="0" applyFont="1"/>
    <xf numFmtId="0" fontId="42" fillId="0" borderId="0" xfId="3" applyFont="1" applyAlignment="1" applyProtection="1"/>
    <xf numFmtId="0" fontId="44" fillId="0" borderId="0" xfId="0" applyFont="1"/>
    <xf numFmtId="0" fontId="17" fillId="0" borderId="0" xfId="3" applyFont="1" applyFill="1" applyAlignment="1" applyProtection="1"/>
    <xf numFmtId="0" fontId="30" fillId="0" borderId="0" xfId="0" applyFont="1"/>
    <xf numFmtId="0" fontId="45" fillId="0" borderId="0" xfId="0" applyFont="1"/>
    <xf numFmtId="0" fontId="46" fillId="0" borderId="0" xfId="0" applyFont="1"/>
    <xf numFmtId="3" fontId="30" fillId="0" borderId="0" xfId="0" applyNumberFormat="1" applyFont="1"/>
    <xf numFmtId="3" fontId="30" fillId="0" borderId="0" xfId="0" applyNumberFormat="1" applyFont="1" applyFill="1"/>
    <xf numFmtId="0" fontId="30" fillId="0" borderId="0" xfId="0" applyFont="1" applyFill="1"/>
    <xf numFmtId="0" fontId="41" fillId="0" borderId="0" xfId="0" applyFont="1"/>
    <xf numFmtId="0" fontId="36" fillId="0" borderId="0" xfId="0" applyFont="1"/>
    <xf numFmtId="14" fontId="13" fillId="0" borderId="13" xfId="0" applyNumberFormat="1" applyFont="1" applyFill="1" applyBorder="1" applyAlignment="1">
      <alignment horizontal="left"/>
    </xf>
    <xf numFmtId="0" fontId="30" fillId="0" borderId="10" xfId="0" applyFont="1" applyBorder="1"/>
    <xf numFmtId="0" fontId="30" fillId="0" borderId="8" xfId="0" applyFont="1" applyBorder="1"/>
    <xf numFmtId="0" fontId="30" fillId="0" borderId="9" xfId="0" applyFont="1" applyBorder="1"/>
    <xf numFmtId="0" fontId="30" fillId="0" borderId="3" xfId="0" applyFont="1" applyBorder="1"/>
    <xf numFmtId="0" fontId="17" fillId="0" borderId="0" xfId="0" applyFont="1"/>
    <xf numFmtId="3" fontId="45" fillId="0" borderId="7" xfId="0" applyNumberFormat="1" applyFont="1" applyFill="1" applyBorder="1"/>
    <xf numFmtId="0" fontId="45" fillId="0" borderId="0" xfId="0" applyFont="1" applyBorder="1" applyAlignment="1">
      <alignment horizontal="center"/>
    </xf>
    <xf numFmtId="0" fontId="45" fillId="0" borderId="3" xfId="0" applyFont="1" applyBorder="1" applyAlignment="1">
      <alignment horizontal="center"/>
    </xf>
    <xf numFmtId="3" fontId="45" fillId="0" borderId="3" xfId="0" applyNumberFormat="1" applyFont="1" applyFill="1" applyBorder="1"/>
    <xf numFmtId="0" fontId="15" fillId="0" borderId="4" xfId="0" applyFont="1" applyBorder="1" applyAlignment="1">
      <alignment horizontal="center"/>
    </xf>
    <xf numFmtId="0" fontId="15" fillId="0" borderId="1" xfId="0" applyFont="1" applyBorder="1" applyAlignment="1">
      <alignment horizontal="center"/>
    </xf>
    <xf numFmtId="0" fontId="15" fillId="0" borderId="7" xfId="0" applyFont="1" applyBorder="1" applyAlignment="1">
      <alignment horizontal="center"/>
    </xf>
    <xf numFmtId="0" fontId="15" fillId="0" borderId="3" xfId="0" applyFont="1" applyBorder="1" applyAlignment="1">
      <alignment horizontal="center"/>
    </xf>
    <xf numFmtId="3" fontId="48" fillId="4" borderId="6" xfId="0" applyNumberFormat="1" applyFont="1" applyFill="1" applyBorder="1"/>
    <xf numFmtId="0" fontId="13" fillId="0" borderId="11" xfId="0" applyFont="1" applyBorder="1" applyAlignment="1">
      <alignment horizontal="center"/>
    </xf>
    <xf numFmtId="0" fontId="15" fillId="0" borderId="11" xfId="0" applyFont="1" applyBorder="1" applyAlignment="1">
      <alignment horizontal="center"/>
    </xf>
    <xf numFmtId="0" fontId="15" fillId="0" borderId="6" xfId="0" applyFont="1" applyBorder="1" applyAlignment="1">
      <alignment horizontal="center"/>
    </xf>
    <xf numFmtId="0" fontId="15" fillId="0" borderId="0" xfId="0" applyFont="1" applyBorder="1" applyAlignment="1">
      <alignment horizontal="center"/>
    </xf>
    <xf numFmtId="0" fontId="45" fillId="0" borderId="3" xfId="0" applyFont="1" applyBorder="1"/>
    <xf numFmtId="0" fontId="30" fillId="0" borderId="1" xfId="0" applyFont="1" applyBorder="1"/>
    <xf numFmtId="3" fontId="30" fillId="0" borderId="4" xfId="0" applyNumberFormat="1" applyFont="1" applyBorder="1"/>
    <xf numFmtId="3" fontId="30" fillId="0" borderId="4" xfId="0" applyNumberFormat="1" applyFont="1" applyBorder="1" applyAlignment="1">
      <alignment horizontal="right"/>
    </xf>
    <xf numFmtId="3" fontId="30" fillId="0" borderId="4" xfId="0" applyNumberFormat="1" applyFont="1" applyFill="1" applyBorder="1"/>
    <xf numFmtId="3" fontId="30" fillId="0" borderId="4" xfId="0" applyNumberFormat="1" applyFont="1" applyFill="1" applyBorder="1" applyAlignment="1">
      <alignment horizontal="right"/>
    </xf>
    <xf numFmtId="0" fontId="30" fillId="0" borderId="3" xfId="0" applyFont="1" applyFill="1" applyBorder="1"/>
    <xf numFmtId="0" fontId="30" fillId="0" borderId="4" xfId="0" applyFont="1" applyFill="1" applyBorder="1"/>
    <xf numFmtId="3" fontId="45" fillId="0" borderId="4" xfId="0" applyNumberFormat="1" applyFont="1" applyBorder="1"/>
    <xf numFmtId="3" fontId="45" fillId="0" borderId="4" xfId="0" applyNumberFormat="1" applyFont="1" applyBorder="1" applyAlignment="1">
      <alignment horizontal="right"/>
    </xf>
    <xf numFmtId="0" fontId="15" fillId="0" borderId="0" xfId="0" applyFont="1"/>
    <xf numFmtId="0" fontId="30" fillId="0" borderId="0" xfId="0" applyFont="1" applyBorder="1"/>
    <xf numFmtId="0" fontId="45" fillId="0" borderId="6" xfId="0" applyFont="1" applyBorder="1"/>
    <xf numFmtId="3" fontId="45" fillId="0" borderId="11" xfId="0" applyNumberFormat="1" applyFont="1" applyBorder="1"/>
    <xf numFmtId="3" fontId="45" fillId="0" borderId="11" xfId="0" applyNumberFormat="1" applyFont="1" applyBorder="1" applyAlignment="1">
      <alignment horizontal="right"/>
    </xf>
    <xf numFmtId="0" fontId="30" fillId="0" borderId="0" xfId="0" applyFont="1" applyAlignment="1">
      <alignment horizontal="left"/>
    </xf>
    <xf numFmtId="0" fontId="45" fillId="0" borderId="0" xfId="0" applyFont="1" applyAlignment="1">
      <alignment horizontal="left"/>
    </xf>
    <xf numFmtId="0" fontId="30" fillId="0" borderId="14" xfId="0" applyFont="1" applyBorder="1"/>
    <xf numFmtId="0" fontId="30" fillId="0" borderId="15" xfId="0" applyFont="1" applyBorder="1"/>
    <xf numFmtId="166" fontId="45" fillId="0" borderId="7" xfId="0" applyNumberFormat="1" applyFont="1" applyBorder="1" applyAlignment="1">
      <alignment horizontal="left"/>
    </xf>
    <xf numFmtId="0" fontId="45" fillId="0" borderId="2" xfId="0" applyFont="1" applyBorder="1" applyAlignment="1">
      <alignment horizontal="center"/>
    </xf>
    <xf numFmtId="166" fontId="45" fillId="0" borderId="3" xfId="0" applyNumberFormat="1" applyFont="1" applyBorder="1" applyAlignment="1">
      <alignment horizontal="left"/>
    </xf>
    <xf numFmtId="0" fontId="45" fillId="0" borderId="4" xfId="0" applyFont="1" applyBorder="1" applyAlignment="1">
      <alignment horizontal="center"/>
    </xf>
    <xf numFmtId="0" fontId="45" fillId="0" borderId="1" xfId="0" applyFont="1" applyBorder="1" applyAlignment="1">
      <alignment horizontal="center"/>
    </xf>
    <xf numFmtId="0" fontId="15" fillId="0" borderId="2" xfId="0" applyFont="1" applyBorder="1" applyAlignment="1">
      <alignment horizontal="center"/>
    </xf>
    <xf numFmtId="166" fontId="50" fillId="0" borderId="6" xfId="0" applyNumberFormat="1" applyFont="1" applyBorder="1" applyAlignment="1">
      <alignment horizontal="left"/>
    </xf>
    <xf numFmtId="0" fontId="13" fillId="0" borderId="6" xfId="0" applyFont="1" applyBorder="1" applyAlignment="1">
      <alignment horizontal="center"/>
    </xf>
    <xf numFmtId="0" fontId="15" fillId="0" borderId="12" xfId="0" applyFont="1" applyBorder="1" applyAlignment="1">
      <alignment horizontal="center"/>
    </xf>
    <xf numFmtId="3" fontId="30" fillId="0" borderId="1" xfId="0" applyNumberFormat="1" applyFont="1" applyBorder="1"/>
    <xf numFmtId="3" fontId="30" fillId="0" borderId="2" xfId="0" applyNumberFormat="1" applyFont="1" applyBorder="1"/>
    <xf numFmtId="3" fontId="51" fillId="0" borderId="4" xfId="0" applyNumberFormat="1" applyFont="1" applyFill="1" applyBorder="1" applyAlignment="1">
      <alignment horizontal="right"/>
    </xf>
    <xf numFmtId="0" fontId="46" fillId="0" borderId="0" xfId="0" applyFont="1" applyFill="1"/>
    <xf numFmtId="0" fontId="52" fillId="0" borderId="0" xfId="0" applyFont="1" applyFill="1"/>
    <xf numFmtId="3" fontId="53" fillId="0" borderId="0" xfId="0" applyNumberFormat="1" applyFont="1"/>
    <xf numFmtId="0" fontId="53" fillId="0" borderId="0" xfId="0" applyFont="1"/>
    <xf numFmtId="0" fontId="53" fillId="0" borderId="0" xfId="0" applyFont="1" applyFill="1"/>
    <xf numFmtId="0" fontId="45" fillId="0" borderId="4" xfId="0" applyFont="1" applyBorder="1"/>
    <xf numFmtId="3" fontId="45" fillId="0" borderId="0" xfId="0" applyNumberFormat="1" applyFont="1" applyBorder="1" applyAlignment="1">
      <alignment horizontal="right"/>
    </xf>
    <xf numFmtId="3" fontId="30" fillId="0" borderId="0" xfId="0" applyNumberFormat="1" applyFont="1" applyBorder="1"/>
    <xf numFmtId="3" fontId="15" fillId="0" borderId="4" xfId="1" applyNumberFormat="1" applyFont="1" applyBorder="1"/>
    <xf numFmtId="3" fontId="14" fillId="0" borderId="0" xfId="1" applyNumberFormat="1" applyFont="1" applyFill="1" applyBorder="1"/>
    <xf numFmtId="3" fontId="15" fillId="0" borderId="0" xfId="1" applyNumberFormat="1" applyFont="1"/>
    <xf numFmtId="3" fontId="15" fillId="0" borderId="1" xfId="1" applyNumberFormat="1" applyFont="1" applyBorder="1"/>
    <xf numFmtId="3" fontId="17" fillId="0" borderId="0" xfId="1" applyNumberFormat="1" applyFont="1" applyFill="1" applyBorder="1" applyAlignment="1">
      <alignment horizontal="right"/>
    </xf>
    <xf numFmtId="3" fontId="17" fillId="0" borderId="0" xfId="1" applyNumberFormat="1" applyFont="1" applyFill="1" applyBorder="1"/>
    <xf numFmtId="3" fontId="13" fillId="0" borderId="0" xfId="1" applyNumberFormat="1" applyFont="1"/>
    <xf numFmtId="3" fontId="17" fillId="0" borderId="0" xfId="1" applyNumberFormat="1" applyFont="1" applyFill="1"/>
    <xf numFmtId="3" fontId="17" fillId="0" borderId="0" xfId="1" applyNumberFormat="1" applyFont="1"/>
    <xf numFmtId="3" fontId="15" fillId="0" borderId="5" xfId="1" applyNumberFormat="1" applyFont="1" applyBorder="1" applyAlignment="1">
      <alignment horizontal="center"/>
    </xf>
    <xf numFmtId="3" fontId="21" fillId="0" borderId="0" xfId="1" applyNumberFormat="1" applyFont="1"/>
    <xf numFmtId="3" fontId="16" fillId="0" borderId="4" xfId="1" applyNumberFormat="1" applyFont="1" applyBorder="1" applyAlignment="1">
      <alignment horizontal="center"/>
    </xf>
    <xf numFmtId="3" fontId="17" fillId="0" borderId="4" xfId="1" applyNumberFormat="1" applyFont="1" applyFill="1" applyBorder="1"/>
    <xf numFmtId="3" fontId="14" fillId="0" borderId="0" xfId="1" applyNumberFormat="1" applyFont="1" applyFill="1"/>
    <xf numFmtId="3" fontId="17" fillId="0" borderId="0" xfId="1" applyNumberFormat="1" applyFont="1" applyAlignment="1">
      <alignment horizontal="left"/>
    </xf>
    <xf numFmtId="3" fontId="15" fillId="0" borderId="6" xfId="1" applyNumberFormat="1" applyFont="1" applyBorder="1" applyAlignment="1">
      <alignment horizontal="center"/>
    </xf>
    <xf numFmtId="3" fontId="14" fillId="0" borderId="0" xfId="1" applyNumberFormat="1" applyFont="1"/>
    <xf numFmtId="3" fontId="15" fillId="0" borderId="3" xfId="1" applyNumberFormat="1" applyFont="1" applyBorder="1"/>
    <xf numFmtId="3" fontId="15" fillId="0" borderId="0" xfId="1" applyNumberFormat="1" applyFont="1" applyFill="1" applyBorder="1" applyAlignment="1">
      <alignment horizontal="right"/>
    </xf>
    <xf numFmtId="3" fontId="15" fillId="3" borderId="2" xfId="1" applyNumberFormat="1" applyFont="1" applyFill="1" applyBorder="1" applyAlignment="1">
      <alignment horizontal="right"/>
    </xf>
    <xf numFmtId="3" fontId="15" fillId="0" borderId="11" xfId="1" applyNumberFormat="1" applyFont="1" applyBorder="1" applyAlignment="1">
      <alignment horizontal="center"/>
    </xf>
    <xf numFmtId="3" fontId="15" fillId="0" borderId="7" xfId="1" applyNumberFormat="1" applyFont="1" applyBorder="1" applyAlignment="1">
      <alignment horizontal="center"/>
    </xf>
    <xf numFmtId="3" fontId="13" fillId="0" borderId="12" xfId="1" applyNumberFormat="1" applyFont="1" applyBorder="1"/>
    <xf numFmtId="3" fontId="17" fillId="0" borderId="0" xfId="1" applyNumberFormat="1" applyFont="1" applyFill="1" applyAlignment="1">
      <alignment horizontal="left"/>
    </xf>
    <xf numFmtId="3" fontId="13" fillId="0" borderId="0" xfId="1" applyNumberFormat="1" applyFont="1" applyBorder="1"/>
    <xf numFmtId="3" fontId="17" fillId="3" borderId="3" xfId="1" applyNumberFormat="1" applyFont="1" applyFill="1" applyBorder="1" applyAlignment="1">
      <alignment horizontal="right"/>
    </xf>
    <xf numFmtId="3" fontId="17" fillId="3" borderId="6" xfId="1" applyNumberFormat="1" applyFont="1" applyFill="1" applyBorder="1" applyAlignment="1">
      <alignment horizontal="right"/>
    </xf>
    <xf numFmtId="3" fontId="15" fillId="0" borderId="0" xfId="1" applyNumberFormat="1" applyFont="1" applyBorder="1"/>
    <xf numFmtId="3" fontId="15" fillId="3" borderId="6" xfId="1" applyNumberFormat="1" applyFont="1" applyFill="1" applyBorder="1" applyAlignment="1">
      <alignment horizontal="right"/>
    </xf>
    <xf numFmtId="3" fontId="15" fillId="3" borderId="5" xfId="1" applyNumberFormat="1" applyFont="1" applyFill="1" applyBorder="1" applyAlignment="1">
      <alignment horizontal="right"/>
    </xf>
    <xf numFmtId="3" fontId="15" fillId="3" borderId="3" xfId="1" applyNumberFormat="1" applyFont="1" applyFill="1" applyBorder="1" applyAlignment="1">
      <alignment horizontal="right"/>
    </xf>
    <xf numFmtId="3" fontId="17" fillId="0" borderId="10" xfId="1" applyNumberFormat="1" applyFont="1" applyBorder="1" applyAlignment="1">
      <alignment horizontal="left"/>
    </xf>
    <xf numFmtId="3" fontId="16" fillId="0" borderId="7" xfId="1" applyNumberFormat="1" applyFont="1" applyBorder="1" applyAlignment="1">
      <alignment horizontal="center"/>
    </xf>
    <xf numFmtId="3" fontId="15" fillId="0" borderId="0" xfId="1" applyNumberFormat="1" applyFont="1" applyFill="1" applyBorder="1" applyAlignment="1">
      <alignment horizontal="center"/>
    </xf>
    <xf numFmtId="3" fontId="16" fillId="0" borderId="0" xfId="1" applyNumberFormat="1" applyFont="1" applyFill="1" applyBorder="1" applyAlignment="1">
      <alignment horizontal="center"/>
    </xf>
    <xf numFmtId="3" fontId="17" fillId="3" borderId="2" xfId="1" applyNumberFormat="1" applyFont="1" applyFill="1" applyBorder="1" applyAlignment="1">
      <alignment horizontal="right"/>
    </xf>
    <xf numFmtId="3" fontId="30" fillId="0" borderId="3" xfId="0" applyNumberFormat="1" applyFont="1" applyBorder="1"/>
    <xf numFmtId="3" fontId="30" fillId="0" borderId="3" xfId="0" applyNumberFormat="1" applyFont="1" applyFill="1" applyBorder="1"/>
    <xf numFmtId="3" fontId="45" fillId="0" borderId="3" xfId="0" applyNumberFormat="1" applyFont="1" applyBorder="1"/>
    <xf numFmtId="3" fontId="45" fillId="0" borderId="0" xfId="0" applyNumberFormat="1" applyFont="1" applyBorder="1"/>
    <xf numFmtId="3" fontId="30" fillId="0" borderId="4" xfId="2" applyNumberFormat="1" applyFont="1" applyBorder="1"/>
    <xf numFmtId="3" fontId="45" fillId="0" borderId="6" xfId="0" applyNumberFormat="1" applyFont="1" applyBorder="1"/>
    <xf numFmtId="3" fontId="30" fillId="0" borderId="0" xfId="0" applyNumberFormat="1" applyFont="1" applyBorder="1" applyAlignment="1">
      <alignment horizontal="right"/>
    </xf>
    <xf numFmtId="3" fontId="51" fillId="0" borderId="0" xfId="0" applyNumberFormat="1" applyFont="1" applyFill="1" applyBorder="1" applyAlignment="1">
      <alignment horizontal="right"/>
    </xf>
    <xf numFmtId="0" fontId="13" fillId="0" borderId="4" xfId="0" applyFont="1" applyBorder="1" applyAlignment="1">
      <alignment horizontal="center"/>
    </xf>
    <xf numFmtId="0" fontId="13" fillId="0" borderId="3" xfId="0" applyFont="1" applyBorder="1" applyAlignment="1">
      <alignment horizontal="center"/>
    </xf>
    <xf numFmtId="0" fontId="30" fillId="0" borderId="0" xfId="0" applyFont="1" applyFill="1" applyBorder="1"/>
    <xf numFmtId="3" fontId="17" fillId="2" borderId="3" xfId="1" applyNumberFormat="1" applyFont="1" applyFill="1" applyBorder="1" applyAlignment="1">
      <alignment horizontal="right"/>
    </xf>
    <xf numFmtId="0" fontId="17" fillId="0" borderId="0" xfId="0" applyFont="1" applyFill="1" applyBorder="1"/>
    <xf numFmtId="3" fontId="22" fillId="0" borderId="4" xfId="1" applyNumberFormat="1" applyFont="1" applyFill="1" applyBorder="1" applyAlignment="1">
      <alignment horizontal="right"/>
    </xf>
    <xf numFmtId="3" fontId="22" fillId="0" borderId="3" xfId="1" applyNumberFormat="1" applyFont="1" applyFill="1" applyBorder="1" applyAlignment="1">
      <alignment horizontal="right"/>
    </xf>
    <xf numFmtId="3" fontId="17" fillId="0" borderId="4" xfId="1" quotePrefix="1" applyNumberFormat="1" applyFont="1" applyFill="1" applyBorder="1" applyAlignment="1">
      <alignment horizontal="right"/>
    </xf>
    <xf numFmtId="166" fontId="45" fillId="0" borderId="4" xfId="0" applyNumberFormat="1" applyFont="1" applyBorder="1" applyAlignment="1">
      <alignment horizontal="left"/>
    </xf>
    <xf numFmtId="0" fontId="30" fillId="0" borderId="4" xfId="0" applyFont="1" applyBorder="1"/>
    <xf numFmtId="0" fontId="51" fillId="0" borderId="4" xfId="0" applyFont="1" applyFill="1" applyBorder="1"/>
    <xf numFmtId="0" fontId="45" fillId="0" borderId="11" xfId="0" applyFont="1" applyBorder="1"/>
    <xf numFmtId="3" fontId="30" fillId="0" borderId="3" xfId="0" applyNumberFormat="1" applyFont="1" applyBorder="1" applyAlignment="1">
      <alignment horizontal="right"/>
    </xf>
    <xf numFmtId="3" fontId="51" fillId="0" borderId="3" xfId="0" applyNumberFormat="1" applyFont="1" applyFill="1" applyBorder="1" applyAlignment="1">
      <alignment horizontal="right"/>
    </xf>
    <xf numFmtId="3" fontId="45" fillId="0" borderId="3" xfId="0" applyNumberFormat="1" applyFont="1" applyBorder="1" applyAlignment="1">
      <alignment horizontal="right"/>
    </xf>
    <xf numFmtId="3" fontId="45" fillId="0" borderId="6" xfId="0" applyNumberFormat="1" applyFont="1" applyBorder="1" applyAlignment="1">
      <alignment horizontal="right"/>
    </xf>
    <xf numFmtId="0" fontId="36" fillId="0" borderId="4" xfId="0" applyFont="1" applyBorder="1" applyAlignment="1">
      <alignment horizontal="right"/>
    </xf>
    <xf numFmtId="3" fontId="30" fillId="0" borderId="7" xfId="0" applyNumberFormat="1" applyFont="1" applyBorder="1" applyAlignment="1">
      <alignment horizontal="right"/>
    </xf>
    <xf numFmtId="3" fontId="30" fillId="0" borderId="14" xfId="0" applyNumberFormat="1" applyFont="1" applyBorder="1" applyAlignment="1">
      <alignment horizontal="right"/>
    </xf>
    <xf numFmtId="0" fontId="36" fillId="0" borderId="3" xfId="0" applyFont="1" applyBorder="1" applyAlignment="1">
      <alignment horizontal="right"/>
    </xf>
    <xf numFmtId="3" fontId="30" fillId="0" borderId="6" xfId="0" applyNumberFormat="1" applyFont="1" applyBorder="1" applyAlignment="1">
      <alignment horizontal="right"/>
    </xf>
    <xf numFmtId="3" fontId="15" fillId="0" borderId="0" xfId="0" applyNumberFormat="1" applyFont="1"/>
    <xf numFmtId="3" fontId="15" fillId="0" borderId="4" xfId="1" applyNumberFormat="1" applyFont="1" applyBorder="1" applyAlignment="1">
      <alignment horizontal="center"/>
    </xf>
    <xf numFmtId="3" fontId="17" fillId="0" borderId="0" xfId="0" applyNumberFormat="1" applyFont="1" applyBorder="1"/>
    <xf numFmtId="3" fontId="17" fillId="0" borderId="0" xfId="0" applyNumberFormat="1" applyFont="1"/>
    <xf numFmtId="3" fontId="15" fillId="0" borderId="0" xfId="0" applyNumberFormat="1" applyFont="1" applyBorder="1"/>
    <xf numFmtId="3" fontId="17" fillId="0" borderId="0" xfId="0" applyNumberFormat="1" applyFont="1" applyFill="1" applyBorder="1"/>
    <xf numFmtId="0" fontId="17" fillId="8" borderId="1" xfId="0" applyFont="1" applyFill="1" applyBorder="1"/>
    <xf numFmtId="0" fontId="17" fillId="8" borderId="15" xfId="0" applyFont="1" applyFill="1" applyBorder="1"/>
    <xf numFmtId="0" fontId="17" fillId="8" borderId="14" xfId="0" applyFont="1" applyFill="1" applyBorder="1"/>
    <xf numFmtId="0" fontId="15" fillId="8" borderId="1" xfId="0" applyFont="1" applyFill="1" applyBorder="1" applyAlignment="1">
      <alignment horizontal="center"/>
    </xf>
    <xf numFmtId="0" fontId="15" fillId="8" borderId="15" xfId="0" applyFont="1" applyFill="1" applyBorder="1" applyAlignment="1">
      <alignment horizontal="center"/>
    </xf>
    <xf numFmtId="0" fontId="15" fillId="8" borderId="14" xfId="0" applyFont="1" applyFill="1" applyBorder="1" applyAlignment="1">
      <alignment horizontal="center"/>
    </xf>
    <xf numFmtId="0" fontId="15" fillId="8" borderId="11" xfId="0" applyFont="1" applyFill="1" applyBorder="1" applyAlignment="1">
      <alignment horizontal="center"/>
    </xf>
    <xf numFmtId="0" fontId="15" fillId="8" borderId="5" xfId="0" applyFont="1" applyFill="1" applyBorder="1" applyAlignment="1">
      <alignment horizontal="center"/>
    </xf>
    <xf numFmtId="0" fontId="15" fillId="8" borderId="12" xfId="0" applyFont="1" applyFill="1" applyBorder="1" applyAlignment="1">
      <alignment horizontal="center"/>
    </xf>
    <xf numFmtId="0" fontId="15" fillId="8" borderId="3" xfId="0" applyFont="1" applyFill="1" applyBorder="1"/>
    <xf numFmtId="3" fontId="17" fillId="8" borderId="2" xfId="0" applyNumberFormat="1" applyFont="1" applyFill="1" applyBorder="1"/>
    <xf numFmtId="3" fontId="17" fillId="8" borderId="7" xfId="0" applyNumberFormat="1" applyFont="1" applyFill="1" applyBorder="1"/>
    <xf numFmtId="3" fontId="17" fillId="8" borderId="3" xfId="0" applyNumberFormat="1" applyFont="1" applyFill="1" applyBorder="1"/>
    <xf numFmtId="0" fontId="15" fillId="8" borderId="3" xfId="0" applyFont="1" applyFill="1" applyBorder="1" applyAlignment="1">
      <alignment horizontal="center"/>
    </xf>
    <xf numFmtId="0" fontId="15" fillId="8" borderId="2" xfId="0" applyFont="1" applyFill="1" applyBorder="1" applyAlignment="1">
      <alignment horizontal="center"/>
    </xf>
    <xf numFmtId="0" fontId="17" fillId="8" borderId="2" xfId="0" applyFont="1" applyFill="1" applyBorder="1"/>
    <xf numFmtId="0" fontId="17" fillId="8" borderId="3" xfId="0" applyFont="1" applyFill="1" applyBorder="1"/>
    <xf numFmtId="3" fontId="17" fillId="8" borderId="2" xfId="2" applyNumberFormat="1" applyFont="1" applyFill="1" applyBorder="1"/>
    <xf numFmtId="3" fontId="15" fillId="8" borderId="6" xfId="0" applyNumberFormat="1" applyFont="1" applyFill="1" applyBorder="1"/>
    <xf numFmtId="3" fontId="15" fillId="8" borderId="5" xfId="0" applyNumberFormat="1" applyFont="1" applyFill="1" applyBorder="1"/>
    <xf numFmtId="3" fontId="30" fillId="0" borderId="2" xfId="0" quotePrefix="1" applyNumberFormat="1" applyFont="1" applyBorder="1" applyAlignment="1">
      <alignment horizontal="right"/>
    </xf>
    <xf numFmtId="0" fontId="36" fillId="0" borderId="1" xfId="0" applyFont="1" applyBorder="1" applyAlignment="1">
      <alignment horizontal="right"/>
    </xf>
    <xf numFmtId="3" fontId="30" fillId="0" borderId="3" xfId="0" quotePrefix="1" applyNumberFormat="1" applyFont="1" applyBorder="1" applyAlignment="1">
      <alignment horizontal="right"/>
    </xf>
    <xf numFmtId="3" fontId="17" fillId="0" borderId="2" xfId="1" applyNumberFormat="1" applyFont="1" applyFill="1" applyBorder="1" applyAlignment="1">
      <alignment horizontal="right"/>
    </xf>
    <xf numFmtId="3" fontId="17" fillId="2" borderId="2" xfId="1" applyNumberFormat="1" applyFont="1" applyFill="1" applyBorder="1" applyAlignment="1">
      <alignment horizontal="right"/>
    </xf>
    <xf numFmtId="3" fontId="15" fillId="0" borderId="3" xfId="1" applyNumberFormat="1" applyFont="1" applyFill="1" applyBorder="1" applyAlignment="1">
      <alignment horizontal="right"/>
    </xf>
    <xf numFmtId="3" fontId="17" fillId="0" borderId="2" xfId="1" quotePrefix="1" applyNumberFormat="1" applyFont="1" applyFill="1" applyBorder="1" applyAlignment="1">
      <alignment horizontal="right"/>
    </xf>
    <xf numFmtId="3" fontId="17" fillId="0" borderId="6" xfId="1" quotePrefix="1" applyNumberFormat="1" applyFont="1" applyFill="1" applyBorder="1" applyAlignment="1">
      <alignment horizontal="right"/>
    </xf>
    <xf numFmtId="3" fontId="17" fillId="0" borderId="5" xfId="1" quotePrefix="1" applyNumberFormat="1" applyFont="1" applyFill="1" applyBorder="1" applyAlignment="1">
      <alignment horizontal="right"/>
    </xf>
    <xf numFmtId="3" fontId="17" fillId="3" borderId="0" xfId="1" applyNumberFormat="1" applyFont="1" applyFill="1" applyBorder="1" applyAlignment="1">
      <alignment horizontal="right"/>
    </xf>
    <xf numFmtId="164" fontId="55" fillId="7" borderId="3" xfId="844" applyNumberFormat="1" applyFont="1" applyBorder="1" applyAlignment="1">
      <alignment horizontal="right"/>
    </xf>
    <xf numFmtId="3" fontId="45" fillId="0" borderId="2" xfId="0" applyNumberFormat="1" applyFont="1" applyBorder="1"/>
    <xf numFmtId="3" fontId="16" fillId="0" borderId="1" xfId="1" applyNumberFormat="1" applyFont="1" applyBorder="1" applyAlignment="1">
      <alignment horizontal="center"/>
    </xf>
    <xf numFmtId="3" fontId="13" fillId="0" borderId="9" xfId="1" applyNumberFormat="1" applyFont="1" applyBorder="1" applyAlignment="1">
      <alignment horizontal="center"/>
    </xf>
    <xf numFmtId="3" fontId="16" fillId="0" borderId="6" xfId="1" applyNumberFormat="1" applyFont="1" applyBorder="1" applyAlignment="1">
      <alignment horizontal="center"/>
    </xf>
    <xf numFmtId="3" fontId="15" fillId="0" borderId="3" xfId="1" applyNumberFormat="1" applyFont="1" applyBorder="1" applyAlignment="1">
      <alignment horizontal="center"/>
    </xf>
    <xf numFmtId="3" fontId="16" fillId="0" borderId="3" xfId="1" applyNumberFormat="1" applyFont="1" applyBorder="1" applyAlignment="1">
      <alignment horizontal="center"/>
    </xf>
    <xf numFmtId="3" fontId="15" fillId="0" borderId="2" xfId="1" applyNumberFormat="1" applyFont="1" applyBorder="1" applyAlignment="1">
      <alignment horizontal="center"/>
    </xf>
    <xf numFmtId="3" fontId="13" fillId="0" borderId="1" xfId="1" applyNumberFormat="1" applyFont="1" applyBorder="1"/>
    <xf numFmtId="0" fontId="17" fillId="0" borderId="6" xfId="0" applyFont="1" applyBorder="1"/>
    <xf numFmtId="0" fontId="15" fillId="0" borderId="3" xfId="1" applyFont="1" applyBorder="1" applyAlignment="1">
      <alignment horizontal="center"/>
    </xf>
    <xf numFmtId="0" fontId="15" fillId="0" borderId="15" xfId="1" applyFont="1" applyBorder="1" applyAlignment="1">
      <alignment horizontal="center"/>
    </xf>
    <xf numFmtId="14" fontId="16" fillId="0" borderId="1" xfId="1" applyNumberFormat="1" applyFont="1" applyBorder="1" applyAlignment="1">
      <alignment horizontal="center"/>
    </xf>
    <xf numFmtId="14" fontId="16" fillId="0" borderId="7" xfId="1" applyNumberFormat="1" applyFont="1" applyBorder="1" applyAlignment="1">
      <alignment horizontal="center"/>
    </xf>
    <xf numFmtId="14" fontId="16" fillId="0" borderId="15" xfId="1" applyNumberFormat="1" applyFont="1" applyBorder="1" applyAlignment="1">
      <alignment horizontal="center"/>
    </xf>
    <xf numFmtId="0" fontId="17" fillId="0" borderId="5" xfId="1" applyFont="1" applyFill="1" applyBorder="1"/>
    <xf numFmtId="0" fontId="17" fillId="0" borderId="9" xfId="1" applyFont="1" applyFill="1" applyBorder="1"/>
    <xf numFmtId="167" fontId="17" fillId="0" borderId="0" xfId="1" applyNumberFormat="1" applyFont="1" applyFill="1" applyBorder="1" applyAlignment="1">
      <alignment horizontal="center"/>
    </xf>
    <xf numFmtId="167" fontId="17" fillId="3" borderId="3" xfId="1" applyNumberFormat="1" applyFont="1" applyFill="1" applyBorder="1" applyAlignment="1">
      <alignment horizontal="right"/>
    </xf>
    <xf numFmtId="167" fontId="17" fillId="3" borderId="6" xfId="1" applyNumberFormat="1" applyFont="1" applyFill="1" applyBorder="1" applyAlignment="1">
      <alignment horizontal="right"/>
    </xf>
    <xf numFmtId="0" fontId="45" fillId="0" borderId="0" xfId="0" applyFont="1" applyBorder="1"/>
    <xf numFmtId="0" fontId="45" fillId="0" borderId="7" xfId="0" applyFont="1" applyBorder="1"/>
    <xf numFmtId="14" fontId="13" fillId="0" borderId="6" xfId="0" applyNumberFormat="1" applyFont="1" applyFill="1" applyBorder="1" applyAlignment="1">
      <alignment horizontal="left"/>
    </xf>
    <xf numFmtId="14" fontId="13" fillId="0" borderId="3" xfId="0" applyNumberFormat="1" applyFont="1" applyFill="1" applyBorder="1" applyAlignment="1">
      <alignment horizontal="center"/>
    </xf>
    <xf numFmtId="166" fontId="15" fillId="0" borderId="4" xfId="0" applyNumberFormat="1" applyFont="1" applyBorder="1" applyAlignment="1">
      <alignment horizontal="center"/>
    </xf>
    <xf numFmtId="166" fontId="15" fillId="0" borderId="11" xfId="0" applyNumberFormat="1" applyFont="1" applyBorder="1" applyAlignment="1">
      <alignment horizontal="center"/>
    </xf>
    <xf numFmtId="0" fontId="15" fillId="0" borderId="5" xfId="0" applyFont="1" applyBorder="1" applyAlignment="1">
      <alignment horizontal="center"/>
    </xf>
    <xf numFmtId="164" fontId="45" fillId="0" borderId="4" xfId="0" applyNumberFormat="1" applyFont="1" applyBorder="1" applyAlignment="1">
      <alignment horizontal="right"/>
    </xf>
    <xf numFmtId="164" fontId="45" fillId="0" borderId="3" xfId="0" applyNumberFormat="1" applyFont="1" applyBorder="1" applyAlignment="1">
      <alignment horizontal="right"/>
    </xf>
    <xf numFmtId="164" fontId="30" fillId="0" borderId="4" xfId="0" applyNumberFormat="1" applyFont="1" applyBorder="1" applyAlignment="1">
      <alignment horizontal="right"/>
    </xf>
    <xf numFmtId="164" fontId="30" fillId="0" borderId="3" xfId="0" applyNumberFormat="1" applyFont="1" applyBorder="1" applyAlignment="1">
      <alignment horizontal="right"/>
    </xf>
    <xf numFmtId="164" fontId="30" fillId="0" borderId="4" xfId="0" applyNumberFormat="1" applyFont="1" applyFill="1" applyBorder="1" applyAlignment="1">
      <alignment horizontal="right"/>
    </xf>
    <xf numFmtId="0" fontId="30" fillId="0" borderId="11" xfId="0" applyFont="1" applyBorder="1"/>
    <xf numFmtId="3" fontId="30" fillId="0" borderId="11" xfId="0" applyNumberFormat="1" applyFont="1" applyBorder="1"/>
    <xf numFmtId="164" fontId="30" fillId="0" borderId="11" xfId="0" applyNumberFormat="1" applyFont="1" applyBorder="1" applyAlignment="1">
      <alignment horizontal="right"/>
    </xf>
    <xf numFmtId="164" fontId="30" fillId="0" borderId="6" xfId="0" applyNumberFormat="1" applyFont="1" applyBorder="1" applyAlignment="1">
      <alignment horizontal="right"/>
    </xf>
    <xf numFmtId="3" fontId="45" fillId="0" borderId="3" xfId="0" applyNumberFormat="1" applyFont="1" applyFill="1" applyBorder="1" applyAlignment="1">
      <alignment horizontal="right"/>
    </xf>
    <xf numFmtId="0" fontId="42" fillId="9" borderId="0" xfId="0" applyFont="1" applyFill="1"/>
    <xf numFmtId="0" fontId="65" fillId="0" borderId="0" xfId="3" applyFont="1" applyAlignment="1" applyProtection="1"/>
    <xf numFmtId="0" fontId="41" fillId="0" borderId="0" xfId="0" applyFont="1" applyFill="1" applyAlignment="1">
      <alignment horizontal="center"/>
    </xf>
    <xf numFmtId="3" fontId="15" fillId="0" borderId="6" xfId="1" applyNumberFormat="1" applyFont="1" applyFill="1" applyBorder="1" applyAlignment="1">
      <alignment horizontal="right"/>
    </xf>
    <xf numFmtId="3" fontId="66" fillId="0" borderId="4" xfId="1" applyNumberFormat="1" applyFont="1" applyFill="1" applyBorder="1" applyAlignment="1">
      <alignment horizontal="right"/>
    </xf>
    <xf numFmtId="3" fontId="66" fillId="0" borderId="3" xfId="1" applyNumberFormat="1" applyFont="1" applyFill="1" applyBorder="1" applyAlignment="1">
      <alignment horizontal="right"/>
    </xf>
    <xf numFmtId="3" fontId="66" fillId="0" borderId="11" xfId="1" applyNumberFormat="1" applyFont="1" applyFill="1" applyBorder="1" applyAlignment="1">
      <alignment horizontal="right"/>
    </xf>
    <xf numFmtId="3" fontId="66" fillId="0" borderId="6" xfId="1" applyNumberFormat="1" applyFont="1" applyFill="1" applyBorder="1" applyAlignment="1">
      <alignment horizontal="right"/>
    </xf>
    <xf numFmtId="3" fontId="17" fillId="0" borderId="3" xfId="2" applyNumberFormat="1" applyFont="1" applyFill="1" applyBorder="1" applyAlignment="1">
      <alignment horizontal="right"/>
    </xf>
    <xf numFmtId="3" fontId="17" fillId="0" borderId="4" xfId="2" applyNumberFormat="1" applyFont="1" applyFill="1" applyBorder="1" applyAlignment="1">
      <alignment horizontal="right"/>
    </xf>
    <xf numFmtId="3" fontId="17" fillId="0" borderId="6" xfId="2" applyNumberFormat="1" applyFont="1" applyFill="1" applyBorder="1" applyAlignment="1">
      <alignment horizontal="right"/>
    </xf>
    <xf numFmtId="3" fontId="17" fillId="0" borderId="11" xfId="2" applyNumberFormat="1" applyFont="1" applyFill="1" applyBorder="1" applyAlignment="1">
      <alignment horizontal="right"/>
    </xf>
    <xf numFmtId="3" fontId="17" fillId="0" borderId="4" xfId="1" applyNumberFormat="1" applyFont="1" applyFill="1" applyBorder="1" applyAlignment="1">
      <alignment horizontal="right"/>
    </xf>
    <xf numFmtId="3" fontId="17" fillId="0" borderId="11" xfId="1" applyNumberFormat="1" applyFont="1" applyFill="1" applyBorder="1" applyAlignment="1">
      <alignment horizontal="right"/>
    </xf>
    <xf numFmtId="3" fontId="22" fillId="0" borderId="2" xfId="1" applyNumberFormat="1" applyFont="1" applyFill="1" applyBorder="1" applyAlignment="1">
      <alignment horizontal="right"/>
    </xf>
    <xf numFmtId="3" fontId="22" fillId="0" borderId="0" xfId="1" applyNumberFormat="1" applyFont="1" applyFill="1" applyBorder="1" applyAlignment="1">
      <alignment horizontal="right"/>
    </xf>
    <xf numFmtId="3" fontId="17" fillId="0" borderId="3" xfId="2" applyNumberFormat="1" applyFont="1" applyBorder="1" applyAlignment="1">
      <alignment horizontal="left"/>
    </xf>
    <xf numFmtId="0" fontId="13" fillId="0" borderId="0" xfId="1" applyFont="1" applyBorder="1" applyAlignment="1">
      <alignment horizontal="center"/>
    </xf>
    <xf numFmtId="0" fontId="13" fillId="0" borderId="0" xfId="1" applyFont="1" applyFill="1" applyBorder="1" applyAlignment="1">
      <alignment horizontal="center"/>
    </xf>
    <xf numFmtId="3" fontId="13" fillId="0" borderId="0" xfId="1" applyNumberFormat="1" applyFont="1" applyBorder="1" applyAlignment="1">
      <alignment horizontal="center"/>
    </xf>
    <xf numFmtId="3" fontId="15" fillId="0" borderId="10" xfId="1" applyNumberFormat="1" applyFont="1" applyBorder="1" applyAlignment="1">
      <alignment horizontal="center"/>
    </xf>
    <xf numFmtId="3" fontId="15" fillId="0" borderId="8" xfId="1" applyNumberFormat="1" applyFont="1" applyBorder="1" applyAlignment="1">
      <alignment horizontal="center"/>
    </xf>
    <xf numFmtId="3" fontId="13" fillId="0" borderId="0" xfId="1" applyNumberFormat="1" applyFont="1" applyFill="1" applyBorder="1" applyAlignment="1">
      <alignment horizontal="center"/>
    </xf>
    <xf numFmtId="3" fontId="13" fillId="0" borderId="12" xfId="1" applyNumberFormat="1" applyFont="1" applyBorder="1" applyAlignment="1">
      <alignment horizontal="center"/>
    </xf>
    <xf numFmtId="3" fontId="15" fillId="0" borderId="9" xfId="1" applyNumberFormat="1" applyFont="1" applyBorder="1" applyAlignment="1">
      <alignment horizontal="center"/>
    </xf>
    <xf numFmtId="3" fontId="15" fillId="0" borderId="1" xfId="1" applyNumberFormat="1" applyFont="1" applyBorder="1" applyAlignment="1">
      <alignment horizontal="center"/>
    </xf>
    <xf numFmtId="3" fontId="15" fillId="0" borderId="7" xfId="2" applyNumberFormat="1" applyFont="1" applyFill="1" applyBorder="1" applyAlignment="1">
      <alignment horizontal="right"/>
    </xf>
    <xf numFmtId="3" fontId="15" fillId="0" borderId="1" xfId="2" applyNumberFormat="1" applyFont="1" applyFill="1" applyBorder="1" applyAlignment="1">
      <alignment horizontal="right"/>
    </xf>
    <xf numFmtId="3" fontId="15" fillId="0" borderId="2" xfId="1" applyNumberFormat="1" applyFont="1" applyFill="1" applyBorder="1" applyAlignment="1">
      <alignment horizontal="right"/>
    </xf>
    <xf numFmtId="3" fontId="15" fillId="0" borderId="4" xfId="1" applyNumberFormat="1" applyFont="1" applyFill="1" applyBorder="1" applyAlignment="1">
      <alignment horizontal="right"/>
    </xf>
    <xf numFmtId="3" fontId="15" fillId="0" borderId="3" xfId="2" applyNumberFormat="1" applyFont="1" applyFill="1" applyBorder="1" applyAlignment="1">
      <alignment horizontal="right"/>
    </xf>
    <xf numFmtId="3" fontId="15" fillId="0" borderId="4" xfId="2" applyNumberFormat="1" applyFont="1" applyFill="1" applyBorder="1" applyAlignment="1">
      <alignment horizontal="right"/>
    </xf>
    <xf numFmtId="3" fontId="15" fillId="0" borderId="6" xfId="2" applyNumberFormat="1" applyFont="1" applyFill="1" applyBorder="1" applyAlignment="1">
      <alignment horizontal="right"/>
    </xf>
    <xf numFmtId="3" fontId="15" fillId="0" borderId="11" xfId="2" applyNumberFormat="1" applyFont="1" applyFill="1" applyBorder="1" applyAlignment="1">
      <alignment horizontal="right"/>
    </xf>
    <xf numFmtId="3" fontId="15" fillId="0" borderId="5" xfId="1" applyNumberFormat="1" applyFont="1" applyFill="1" applyBorder="1" applyAlignment="1">
      <alignment horizontal="right"/>
    </xf>
    <xf numFmtId="3" fontId="15" fillId="0" borderId="11" xfId="1" applyNumberFormat="1" applyFont="1" applyFill="1" applyBorder="1" applyAlignment="1">
      <alignment horizontal="right"/>
    </xf>
    <xf numFmtId="3" fontId="15" fillId="0" borderId="7" xfId="1" applyNumberFormat="1" applyFont="1" applyFill="1" applyBorder="1" applyAlignment="1">
      <alignment horizontal="right"/>
    </xf>
    <xf numFmtId="3" fontId="15" fillId="0" borderId="1" xfId="1" applyNumberFormat="1" applyFont="1" applyFill="1" applyBorder="1" applyAlignment="1">
      <alignment horizontal="right"/>
    </xf>
    <xf numFmtId="3" fontId="15" fillId="0" borderId="15" xfId="1" applyNumberFormat="1" applyFont="1" applyFill="1" applyBorder="1" applyAlignment="1">
      <alignment horizontal="right"/>
    </xf>
    <xf numFmtId="3" fontId="15" fillId="2" borderId="2" xfId="1" applyNumberFormat="1" applyFont="1" applyFill="1" applyBorder="1" applyAlignment="1">
      <alignment horizontal="right"/>
    </xf>
    <xf numFmtId="3" fontId="15" fillId="2" borderId="3" xfId="1" applyNumberFormat="1" applyFont="1" applyFill="1" applyBorder="1" applyAlignment="1">
      <alignment horizontal="right"/>
    </xf>
    <xf numFmtId="3" fontId="15" fillId="2" borderId="2" xfId="1" quotePrefix="1" applyNumberFormat="1" applyFont="1" applyFill="1" applyBorder="1" applyAlignment="1">
      <alignment horizontal="right"/>
    </xf>
    <xf numFmtId="3" fontId="15" fillId="2" borderId="6" xfId="1" applyNumberFormat="1" applyFont="1" applyFill="1" applyBorder="1" applyAlignment="1">
      <alignment horizontal="right"/>
    </xf>
    <xf numFmtId="14" fontId="16" fillId="0" borderId="10" xfId="1" applyNumberFormat="1" applyFont="1" applyBorder="1" applyAlignment="1"/>
    <xf numFmtId="0" fontId="0" fillId="0" borderId="8" xfId="0" applyBorder="1" applyAlignment="1"/>
    <xf numFmtId="3" fontId="15" fillId="0" borderId="4" xfId="1" quotePrefix="1" applyNumberFormat="1" applyFont="1" applyFill="1" applyBorder="1" applyAlignment="1">
      <alignment horizontal="right"/>
    </xf>
    <xf numFmtId="3" fontId="15" fillId="0" borderId="2" xfId="1" quotePrefix="1" applyNumberFormat="1" applyFont="1" applyFill="1" applyBorder="1" applyAlignment="1">
      <alignment horizontal="right"/>
    </xf>
    <xf numFmtId="0" fontId="56" fillId="0" borderId="0" xfId="1" applyFont="1" applyFill="1"/>
    <xf numFmtId="0" fontId="14" fillId="0" borderId="0" xfId="1" applyFont="1" applyFill="1" applyAlignment="1">
      <alignment horizontal="right" vertical="top"/>
    </xf>
    <xf numFmtId="0" fontId="14" fillId="0" borderId="0" xfId="1" applyFont="1" applyAlignment="1">
      <alignment vertical="top" wrapText="1"/>
    </xf>
    <xf numFmtId="0" fontId="14" fillId="0" borderId="0" xfId="1" applyFont="1" applyFill="1" applyAlignment="1">
      <alignment horizontal="right"/>
    </xf>
    <xf numFmtId="0" fontId="14" fillId="0" borderId="0" xfId="1" applyFont="1" applyFill="1" applyAlignment="1">
      <alignment vertical="top" wrapText="1"/>
    </xf>
    <xf numFmtId="0" fontId="23" fillId="0" borderId="0" xfId="1" applyFont="1" applyFill="1"/>
    <xf numFmtId="0" fontId="14" fillId="0" borderId="0" xfId="1" applyFont="1" applyFill="1" applyAlignment="1">
      <alignment wrapText="1"/>
    </xf>
    <xf numFmtId="0" fontId="13" fillId="0" borderId="0" xfId="1" applyFont="1" applyFill="1" applyAlignment="1">
      <alignment horizontal="left"/>
    </xf>
    <xf numFmtId="0" fontId="67" fillId="0" borderId="0" xfId="0" applyFont="1" applyAlignment="1">
      <alignment horizontal="left" vertical="center" readingOrder="1"/>
    </xf>
    <xf numFmtId="0" fontId="17" fillId="0" borderId="0" xfId="1" applyFont="1" applyFill="1" applyBorder="1" applyAlignment="1">
      <alignment horizontal="left"/>
    </xf>
    <xf numFmtId="0" fontId="69" fillId="0" borderId="0" xfId="1" applyFont="1" applyFill="1" applyAlignment="1">
      <alignment horizontal="left"/>
    </xf>
    <xf numFmtId="0" fontId="18" fillId="0" borderId="0" xfId="1" applyFont="1" applyFill="1"/>
    <xf numFmtId="0" fontId="42" fillId="9" borderId="0" xfId="3" applyFont="1" applyFill="1" applyAlignment="1" applyProtection="1"/>
    <xf numFmtId="0" fontId="63" fillId="0" borderId="0" xfId="0" applyFont="1" applyFill="1"/>
    <xf numFmtId="0" fontId="64" fillId="0" borderId="0" xfId="0" applyFont="1" applyFill="1"/>
    <xf numFmtId="0" fontId="42" fillId="0" borderId="0" xfId="0" applyFont="1" applyFill="1"/>
    <xf numFmtId="0" fontId="40" fillId="0" borderId="0" xfId="0" applyFont="1" applyFill="1"/>
    <xf numFmtId="0" fontId="38" fillId="0" borderId="0" xfId="0" applyFont="1" applyFill="1"/>
    <xf numFmtId="0" fontId="42" fillId="0" borderId="0" xfId="3" applyFont="1" applyFill="1" applyAlignment="1" applyProtection="1"/>
    <xf numFmtId="3" fontId="15" fillId="3" borderId="7" xfId="1" applyNumberFormat="1" applyFont="1" applyFill="1" applyBorder="1" applyAlignment="1">
      <alignment horizontal="right"/>
    </xf>
    <xf numFmtId="0" fontId="71" fillId="0" borderId="0" xfId="1" applyFont="1" applyBorder="1" applyAlignment="1">
      <alignment horizontal="left"/>
    </xf>
    <xf numFmtId="3" fontId="66" fillId="0" borderId="2" xfId="1" applyNumberFormat="1" applyFont="1" applyFill="1" applyBorder="1" applyAlignment="1">
      <alignment horizontal="right"/>
    </xf>
    <xf numFmtId="3" fontId="59" fillId="0" borderId="2" xfId="1" applyNumberFormat="1" applyFont="1" applyFill="1" applyBorder="1" applyAlignment="1">
      <alignment horizontal="right"/>
    </xf>
    <xf numFmtId="0" fontId="70" fillId="0" borderId="0" xfId="0" applyFont="1" applyFill="1" applyAlignment="1">
      <alignment horizontal="left" vertical="center" readingOrder="1"/>
    </xf>
    <xf numFmtId="3" fontId="15" fillId="0" borderId="10" xfId="1" applyNumberFormat="1" applyFont="1" applyBorder="1" applyAlignment="1">
      <alignment horizontal="center"/>
    </xf>
    <xf numFmtId="3" fontId="15" fillId="0" borderId="8" xfId="1" applyNumberFormat="1" applyFont="1" applyBorder="1" applyAlignment="1">
      <alignment horizontal="center"/>
    </xf>
    <xf numFmtId="3" fontId="15" fillId="0" borderId="9" xfId="1" applyNumberFormat="1" applyFont="1" applyBorder="1" applyAlignment="1">
      <alignment horizontal="center"/>
    </xf>
    <xf numFmtId="3" fontId="13" fillId="0" borderId="12" xfId="1" applyNumberFormat="1" applyFont="1" applyBorder="1" applyAlignment="1">
      <alignment horizontal="center"/>
    </xf>
    <xf numFmtId="3" fontId="13" fillId="0" borderId="0" xfId="1" applyNumberFormat="1" applyFont="1" applyBorder="1" applyAlignment="1">
      <alignment horizontal="center"/>
    </xf>
    <xf numFmtId="3" fontId="13" fillId="0" borderId="0" xfId="1" applyNumberFormat="1" applyFont="1" applyFill="1" applyBorder="1" applyAlignment="1">
      <alignment horizontal="center"/>
    </xf>
    <xf numFmtId="3" fontId="13" fillId="0" borderId="14" xfId="1" applyNumberFormat="1" applyFont="1" applyFill="1" applyBorder="1" applyAlignment="1">
      <alignment horizontal="center"/>
    </xf>
    <xf numFmtId="170" fontId="15" fillId="0" borderId="7" xfId="845" applyFont="1" applyFill="1" applyBorder="1" applyAlignment="1">
      <alignment horizontal="right"/>
    </xf>
    <xf numFmtId="170" fontId="15" fillId="0" borderId="1" xfId="845" applyFont="1" applyFill="1" applyBorder="1" applyAlignment="1">
      <alignment horizontal="right"/>
    </xf>
    <xf numFmtId="170" fontId="17" fillId="0" borderId="3" xfId="845" applyFont="1" applyFill="1" applyBorder="1" applyAlignment="1">
      <alignment horizontal="right"/>
    </xf>
    <xf numFmtId="170" fontId="17" fillId="0" borderId="4" xfId="845" applyFont="1" applyFill="1" applyBorder="1" applyAlignment="1">
      <alignment horizontal="right"/>
    </xf>
    <xf numFmtId="170" fontId="15" fillId="0" borderId="3" xfId="845" applyFont="1" applyFill="1" applyBorder="1" applyAlignment="1">
      <alignment horizontal="right"/>
    </xf>
    <xf numFmtId="170" fontId="15" fillId="0" borderId="4" xfId="845" applyFont="1" applyFill="1" applyBorder="1" applyAlignment="1">
      <alignment horizontal="right"/>
    </xf>
    <xf numFmtId="170" fontId="15" fillId="0" borderId="6" xfId="845" applyFont="1" applyFill="1" applyBorder="1" applyAlignment="1">
      <alignment horizontal="right"/>
    </xf>
    <xf numFmtId="170" fontId="15" fillId="0" borderId="11" xfId="845" applyFont="1" applyFill="1" applyBorder="1" applyAlignment="1">
      <alignment horizontal="right"/>
    </xf>
    <xf numFmtId="170" fontId="17" fillId="3" borderId="7" xfId="845" applyFont="1" applyFill="1" applyBorder="1" applyAlignment="1">
      <alignment horizontal="right"/>
    </xf>
    <xf numFmtId="170" fontId="17" fillId="3" borderId="2" xfId="845" applyFont="1" applyFill="1" applyBorder="1" applyAlignment="1">
      <alignment horizontal="right"/>
    </xf>
    <xf numFmtId="170" fontId="15" fillId="0" borderId="2" xfId="845" applyFont="1" applyFill="1" applyBorder="1" applyAlignment="1">
      <alignment horizontal="right"/>
    </xf>
    <xf numFmtId="170" fontId="17" fillId="3" borderId="3" xfId="845" applyFont="1" applyFill="1" applyBorder="1" applyAlignment="1">
      <alignment horizontal="right"/>
    </xf>
    <xf numFmtId="170" fontId="17" fillId="0" borderId="2" xfId="845" applyFont="1" applyFill="1" applyBorder="1" applyAlignment="1">
      <alignment horizontal="right"/>
    </xf>
    <xf numFmtId="170" fontId="17" fillId="3" borderId="6" xfId="845" applyFont="1" applyFill="1" applyBorder="1" applyAlignment="1">
      <alignment horizontal="right"/>
    </xf>
    <xf numFmtId="170" fontId="15" fillId="0" borderId="5" xfId="845" applyFont="1" applyFill="1" applyBorder="1" applyAlignment="1">
      <alignment horizontal="right"/>
    </xf>
    <xf numFmtId="170" fontId="15" fillId="0" borderId="15" xfId="845" applyFont="1" applyFill="1" applyBorder="1" applyAlignment="1">
      <alignment horizontal="right"/>
    </xf>
    <xf numFmtId="170" fontId="17" fillId="0" borderId="6" xfId="845" applyFont="1" applyFill="1" applyBorder="1" applyAlignment="1">
      <alignment horizontal="right"/>
    </xf>
    <xf numFmtId="170" fontId="17" fillId="0" borderId="11" xfId="845" applyFont="1" applyFill="1" applyBorder="1" applyAlignment="1">
      <alignment horizontal="right"/>
    </xf>
    <xf numFmtId="170" fontId="66" fillId="0" borderId="2" xfId="845" applyFont="1" applyFill="1" applyBorder="1" applyAlignment="1">
      <alignment horizontal="right"/>
    </xf>
    <xf numFmtId="170" fontId="17" fillId="0" borderId="0" xfId="845" applyFont="1" applyFill="1" applyBorder="1" applyAlignment="1">
      <alignment horizontal="right"/>
    </xf>
    <xf numFmtId="170" fontId="22" fillId="0" borderId="2" xfId="845" applyFont="1" applyFill="1" applyBorder="1" applyAlignment="1">
      <alignment horizontal="right"/>
    </xf>
    <xf numFmtId="170" fontId="22" fillId="0" borderId="0" xfId="845" applyFont="1" applyFill="1" applyBorder="1" applyAlignment="1">
      <alignment horizontal="right"/>
    </xf>
    <xf numFmtId="170" fontId="15" fillId="0" borderId="0" xfId="845" applyFont="1" applyFill="1" applyBorder="1" applyAlignment="1">
      <alignment horizontal="right"/>
    </xf>
    <xf numFmtId="170" fontId="17" fillId="3" borderId="5" xfId="845" applyFont="1" applyFill="1" applyBorder="1" applyAlignment="1">
      <alignment horizontal="right"/>
    </xf>
    <xf numFmtId="3" fontId="13" fillId="0" borderId="12" xfId="1" applyNumberFormat="1" applyFont="1" applyBorder="1" applyAlignment="1">
      <alignment horizontal="center"/>
    </xf>
    <xf numFmtId="3" fontId="15" fillId="0" borderId="10" xfId="1" applyNumberFormat="1" applyFont="1" applyBorder="1" applyAlignment="1">
      <alignment horizontal="center"/>
    </xf>
    <xf numFmtId="3" fontId="15" fillId="0" borderId="8" xfId="1" applyNumberFormat="1" applyFont="1" applyBorder="1" applyAlignment="1">
      <alignment horizontal="center"/>
    </xf>
    <xf numFmtId="3" fontId="13" fillId="0" borderId="0" xfId="1" applyNumberFormat="1" applyFont="1" applyBorder="1" applyAlignment="1">
      <alignment horizontal="center"/>
    </xf>
    <xf numFmtId="3" fontId="13" fillId="0" borderId="0" xfId="1" applyNumberFormat="1" applyFont="1" applyFill="1" applyBorder="1" applyAlignment="1">
      <alignment horizontal="center"/>
    </xf>
    <xf numFmtId="3" fontId="15" fillId="0" borderId="9" xfId="1" applyNumberFormat="1" applyFont="1" applyBorder="1" applyAlignment="1">
      <alignment horizontal="center"/>
    </xf>
    <xf numFmtId="164" fontId="30" fillId="0" borderId="3" xfId="0" applyNumberFormat="1" applyFont="1" applyBorder="1"/>
    <xf numFmtId="164" fontId="45" fillId="0" borderId="3" xfId="0" applyNumberFormat="1" applyFont="1" applyBorder="1"/>
    <xf numFmtId="164" fontId="30" fillId="0" borderId="3" xfId="0" applyNumberFormat="1" applyFont="1" applyFill="1" applyBorder="1"/>
    <xf numFmtId="164" fontId="45" fillId="0" borderId="6" xfId="0" applyNumberFormat="1" applyFont="1" applyBorder="1"/>
    <xf numFmtId="171" fontId="17" fillId="3" borderId="2" xfId="845" applyNumberFormat="1" applyFont="1" applyFill="1" applyBorder="1" applyAlignment="1">
      <alignment horizontal="right"/>
    </xf>
    <xf numFmtId="171" fontId="17" fillId="3" borderId="6" xfId="845" applyNumberFormat="1" applyFont="1" applyFill="1" applyBorder="1" applyAlignment="1">
      <alignment horizontal="right"/>
    </xf>
    <xf numFmtId="164" fontId="15" fillId="0" borderId="6" xfId="1" applyNumberFormat="1" applyFont="1" applyBorder="1" applyAlignment="1">
      <alignment horizontal="center"/>
    </xf>
    <xf numFmtId="164" fontId="17" fillId="3" borderId="0" xfId="1" applyNumberFormat="1" applyFont="1" applyFill="1" applyBorder="1" applyAlignment="1">
      <alignment horizontal="right"/>
    </xf>
    <xf numFmtId="164" fontId="17" fillId="3" borderId="5" xfId="1" applyNumberFormat="1" applyFont="1" applyFill="1" applyBorder="1" applyAlignment="1">
      <alignment horizontal="right"/>
    </xf>
    <xf numFmtId="0" fontId="17" fillId="0" borderId="4" xfId="1" applyFont="1" applyBorder="1"/>
    <xf numFmtId="0" fontId="15" fillId="0" borderId="0" xfId="1" applyFont="1" applyFill="1"/>
    <xf numFmtId="49" fontId="15" fillId="0" borderId="0" xfId="1" applyNumberFormat="1" applyFont="1" applyFill="1" applyBorder="1" applyAlignment="1">
      <alignment horizontal="right"/>
    </xf>
    <xf numFmtId="49" fontId="15" fillId="0" borderId="0" xfId="1" applyNumberFormat="1" applyFont="1" applyFill="1" applyBorder="1" applyAlignment="1">
      <alignment horizontal="center"/>
    </xf>
    <xf numFmtId="3" fontId="15" fillId="0" borderId="0" xfId="1" quotePrefix="1" applyNumberFormat="1" applyFont="1" applyFill="1" applyBorder="1" applyAlignment="1">
      <alignment horizontal="center"/>
    </xf>
    <xf numFmtId="170" fontId="15" fillId="3" borderId="7" xfId="845" applyFont="1" applyFill="1" applyBorder="1" applyAlignment="1">
      <alignment horizontal="right"/>
    </xf>
    <xf numFmtId="171" fontId="15" fillId="3" borderId="2" xfId="845" applyNumberFormat="1" applyFont="1" applyFill="1" applyBorder="1" applyAlignment="1">
      <alignment horizontal="right"/>
    </xf>
    <xf numFmtId="3" fontId="15" fillId="0" borderId="0" xfId="1" applyNumberFormat="1" applyFont="1" applyFill="1"/>
    <xf numFmtId="167" fontId="15" fillId="3" borderId="7" xfId="1" applyNumberFormat="1" applyFont="1" applyFill="1" applyBorder="1" applyAlignment="1">
      <alignment horizontal="right"/>
    </xf>
    <xf numFmtId="167" fontId="15" fillId="3" borderId="3" xfId="1" applyNumberFormat="1" applyFont="1" applyFill="1" applyBorder="1" applyAlignment="1">
      <alignment horizontal="right"/>
    </xf>
    <xf numFmtId="167" fontId="15" fillId="3" borderId="6" xfId="1" applyNumberFormat="1" applyFont="1" applyFill="1" applyBorder="1" applyAlignment="1">
      <alignment horizontal="right"/>
    </xf>
    <xf numFmtId="3" fontId="15" fillId="3" borderId="0" xfId="1" applyNumberFormat="1" applyFont="1" applyFill="1" applyBorder="1" applyAlignment="1">
      <alignment horizontal="right"/>
    </xf>
    <xf numFmtId="3" fontId="15" fillId="3" borderId="1" xfId="1" applyNumberFormat="1" applyFont="1" applyFill="1" applyBorder="1" applyAlignment="1">
      <alignment horizontal="right"/>
    </xf>
    <xf numFmtId="3" fontId="15" fillId="3" borderId="4" xfId="1" applyNumberFormat="1" applyFont="1" applyFill="1" applyBorder="1" applyAlignment="1">
      <alignment horizontal="right"/>
    </xf>
    <xf numFmtId="3" fontId="15" fillId="3" borderId="11" xfId="1" applyNumberFormat="1" applyFont="1" applyFill="1" applyBorder="1" applyAlignment="1">
      <alignment horizontal="right"/>
    </xf>
    <xf numFmtId="164" fontId="15" fillId="3" borderId="0" xfId="1" applyNumberFormat="1" applyFont="1" applyFill="1" applyBorder="1" applyAlignment="1">
      <alignment horizontal="right"/>
    </xf>
    <xf numFmtId="170" fontId="17" fillId="11" borderId="3" xfId="845" applyFont="1" applyFill="1" applyBorder="1" applyAlignment="1">
      <alignment horizontal="right"/>
    </xf>
    <xf numFmtId="170" fontId="17" fillId="11" borderId="4" xfId="845" applyFont="1" applyFill="1" applyBorder="1" applyAlignment="1">
      <alignment horizontal="right"/>
    </xf>
    <xf numFmtId="3" fontId="17" fillId="11" borderId="3" xfId="2" applyNumberFormat="1" applyFont="1" applyFill="1" applyBorder="1" applyAlignment="1">
      <alignment horizontal="left"/>
    </xf>
    <xf numFmtId="170" fontId="15" fillId="11" borderId="2" xfId="845" applyFont="1" applyFill="1" applyBorder="1" applyAlignment="1">
      <alignment horizontal="right"/>
    </xf>
    <xf numFmtId="170" fontId="15" fillId="11" borderId="0" xfId="845" applyFont="1" applyFill="1" applyBorder="1" applyAlignment="1">
      <alignment horizontal="right"/>
    </xf>
    <xf numFmtId="170" fontId="15" fillId="11" borderId="4" xfId="845" applyFont="1" applyFill="1" applyBorder="1" applyAlignment="1">
      <alignment horizontal="right"/>
    </xf>
    <xf numFmtId="170" fontId="15" fillId="11" borderId="5" xfId="845" applyFont="1" applyFill="1" applyBorder="1" applyAlignment="1">
      <alignment horizontal="right"/>
    </xf>
    <xf numFmtId="170" fontId="15" fillId="11" borderId="11" xfId="845" applyFont="1" applyFill="1" applyBorder="1" applyAlignment="1">
      <alignment horizontal="right"/>
    </xf>
    <xf numFmtId="170" fontId="18" fillId="11" borderId="2" xfId="845" applyFont="1" applyFill="1" applyBorder="1" applyAlignment="1">
      <alignment horizontal="right"/>
    </xf>
    <xf numFmtId="170" fontId="18" fillId="11" borderId="0" xfId="845" applyFont="1" applyFill="1" applyBorder="1" applyAlignment="1">
      <alignment horizontal="right"/>
    </xf>
    <xf numFmtId="170" fontId="17" fillId="11" borderId="2" xfId="845" applyFont="1" applyFill="1" applyBorder="1" applyAlignment="1">
      <alignment horizontal="right"/>
    </xf>
    <xf numFmtId="170" fontId="17" fillId="11" borderId="0" xfId="845" applyFont="1" applyFill="1" applyBorder="1" applyAlignment="1">
      <alignment horizontal="right"/>
    </xf>
    <xf numFmtId="3" fontId="17" fillId="11" borderId="3" xfId="2" applyNumberFormat="1" applyFont="1" applyFill="1" applyBorder="1" applyAlignment="1">
      <alignment horizontal="right"/>
    </xf>
    <xf numFmtId="3" fontId="17" fillId="11" borderId="4" xfId="2" applyNumberFormat="1" applyFont="1" applyFill="1" applyBorder="1" applyAlignment="1">
      <alignment horizontal="right"/>
    </xf>
    <xf numFmtId="3" fontId="15" fillId="11" borderId="2" xfId="1" applyNumberFormat="1" applyFont="1" applyFill="1" applyBorder="1" applyAlignment="1">
      <alignment horizontal="right"/>
    </xf>
    <xf numFmtId="3" fontId="15" fillId="11" borderId="0" xfId="1" applyNumberFormat="1" applyFont="1" applyFill="1" applyBorder="1" applyAlignment="1">
      <alignment horizontal="right"/>
    </xf>
    <xf numFmtId="3" fontId="15" fillId="11" borderId="4" xfId="1" applyNumberFormat="1" applyFont="1" applyFill="1" applyBorder="1" applyAlignment="1">
      <alignment horizontal="right"/>
    </xf>
    <xf numFmtId="3" fontId="15" fillId="11" borderId="5" xfId="1" applyNumberFormat="1" applyFont="1" applyFill="1" applyBorder="1" applyAlignment="1">
      <alignment horizontal="right"/>
    </xf>
    <xf numFmtId="3" fontId="15" fillId="11" borderId="11" xfId="1" applyNumberFormat="1" applyFont="1" applyFill="1" applyBorder="1" applyAlignment="1">
      <alignment horizontal="right"/>
    </xf>
    <xf numFmtId="3" fontId="18" fillId="11" borderId="2" xfId="1" applyNumberFormat="1" applyFont="1" applyFill="1" applyBorder="1" applyAlignment="1">
      <alignment horizontal="right"/>
    </xf>
    <xf numFmtId="3" fontId="18" fillId="11" borderId="0" xfId="1" applyNumberFormat="1" applyFont="1" applyFill="1" applyBorder="1" applyAlignment="1">
      <alignment horizontal="right"/>
    </xf>
    <xf numFmtId="3" fontId="17" fillId="11" borderId="2" xfId="1" applyNumberFormat="1" applyFont="1" applyFill="1" applyBorder="1" applyAlignment="1">
      <alignment horizontal="right"/>
    </xf>
    <xf numFmtId="3" fontId="17" fillId="11" borderId="0" xfId="1" applyNumberFormat="1" applyFont="1" applyFill="1" applyBorder="1" applyAlignment="1">
      <alignment horizontal="right"/>
    </xf>
    <xf numFmtId="3" fontId="17" fillId="0" borderId="8" xfId="1" applyNumberFormat="1" applyFont="1" applyFill="1" applyBorder="1"/>
    <xf numFmtId="3" fontId="15" fillId="0" borderId="6" xfId="1" applyNumberFormat="1" applyFont="1" applyFill="1" applyBorder="1"/>
    <xf numFmtId="3" fontId="15" fillId="0" borderId="11" xfId="1" applyNumberFormat="1" applyFont="1" applyFill="1" applyBorder="1"/>
    <xf numFmtId="3" fontId="15" fillId="0" borderId="10" xfId="1" applyNumberFormat="1" applyFont="1" applyBorder="1" applyAlignment="1">
      <alignment horizontal="left"/>
    </xf>
    <xf numFmtId="3" fontId="15" fillId="0" borderId="8" xfId="1" applyNumberFormat="1" applyFont="1" applyBorder="1" applyAlignment="1">
      <alignment horizontal="left"/>
    </xf>
    <xf numFmtId="3" fontId="15" fillId="0" borderId="9" xfId="1" applyNumberFormat="1" applyFont="1" applyBorder="1" applyAlignment="1">
      <alignment horizontal="left"/>
    </xf>
    <xf numFmtId="0" fontId="41" fillId="0" borderId="0" xfId="846" applyFont="1" applyProtection="1">
      <protection locked="0"/>
    </xf>
    <xf numFmtId="0" fontId="17" fillId="0" borderId="0" xfId="3" applyFont="1" applyFill="1" applyAlignment="1" applyProtection="1">
      <protection locked="0"/>
    </xf>
    <xf numFmtId="0" fontId="57" fillId="0" borderId="0" xfId="846" applyFont="1" applyProtection="1">
      <protection locked="0"/>
    </xf>
    <xf numFmtId="0" fontId="19" fillId="0" borderId="0" xfId="846" applyProtection="1">
      <protection locked="0"/>
    </xf>
    <xf numFmtId="164" fontId="19" fillId="0" borderId="0" xfId="846" applyNumberFormat="1" applyProtection="1">
      <protection locked="0"/>
    </xf>
    <xf numFmtId="3" fontId="58" fillId="4" borderId="12" xfId="846" applyNumberFormat="1" applyFont="1" applyFill="1" applyBorder="1" applyProtection="1">
      <protection locked="0"/>
    </xf>
    <xf numFmtId="3" fontId="59" fillId="4" borderId="0" xfId="846" applyNumberFormat="1" applyFont="1" applyFill="1" applyBorder="1" applyProtection="1">
      <protection locked="0"/>
    </xf>
    <xf numFmtId="164" fontId="19" fillId="0" borderId="0" xfId="846" applyNumberFormat="1" applyBorder="1" applyProtection="1">
      <protection locked="0"/>
    </xf>
    <xf numFmtId="14" fontId="13" fillId="0" borderId="7" xfId="846" applyNumberFormat="1" applyFont="1" applyFill="1" applyBorder="1" applyAlignment="1" applyProtection="1">
      <alignment horizontal="left"/>
      <protection locked="0"/>
    </xf>
    <xf numFmtId="3" fontId="13" fillId="0" borderId="8" xfId="846" quotePrefix="1" applyNumberFormat="1" applyFont="1" applyFill="1" applyBorder="1" applyProtection="1">
      <protection locked="0"/>
    </xf>
    <xf numFmtId="3" fontId="13" fillId="0" borderId="9" xfId="846" quotePrefix="1" applyNumberFormat="1" applyFont="1" applyFill="1" applyBorder="1" applyProtection="1">
      <protection locked="0"/>
    </xf>
    <xf numFmtId="3" fontId="13" fillId="0" borderId="10" xfId="846" quotePrefix="1" applyNumberFormat="1" applyFont="1" applyFill="1" applyBorder="1" applyProtection="1">
      <protection locked="0"/>
    </xf>
    <xf numFmtId="0" fontId="17" fillId="0" borderId="8" xfId="846" applyFont="1" applyBorder="1" applyProtection="1">
      <protection locked="0"/>
    </xf>
    <xf numFmtId="0" fontId="17" fillId="0" borderId="10" xfId="846" applyFont="1" applyBorder="1" applyProtection="1">
      <protection locked="0"/>
    </xf>
    <xf numFmtId="0" fontId="17" fillId="0" borderId="9" xfId="846" applyFont="1" applyBorder="1" applyProtection="1">
      <protection locked="0"/>
    </xf>
    <xf numFmtId="164" fontId="17" fillId="4" borderId="0" xfId="846" applyNumberFormat="1" applyFont="1" applyFill="1" applyBorder="1" applyProtection="1">
      <protection locked="0"/>
    </xf>
    <xf numFmtId="0" fontId="17" fillId="4" borderId="0" xfId="846" applyFont="1" applyFill="1" applyBorder="1" applyProtection="1">
      <protection locked="0"/>
    </xf>
    <xf numFmtId="3" fontId="45" fillId="0" borderId="1" xfId="846" applyNumberFormat="1" applyFont="1" applyFill="1" applyBorder="1" applyProtection="1">
      <protection locked="0"/>
    </xf>
    <xf numFmtId="0" fontId="45" fillId="0" borderId="1" xfId="846" applyNumberFormat="1" applyFont="1" applyFill="1" applyBorder="1" applyAlignment="1" applyProtection="1">
      <alignment horizontal="center"/>
      <protection locked="0"/>
    </xf>
    <xf numFmtId="0" fontId="45" fillId="0" borderId="14" xfId="846" applyNumberFormat="1" applyFont="1" applyFill="1" applyBorder="1" applyAlignment="1" applyProtection="1">
      <alignment horizontal="center"/>
      <protection locked="0"/>
    </xf>
    <xf numFmtId="0" fontId="45" fillId="0" borderId="15" xfId="846" applyNumberFormat="1" applyFont="1" applyFill="1" applyBorder="1" applyAlignment="1" applyProtection="1">
      <alignment horizontal="center"/>
      <protection locked="0"/>
    </xf>
    <xf numFmtId="0" fontId="19" fillId="0" borderId="0" xfId="846" applyBorder="1" applyProtection="1">
      <protection locked="0"/>
    </xf>
    <xf numFmtId="0" fontId="45" fillId="4" borderId="0" xfId="846" applyNumberFormat="1" applyFont="1" applyFill="1" applyBorder="1" applyAlignment="1" applyProtection="1">
      <alignment horizontal="center"/>
      <protection locked="0"/>
    </xf>
    <xf numFmtId="3" fontId="45" fillId="0" borderId="4" xfId="846" applyNumberFormat="1" applyFont="1" applyFill="1" applyBorder="1" applyProtection="1">
      <protection locked="0"/>
    </xf>
    <xf numFmtId="0" fontId="15" fillId="0" borderId="7" xfId="846" applyNumberFormat="1" applyFont="1" applyFill="1" applyBorder="1" applyAlignment="1" applyProtection="1">
      <alignment horizontal="center"/>
      <protection locked="0"/>
    </xf>
    <xf numFmtId="3" fontId="50" fillId="4" borderId="11" xfId="846" applyNumberFormat="1" applyFont="1" applyFill="1" applyBorder="1" applyProtection="1">
      <protection locked="0"/>
    </xf>
    <xf numFmtId="0" fontId="13" fillId="0" borderId="11" xfId="846" applyFont="1" applyBorder="1" applyAlignment="1" applyProtection="1">
      <alignment horizontal="center"/>
      <protection locked="0"/>
    </xf>
    <xf numFmtId="168" fontId="15" fillId="0" borderId="6" xfId="846" applyNumberFormat="1" applyFont="1" applyFill="1" applyBorder="1" applyAlignment="1" applyProtection="1">
      <alignment horizontal="center"/>
      <protection locked="0"/>
    </xf>
    <xf numFmtId="168" fontId="13" fillId="4" borderId="0" xfId="846" applyNumberFormat="1" applyFont="1" applyFill="1" applyBorder="1" applyAlignment="1" applyProtection="1">
      <alignment horizontal="center"/>
      <protection locked="0"/>
    </xf>
    <xf numFmtId="0" fontId="13" fillId="4" borderId="0" xfId="846" applyNumberFormat="1" applyFont="1" applyFill="1" applyBorder="1" applyAlignment="1" applyProtection="1">
      <alignment horizontal="center"/>
      <protection locked="0"/>
    </xf>
    <xf numFmtId="3" fontId="60" fillId="4" borderId="4" xfId="846" applyNumberFormat="1" applyFont="1" applyFill="1" applyBorder="1" applyProtection="1">
      <protection locked="0"/>
    </xf>
    <xf numFmtId="3" fontId="60" fillId="4" borderId="3" xfId="846" applyNumberFormat="1" applyFont="1" applyFill="1" applyBorder="1" applyAlignment="1" applyProtection="1">
      <alignment horizontal="right"/>
    </xf>
    <xf numFmtId="3" fontId="60" fillId="4" borderId="3" xfId="846" applyNumberFormat="1" applyFont="1" applyFill="1" applyBorder="1" applyAlignment="1" applyProtection="1">
      <alignment horizontal="right"/>
      <protection locked="0"/>
    </xf>
    <xf numFmtId="3" fontId="30" fillId="4" borderId="4" xfId="846" applyNumberFormat="1" applyFont="1" applyFill="1" applyBorder="1" applyAlignment="1" applyProtection="1">
      <alignment horizontal="right"/>
    </xf>
    <xf numFmtId="3" fontId="30" fillId="4" borderId="4" xfId="846" applyNumberFormat="1" applyFont="1" applyFill="1" applyBorder="1" applyAlignment="1" applyProtection="1">
      <alignment horizontal="right"/>
      <protection locked="0"/>
    </xf>
    <xf numFmtId="3" fontId="30" fillId="4" borderId="4" xfId="847" applyNumberFormat="1" applyFont="1" applyFill="1" applyBorder="1" applyAlignment="1" applyProtection="1">
      <alignment horizontal="right"/>
    </xf>
    <xf numFmtId="3" fontId="30" fillId="4" borderId="4" xfId="847" applyNumberFormat="1" applyFont="1" applyFill="1" applyBorder="1" applyAlignment="1" applyProtection="1">
      <alignment horizontal="right"/>
      <protection locked="0"/>
    </xf>
    <xf numFmtId="0" fontId="45" fillId="0" borderId="4" xfId="846" applyFont="1" applyFill="1" applyBorder="1" applyProtection="1">
      <protection locked="0"/>
    </xf>
    <xf numFmtId="3" fontId="45" fillId="4" borderId="3" xfId="846" applyNumberFormat="1" applyFont="1" applyFill="1" applyBorder="1" applyAlignment="1" applyProtection="1">
      <alignment horizontal="right"/>
    </xf>
    <xf numFmtId="3" fontId="45" fillId="4" borderId="3" xfId="846" applyNumberFormat="1" applyFont="1" applyFill="1" applyBorder="1" applyAlignment="1" applyProtection="1">
      <alignment horizontal="right"/>
      <protection locked="0"/>
    </xf>
    <xf numFmtId="0" fontId="19" fillId="0" borderId="0" xfId="846" applyFont="1" applyBorder="1" applyProtection="1">
      <protection locked="0"/>
    </xf>
    <xf numFmtId="0" fontId="19" fillId="0" borderId="0" xfId="846" applyFont="1" applyProtection="1">
      <protection locked="0"/>
    </xf>
    <xf numFmtId="3" fontId="45" fillId="4" borderId="4" xfId="846" applyNumberFormat="1" applyFont="1" applyFill="1" applyBorder="1" applyProtection="1">
      <protection locked="0"/>
    </xf>
    <xf numFmtId="3" fontId="45" fillId="0" borderId="3" xfId="846" applyNumberFormat="1" applyFont="1" applyBorder="1" applyAlignment="1" applyProtection="1">
      <alignment horizontal="right"/>
    </xf>
    <xf numFmtId="3" fontId="45" fillId="0" borderId="3" xfId="846" applyNumberFormat="1" applyFont="1" applyBorder="1" applyAlignment="1" applyProtection="1">
      <alignment horizontal="right"/>
      <protection locked="0"/>
    </xf>
    <xf numFmtId="3" fontId="45" fillId="0" borderId="3" xfId="846" applyNumberFormat="1" applyFont="1" applyFill="1" applyBorder="1" applyAlignment="1" applyProtection="1">
      <alignment horizontal="right"/>
    </xf>
    <xf numFmtId="3" fontId="45" fillId="0" borderId="3" xfId="846" applyNumberFormat="1" applyFont="1" applyFill="1" applyBorder="1" applyAlignment="1" applyProtection="1">
      <alignment horizontal="right"/>
      <protection locked="0"/>
    </xf>
    <xf numFmtId="3" fontId="30" fillId="0" borderId="4" xfId="846" applyNumberFormat="1" applyFont="1" applyFill="1" applyBorder="1" applyAlignment="1" applyProtection="1">
      <alignment horizontal="right"/>
    </xf>
    <xf numFmtId="3" fontId="30" fillId="0" borderId="4" xfId="846" applyNumberFormat="1" applyFont="1" applyFill="1" applyBorder="1" applyAlignment="1" applyProtection="1">
      <alignment horizontal="right"/>
      <protection locked="0"/>
    </xf>
    <xf numFmtId="3" fontId="30" fillId="0" borderId="4" xfId="847" applyNumberFormat="1" applyFont="1" applyFill="1" applyBorder="1" applyAlignment="1" applyProtection="1">
      <alignment horizontal="right"/>
    </xf>
    <xf numFmtId="3" fontId="30" fillId="0" borderId="4" xfId="847" applyNumberFormat="1" applyFont="1" applyFill="1" applyBorder="1" applyAlignment="1" applyProtection="1">
      <alignment horizontal="right"/>
      <protection locked="0"/>
    </xf>
    <xf numFmtId="0" fontId="19" fillId="0" borderId="0" xfId="846" applyFont="1" applyFill="1" applyBorder="1" applyProtection="1">
      <protection locked="0"/>
    </xf>
    <xf numFmtId="0" fontId="19" fillId="0" borderId="0" xfId="846" applyFont="1" applyFill="1" applyProtection="1">
      <protection locked="0"/>
    </xf>
    <xf numFmtId="0" fontId="30" fillId="0" borderId="4" xfId="846" applyFont="1" applyFill="1" applyBorder="1" applyProtection="1">
      <protection locked="0"/>
    </xf>
    <xf numFmtId="3" fontId="30" fillId="0" borderId="3" xfId="846" applyNumberFormat="1" applyFont="1" applyFill="1" applyBorder="1" applyAlignment="1" applyProtection="1">
      <alignment horizontal="right"/>
    </xf>
    <xf numFmtId="3" fontId="30" fillId="0" borderId="3" xfId="846" applyNumberFormat="1" applyFont="1" applyFill="1" applyBorder="1" applyAlignment="1" applyProtection="1">
      <alignment horizontal="right"/>
      <protection locked="0"/>
    </xf>
    <xf numFmtId="3" fontId="30" fillId="4" borderId="3" xfId="846" applyNumberFormat="1" applyFont="1" applyFill="1" applyBorder="1" applyAlignment="1" applyProtection="1">
      <alignment horizontal="right"/>
      <protection locked="0"/>
    </xf>
    <xf numFmtId="0" fontId="30" fillId="0" borderId="3" xfId="846" applyFont="1" applyFill="1" applyBorder="1" applyProtection="1">
      <protection locked="0"/>
    </xf>
    <xf numFmtId="3" fontId="19" fillId="0" borderId="0" xfId="846" applyNumberFormat="1" applyFont="1" applyFill="1" applyProtection="1">
      <protection locked="0"/>
    </xf>
    <xf numFmtId="3" fontId="30" fillId="0" borderId="3" xfId="846" applyNumberFormat="1" applyFont="1" applyBorder="1" applyAlignment="1" applyProtection="1">
      <alignment horizontal="right"/>
    </xf>
    <xf numFmtId="3" fontId="30" fillId="0" borderId="3" xfId="846" applyNumberFormat="1" applyFont="1" applyBorder="1" applyAlignment="1" applyProtection="1">
      <alignment horizontal="right"/>
      <protection locked="0"/>
    </xf>
    <xf numFmtId="3" fontId="19" fillId="0" borderId="0" xfId="846" applyNumberFormat="1" applyFont="1" applyProtection="1">
      <protection locked="0"/>
    </xf>
    <xf numFmtId="3" fontId="19" fillId="0" borderId="0" xfId="846" applyNumberFormat="1" applyFont="1" applyBorder="1" applyProtection="1">
      <protection locked="0"/>
    </xf>
    <xf numFmtId="0" fontId="49" fillId="0" borderId="0" xfId="846" applyFont="1" applyBorder="1" applyProtection="1">
      <protection locked="0"/>
    </xf>
    <xf numFmtId="3" fontId="49" fillId="0" borderId="0" xfId="846" applyNumberFormat="1" applyFont="1" applyProtection="1">
      <protection locked="0"/>
    </xf>
    <xf numFmtId="0" fontId="49" fillId="0" borderId="0" xfId="846" applyFont="1" applyProtection="1">
      <protection locked="0"/>
    </xf>
    <xf numFmtId="0" fontId="19" fillId="0" borderId="3" xfId="846" applyFont="1" applyFill="1" applyBorder="1" applyProtection="1">
      <protection locked="0"/>
    </xf>
    <xf numFmtId="3" fontId="30" fillId="4" borderId="3" xfId="846" applyNumberFormat="1" applyFont="1" applyFill="1" applyBorder="1" applyAlignment="1" applyProtection="1">
      <alignment horizontal="right"/>
    </xf>
    <xf numFmtId="0" fontId="45" fillId="0" borderId="11" xfId="846" applyFont="1" applyFill="1" applyBorder="1" applyProtection="1">
      <protection locked="0"/>
    </xf>
    <xf numFmtId="3" fontId="45" fillId="0" borderId="6" xfId="846" applyNumberFormat="1" applyFont="1" applyBorder="1" applyAlignment="1" applyProtection="1">
      <alignment horizontal="right"/>
    </xf>
    <xf numFmtId="3" fontId="45" fillId="0" borderId="6" xfId="846" applyNumberFormat="1" applyFont="1" applyBorder="1" applyAlignment="1" applyProtection="1">
      <alignment horizontal="right"/>
      <protection locked="0"/>
    </xf>
    <xf numFmtId="3" fontId="45" fillId="4" borderId="6" xfId="846" applyNumberFormat="1" applyFont="1" applyFill="1" applyBorder="1" applyAlignment="1" applyProtection="1">
      <alignment horizontal="right"/>
      <protection locked="0"/>
    </xf>
    <xf numFmtId="0" fontId="30" fillId="0" borderId="0" xfId="846" applyFont="1" applyProtection="1">
      <protection locked="0"/>
    </xf>
    <xf numFmtId="3" fontId="30" fillId="0" borderId="0" xfId="846" applyNumberFormat="1" applyFont="1" applyBorder="1" applyProtection="1">
      <protection locked="0"/>
    </xf>
    <xf numFmtId="0" fontId="61" fillId="0" borderId="0" xfId="846" applyFont="1" applyProtection="1">
      <protection locked="0"/>
    </xf>
    <xf numFmtId="3" fontId="62" fillId="0" borderId="0" xfId="846" applyNumberFormat="1" applyFont="1" applyBorder="1" applyProtection="1">
      <protection locked="0"/>
    </xf>
    <xf numFmtId="0" fontId="61" fillId="0" borderId="0" xfId="846" applyFont="1" applyBorder="1" applyProtection="1">
      <protection locked="0"/>
    </xf>
    <xf numFmtId="0" fontId="61" fillId="0" borderId="14" xfId="846" applyFont="1" applyBorder="1" applyProtection="1">
      <protection locked="0"/>
    </xf>
    <xf numFmtId="0" fontId="61" fillId="4" borderId="14" xfId="846" applyFont="1" applyFill="1" applyBorder="1" applyProtection="1">
      <protection locked="0"/>
    </xf>
    <xf numFmtId="0" fontId="19" fillId="0" borderId="0" xfId="846"/>
    <xf numFmtId="3" fontId="58" fillId="4" borderId="0" xfId="846" applyNumberFormat="1" applyFont="1" applyFill="1" applyProtection="1">
      <protection locked="0"/>
    </xf>
    <xf numFmtId="0" fontId="68" fillId="0" borderId="8" xfId="846" applyFont="1" applyBorder="1" applyAlignment="1" applyProtection="1">
      <alignment horizontal="center"/>
      <protection locked="0"/>
    </xf>
    <xf numFmtId="0" fontId="15" fillId="0" borderId="1" xfId="846" applyNumberFormat="1" applyFont="1" applyFill="1" applyBorder="1" applyAlignment="1" applyProtection="1">
      <alignment horizontal="center"/>
      <protection locked="0"/>
    </xf>
    <xf numFmtId="0" fontId="13" fillId="0" borderId="6" xfId="846" applyFont="1" applyFill="1" applyBorder="1" applyAlignment="1" applyProtection="1">
      <alignment horizontal="center"/>
      <protection locked="0"/>
    </xf>
    <xf numFmtId="0" fontId="45" fillId="0" borderId="3" xfId="846" applyFont="1" applyFill="1" applyBorder="1" applyProtection="1">
      <protection locked="0"/>
    </xf>
    <xf numFmtId="4" fontId="30" fillId="4" borderId="3" xfId="846" applyNumberFormat="1" applyFont="1" applyFill="1" applyBorder="1" applyAlignment="1" applyProtection="1">
      <alignment horizontal="right"/>
    </xf>
    <xf numFmtId="4" fontId="30" fillId="4" borderId="3" xfId="846" applyNumberFormat="1" applyFont="1" applyFill="1" applyBorder="1" applyAlignment="1" applyProtection="1">
      <alignment horizontal="right"/>
      <protection locked="0"/>
    </xf>
    <xf numFmtId="4" fontId="30" fillId="4" borderId="2" xfId="846" applyNumberFormat="1" applyFont="1" applyFill="1" applyBorder="1" applyAlignment="1" applyProtection="1">
      <alignment horizontal="right"/>
    </xf>
    <xf numFmtId="4" fontId="30" fillId="4" borderId="4" xfId="846" applyNumberFormat="1" applyFont="1" applyFill="1" applyBorder="1" applyAlignment="1" applyProtection="1">
      <alignment horizontal="right"/>
    </xf>
    <xf numFmtId="4" fontId="30" fillId="4" borderId="4" xfId="846" applyNumberFormat="1" applyFont="1" applyFill="1" applyBorder="1" applyAlignment="1" applyProtection="1">
      <alignment horizontal="right"/>
      <protection locked="0"/>
    </xf>
    <xf numFmtId="4" fontId="30" fillId="4" borderId="7" xfId="846" applyNumberFormat="1" applyFont="1" applyFill="1" applyBorder="1" applyAlignment="1" applyProtection="1">
      <alignment horizontal="right"/>
    </xf>
    <xf numFmtId="0" fontId="36" fillId="0" borderId="0" xfId="846" applyFont="1" applyBorder="1" applyProtection="1">
      <protection locked="0"/>
    </xf>
    <xf numFmtId="0" fontId="36" fillId="0" borderId="0" xfId="846" applyFont="1" applyProtection="1">
      <protection locked="0"/>
    </xf>
    <xf numFmtId="4" fontId="30" fillId="4" borderId="0" xfId="846" applyNumberFormat="1" applyFont="1" applyFill="1" applyBorder="1" applyAlignment="1" applyProtection="1">
      <alignment horizontal="right"/>
      <protection locked="0"/>
    </xf>
    <xf numFmtId="0" fontId="53" fillId="0" borderId="0" xfId="846" applyFont="1" applyBorder="1" applyProtection="1">
      <protection locked="0"/>
    </xf>
    <xf numFmtId="0" fontId="53" fillId="0" borderId="0" xfId="846" applyFont="1" applyProtection="1">
      <protection locked="0"/>
    </xf>
    <xf numFmtId="3" fontId="30" fillId="4" borderId="0" xfId="846" applyNumberFormat="1" applyFont="1" applyFill="1" applyBorder="1" applyAlignment="1" applyProtection="1">
      <alignment horizontal="right"/>
      <protection locked="0"/>
    </xf>
    <xf numFmtId="3" fontId="30" fillId="4" borderId="2" xfId="846" applyNumberFormat="1" applyFont="1" applyFill="1" applyBorder="1" applyAlignment="1" applyProtection="1">
      <alignment horizontal="right"/>
    </xf>
    <xf numFmtId="0" fontId="30" fillId="0" borderId="11" xfId="846" applyFont="1" applyFill="1" applyBorder="1" applyProtection="1">
      <protection locked="0"/>
    </xf>
    <xf numFmtId="3" fontId="30" fillId="4" borderId="6" xfId="846" applyNumberFormat="1" applyFont="1" applyFill="1" applyBorder="1" applyAlignment="1" applyProtection="1">
      <alignment horizontal="right"/>
    </xf>
    <xf numFmtId="3" fontId="30" fillId="4" borderId="6" xfId="846" applyNumberFormat="1" applyFont="1" applyFill="1" applyBorder="1" applyAlignment="1" applyProtection="1">
      <alignment horizontal="right"/>
      <protection locked="0"/>
    </xf>
    <xf numFmtId="3" fontId="30" fillId="4" borderId="5" xfId="846" applyNumberFormat="1" applyFont="1" applyFill="1" applyBorder="1" applyAlignment="1" applyProtection="1">
      <alignment horizontal="right"/>
    </xf>
    <xf numFmtId="3" fontId="51" fillId="0" borderId="11" xfId="846" applyNumberFormat="1" applyFont="1" applyFill="1" applyBorder="1" applyAlignment="1" applyProtection="1">
      <alignment horizontal="right"/>
    </xf>
    <xf numFmtId="3" fontId="30" fillId="0" borderId="11" xfId="846" applyNumberFormat="1" applyFont="1" applyFill="1" applyBorder="1" applyAlignment="1" applyProtection="1">
      <alignment horizontal="right"/>
      <protection locked="0"/>
    </xf>
    <xf numFmtId="3" fontId="30" fillId="4" borderId="11" xfId="846" applyNumberFormat="1" applyFont="1" applyFill="1" applyBorder="1" applyAlignment="1" applyProtection="1">
      <alignment horizontal="right"/>
    </xf>
    <xf numFmtId="3" fontId="30" fillId="4" borderId="11" xfId="846" applyNumberFormat="1" applyFont="1" applyFill="1" applyBorder="1" applyAlignment="1" applyProtection="1">
      <alignment horizontal="right"/>
      <protection locked="0"/>
    </xf>
    <xf numFmtId="0" fontId="41" fillId="0" borderId="0" xfId="0" applyFont="1" applyProtection="1">
      <protection locked="0"/>
    </xf>
    <xf numFmtId="0" fontId="57" fillId="0" borderId="0" xfId="0" applyFont="1" applyProtection="1">
      <protection locked="0"/>
    </xf>
    <xf numFmtId="0" fontId="0" fillId="0" borderId="0" xfId="0" applyProtection="1">
      <protection locked="0"/>
    </xf>
    <xf numFmtId="0" fontId="19" fillId="0" borderId="0" xfId="0" applyFont="1" applyProtection="1">
      <protection locked="0"/>
    </xf>
    <xf numFmtId="3" fontId="45" fillId="4" borderId="0" xfId="0" applyNumberFormat="1" applyFont="1" applyFill="1" applyProtection="1">
      <protection locked="0"/>
    </xf>
    <xf numFmtId="3" fontId="15" fillId="4" borderId="0" xfId="0" applyNumberFormat="1" applyFont="1" applyFill="1" applyProtection="1">
      <protection locked="0"/>
    </xf>
    <xf numFmtId="0" fontId="19" fillId="0" borderId="0" xfId="0" applyFont="1" applyBorder="1" applyProtection="1">
      <protection locked="0"/>
    </xf>
    <xf numFmtId="14" fontId="13" fillId="0" borderId="7" xfId="0" applyNumberFormat="1" applyFont="1" applyFill="1" applyBorder="1" applyAlignment="1" applyProtection="1">
      <alignment horizontal="left"/>
      <protection locked="0"/>
    </xf>
    <xf numFmtId="3" fontId="13" fillId="0" borderId="8" xfId="0" quotePrefix="1" applyNumberFormat="1" applyFont="1" applyFill="1" applyBorder="1" applyAlignment="1" applyProtection="1">
      <alignment horizontal="center"/>
      <protection locked="0"/>
    </xf>
    <xf numFmtId="3" fontId="13" fillId="0" borderId="9" xfId="0" quotePrefix="1" applyNumberFormat="1" applyFont="1" applyFill="1" applyBorder="1" applyAlignment="1" applyProtection="1">
      <alignment horizontal="center"/>
      <protection locked="0"/>
    </xf>
    <xf numFmtId="3" fontId="13" fillId="0" borderId="10" xfId="0" quotePrefix="1" applyNumberFormat="1" applyFont="1" applyFill="1" applyBorder="1" applyAlignment="1" applyProtection="1">
      <alignment horizontal="center"/>
      <protection locked="0"/>
    </xf>
    <xf numFmtId="0" fontId="17" fillId="0" borderId="8" xfId="0" applyFont="1" applyBorder="1" applyProtection="1">
      <protection locked="0"/>
    </xf>
    <xf numFmtId="0" fontId="17" fillId="0" borderId="10" xfId="0" applyFont="1" applyBorder="1" applyProtection="1">
      <protection locked="0"/>
    </xf>
    <xf numFmtId="0" fontId="17" fillId="0" borderId="9" xfId="0" applyFont="1" applyBorder="1" applyProtection="1">
      <protection locked="0"/>
    </xf>
    <xf numFmtId="0" fontId="17" fillId="4" borderId="10" xfId="0" applyFont="1" applyFill="1" applyBorder="1" applyProtection="1">
      <protection locked="0"/>
    </xf>
    <xf numFmtId="0" fontId="17" fillId="4" borderId="8" xfId="0" applyFont="1" applyFill="1" applyBorder="1" applyProtection="1">
      <protection locked="0"/>
    </xf>
    <xf numFmtId="0" fontId="17" fillId="4" borderId="9" xfId="0" applyFont="1" applyFill="1" applyBorder="1" applyProtection="1">
      <protection locked="0"/>
    </xf>
    <xf numFmtId="0" fontId="19" fillId="0" borderId="9" xfId="0" applyFont="1" applyBorder="1" applyProtection="1">
      <protection locked="0"/>
    </xf>
    <xf numFmtId="3" fontId="45" fillId="0" borderId="1" xfId="0" applyNumberFormat="1" applyFont="1" applyFill="1" applyBorder="1" applyProtection="1">
      <protection locked="0"/>
    </xf>
    <xf numFmtId="0" fontId="45" fillId="0" borderId="1" xfId="0" applyNumberFormat="1" applyFont="1" applyFill="1" applyBorder="1" applyAlignment="1" applyProtection="1">
      <alignment horizontal="center"/>
      <protection locked="0"/>
    </xf>
    <xf numFmtId="0" fontId="45" fillId="0" borderId="14" xfId="0" applyNumberFormat="1" applyFont="1" applyFill="1" applyBorder="1" applyAlignment="1" applyProtection="1">
      <alignment horizontal="center"/>
      <protection locked="0"/>
    </xf>
    <xf numFmtId="0" fontId="45" fillId="0" borderId="15" xfId="0" applyNumberFormat="1" applyFont="1" applyFill="1" applyBorder="1" applyAlignment="1" applyProtection="1">
      <alignment horizontal="center"/>
      <protection locked="0"/>
    </xf>
    <xf numFmtId="3" fontId="45" fillId="0" borderId="4" xfId="0" applyNumberFormat="1" applyFont="1" applyFill="1" applyBorder="1" applyProtection="1">
      <protection locked="0"/>
    </xf>
    <xf numFmtId="0" fontId="15" fillId="0" borderId="7" xfId="0" applyNumberFormat="1" applyFont="1" applyFill="1" applyBorder="1" applyAlignment="1" applyProtection="1">
      <alignment horizontal="center"/>
      <protection locked="0"/>
    </xf>
    <xf numFmtId="3" fontId="50" fillId="4" borderId="6" xfId="0" applyNumberFormat="1" applyFont="1" applyFill="1" applyBorder="1" applyProtection="1">
      <protection locked="0"/>
    </xf>
    <xf numFmtId="0" fontId="13" fillId="0" borderId="11" xfId="0" applyFont="1" applyBorder="1" applyAlignment="1" applyProtection="1">
      <alignment horizontal="center"/>
      <protection locked="0"/>
    </xf>
    <xf numFmtId="168" fontId="15" fillId="0" borderId="6" xfId="0" applyNumberFormat="1" applyFont="1" applyFill="1" applyBorder="1" applyAlignment="1" applyProtection="1">
      <alignment horizontal="center"/>
      <protection locked="0"/>
    </xf>
    <xf numFmtId="3" fontId="30" fillId="4" borderId="1" xfId="846" applyNumberFormat="1" applyFont="1" applyFill="1" applyBorder="1" applyAlignment="1" applyProtection="1">
      <alignment horizontal="right"/>
    </xf>
    <xf numFmtId="3" fontId="30" fillId="4" borderId="1" xfId="846" applyNumberFormat="1" applyFont="1" applyFill="1" applyBorder="1" applyAlignment="1" applyProtection="1">
      <alignment horizontal="right"/>
      <protection locked="0"/>
    </xf>
    <xf numFmtId="3" fontId="30" fillId="4" borderId="7" xfId="846" applyNumberFormat="1" applyFont="1" applyFill="1" applyBorder="1" applyAlignment="1" applyProtection="1">
      <alignment horizontal="right"/>
      <protection locked="0"/>
    </xf>
    <xf numFmtId="3" fontId="30" fillId="4" borderId="1" xfId="751" applyNumberFormat="1" applyFont="1" applyFill="1" applyBorder="1" applyAlignment="1" applyProtection="1">
      <alignment horizontal="right"/>
    </xf>
    <xf numFmtId="3" fontId="30" fillId="4" borderId="1" xfId="751" applyNumberFormat="1" applyFont="1" applyFill="1" applyBorder="1" applyAlignment="1" applyProtection="1">
      <alignment horizontal="right"/>
      <protection locked="0"/>
    </xf>
    <xf numFmtId="3" fontId="30" fillId="4" borderId="7" xfId="846" applyNumberFormat="1" applyFont="1" applyFill="1" applyBorder="1" applyAlignment="1" applyProtection="1">
      <alignment horizontal="right"/>
    </xf>
    <xf numFmtId="3" fontId="30" fillId="4" borderId="7" xfId="0" applyNumberFormat="1" applyFont="1" applyFill="1" applyBorder="1" applyAlignment="1" applyProtection="1">
      <alignment horizontal="right"/>
      <protection locked="0"/>
    </xf>
    <xf numFmtId="0" fontId="30" fillId="4" borderId="7" xfId="0" applyFont="1" applyFill="1" applyBorder="1" applyAlignment="1" applyProtection="1">
      <alignment horizontal="right"/>
      <protection locked="0"/>
    </xf>
    <xf numFmtId="0" fontId="30" fillId="0" borderId="4" xfId="0" applyFont="1" applyFill="1" applyBorder="1" applyProtection="1">
      <protection locked="0"/>
    </xf>
    <xf numFmtId="3" fontId="30" fillId="4" borderId="4" xfId="751" applyNumberFormat="1" applyFont="1" applyFill="1" applyBorder="1" applyAlignment="1" applyProtection="1">
      <alignment horizontal="right"/>
    </xf>
    <xf numFmtId="3" fontId="30" fillId="4" borderId="4" xfId="751" applyNumberFormat="1" applyFont="1" applyFill="1" applyBorder="1" applyAlignment="1" applyProtection="1">
      <alignment horizontal="right"/>
      <protection locked="0"/>
    </xf>
    <xf numFmtId="3" fontId="30" fillId="4" borderId="3" xfId="0" applyNumberFormat="1" applyFont="1" applyFill="1" applyBorder="1" applyAlignment="1" applyProtection="1">
      <alignment horizontal="right"/>
      <protection locked="0"/>
    </xf>
    <xf numFmtId="0" fontId="30" fillId="4" borderId="3" xfId="0" applyFont="1" applyFill="1" applyBorder="1" applyAlignment="1" applyProtection="1">
      <alignment horizontal="right"/>
      <protection locked="0"/>
    </xf>
    <xf numFmtId="3" fontId="30" fillId="0" borderId="3" xfId="0" applyNumberFormat="1" applyFont="1" applyFill="1" applyBorder="1" applyAlignment="1" applyProtection="1">
      <alignment horizontal="right"/>
      <protection locked="0"/>
    </xf>
    <xf numFmtId="1" fontId="30" fillId="0" borderId="3" xfId="846" applyNumberFormat="1" applyFont="1" applyBorder="1" applyAlignment="1" applyProtection="1">
      <alignment horizontal="right"/>
    </xf>
    <xf numFmtId="1" fontId="30" fillId="0" borderId="3" xfId="846" applyNumberFormat="1" applyFont="1" applyBorder="1" applyAlignment="1" applyProtection="1">
      <alignment horizontal="right"/>
      <protection locked="0"/>
    </xf>
    <xf numFmtId="0" fontId="30" fillId="0" borderId="3" xfId="846" applyFont="1" applyBorder="1" applyAlignment="1" applyProtection="1">
      <alignment horizontal="right"/>
    </xf>
    <xf numFmtId="0" fontId="30" fillId="0" borderId="3" xfId="846" applyFont="1" applyBorder="1" applyAlignment="1" applyProtection="1">
      <alignment horizontal="right"/>
      <protection locked="0"/>
    </xf>
    <xf numFmtId="165" fontId="30" fillId="0" borderId="3" xfId="847" applyNumberFormat="1" applyFont="1" applyBorder="1" applyAlignment="1" applyProtection="1">
      <alignment horizontal="right"/>
    </xf>
    <xf numFmtId="165" fontId="30" fillId="0" borderId="3" xfId="847" applyNumberFormat="1" applyFont="1" applyBorder="1" applyAlignment="1" applyProtection="1">
      <alignment horizontal="right"/>
      <protection locked="0"/>
    </xf>
    <xf numFmtId="3" fontId="30" fillId="10" borderId="3" xfId="846" applyNumberFormat="1" applyFont="1" applyFill="1" applyBorder="1" applyAlignment="1" applyProtection="1">
      <alignment horizontal="right"/>
      <protection locked="0"/>
    </xf>
    <xf numFmtId="169" fontId="30" fillId="0" borderId="3" xfId="847" applyNumberFormat="1" applyFont="1" applyBorder="1" applyAlignment="1" applyProtection="1">
      <alignment horizontal="right"/>
    </xf>
    <xf numFmtId="169" fontId="30" fillId="0" borderId="3" xfId="847" applyNumberFormat="1" applyFont="1" applyBorder="1" applyAlignment="1" applyProtection="1">
      <alignment horizontal="right"/>
      <protection locked="0"/>
    </xf>
    <xf numFmtId="0" fontId="30" fillId="0" borderId="3" xfId="0" applyFont="1" applyFill="1" applyBorder="1" applyAlignment="1" applyProtection="1">
      <alignment horizontal="right"/>
      <protection locked="0"/>
    </xf>
    <xf numFmtId="165" fontId="30" fillId="4" borderId="4" xfId="847" applyNumberFormat="1" applyFont="1" applyFill="1" applyBorder="1" applyAlignment="1" applyProtection="1">
      <alignment horizontal="right"/>
    </xf>
    <xf numFmtId="165" fontId="30" fillId="4" borderId="4" xfId="847" applyNumberFormat="1" applyFont="1" applyFill="1" applyBorder="1" applyAlignment="1" applyProtection="1">
      <alignment horizontal="right"/>
      <protection locked="0"/>
    </xf>
    <xf numFmtId="165" fontId="30" fillId="4" borderId="3" xfId="847" applyNumberFormat="1" applyFont="1" applyFill="1" applyBorder="1" applyAlignment="1" applyProtection="1">
      <alignment horizontal="right"/>
    </xf>
    <xf numFmtId="165" fontId="30" fillId="4" borderId="3" xfId="847" applyNumberFormat="1" applyFont="1" applyFill="1" applyBorder="1" applyAlignment="1" applyProtection="1">
      <alignment horizontal="right"/>
      <protection locked="0"/>
    </xf>
    <xf numFmtId="0" fontId="19" fillId="0" borderId="0" xfId="0" applyFont="1" applyFill="1" applyProtection="1">
      <protection locked="0"/>
    </xf>
    <xf numFmtId="0" fontId="45" fillId="0" borderId="11" xfId="0" applyFont="1" applyFill="1" applyBorder="1" applyProtection="1">
      <protection locked="0"/>
    </xf>
    <xf numFmtId="3" fontId="45" fillId="0" borderId="6" xfId="846" applyNumberFormat="1" applyFont="1" applyFill="1" applyBorder="1" applyAlignment="1" applyProtection="1">
      <alignment horizontal="right"/>
    </xf>
    <xf numFmtId="3" fontId="45" fillId="4" borderId="6" xfId="0" applyNumberFormat="1" applyFont="1" applyFill="1" applyBorder="1" applyAlignment="1" applyProtection="1">
      <alignment horizontal="right"/>
      <protection locked="0"/>
    </xf>
    <xf numFmtId="3" fontId="45" fillId="0" borderId="3" xfId="0" applyNumberFormat="1" applyFont="1" applyFill="1" applyBorder="1" applyAlignment="1" applyProtection="1">
      <alignment horizontal="right"/>
      <protection locked="0"/>
    </xf>
    <xf numFmtId="3" fontId="45" fillId="4" borderId="3" xfId="0" applyNumberFormat="1" applyFont="1" applyFill="1" applyBorder="1" applyAlignment="1" applyProtection="1">
      <alignment horizontal="right"/>
      <protection locked="0"/>
    </xf>
    <xf numFmtId="0" fontId="49" fillId="0" borderId="0" xfId="0" applyFont="1" applyProtection="1">
      <protection locked="0"/>
    </xf>
    <xf numFmtId="0" fontId="45" fillId="0" borderId="4" xfId="0" applyFont="1" applyFill="1" applyBorder="1" applyProtection="1">
      <protection locked="0"/>
    </xf>
    <xf numFmtId="3" fontId="45" fillId="4" borderId="4" xfId="751" applyNumberFormat="1" applyFont="1" applyFill="1" applyBorder="1" applyAlignment="1" applyProtection="1">
      <alignment horizontal="right"/>
    </xf>
    <xf numFmtId="3" fontId="45" fillId="4" borderId="4" xfId="751" applyNumberFormat="1" applyFont="1" applyFill="1" applyBorder="1" applyAlignment="1" applyProtection="1">
      <alignment horizontal="right"/>
      <protection locked="0"/>
    </xf>
    <xf numFmtId="3" fontId="45" fillId="4" borderId="7" xfId="0" applyNumberFormat="1" applyFont="1" applyFill="1" applyBorder="1" applyAlignment="1" applyProtection="1">
      <alignment horizontal="right"/>
      <protection locked="0"/>
    </xf>
    <xf numFmtId="0" fontId="45" fillId="4" borderId="7" xfId="0" applyFont="1" applyFill="1" applyBorder="1" applyAlignment="1" applyProtection="1">
      <alignment horizontal="right"/>
      <protection locked="0"/>
    </xf>
    <xf numFmtId="0" fontId="45" fillId="4" borderId="15" xfId="0" applyFont="1" applyFill="1" applyBorder="1" applyAlignment="1" applyProtection="1">
      <alignment horizontal="right"/>
      <protection locked="0"/>
    </xf>
    <xf numFmtId="0" fontId="49" fillId="0" borderId="7" xfId="0" applyFont="1" applyBorder="1" applyAlignment="1" applyProtection="1">
      <alignment horizontal="right"/>
      <protection locked="0"/>
    </xf>
    <xf numFmtId="0" fontId="30" fillId="0" borderId="0" xfId="0" applyFont="1" applyProtection="1">
      <protection locked="0"/>
    </xf>
    <xf numFmtId="0" fontId="45" fillId="0" borderId="0" xfId="0" applyFont="1" applyProtection="1">
      <protection locked="0"/>
    </xf>
    <xf numFmtId="3" fontId="45" fillId="4" borderId="11" xfId="751" applyNumberFormat="1" applyFont="1" applyFill="1" applyBorder="1" applyAlignment="1" applyProtection="1">
      <alignment horizontal="right"/>
    </xf>
    <xf numFmtId="3" fontId="45" fillId="4" borderId="11" xfId="751" applyNumberFormat="1" applyFont="1" applyFill="1" applyBorder="1" applyAlignment="1" applyProtection="1">
      <alignment horizontal="right"/>
      <protection locked="0"/>
    </xf>
    <xf numFmtId="3" fontId="45" fillId="4" borderId="6" xfId="0" applyNumberFormat="1" applyFont="1" applyFill="1" applyBorder="1" applyAlignment="1" applyProtection="1">
      <alignment horizontal="right"/>
    </xf>
    <xf numFmtId="0" fontId="45" fillId="0" borderId="7" xfId="0" applyFont="1" applyFill="1" applyBorder="1" applyProtection="1">
      <protection locked="0"/>
    </xf>
    <xf numFmtId="3" fontId="45" fillId="4" borderId="1" xfId="14" applyNumberFormat="1" applyFont="1" applyFill="1" applyBorder="1" applyAlignment="1" applyProtection="1">
      <alignment horizontal="right"/>
      <protection locked="0"/>
    </xf>
    <xf numFmtId="3" fontId="45" fillId="4" borderId="1" xfId="0" applyNumberFormat="1" applyFont="1" applyFill="1" applyBorder="1" applyAlignment="1" applyProtection="1">
      <alignment horizontal="right"/>
      <protection locked="0"/>
    </xf>
    <xf numFmtId="0" fontId="45" fillId="4" borderId="1" xfId="0" applyFont="1" applyFill="1" applyBorder="1" applyAlignment="1" applyProtection="1">
      <alignment horizontal="right"/>
      <protection locked="0"/>
    </xf>
    <xf numFmtId="0" fontId="45" fillId="0" borderId="7" xfId="0" applyFont="1" applyBorder="1" applyAlignment="1" applyProtection="1">
      <alignment horizontal="right"/>
      <protection locked="0"/>
    </xf>
    <xf numFmtId="0" fontId="45" fillId="2" borderId="3" xfId="0" applyFont="1" applyFill="1" applyBorder="1" applyProtection="1">
      <protection locked="0"/>
    </xf>
    <xf numFmtId="0" fontId="30" fillId="2" borderId="3" xfId="0" applyFont="1" applyFill="1" applyBorder="1" applyProtection="1">
      <protection locked="0"/>
    </xf>
    <xf numFmtId="3" fontId="45" fillId="2" borderId="4" xfId="14" applyNumberFormat="1" applyFont="1" applyFill="1" applyBorder="1" applyAlignment="1" applyProtection="1">
      <alignment horizontal="right"/>
      <protection locked="0"/>
    </xf>
    <xf numFmtId="3" fontId="30" fillId="2" borderId="3" xfId="0" applyNumberFormat="1" applyFont="1" applyFill="1" applyBorder="1" applyProtection="1">
      <protection locked="0"/>
    </xf>
    <xf numFmtId="0" fontId="45" fillId="0" borderId="0" xfId="0" applyFont="1" applyFill="1" applyProtection="1">
      <protection locked="0"/>
    </xf>
    <xf numFmtId="3" fontId="30" fillId="2" borderId="4" xfId="14" applyNumberFormat="1" applyFont="1" applyFill="1" applyBorder="1" applyAlignment="1" applyProtection="1">
      <alignment horizontal="right"/>
      <protection locked="0"/>
    </xf>
    <xf numFmtId="0" fontId="30" fillId="0" borderId="0" xfId="0" applyFont="1" applyFill="1" applyProtection="1">
      <protection locked="0"/>
    </xf>
    <xf numFmtId="1" fontId="30" fillId="2" borderId="3" xfId="0" applyNumberFormat="1" applyFont="1" applyFill="1" applyBorder="1" applyProtection="1">
      <protection locked="0"/>
    </xf>
    <xf numFmtId="0" fontId="45" fillId="2" borderId="6" xfId="0" applyFont="1" applyFill="1" applyBorder="1" applyProtection="1">
      <protection locked="0"/>
    </xf>
    <xf numFmtId="1" fontId="30" fillId="2" borderId="6" xfId="0" applyNumberFormat="1" applyFont="1" applyFill="1" applyBorder="1" applyProtection="1">
      <protection locked="0"/>
    </xf>
    <xf numFmtId="0" fontId="30" fillId="2" borderId="6" xfId="0" applyFont="1" applyFill="1" applyBorder="1" applyProtection="1">
      <protection locked="0"/>
    </xf>
    <xf numFmtId="3" fontId="45" fillId="2" borderId="11" xfId="14" applyNumberFormat="1" applyFont="1" applyFill="1" applyBorder="1" applyAlignment="1" applyProtection="1">
      <alignment horizontal="right"/>
      <protection locked="0"/>
    </xf>
    <xf numFmtId="3" fontId="30" fillId="2" borderId="6" xfId="0" applyNumberFormat="1" applyFont="1" applyFill="1" applyBorder="1" applyProtection="1">
      <protection locked="0"/>
    </xf>
    <xf numFmtId="0" fontId="61" fillId="0" borderId="0" xfId="0" applyFont="1" applyBorder="1" applyProtection="1">
      <protection locked="0"/>
    </xf>
    <xf numFmtId="0" fontId="61" fillId="0" borderId="0" xfId="0" applyFont="1" applyProtection="1">
      <protection locked="0"/>
    </xf>
    <xf numFmtId="0" fontId="46" fillId="0" borderId="14" xfId="0" applyFont="1" applyBorder="1" applyProtection="1">
      <protection locked="0"/>
    </xf>
    <xf numFmtId="0" fontId="68" fillId="4" borderId="14" xfId="0" applyFont="1" applyFill="1" applyBorder="1" applyProtection="1">
      <protection locked="0"/>
    </xf>
    <xf numFmtId="3" fontId="19" fillId="0" borderId="0" xfId="0" applyNumberFormat="1" applyFont="1" applyProtection="1">
      <protection locked="0"/>
    </xf>
    <xf numFmtId="3" fontId="0" fillId="0" borderId="0" xfId="0" applyNumberFormat="1" applyProtection="1">
      <protection locked="0"/>
    </xf>
    <xf numFmtId="0" fontId="45" fillId="0" borderId="1" xfId="846" applyNumberFormat="1" applyFont="1" applyFill="1" applyBorder="1" applyAlignment="1" applyProtection="1">
      <alignment horizontal="center"/>
      <protection locked="0"/>
    </xf>
    <xf numFmtId="0" fontId="45" fillId="0" borderId="14" xfId="846" applyNumberFormat="1" applyFont="1" applyFill="1" applyBorder="1" applyAlignment="1" applyProtection="1">
      <alignment horizontal="center"/>
      <protection locked="0"/>
    </xf>
    <xf numFmtId="0" fontId="45" fillId="0" borderId="15" xfId="846" applyNumberFormat="1" applyFont="1" applyFill="1" applyBorder="1" applyAlignment="1" applyProtection="1">
      <alignment horizontal="center"/>
      <protection locked="0"/>
    </xf>
    <xf numFmtId="0" fontId="19" fillId="0" borderId="0" xfId="846" applyFill="1" applyProtection="1">
      <protection locked="0"/>
    </xf>
    <xf numFmtId="0" fontId="17" fillId="0" borderId="10" xfId="846" applyFont="1" applyFill="1" applyBorder="1" applyProtection="1">
      <protection locked="0"/>
    </xf>
    <xf numFmtId="0" fontId="17" fillId="0" borderId="8" xfId="846" applyFont="1" applyFill="1" applyBorder="1" applyProtection="1">
      <protection locked="0"/>
    </xf>
    <xf numFmtId="0" fontId="17" fillId="0" borderId="9" xfId="846" applyFont="1" applyFill="1" applyBorder="1" applyProtection="1">
      <protection locked="0"/>
    </xf>
    <xf numFmtId="14" fontId="30" fillId="0" borderId="0" xfId="1" applyNumberFormat="1" applyFont="1" applyAlignment="1">
      <alignment horizontal="center"/>
    </xf>
    <xf numFmtId="0" fontId="15" fillId="8" borderId="0" xfId="0" applyFont="1" applyFill="1" applyBorder="1" applyAlignment="1">
      <alignment horizontal="center"/>
    </xf>
    <xf numFmtId="0" fontId="15" fillId="8" borderId="2" xfId="0" applyFont="1" applyFill="1" applyBorder="1" applyAlignment="1">
      <alignment horizontal="center"/>
    </xf>
    <xf numFmtId="0" fontId="45" fillId="0" borderId="12" xfId="0" applyFont="1" applyBorder="1" applyAlignment="1">
      <alignment horizontal="left"/>
    </xf>
    <xf numFmtId="0" fontId="45" fillId="0" borderId="10" xfId="0" applyFont="1" applyBorder="1" applyAlignment="1">
      <alignment horizontal="center"/>
    </xf>
    <xf numFmtId="0" fontId="45" fillId="0" borderId="8" xfId="0" applyFont="1" applyBorder="1" applyAlignment="1">
      <alignment horizontal="center"/>
    </xf>
    <xf numFmtId="0" fontId="45" fillId="0" borderId="9" xfId="0" applyFont="1" applyBorder="1" applyAlignment="1">
      <alignment horizontal="center"/>
    </xf>
    <xf numFmtId="0" fontId="15" fillId="8" borderId="4" xfId="0" applyFont="1" applyFill="1" applyBorder="1" applyAlignment="1">
      <alignment horizontal="center"/>
    </xf>
    <xf numFmtId="0" fontId="45" fillId="0" borderId="14" xfId="0" applyFont="1" applyBorder="1" applyAlignment="1">
      <alignment horizontal="center"/>
    </xf>
    <xf numFmtId="0" fontId="45" fillId="0" borderId="15" xfId="0" applyFont="1" applyBorder="1" applyAlignment="1">
      <alignment horizontal="center"/>
    </xf>
    <xf numFmtId="0" fontId="45" fillId="0" borderId="1" xfId="0" applyFont="1" applyBorder="1" applyAlignment="1">
      <alignment horizontal="center"/>
    </xf>
    <xf numFmtId="14" fontId="13" fillId="0" borderId="11" xfId="0" applyNumberFormat="1" applyFont="1" applyFill="1" applyBorder="1" applyAlignment="1">
      <alignment horizontal="center"/>
    </xf>
    <xf numFmtId="14" fontId="13" fillId="0" borderId="12" xfId="0" applyNumberFormat="1" applyFont="1" applyFill="1" applyBorder="1" applyAlignment="1">
      <alignment horizontal="center"/>
    </xf>
    <xf numFmtId="14" fontId="13" fillId="0" borderId="5" xfId="0" applyNumberFormat="1" applyFont="1" applyFill="1" applyBorder="1" applyAlignment="1">
      <alignment horizontal="center"/>
    </xf>
    <xf numFmtId="3" fontId="45" fillId="0" borderId="11" xfId="0" applyNumberFormat="1" applyFont="1" applyBorder="1" applyAlignment="1">
      <alignment horizontal="center"/>
    </xf>
    <xf numFmtId="3" fontId="45" fillId="0" borderId="12" xfId="0" applyNumberFormat="1" applyFont="1" applyBorder="1" applyAlignment="1">
      <alignment horizontal="center"/>
    </xf>
    <xf numFmtId="3" fontId="45" fillId="0" borderId="5" xfId="0" applyNumberFormat="1" applyFont="1" applyBorder="1" applyAlignment="1">
      <alignment horizontal="center"/>
    </xf>
    <xf numFmtId="0" fontId="15" fillId="0" borderId="10" xfId="1" applyFont="1" applyBorder="1" applyAlignment="1">
      <alignment horizontal="center"/>
    </xf>
    <xf numFmtId="0" fontId="15" fillId="0" borderId="8" xfId="1" applyFont="1" applyBorder="1" applyAlignment="1">
      <alignment horizontal="center"/>
    </xf>
    <xf numFmtId="0" fontId="15" fillId="0" borderId="9" xfId="1" applyFont="1" applyBorder="1" applyAlignment="1">
      <alignment horizontal="center"/>
    </xf>
    <xf numFmtId="0" fontId="13" fillId="0" borderId="0" xfId="1" applyFont="1" applyBorder="1" applyAlignment="1">
      <alignment horizontal="center"/>
    </xf>
    <xf numFmtId="0" fontId="13" fillId="0" borderId="0" xfId="1" applyFont="1" applyFill="1" applyBorder="1" applyAlignment="1">
      <alignment horizontal="center"/>
    </xf>
    <xf numFmtId="3" fontId="15" fillId="0" borderId="10" xfId="1" applyNumberFormat="1" applyFont="1" applyBorder="1" applyAlignment="1">
      <alignment horizontal="left"/>
    </xf>
    <xf numFmtId="3" fontId="15" fillId="0" borderId="8" xfId="1" applyNumberFormat="1" applyFont="1" applyBorder="1" applyAlignment="1">
      <alignment horizontal="left"/>
    </xf>
    <xf numFmtId="3" fontId="15" fillId="0" borderId="9" xfId="1" applyNumberFormat="1" applyFont="1" applyBorder="1" applyAlignment="1">
      <alignment horizontal="left"/>
    </xf>
    <xf numFmtId="3" fontId="15" fillId="0" borderId="10" xfId="1" applyNumberFormat="1" applyFont="1" applyBorder="1" applyAlignment="1">
      <alignment horizontal="center"/>
    </xf>
    <xf numFmtId="3" fontId="15" fillId="0" borderId="8" xfId="1" applyNumberFormat="1" applyFont="1" applyBorder="1" applyAlignment="1">
      <alignment horizontal="center"/>
    </xf>
    <xf numFmtId="3" fontId="15" fillId="0" borderId="9" xfId="1" applyNumberFormat="1" applyFont="1" applyBorder="1" applyAlignment="1">
      <alignment horizontal="center"/>
    </xf>
    <xf numFmtId="3" fontId="13" fillId="0" borderId="0" xfId="1" applyNumberFormat="1" applyFont="1" applyBorder="1" applyAlignment="1">
      <alignment horizontal="center"/>
    </xf>
    <xf numFmtId="3" fontId="13" fillId="0" borderId="12" xfId="1" applyNumberFormat="1" applyFont="1" applyBorder="1" applyAlignment="1">
      <alignment horizontal="center"/>
    </xf>
    <xf numFmtId="3" fontId="13" fillId="0" borderId="14" xfId="1" applyNumberFormat="1" applyFont="1" applyFill="1" applyBorder="1" applyAlignment="1">
      <alignment horizontal="center"/>
    </xf>
    <xf numFmtId="3" fontId="13" fillId="0" borderId="0" xfId="1" applyNumberFormat="1" applyFont="1" applyFill="1" applyBorder="1" applyAlignment="1">
      <alignment horizontal="center"/>
    </xf>
    <xf numFmtId="0" fontId="45" fillId="0" borderId="11" xfId="0" applyNumberFormat="1" applyFont="1" applyFill="1" applyBorder="1" applyAlignment="1" applyProtection="1">
      <alignment horizontal="center"/>
      <protection locked="0"/>
    </xf>
    <xf numFmtId="0" fontId="45" fillId="0" borderId="12" xfId="0" applyNumberFormat="1" applyFont="1" applyFill="1" applyBorder="1" applyAlignment="1" applyProtection="1">
      <alignment horizontal="center"/>
      <protection locked="0"/>
    </xf>
    <xf numFmtId="0" fontId="45" fillId="0" borderId="5" xfId="0" applyNumberFormat="1" applyFont="1" applyFill="1" applyBorder="1" applyAlignment="1" applyProtection="1">
      <alignment horizontal="center"/>
      <protection locked="0"/>
    </xf>
    <xf numFmtId="0" fontId="45" fillId="0" borderId="11" xfId="0" applyFont="1" applyBorder="1" applyAlignment="1" applyProtection="1">
      <alignment horizontal="center"/>
      <protection locked="0"/>
    </xf>
    <xf numFmtId="0" fontId="45" fillId="0" borderId="12" xfId="0" applyFont="1" applyBorder="1" applyAlignment="1" applyProtection="1">
      <alignment horizontal="center"/>
      <protection locked="0"/>
    </xf>
    <xf numFmtId="0" fontId="45" fillId="0" borderId="5" xfId="0" applyFont="1" applyBorder="1" applyAlignment="1" applyProtection="1">
      <alignment horizontal="center"/>
      <protection locked="0"/>
    </xf>
    <xf numFmtId="0" fontId="45" fillId="0" borderId="1" xfId="0" applyNumberFormat="1" applyFont="1" applyFill="1" applyBorder="1" applyAlignment="1" applyProtection="1">
      <alignment horizontal="center"/>
      <protection locked="0"/>
    </xf>
    <xf numFmtId="0" fontId="45" fillId="0" borderId="14" xfId="0" applyNumberFormat="1" applyFont="1" applyFill="1" applyBorder="1" applyAlignment="1" applyProtection="1">
      <alignment horizontal="center"/>
      <protection locked="0"/>
    </xf>
    <xf numFmtId="0" fontId="45" fillId="0" borderId="15" xfId="0" applyNumberFormat="1" applyFont="1" applyFill="1" applyBorder="1" applyAlignment="1" applyProtection="1">
      <alignment horizontal="center"/>
      <protection locked="0"/>
    </xf>
    <xf numFmtId="0" fontId="45" fillId="0" borderId="1" xfId="0" applyFont="1" applyBorder="1" applyAlignment="1" applyProtection="1">
      <alignment horizontal="center"/>
      <protection locked="0"/>
    </xf>
    <xf numFmtId="0" fontId="45" fillId="0" borderId="14" xfId="0" applyFont="1" applyBorder="1" applyAlignment="1" applyProtection="1">
      <alignment horizontal="center"/>
      <protection locked="0"/>
    </xf>
    <xf numFmtId="0" fontId="45" fillId="0" borderId="15" xfId="0" applyFont="1" applyBorder="1" applyAlignment="1" applyProtection="1">
      <alignment horizontal="center"/>
      <protection locked="0"/>
    </xf>
    <xf numFmtId="0" fontId="45" fillId="0" borderId="1" xfId="846" applyNumberFormat="1" applyFont="1" applyFill="1" applyBorder="1" applyAlignment="1" applyProtection="1">
      <alignment horizontal="center"/>
      <protection locked="0"/>
    </xf>
    <xf numFmtId="0" fontId="45" fillId="0" borderId="14" xfId="846" applyNumberFormat="1" applyFont="1" applyFill="1" applyBorder="1" applyAlignment="1" applyProtection="1">
      <alignment horizontal="center"/>
      <protection locked="0"/>
    </xf>
    <xf numFmtId="0" fontId="45" fillId="0" borderId="15" xfId="846" applyNumberFormat="1" applyFont="1" applyFill="1" applyBorder="1" applyAlignment="1" applyProtection="1">
      <alignment horizontal="center"/>
      <protection locked="0"/>
    </xf>
    <xf numFmtId="0" fontId="45" fillId="4" borderId="0" xfId="846" applyNumberFormat="1" applyFont="1" applyFill="1" applyBorder="1" applyAlignment="1" applyProtection="1">
      <alignment horizontal="center"/>
      <protection locked="0"/>
    </xf>
    <xf numFmtId="0" fontId="45" fillId="0" borderId="11" xfId="846" applyNumberFormat="1" applyFont="1" applyFill="1" applyBorder="1" applyAlignment="1" applyProtection="1">
      <alignment horizontal="center"/>
      <protection locked="0"/>
    </xf>
    <xf numFmtId="0" fontId="45" fillId="0" borderId="12" xfId="846" applyNumberFormat="1" applyFont="1" applyFill="1" applyBorder="1" applyAlignment="1" applyProtection="1">
      <alignment horizontal="center"/>
      <protection locked="0"/>
    </xf>
    <xf numFmtId="0" fontId="45" fillId="0" borderId="5" xfId="846" applyNumberFormat="1" applyFont="1" applyFill="1" applyBorder="1" applyAlignment="1" applyProtection="1">
      <alignment horizontal="center"/>
      <protection locked="0"/>
    </xf>
  </cellXfs>
  <cellStyles count="848">
    <cellStyle name="20 % - uthevingsfarge 2" xfId="844" builtinId="34"/>
    <cellStyle name="40% - uthevingsfarge 4 2" xfId="38"/>
    <cellStyle name="40% - uthevingsfarge 4 2 10" xfId="771"/>
    <cellStyle name="40% - uthevingsfarge 4 2 2" xfId="80"/>
    <cellStyle name="40% - uthevingsfarge 4 2 2 2" xfId="173"/>
    <cellStyle name="40% - uthevingsfarge 4 2 2 3" xfId="263"/>
    <cellStyle name="40% - uthevingsfarge 4 2 2 4" xfId="353"/>
    <cellStyle name="40% - uthevingsfarge 4 2 2 5" xfId="443"/>
    <cellStyle name="40% - uthevingsfarge 4 2 2 6" xfId="533"/>
    <cellStyle name="40% - uthevingsfarge 4 2 2 7" xfId="623"/>
    <cellStyle name="40% - uthevingsfarge 4 2 2 8" xfId="713"/>
    <cellStyle name="40% - uthevingsfarge 4 2 2 9" xfId="810"/>
    <cellStyle name="40% - uthevingsfarge 4 2 3" xfId="136"/>
    <cellStyle name="40% - uthevingsfarge 4 2 4" xfId="226"/>
    <cellStyle name="40% - uthevingsfarge 4 2 5" xfId="316"/>
    <cellStyle name="40% - uthevingsfarge 4 2 6" xfId="406"/>
    <cellStyle name="40% - uthevingsfarge 4 2 7" xfId="496"/>
    <cellStyle name="40% - uthevingsfarge 4 2 8" xfId="586"/>
    <cellStyle name="40% - uthevingsfarge 4 2 9" xfId="676"/>
    <cellStyle name="Hyperkobling" xfId="3" builtinId="8"/>
    <cellStyle name="Komma" xfId="2" builtinId="3"/>
    <cellStyle name="Komma 3" xfId="847"/>
    <cellStyle name="Merknad 2" xfId="94"/>
    <cellStyle name="Normal" xfId="0" builtinId="0"/>
    <cellStyle name="Normal 10" xfId="31"/>
    <cellStyle name="Normal 10 10" xfId="670"/>
    <cellStyle name="Normal 10 11" xfId="765"/>
    <cellStyle name="Normal 10 2" xfId="53"/>
    <cellStyle name="Normal 10 2 10" xfId="785"/>
    <cellStyle name="Normal 10 2 2" xfId="93"/>
    <cellStyle name="Normal 10 2 2 10" xfId="823"/>
    <cellStyle name="Normal 10 2 2 2" xfId="6"/>
    <cellStyle name="Normal 10 2 2 2 2" xfId="116"/>
    <cellStyle name="Normal 10 2 2 3" xfId="186"/>
    <cellStyle name="Normal 10 2 2 4" xfId="276"/>
    <cellStyle name="Normal 10 2 2 5" xfId="366"/>
    <cellStyle name="Normal 10 2 2 6" xfId="456"/>
    <cellStyle name="Normal 10 2 2 7" xfId="546"/>
    <cellStyle name="Normal 10 2 2 8" xfId="636"/>
    <cellStyle name="Normal 10 2 2 9" xfId="726"/>
    <cellStyle name="Normal 10 2 3" xfId="149"/>
    <cellStyle name="Normal 10 2 4" xfId="239"/>
    <cellStyle name="Normal 10 2 5" xfId="329"/>
    <cellStyle name="Normal 10 2 6" xfId="419"/>
    <cellStyle name="Normal 10 2 7" xfId="509"/>
    <cellStyle name="Normal 10 2 8" xfId="599"/>
    <cellStyle name="Normal 10 2 9" xfId="689"/>
    <cellStyle name="Normal 10 3" xfId="74"/>
    <cellStyle name="Normal 10 3 2" xfId="167"/>
    <cellStyle name="Normal 10 3 3" xfId="257"/>
    <cellStyle name="Normal 10 3 4" xfId="347"/>
    <cellStyle name="Normal 10 3 5" xfId="437"/>
    <cellStyle name="Normal 10 3 6" xfId="527"/>
    <cellStyle name="Normal 10 3 7" xfId="617"/>
    <cellStyle name="Normal 10 3 8" xfId="707"/>
    <cellStyle name="Normal 10 3 9" xfId="804"/>
    <cellStyle name="Normal 10 4" xfId="130"/>
    <cellStyle name="Normal 10 5" xfId="220"/>
    <cellStyle name="Normal 10 6" xfId="310"/>
    <cellStyle name="Normal 10 7" xfId="400"/>
    <cellStyle name="Normal 10 8" xfId="490"/>
    <cellStyle name="Normal 10 9" xfId="580"/>
    <cellStyle name="Normal 11" xfId="35"/>
    <cellStyle name="Normal 11 10" xfId="673"/>
    <cellStyle name="Normal 11 11" xfId="768"/>
    <cellStyle name="Normal 11 2" xfId="57"/>
    <cellStyle name="Normal 11 2 10" xfId="788"/>
    <cellStyle name="Normal 11 2 2" xfId="97"/>
    <cellStyle name="Normal 11 2 2 2" xfId="189"/>
    <cellStyle name="Normal 11 2 2 3" xfId="279"/>
    <cellStyle name="Normal 11 2 2 4" xfId="369"/>
    <cellStyle name="Normal 11 2 2 5" xfId="459"/>
    <cellStyle name="Normal 11 2 2 6" xfId="549"/>
    <cellStyle name="Normal 11 2 2 7" xfId="639"/>
    <cellStyle name="Normal 11 2 2 8" xfId="729"/>
    <cellStyle name="Normal 11 2 2 9" xfId="826"/>
    <cellStyle name="Normal 11 2 3" xfId="152"/>
    <cellStyle name="Normal 11 2 4" xfId="242"/>
    <cellStyle name="Normal 11 2 5" xfId="332"/>
    <cellStyle name="Normal 11 2 6" xfId="422"/>
    <cellStyle name="Normal 11 2 7" xfId="512"/>
    <cellStyle name="Normal 11 2 8" xfId="602"/>
    <cellStyle name="Normal 11 2 9" xfId="692"/>
    <cellStyle name="Normal 11 3" xfId="77"/>
    <cellStyle name="Normal 11 3 2" xfId="170"/>
    <cellStyle name="Normal 11 3 3" xfId="260"/>
    <cellStyle name="Normal 11 3 4" xfId="350"/>
    <cellStyle name="Normal 11 3 5" xfId="440"/>
    <cellStyle name="Normal 11 3 6" xfId="530"/>
    <cellStyle name="Normal 11 3 7" xfId="620"/>
    <cellStyle name="Normal 11 3 8" xfId="710"/>
    <cellStyle name="Normal 11 3 9" xfId="807"/>
    <cellStyle name="Normal 11 4" xfId="133"/>
    <cellStyle name="Normal 11 5" xfId="223"/>
    <cellStyle name="Normal 11 6" xfId="313"/>
    <cellStyle name="Normal 11 7" xfId="403"/>
    <cellStyle name="Normal 11 8" xfId="493"/>
    <cellStyle name="Normal 11 9" xfId="583"/>
    <cellStyle name="Normal 12" xfId="100"/>
    <cellStyle name="Normal 12 2" xfId="192"/>
    <cellStyle name="Normal 12 3" xfId="282"/>
    <cellStyle name="Normal 12 4" xfId="372"/>
    <cellStyle name="Normal 12 5" xfId="462"/>
    <cellStyle name="Normal 12 6" xfId="552"/>
    <cellStyle name="Normal 12 7" xfId="642"/>
    <cellStyle name="Normal 12 8" xfId="732"/>
    <cellStyle name="Normal 12 9" xfId="829"/>
    <cellStyle name="Normal 13" xfId="103"/>
    <cellStyle name="Normal 13 2" xfId="195"/>
    <cellStyle name="Normal 13 3" xfId="285"/>
    <cellStyle name="Normal 13 4" xfId="375"/>
    <cellStyle name="Normal 13 5" xfId="465"/>
    <cellStyle name="Normal 13 6" xfId="555"/>
    <cellStyle name="Normal 13 7" xfId="645"/>
    <cellStyle name="Normal 13 8" xfId="735"/>
    <cellStyle name="Normal 13 9" xfId="832"/>
    <cellStyle name="Normal 14" xfId="106"/>
    <cellStyle name="Normal 14 2" xfId="198"/>
    <cellStyle name="Normal 14 3" xfId="288"/>
    <cellStyle name="Normal 14 4" xfId="378"/>
    <cellStyle name="Normal 14 5" xfId="468"/>
    <cellStyle name="Normal 14 6" xfId="558"/>
    <cellStyle name="Normal 14 7" xfId="648"/>
    <cellStyle name="Normal 14 8" xfId="738"/>
    <cellStyle name="Normal 14 9" xfId="835"/>
    <cellStyle name="Normal 15" xfId="109"/>
    <cellStyle name="Normal 15 2" xfId="201"/>
    <cellStyle name="Normal 15 3" xfId="291"/>
    <cellStyle name="Normal 15 4" xfId="381"/>
    <cellStyle name="Normal 15 5" xfId="471"/>
    <cellStyle name="Normal 15 6" xfId="561"/>
    <cellStyle name="Normal 15 7" xfId="651"/>
    <cellStyle name="Normal 15 8" xfId="741"/>
    <cellStyle name="Normal 15 9" xfId="838"/>
    <cellStyle name="Normal 16" xfId="112"/>
    <cellStyle name="Normal 16 2" xfId="204"/>
    <cellStyle name="Normal 16 3" xfId="294"/>
    <cellStyle name="Normal 16 4" xfId="384"/>
    <cellStyle name="Normal 16 5" xfId="474"/>
    <cellStyle name="Normal 16 6" xfId="564"/>
    <cellStyle name="Normal 16 7" xfId="654"/>
    <cellStyle name="Normal 16 8" xfId="744"/>
    <cellStyle name="Normal 16 9" xfId="841"/>
    <cellStyle name="Normal 17" xfId="8"/>
    <cellStyle name="Normal 18" xfId="10"/>
    <cellStyle name="Normal 18 2" xfId="846"/>
    <cellStyle name="Normal 19" xfId="117"/>
    <cellStyle name="Normal 2" xfId="1"/>
    <cellStyle name="Normal 2 2" xfId="7"/>
    <cellStyle name="Normal 2 3" xfId="20"/>
    <cellStyle name="Normal 2 4" xfId="39"/>
    <cellStyle name="Normal 2 5" xfId="60"/>
    <cellStyle name="Normal 20" xfId="207"/>
    <cellStyle name="Normal 21" xfId="297"/>
    <cellStyle name="Normal 22" xfId="387"/>
    <cellStyle name="Normal 23" xfId="477"/>
    <cellStyle name="Normal 24" xfId="567"/>
    <cellStyle name="Normal 25" xfId="657"/>
    <cellStyle name="Normal 26" xfId="747"/>
    <cellStyle name="Normal 3" xfId="4"/>
    <cellStyle name="Normal 3 10" xfId="104"/>
    <cellStyle name="Normal 3 10 2" xfId="196"/>
    <cellStyle name="Normal 3 10 3" xfId="286"/>
    <cellStyle name="Normal 3 10 4" xfId="376"/>
    <cellStyle name="Normal 3 10 5" xfId="466"/>
    <cellStyle name="Normal 3 10 6" xfId="556"/>
    <cellStyle name="Normal 3 10 7" xfId="646"/>
    <cellStyle name="Normal 3 10 8" xfId="736"/>
    <cellStyle name="Normal 3 10 9" xfId="833"/>
    <cellStyle name="Normal 3 11" xfId="107"/>
    <cellStyle name="Normal 3 11 2" xfId="199"/>
    <cellStyle name="Normal 3 11 3" xfId="289"/>
    <cellStyle name="Normal 3 11 4" xfId="379"/>
    <cellStyle name="Normal 3 11 5" xfId="469"/>
    <cellStyle name="Normal 3 11 6" xfId="559"/>
    <cellStyle name="Normal 3 11 7" xfId="649"/>
    <cellStyle name="Normal 3 11 8" xfId="739"/>
    <cellStyle name="Normal 3 11 9" xfId="836"/>
    <cellStyle name="Normal 3 12" xfId="110"/>
    <cellStyle name="Normal 3 12 2" xfId="202"/>
    <cellStyle name="Normal 3 12 3" xfId="292"/>
    <cellStyle name="Normal 3 12 4" xfId="382"/>
    <cellStyle name="Normal 3 12 5" xfId="472"/>
    <cellStyle name="Normal 3 12 6" xfId="562"/>
    <cellStyle name="Normal 3 12 7" xfId="652"/>
    <cellStyle name="Normal 3 12 8" xfId="742"/>
    <cellStyle name="Normal 3 12 9" xfId="839"/>
    <cellStyle name="Normal 3 13" xfId="113"/>
    <cellStyle name="Normal 3 13 2" xfId="205"/>
    <cellStyle name="Normal 3 13 3" xfId="295"/>
    <cellStyle name="Normal 3 13 4" xfId="385"/>
    <cellStyle name="Normal 3 13 5" xfId="475"/>
    <cellStyle name="Normal 3 13 6" xfId="565"/>
    <cellStyle name="Normal 3 13 7" xfId="655"/>
    <cellStyle name="Normal 3 13 8" xfId="745"/>
    <cellStyle name="Normal 3 13 9" xfId="842"/>
    <cellStyle name="Normal 3 14" xfId="11"/>
    <cellStyle name="Normal 3 15" xfId="118"/>
    <cellStyle name="Normal 3 16" xfId="208"/>
    <cellStyle name="Normal 3 17" xfId="298"/>
    <cellStyle name="Normal 3 18" xfId="388"/>
    <cellStyle name="Normal 3 19" xfId="478"/>
    <cellStyle name="Normal 3 2" xfId="23"/>
    <cellStyle name="Normal 3 2 10" xfId="662"/>
    <cellStyle name="Normal 3 2 11" xfId="757"/>
    <cellStyle name="Normal 3 2 2" xfId="45"/>
    <cellStyle name="Normal 3 2 2 10" xfId="777"/>
    <cellStyle name="Normal 3 2 2 2" xfId="85"/>
    <cellStyle name="Normal 3 2 2 2 2" xfId="178"/>
    <cellStyle name="Normal 3 2 2 2 3" xfId="268"/>
    <cellStyle name="Normal 3 2 2 2 4" xfId="358"/>
    <cellStyle name="Normal 3 2 2 2 5" xfId="448"/>
    <cellStyle name="Normal 3 2 2 2 6" xfId="538"/>
    <cellStyle name="Normal 3 2 2 2 7" xfId="628"/>
    <cellStyle name="Normal 3 2 2 2 8" xfId="718"/>
    <cellStyle name="Normal 3 2 2 2 9" xfId="815"/>
    <cellStyle name="Normal 3 2 2 3" xfId="141"/>
    <cellStyle name="Normal 3 2 2 4" xfId="231"/>
    <cellStyle name="Normal 3 2 2 5" xfId="321"/>
    <cellStyle name="Normal 3 2 2 6" xfId="411"/>
    <cellStyle name="Normal 3 2 2 7" xfId="501"/>
    <cellStyle name="Normal 3 2 2 8" xfId="591"/>
    <cellStyle name="Normal 3 2 2 9" xfId="681"/>
    <cellStyle name="Normal 3 2 3" xfId="66"/>
    <cellStyle name="Normal 3 2 3 2" xfId="159"/>
    <cellStyle name="Normal 3 2 3 3" xfId="249"/>
    <cellStyle name="Normal 3 2 3 4" xfId="339"/>
    <cellStyle name="Normal 3 2 3 5" xfId="429"/>
    <cellStyle name="Normal 3 2 3 6" xfId="519"/>
    <cellStyle name="Normal 3 2 3 7" xfId="609"/>
    <cellStyle name="Normal 3 2 3 8" xfId="699"/>
    <cellStyle name="Normal 3 2 3 9" xfId="796"/>
    <cellStyle name="Normal 3 2 4" xfId="122"/>
    <cellStyle name="Normal 3 2 5" xfId="212"/>
    <cellStyle name="Normal 3 2 6" xfId="302"/>
    <cellStyle name="Normal 3 2 7" xfId="392"/>
    <cellStyle name="Normal 3 2 8" xfId="482"/>
    <cellStyle name="Normal 3 2 9" xfId="572"/>
    <cellStyle name="Normal 3 20" xfId="568"/>
    <cellStyle name="Normal 3 21" xfId="658"/>
    <cellStyle name="Normal 3 22" xfId="748"/>
    <cellStyle name="Normal 3 3" xfId="26"/>
    <cellStyle name="Normal 3 3 10" xfId="665"/>
    <cellStyle name="Normal 3 3 11" xfId="760"/>
    <cellStyle name="Normal 3 3 2" xfId="48"/>
    <cellStyle name="Normal 3 3 2 10" xfId="780"/>
    <cellStyle name="Normal 3 3 2 2" xfId="88"/>
    <cellStyle name="Normal 3 3 2 2 2" xfId="181"/>
    <cellStyle name="Normal 3 3 2 2 3" xfId="271"/>
    <cellStyle name="Normal 3 3 2 2 4" xfId="361"/>
    <cellStyle name="Normal 3 3 2 2 5" xfId="451"/>
    <cellStyle name="Normal 3 3 2 2 6" xfId="541"/>
    <cellStyle name="Normal 3 3 2 2 7" xfId="631"/>
    <cellStyle name="Normal 3 3 2 2 8" xfId="721"/>
    <cellStyle name="Normal 3 3 2 2 9" xfId="818"/>
    <cellStyle name="Normal 3 3 2 3" xfId="144"/>
    <cellStyle name="Normal 3 3 2 4" xfId="234"/>
    <cellStyle name="Normal 3 3 2 5" xfId="324"/>
    <cellStyle name="Normal 3 3 2 6" xfId="414"/>
    <cellStyle name="Normal 3 3 2 7" xfId="504"/>
    <cellStyle name="Normal 3 3 2 8" xfId="594"/>
    <cellStyle name="Normal 3 3 2 9" xfId="684"/>
    <cellStyle name="Normal 3 3 3" xfId="69"/>
    <cellStyle name="Normal 3 3 3 2" xfId="162"/>
    <cellStyle name="Normal 3 3 3 3" xfId="252"/>
    <cellStyle name="Normal 3 3 3 4" xfId="342"/>
    <cellStyle name="Normal 3 3 3 5" xfId="432"/>
    <cellStyle name="Normal 3 3 3 6" xfId="522"/>
    <cellStyle name="Normal 3 3 3 7" xfId="612"/>
    <cellStyle name="Normal 3 3 3 8" xfId="702"/>
    <cellStyle name="Normal 3 3 3 9" xfId="799"/>
    <cellStyle name="Normal 3 3 4" xfId="125"/>
    <cellStyle name="Normal 3 3 5" xfId="215"/>
    <cellStyle name="Normal 3 3 6" xfId="305"/>
    <cellStyle name="Normal 3 3 7" xfId="395"/>
    <cellStyle name="Normal 3 3 8" xfId="485"/>
    <cellStyle name="Normal 3 3 9" xfId="575"/>
    <cellStyle name="Normal 3 4" xfId="29"/>
    <cellStyle name="Normal 3 4 10" xfId="668"/>
    <cellStyle name="Normal 3 4 11" xfId="763"/>
    <cellStyle name="Normal 3 4 2" xfId="51"/>
    <cellStyle name="Normal 3 4 2 10" xfId="783"/>
    <cellStyle name="Normal 3 4 2 2" xfId="91"/>
    <cellStyle name="Normal 3 4 2 2 2" xfId="184"/>
    <cellStyle name="Normal 3 4 2 2 3" xfId="274"/>
    <cellStyle name="Normal 3 4 2 2 4" xfId="364"/>
    <cellStyle name="Normal 3 4 2 2 5" xfId="454"/>
    <cellStyle name="Normal 3 4 2 2 6" xfId="544"/>
    <cellStyle name="Normal 3 4 2 2 7" xfId="634"/>
    <cellStyle name="Normal 3 4 2 2 8" xfId="724"/>
    <cellStyle name="Normal 3 4 2 2 9" xfId="821"/>
    <cellStyle name="Normal 3 4 2 3" xfId="147"/>
    <cellStyle name="Normal 3 4 2 4" xfId="237"/>
    <cellStyle name="Normal 3 4 2 5" xfId="327"/>
    <cellStyle name="Normal 3 4 2 6" xfId="417"/>
    <cellStyle name="Normal 3 4 2 7" xfId="507"/>
    <cellStyle name="Normal 3 4 2 8" xfId="597"/>
    <cellStyle name="Normal 3 4 2 9" xfId="687"/>
    <cellStyle name="Normal 3 4 3" xfId="72"/>
    <cellStyle name="Normal 3 4 3 2" xfId="165"/>
    <cellStyle name="Normal 3 4 3 3" xfId="255"/>
    <cellStyle name="Normal 3 4 3 4" xfId="345"/>
    <cellStyle name="Normal 3 4 3 5" xfId="435"/>
    <cellStyle name="Normal 3 4 3 6" xfId="525"/>
    <cellStyle name="Normal 3 4 3 7" xfId="615"/>
    <cellStyle name="Normal 3 4 3 8" xfId="705"/>
    <cellStyle name="Normal 3 4 3 9" xfId="802"/>
    <cellStyle name="Normal 3 4 4" xfId="128"/>
    <cellStyle name="Normal 3 4 5" xfId="218"/>
    <cellStyle name="Normal 3 4 6" xfId="308"/>
    <cellStyle name="Normal 3 4 7" xfId="398"/>
    <cellStyle name="Normal 3 4 8" xfId="488"/>
    <cellStyle name="Normal 3 4 9" xfId="578"/>
    <cellStyle name="Normal 3 5" xfId="33"/>
    <cellStyle name="Normal 3 5 10" xfId="671"/>
    <cellStyle name="Normal 3 5 11" xfId="766"/>
    <cellStyle name="Normal 3 5 2" xfId="55"/>
    <cellStyle name="Normal 3 5 2 10" xfId="786"/>
    <cellStyle name="Normal 3 5 2 2" xfId="95"/>
    <cellStyle name="Normal 3 5 2 2 2" xfId="187"/>
    <cellStyle name="Normal 3 5 2 2 3" xfId="277"/>
    <cellStyle name="Normal 3 5 2 2 4" xfId="367"/>
    <cellStyle name="Normal 3 5 2 2 5" xfId="457"/>
    <cellStyle name="Normal 3 5 2 2 6" xfId="547"/>
    <cellStyle name="Normal 3 5 2 2 7" xfId="637"/>
    <cellStyle name="Normal 3 5 2 2 8" xfId="727"/>
    <cellStyle name="Normal 3 5 2 2 9" xfId="824"/>
    <cellStyle name="Normal 3 5 2 3" xfId="150"/>
    <cellStyle name="Normal 3 5 2 4" xfId="240"/>
    <cellStyle name="Normal 3 5 2 5" xfId="330"/>
    <cellStyle name="Normal 3 5 2 6" xfId="420"/>
    <cellStyle name="Normal 3 5 2 7" xfId="510"/>
    <cellStyle name="Normal 3 5 2 8" xfId="600"/>
    <cellStyle name="Normal 3 5 2 9" xfId="690"/>
    <cellStyle name="Normal 3 5 3" xfId="75"/>
    <cellStyle name="Normal 3 5 3 2" xfId="168"/>
    <cellStyle name="Normal 3 5 3 3" xfId="258"/>
    <cellStyle name="Normal 3 5 3 4" xfId="348"/>
    <cellStyle name="Normal 3 5 3 5" xfId="438"/>
    <cellStyle name="Normal 3 5 3 6" xfId="528"/>
    <cellStyle name="Normal 3 5 3 7" xfId="618"/>
    <cellStyle name="Normal 3 5 3 8" xfId="708"/>
    <cellStyle name="Normal 3 5 3 9" xfId="805"/>
    <cellStyle name="Normal 3 5 4" xfId="131"/>
    <cellStyle name="Normal 3 5 5" xfId="221"/>
    <cellStyle name="Normal 3 5 6" xfId="311"/>
    <cellStyle name="Normal 3 5 7" xfId="401"/>
    <cellStyle name="Normal 3 5 8" xfId="491"/>
    <cellStyle name="Normal 3 5 9" xfId="581"/>
    <cellStyle name="Normal 3 6" xfId="36"/>
    <cellStyle name="Normal 3 6 10" xfId="674"/>
    <cellStyle name="Normal 3 6 11" xfId="769"/>
    <cellStyle name="Normal 3 6 2" xfId="58"/>
    <cellStyle name="Normal 3 6 2 10" xfId="789"/>
    <cellStyle name="Normal 3 6 2 2" xfId="98"/>
    <cellStyle name="Normal 3 6 2 2 2" xfId="190"/>
    <cellStyle name="Normal 3 6 2 2 3" xfId="280"/>
    <cellStyle name="Normal 3 6 2 2 4" xfId="370"/>
    <cellStyle name="Normal 3 6 2 2 5" xfId="460"/>
    <cellStyle name="Normal 3 6 2 2 6" xfId="550"/>
    <cellStyle name="Normal 3 6 2 2 7" xfId="640"/>
    <cellStyle name="Normal 3 6 2 2 8" xfId="730"/>
    <cellStyle name="Normal 3 6 2 2 9" xfId="827"/>
    <cellStyle name="Normal 3 6 2 3" xfId="153"/>
    <cellStyle name="Normal 3 6 2 4" xfId="243"/>
    <cellStyle name="Normal 3 6 2 5" xfId="333"/>
    <cellStyle name="Normal 3 6 2 6" xfId="423"/>
    <cellStyle name="Normal 3 6 2 7" xfId="513"/>
    <cellStyle name="Normal 3 6 2 8" xfId="603"/>
    <cellStyle name="Normal 3 6 2 9" xfId="693"/>
    <cellStyle name="Normal 3 6 3" xfId="78"/>
    <cellStyle name="Normal 3 6 3 2" xfId="171"/>
    <cellStyle name="Normal 3 6 3 3" xfId="261"/>
    <cellStyle name="Normal 3 6 3 4" xfId="351"/>
    <cellStyle name="Normal 3 6 3 5" xfId="441"/>
    <cellStyle name="Normal 3 6 3 6" xfId="531"/>
    <cellStyle name="Normal 3 6 3 7" xfId="621"/>
    <cellStyle name="Normal 3 6 3 8" xfId="711"/>
    <cellStyle name="Normal 3 6 3 9" xfId="808"/>
    <cellStyle name="Normal 3 6 4" xfId="134"/>
    <cellStyle name="Normal 3 6 5" xfId="224"/>
    <cellStyle name="Normal 3 6 6" xfId="314"/>
    <cellStyle name="Normal 3 6 7" xfId="404"/>
    <cellStyle name="Normal 3 6 8" xfId="494"/>
    <cellStyle name="Normal 3 6 9" xfId="584"/>
    <cellStyle name="Normal 3 7" xfId="42"/>
    <cellStyle name="Normal 3 7 10" xfId="774"/>
    <cellStyle name="Normal 3 7 2" xfId="82"/>
    <cellStyle name="Normal 3 7 2 2" xfId="175"/>
    <cellStyle name="Normal 3 7 2 3" xfId="265"/>
    <cellStyle name="Normal 3 7 2 4" xfId="355"/>
    <cellStyle name="Normal 3 7 2 5" xfId="445"/>
    <cellStyle name="Normal 3 7 2 6" xfId="535"/>
    <cellStyle name="Normal 3 7 2 7" xfId="625"/>
    <cellStyle name="Normal 3 7 2 8" xfId="715"/>
    <cellStyle name="Normal 3 7 2 9" xfId="812"/>
    <cellStyle name="Normal 3 7 3" xfId="138"/>
    <cellStyle name="Normal 3 7 4" xfId="228"/>
    <cellStyle name="Normal 3 7 5" xfId="318"/>
    <cellStyle name="Normal 3 7 6" xfId="408"/>
    <cellStyle name="Normal 3 7 7" xfId="498"/>
    <cellStyle name="Normal 3 7 8" xfId="588"/>
    <cellStyle name="Normal 3 7 9" xfId="678"/>
    <cellStyle name="Normal 3 8" xfId="63"/>
    <cellStyle name="Normal 3 8 2" xfId="156"/>
    <cellStyle name="Normal 3 8 3" xfId="246"/>
    <cellStyle name="Normal 3 8 4" xfId="336"/>
    <cellStyle name="Normal 3 8 5" xfId="426"/>
    <cellStyle name="Normal 3 8 6" xfId="516"/>
    <cellStyle name="Normal 3 8 7" xfId="606"/>
    <cellStyle name="Normal 3 8 8" xfId="696"/>
    <cellStyle name="Normal 3 8 9" xfId="793"/>
    <cellStyle name="Normal 3 9" xfId="101"/>
    <cellStyle name="Normal 3 9 2" xfId="193"/>
    <cellStyle name="Normal 3 9 3" xfId="283"/>
    <cellStyle name="Normal 3 9 4" xfId="373"/>
    <cellStyle name="Normal 3 9 5" xfId="463"/>
    <cellStyle name="Normal 3 9 6" xfId="553"/>
    <cellStyle name="Normal 3 9 7" xfId="643"/>
    <cellStyle name="Normal 3 9 8" xfId="733"/>
    <cellStyle name="Normal 3 9 9" xfId="830"/>
    <cellStyle name="Normal 4" xfId="12"/>
    <cellStyle name="Normal 5" xfId="9"/>
    <cellStyle name="Normal 5 2" xfId="5"/>
    <cellStyle name="Normal 5 3" xfId="32"/>
    <cellStyle name="Normal 5 3 2" xfId="54"/>
    <cellStyle name="Normal 5 4" xfId="19"/>
    <cellStyle name="Normal 6" xfId="18"/>
    <cellStyle name="Normal 6 10" xfId="660"/>
    <cellStyle name="Normal 6 11" xfId="754"/>
    <cellStyle name="Normal 6 2" xfId="41"/>
    <cellStyle name="Normal 6 2 10" xfId="773"/>
    <cellStyle name="Normal 6 2 2" xfId="81"/>
    <cellStyle name="Normal 6 2 2 2" xfId="174"/>
    <cellStyle name="Normal 6 2 2 3" xfId="264"/>
    <cellStyle name="Normal 6 2 2 4" xfId="354"/>
    <cellStyle name="Normal 6 2 2 5" xfId="444"/>
    <cellStyle name="Normal 6 2 2 6" xfId="534"/>
    <cellStyle name="Normal 6 2 2 7" xfId="624"/>
    <cellStyle name="Normal 6 2 2 8" xfId="714"/>
    <cellStyle name="Normal 6 2 2 9" xfId="811"/>
    <cellStyle name="Normal 6 2 3" xfId="137"/>
    <cellStyle name="Normal 6 2 4" xfId="227"/>
    <cellStyle name="Normal 6 2 5" xfId="317"/>
    <cellStyle name="Normal 6 2 6" xfId="407"/>
    <cellStyle name="Normal 6 2 7" xfId="497"/>
    <cellStyle name="Normal 6 2 8" xfId="587"/>
    <cellStyle name="Normal 6 2 9" xfId="677"/>
    <cellStyle name="Normal 6 3" xfId="62"/>
    <cellStyle name="Normal 6 3 2" xfId="155"/>
    <cellStyle name="Normal 6 3 3" xfId="245"/>
    <cellStyle name="Normal 6 3 4" xfId="335"/>
    <cellStyle name="Normal 6 3 5" xfId="425"/>
    <cellStyle name="Normal 6 3 6" xfId="515"/>
    <cellStyle name="Normal 6 3 7" xfId="605"/>
    <cellStyle name="Normal 6 3 8" xfId="695"/>
    <cellStyle name="Normal 6 3 9" xfId="792"/>
    <cellStyle name="Normal 6 4" xfId="120"/>
    <cellStyle name="Normal 6 5" xfId="210"/>
    <cellStyle name="Normal 6 6" xfId="300"/>
    <cellStyle name="Normal 6 7" xfId="390"/>
    <cellStyle name="Normal 6 8" xfId="480"/>
    <cellStyle name="Normal 6 9" xfId="570"/>
    <cellStyle name="Normal 7" xfId="22"/>
    <cellStyle name="Normal 7 10" xfId="661"/>
    <cellStyle name="Normal 7 11" xfId="756"/>
    <cellStyle name="Normal 7 2" xfId="44"/>
    <cellStyle name="Normal 7 2 10" xfId="776"/>
    <cellStyle name="Normal 7 2 2" xfId="84"/>
    <cellStyle name="Normal 7 2 2 2" xfId="177"/>
    <cellStyle name="Normal 7 2 2 3" xfId="267"/>
    <cellStyle name="Normal 7 2 2 4" xfId="357"/>
    <cellStyle name="Normal 7 2 2 5" xfId="447"/>
    <cellStyle name="Normal 7 2 2 6" xfId="537"/>
    <cellStyle name="Normal 7 2 2 7" xfId="627"/>
    <cellStyle name="Normal 7 2 2 8" xfId="717"/>
    <cellStyle name="Normal 7 2 2 9" xfId="814"/>
    <cellStyle name="Normal 7 2 3" xfId="140"/>
    <cellStyle name="Normal 7 2 4" xfId="230"/>
    <cellStyle name="Normal 7 2 5" xfId="320"/>
    <cellStyle name="Normal 7 2 6" xfId="410"/>
    <cellStyle name="Normal 7 2 7" xfId="500"/>
    <cellStyle name="Normal 7 2 8" xfId="590"/>
    <cellStyle name="Normal 7 2 9" xfId="680"/>
    <cellStyle name="Normal 7 3" xfId="65"/>
    <cellStyle name="Normal 7 3 2" xfId="158"/>
    <cellStyle name="Normal 7 3 3" xfId="248"/>
    <cellStyle name="Normal 7 3 4" xfId="338"/>
    <cellStyle name="Normal 7 3 5" xfId="428"/>
    <cellStyle name="Normal 7 3 6" xfId="518"/>
    <cellStyle name="Normal 7 3 7" xfId="608"/>
    <cellStyle name="Normal 7 3 8" xfId="698"/>
    <cellStyle name="Normal 7 3 9" xfId="795"/>
    <cellStyle name="Normal 7 4" xfId="121"/>
    <cellStyle name="Normal 7 5" xfId="211"/>
    <cellStyle name="Normal 7 6" xfId="301"/>
    <cellStyle name="Normal 7 7" xfId="391"/>
    <cellStyle name="Normal 7 8" xfId="481"/>
    <cellStyle name="Normal 7 9" xfId="571"/>
    <cellStyle name="Normal 8" xfId="25"/>
    <cellStyle name="Normal 8 10" xfId="664"/>
    <cellStyle name="Normal 8 11" xfId="759"/>
    <cellStyle name="Normal 8 2" xfId="47"/>
    <cellStyle name="Normal 8 2 10" xfId="779"/>
    <cellStyle name="Normal 8 2 2" xfId="87"/>
    <cellStyle name="Normal 8 2 2 2" xfId="180"/>
    <cellStyle name="Normal 8 2 2 3" xfId="270"/>
    <cellStyle name="Normal 8 2 2 4" xfId="360"/>
    <cellStyle name="Normal 8 2 2 5" xfId="450"/>
    <cellStyle name="Normal 8 2 2 6" xfId="540"/>
    <cellStyle name="Normal 8 2 2 7" xfId="630"/>
    <cellStyle name="Normal 8 2 2 8" xfId="720"/>
    <cellStyle name="Normal 8 2 2 9" xfId="817"/>
    <cellStyle name="Normal 8 2 3" xfId="143"/>
    <cellStyle name="Normal 8 2 4" xfId="233"/>
    <cellStyle name="Normal 8 2 5" xfId="323"/>
    <cellStyle name="Normal 8 2 6" xfId="413"/>
    <cellStyle name="Normal 8 2 7" xfId="503"/>
    <cellStyle name="Normal 8 2 8" xfId="593"/>
    <cellStyle name="Normal 8 2 9" xfId="683"/>
    <cellStyle name="Normal 8 3" xfId="68"/>
    <cellStyle name="Normal 8 3 2" xfId="161"/>
    <cellStyle name="Normal 8 3 3" xfId="251"/>
    <cellStyle name="Normal 8 3 4" xfId="341"/>
    <cellStyle name="Normal 8 3 5" xfId="431"/>
    <cellStyle name="Normal 8 3 6" xfId="521"/>
    <cellStyle name="Normal 8 3 7" xfId="611"/>
    <cellStyle name="Normal 8 3 8" xfId="701"/>
    <cellStyle name="Normal 8 3 9" xfId="798"/>
    <cellStyle name="Normal 8 4" xfId="124"/>
    <cellStyle name="Normal 8 5" xfId="214"/>
    <cellStyle name="Normal 8 6" xfId="304"/>
    <cellStyle name="Normal 8 7" xfId="394"/>
    <cellStyle name="Normal 8 8" xfId="484"/>
    <cellStyle name="Normal 8 9" xfId="574"/>
    <cellStyle name="Normal 9" xfId="28"/>
    <cellStyle name="Normal 9 10" xfId="667"/>
    <cellStyle name="Normal 9 11" xfId="762"/>
    <cellStyle name="Normal 9 2" xfId="50"/>
    <cellStyle name="Normal 9 2 10" xfId="782"/>
    <cellStyle name="Normal 9 2 2" xfId="90"/>
    <cellStyle name="Normal 9 2 2 2" xfId="183"/>
    <cellStyle name="Normal 9 2 2 3" xfId="273"/>
    <cellStyle name="Normal 9 2 2 4" xfId="363"/>
    <cellStyle name="Normal 9 2 2 5" xfId="453"/>
    <cellStyle name="Normal 9 2 2 6" xfId="543"/>
    <cellStyle name="Normal 9 2 2 7" xfId="633"/>
    <cellStyle name="Normal 9 2 2 8" xfId="723"/>
    <cellStyle name="Normal 9 2 2 9" xfId="820"/>
    <cellStyle name="Normal 9 2 3" xfId="146"/>
    <cellStyle name="Normal 9 2 4" xfId="236"/>
    <cellStyle name="Normal 9 2 5" xfId="326"/>
    <cellStyle name="Normal 9 2 6" xfId="416"/>
    <cellStyle name="Normal 9 2 7" xfId="506"/>
    <cellStyle name="Normal 9 2 8" xfId="596"/>
    <cellStyle name="Normal 9 2 9" xfId="686"/>
    <cellStyle name="Normal 9 3" xfId="71"/>
    <cellStyle name="Normal 9 3 2" xfId="164"/>
    <cellStyle name="Normal 9 3 3" xfId="254"/>
    <cellStyle name="Normal 9 3 4" xfId="344"/>
    <cellStyle name="Normal 9 3 5" xfId="434"/>
    <cellStyle name="Normal 9 3 6" xfId="524"/>
    <cellStyle name="Normal 9 3 7" xfId="614"/>
    <cellStyle name="Normal 9 3 8" xfId="704"/>
    <cellStyle name="Normal 9 3 9" xfId="801"/>
    <cellStyle name="Normal 9 4" xfId="127"/>
    <cellStyle name="Normal 9 5" xfId="217"/>
    <cellStyle name="Normal 9 6" xfId="307"/>
    <cellStyle name="Normal 9 7" xfId="397"/>
    <cellStyle name="Normal 9 8" xfId="487"/>
    <cellStyle name="Normal 9 9" xfId="577"/>
    <cellStyle name="Tusenskille 2" xfId="14"/>
    <cellStyle name="Tusenskille 2 2" xfId="15"/>
    <cellStyle name="Tusenskille 2 2 2" xfId="751"/>
    <cellStyle name="Tusenskille 2 3" xfId="21"/>
    <cellStyle name="Tusenskille 2 3 2" xfId="755"/>
    <cellStyle name="Tusenskille 2 4" xfId="40"/>
    <cellStyle name="Tusenskille 2 4 2" xfId="772"/>
    <cellStyle name="Tusenskille 2 5" xfId="61"/>
    <cellStyle name="Tusenskille 2 5 2" xfId="791"/>
    <cellStyle name="Tusenskille 2 6" xfId="750"/>
    <cellStyle name="Tusenskille 3" xfId="16"/>
    <cellStyle name="Tusenskille 3 10" xfId="105"/>
    <cellStyle name="Tusenskille 3 10 2" xfId="197"/>
    <cellStyle name="Tusenskille 3 10 3" xfId="287"/>
    <cellStyle name="Tusenskille 3 10 4" xfId="377"/>
    <cellStyle name="Tusenskille 3 10 5" xfId="467"/>
    <cellStyle name="Tusenskille 3 10 6" xfId="557"/>
    <cellStyle name="Tusenskille 3 10 7" xfId="647"/>
    <cellStyle name="Tusenskille 3 10 8" xfId="737"/>
    <cellStyle name="Tusenskille 3 10 9" xfId="834"/>
    <cellStyle name="Tusenskille 3 11" xfId="108"/>
    <cellStyle name="Tusenskille 3 11 2" xfId="200"/>
    <cellStyle name="Tusenskille 3 11 3" xfId="290"/>
    <cellStyle name="Tusenskille 3 11 4" xfId="380"/>
    <cellStyle name="Tusenskille 3 11 5" xfId="470"/>
    <cellStyle name="Tusenskille 3 11 6" xfId="560"/>
    <cellStyle name="Tusenskille 3 11 7" xfId="650"/>
    <cellStyle name="Tusenskille 3 11 8" xfId="740"/>
    <cellStyle name="Tusenskille 3 11 9" xfId="837"/>
    <cellStyle name="Tusenskille 3 12" xfId="111"/>
    <cellStyle name="Tusenskille 3 12 2" xfId="203"/>
    <cellStyle name="Tusenskille 3 12 3" xfId="293"/>
    <cellStyle name="Tusenskille 3 12 4" xfId="383"/>
    <cellStyle name="Tusenskille 3 12 5" xfId="473"/>
    <cellStyle name="Tusenskille 3 12 6" xfId="563"/>
    <cellStyle name="Tusenskille 3 12 7" xfId="653"/>
    <cellStyle name="Tusenskille 3 12 8" xfId="743"/>
    <cellStyle name="Tusenskille 3 12 9" xfId="840"/>
    <cellStyle name="Tusenskille 3 13" xfId="114"/>
    <cellStyle name="Tusenskille 3 13 2" xfId="206"/>
    <cellStyle name="Tusenskille 3 13 3" xfId="296"/>
    <cellStyle name="Tusenskille 3 13 4" xfId="386"/>
    <cellStyle name="Tusenskille 3 13 5" xfId="476"/>
    <cellStyle name="Tusenskille 3 13 6" xfId="566"/>
    <cellStyle name="Tusenskille 3 13 7" xfId="656"/>
    <cellStyle name="Tusenskille 3 13 8" xfId="746"/>
    <cellStyle name="Tusenskille 3 13 9" xfId="843"/>
    <cellStyle name="Tusenskille 3 14" xfId="119"/>
    <cellStyle name="Tusenskille 3 15" xfId="209"/>
    <cellStyle name="Tusenskille 3 16" xfId="299"/>
    <cellStyle name="Tusenskille 3 17" xfId="389"/>
    <cellStyle name="Tusenskille 3 18" xfId="479"/>
    <cellStyle name="Tusenskille 3 19" xfId="569"/>
    <cellStyle name="Tusenskille 3 2" xfId="24"/>
    <cellStyle name="Tusenskille 3 2 10" xfId="663"/>
    <cellStyle name="Tusenskille 3 2 11" xfId="758"/>
    <cellStyle name="Tusenskille 3 2 2" xfId="46"/>
    <cellStyle name="Tusenskille 3 2 2 10" xfId="778"/>
    <cellStyle name="Tusenskille 3 2 2 2" xfId="86"/>
    <cellStyle name="Tusenskille 3 2 2 2 2" xfId="179"/>
    <cellStyle name="Tusenskille 3 2 2 2 3" xfId="269"/>
    <cellStyle name="Tusenskille 3 2 2 2 4" xfId="359"/>
    <cellStyle name="Tusenskille 3 2 2 2 5" xfId="449"/>
    <cellStyle name="Tusenskille 3 2 2 2 6" xfId="539"/>
    <cellStyle name="Tusenskille 3 2 2 2 7" xfId="629"/>
    <cellStyle name="Tusenskille 3 2 2 2 8" xfId="719"/>
    <cellStyle name="Tusenskille 3 2 2 2 9" xfId="816"/>
    <cellStyle name="Tusenskille 3 2 2 3" xfId="142"/>
    <cellStyle name="Tusenskille 3 2 2 4" xfId="232"/>
    <cellStyle name="Tusenskille 3 2 2 5" xfId="322"/>
    <cellStyle name="Tusenskille 3 2 2 6" xfId="412"/>
    <cellStyle name="Tusenskille 3 2 2 7" xfId="502"/>
    <cellStyle name="Tusenskille 3 2 2 8" xfId="592"/>
    <cellStyle name="Tusenskille 3 2 2 9" xfId="682"/>
    <cellStyle name="Tusenskille 3 2 3" xfId="67"/>
    <cellStyle name="Tusenskille 3 2 3 2" xfId="160"/>
    <cellStyle name="Tusenskille 3 2 3 3" xfId="250"/>
    <cellStyle name="Tusenskille 3 2 3 4" xfId="340"/>
    <cellStyle name="Tusenskille 3 2 3 5" xfId="430"/>
    <cellStyle name="Tusenskille 3 2 3 6" xfId="520"/>
    <cellStyle name="Tusenskille 3 2 3 7" xfId="610"/>
    <cellStyle name="Tusenskille 3 2 3 8" xfId="700"/>
    <cellStyle name="Tusenskille 3 2 3 9" xfId="797"/>
    <cellStyle name="Tusenskille 3 2 4" xfId="123"/>
    <cellStyle name="Tusenskille 3 2 5" xfId="213"/>
    <cellStyle name="Tusenskille 3 2 6" xfId="303"/>
    <cellStyle name="Tusenskille 3 2 7" xfId="393"/>
    <cellStyle name="Tusenskille 3 2 8" xfId="483"/>
    <cellStyle name="Tusenskille 3 2 9" xfId="573"/>
    <cellStyle name="Tusenskille 3 20" xfId="659"/>
    <cellStyle name="Tusenskille 3 21" xfId="752"/>
    <cellStyle name="Tusenskille 3 3" xfId="27"/>
    <cellStyle name="Tusenskille 3 3 10" xfId="666"/>
    <cellStyle name="Tusenskille 3 3 11" xfId="761"/>
    <cellStyle name="Tusenskille 3 3 2" xfId="49"/>
    <cellStyle name="Tusenskille 3 3 2 10" xfId="781"/>
    <cellStyle name="Tusenskille 3 3 2 2" xfId="89"/>
    <cellStyle name="Tusenskille 3 3 2 2 2" xfId="182"/>
    <cellStyle name="Tusenskille 3 3 2 2 3" xfId="272"/>
    <cellStyle name="Tusenskille 3 3 2 2 4" xfId="362"/>
    <cellStyle name="Tusenskille 3 3 2 2 5" xfId="452"/>
    <cellStyle name="Tusenskille 3 3 2 2 6" xfId="542"/>
    <cellStyle name="Tusenskille 3 3 2 2 7" xfId="632"/>
    <cellStyle name="Tusenskille 3 3 2 2 8" xfId="722"/>
    <cellStyle name="Tusenskille 3 3 2 2 9" xfId="819"/>
    <cellStyle name="Tusenskille 3 3 2 3" xfId="145"/>
    <cellStyle name="Tusenskille 3 3 2 4" xfId="235"/>
    <cellStyle name="Tusenskille 3 3 2 5" xfId="325"/>
    <cellStyle name="Tusenskille 3 3 2 6" xfId="415"/>
    <cellStyle name="Tusenskille 3 3 2 7" xfId="505"/>
    <cellStyle name="Tusenskille 3 3 2 8" xfId="595"/>
    <cellStyle name="Tusenskille 3 3 2 9" xfId="685"/>
    <cellStyle name="Tusenskille 3 3 3" xfId="70"/>
    <cellStyle name="Tusenskille 3 3 3 2" xfId="163"/>
    <cellStyle name="Tusenskille 3 3 3 3" xfId="253"/>
    <cellStyle name="Tusenskille 3 3 3 4" xfId="343"/>
    <cellStyle name="Tusenskille 3 3 3 5" xfId="433"/>
    <cellStyle name="Tusenskille 3 3 3 6" xfId="523"/>
    <cellStyle name="Tusenskille 3 3 3 7" xfId="613"/>
    <cellStyle name="Tusenskille 3 3 3 8" xfId="703"/>
    <cellStyle name="Tusenskille 3 3 3 9" xfId="800"/>
    <cellStyle name="Tusenskille 3 3 4" xfId="126"/>
    <cellStyle name="Tusenskille 3 3 5" xfId="216"/>
    <cellStyle name="Tusenskille 3 3 6" xfId="306"/>
    <cellStyle name="Tusenskille 3 3 7" xfId="396"/>
    <cellStyle name="Tusenskille 3 3 8" xfId="486"/>
    <cellStyle name="Tusenskille 3 3 9" xfId="576"/>
    <cellStyle name="Tusenskille 3 4" xfId="30"/>
    <cellStyle name="Tusenskille 3 4 10" xfId="669"/>
    <cellStyle name="Tusenskille 3 4 11" xfId="764"/>
    <cellStyle name="Tusenskille 3 4 2" xfId="52"/>
    <cellStyle name="Tusenskille 3 4 2 10" xfId="784"/>
    <cellStyle name="Tusenskille 3 4 2 2" xfId="92"/>
    <cellStyle name="Tusenskille 3 4 2 2 2" xfId="185"/>
    <cellStyle name="Tusenskille 3 4 2 2 3" xfId="275"/>
    <cellStyle name="Tusenskille 3 4 2 2 4" xfId="365"/>
    <cellStyle name="Tusenskille 3 4 2 2 5" xfId="455"/>
    <cellStyle name="Tusenskille 3 4 2 2 6" xfId="545"/>
    <cellStyle name="Tusenskille 3 4 2 2 7" xfId="635"/>
    <cellStyle name="Tusenskille 3 4 2 2 8" xfId="725"/>
    <cellStyle name="Tusenskille 3 4 2 2 9" xfId="822"/>
    <cellStyle name="Tusenskille 3 4 2 3" xfId="148"/>
    <cellStyle name="Tusenskille 3 4 2 4" xfId="238"/>
    <cellStyle name="Tusenskille 3 4 2 5" xfId="328"/>
    <cellStyle name="Tusenskille 3 4 2 6" xfId="418"/>
    <cellStyle name="Tusenskille 3 4 2 7" xfId="508"/>
    <cellStyle name="Tusenskille 3 4 2 8" xfId="598"/>
    <cellStyle name="Tusenskille 3 4 2 9" xfId="688"/>
    <cellStyle name="Tusenskille 3 4 3" xfId="73"/>
    <cellStyle name="Tusenskille 3 4 3 2" xfId="166"/>
    <cellStyle name="Tusenskille 3 4 3 3" xfId="256"/>
    <cellStyle name="Tusenskille 3 4 3 4" xfId="346"/>
    <cellStyle name="Tusenskille 3 4 3 5" xfId="436"/>
    <cellStyle name="Tusenskille 3 4 3 6" xfId="526"/>
    <cellStyle name="Tusenskille 3 4 3 7" xfId="616"/>
    <cellStyle name="Tusenskille 3 4 3 8" xfId="706"/>
    <cellStyle name="Tusenskille 3 4 3 9" xfId="803"/>
    <cellStyle name="Tusenskille 3 4 4" xfId="129"/>
    <cellStyle name="Tusenskille 3 4 5" xfId="219"/>
    <cellStyle name="Tusenskille 3 4 6" xfId="309"/>
    <cellStyle name="Tusenskille 3 4 7" xfId="399"/>
    <cellStyle name="Tusenskille 3 4 8" xfId="489"/>
    <cellStyle name="Tusenskille 3 4 9" xfId="579"/>
    <cellStyle name="Tusenskille 3 5" xfId="34"/>
    <cellStyle name="Tusenskille 3 5 10" xfId="672"/>
    <cellStyle name="Tusenskille 3 5 11" xfId="767"/>
    <cellStyle name="Tusenskille 3 5 2" xfId="56"/>
    <cellStyle name="Tusenskille 3 5 2 10" xfId="787"/>
    <cellStyle name="Tusenskille 3 5 2 2" xfId="96"/>
    <cellStyle name="Tusenskille 3 5 2 2 2" xfId="188"/>
    <cellStyle name="Tusenskille 3 5 2 2 3" xfId="278"/>
    <cellStyle name="Tusenskille 3 5 2 2 4" xfId="368"/>
    <cellStyle name="Tusenskille 3 5 2 2 5" xfId="458"/>
    <cellStyle name="Tusenskille 3 5 2 2 6" xfId="548"/>
    <cellStyle name="Tusenskille 3 5 2 2 7" xfId="638"/>
    <cellStyle name="Tusenskille 3 5 2 2 8" xfId="728"/>
    <cellStyle name="Tusenskille 3 5 2 2 9" xfId="825"/>
    <cellStyle name="Tusenskille 3 5 2 3" xfId="151"/>
    <cellStyle name="Tusenskille 3 5 2 4" xfId="241"/>
    <cellStyle name="Tusenskille 3 5 2 5" xfId="331"/>
    <cellStyle name="Tusenskille 3 5 2 6" xfId="421"/>
    <cellStyle name="Tusenskille 3 5 2 7" xfId="511"/>
    <cellStyle name="Tusenskille 3 5 2 8" xfId="601"/>
    <cellStyle name="Tusenskille 3 5 2 9" xfId="691"/>
    <cellStyle name="Tusenskille 3 5 3" xfId="76"/>
    <cellStyle name="Tusenskille 3 5 3 2" xfId="169"/>
    <cellStyle name="Tusenskille 3 5 3 3" xfId="259"/>
    <cellStyle name="Tusenskille 3 5 3 4" xfId="349"/>
    <cellStyle name="Tusenskille 3 5 3 5" xfId="439"/>
    <cellStyle name="Tusenskille 3 5 3 6" xfId="529"/>
    <cellStyle name="Tusenskille 3 5 3 7" xfId="619"/>
    <cellStyle name="Tusenskille 3 5 3 8" xfId="709"/>
    <cellStyle name="Tusenskille 3 5 3 9" xfId="806"/>
    <cellStyle name="Tusenskille 3 5 4" xfId="132"/>
    <cellStyle name="Tusenskille 3 5 5" xfId="222"/>
    <cellStyle name="Tusenskille 3 5 6" xfId="312"/>
    <cellStyle name="Tusenskille 3 5 7" xfId="402"/>
    <cellStyle name="Tusenskille 3 5 8" xfId="492"/>
    <cellStyle name="Tusenskille 3 5 9" xfId="582"/>
    <cellStyle name="Tusenskille 3 6" xfId="37"/>
    <cellStyle name="Tusenskille 3 6 10" xfId="675"/>
    <cellStyle name="Tusenskille 3 6 11" xfId="770"/>
    <cellStyle name="Tusenskille 3 6 2" xfId="59"/>
    <cellStyle name="Tusenskille 3 6 2 10" xfId="790"/>
    <cellStyle name="Tusenskille 3 6 2 2" xfId="99"/>
    <cellStyle name="Tusenskille 3 6 2 2 2" xfId="191"/>
    <cellStyle name="Tusenskille 3 6 2 2 3" xfId="281"/>
    <cellStyle name="Tusenskille 3 6 2 2 4" xfId="371"/>
    <cellStyle name="Tusenskille 3 6 2 2 5" xfId="461"/>
    <cellStyle name="Tusenskille 3 6 2 2 6" xfId="551"/>
    <cellStyle name="Tusenskille 3 6 2 2 7" xfId="641"/>
    <cellStyle name="Tusenskille 3 6 2 2 8" xfId="731"/>
    <cellStyle name="Tusenskille 3 6 2 2 9" xfId="828"/>
    <cellStyle name="Tusenskille 3 6 2 3" xfId="154"/>
    <cellStyle name="Tusenskille 3 6 2 4" xfId="244"/>
    <cellStyle name="Tusenskille 3 6 2 5" xfId="334"/>
    <cellStyle name="Tusenskille 3 6 2 6" xfId="424"/>
    <cellStyle name="Tusenskille 3 6 2 7" xfId="514"/>
    <cellStyle name="Tusenskille 3 6 2 8" xfId="604"/>
    <cellStyle name="Tusenskille 3 6 2 9" xfId="694"/>
    <cellStyle name="Tusenskille 3 6 3" xfId="79"/>
    <cellStyle name="Tusenskille 3 6 3 2" xfId="172"/>
    <cellStyle name="Tusenskille 3 6 3 3" xfId="262"/>
    <cellStyle name="Tusenskille 3 6 3 4" xfId="352"/>
    <cellStyle name="Tusenskille 3 6 3 5" xfId="442"/>
    <cellStyle name="Tusenskille 3 6 3 6" xfId="532"/>
    <cellStyle name="Tusenskille 3 6 3 7" xfId="622"/>
    <cellStyle name="Tusenskille 3 6 3 8" xfId="712"/>
    <cellStyle name="Tusenskille 3 6 3 9" xfId="809"/>
    <cellStyle name="Tusenskille 3 6 4" xfId="135"/>
    <cellStyle name="Tusenskille 3 6 5" xfId="225"/>
    <cellStyle name="Tusenskille 3 6 6" xfId="315"/>
    <cellStyle name="Tusenskille 3 6 7" xfId="405"/>
    <cellStyle name="Tusenskille 3 6 8" xfId="495"/>
    <cellStyle name="Tusenskille 3 6 9" xfId="585"/>
    <cellStyle name="Tusenskille 3 7" xfId="43"/>
    <cellStyle name="Tusenskille 3 7 10" xfId="775"/>
    <cellStyle name="Tusenskille 3 7 2" xfId="83"/>
    <cellStyle name="Tusenskille 3 7 2 2" xfId="176"/>
    <cellStyle name="Tusenskille 3 7 2 3" xfId="266"/>
    <cellStyle name="Tusenskille 3 7 2 4" xfId="356"/>
    <cellStyle name="Tusenskille 3 7 2 5" xfId="446"/>
    <cellStyle name="Tusenskille 3 7 2 6" xfId="536"/>
    <cellStyle name="Tusenskille 3 7 2 7" xfId="626"/>
    <cellStyle name="Tusenskille 3 7 2 8" xfId="716"/>
    <cellStyle name="Tusenskille 3 7 2 9" xfId="813"/>
    <cellStyle name="Tusenskille 3 7 3" xfId="139"/>
    <cellStyle name="Tusenskille 3 7 4" xfId="229"/>
    <cellStyle name="Tusenskille 3 7 5" xfId="319"/>
    <cellStyle name="Tusenskille 3 7 6" xfId="409"/>
    <cellStyle name="Tusenskille 3 7 7" xfId="499"/>
    <cellStyle name="Tusenskille 3 7 8" xfId="589"/>
    <cellStyle name="Tusenskille 3 7 9" xfId="679"/>
    <cellStyle name="Tusenskille 3 8" xfId="64"/>
    <cellStyle name="Tusenskille 3 8 2" xfId="157"/>
    <cellStyle name="Tusenskille 3 8 3" xfId="247"/>
    <cellStyle name="Tusenskille 3 8 4" xfId="337"/>
    <cellStyle name="Tusenskille 3 8 5" xfId="427"/>
    <cellStyle name="Tusenskille 3 8 6" xfId="517"/>
    <cellStyle name="Tusenskille 3 8 7" xfId="607"/>
    <cellStyle name="Tusenskille 3 8 8" xfId="697"/>
    <cellStyle name="Tusenskille 3 8 9" xfId="794"/>
    <cellStyle name="Tusenskille 3 9" xfId="102"/>
    <cellStyle name="Tusenskille 3 9 2" xfId="194"/>
    <cellStyle name="Tusenskille 3 9 3" xfId="284"/>
    <cellStyle name="Tusenskille 3 9 4" xfId="374"/>
    <cellStyle name="Tusenskille 3 9 5" xfId="464"/>
    <cellStyle name="Tusenskille 3 9 6" xfId="554"/>
    <cellStyle name="Tusenskille 3 9 7" xfId="644"/>
    <cellStyle name="Tusenskille 3 9 8" xfId="734"/>
    <cellStyle name="Tusenskille 3 9 9" xfId="831"/>
    <cellStyle name="Tusenskille 4" xfId="17"/>
    <cellStyle name="Tusenskille 4 2" xfId="753"/>
    <cellStyle name="Tusenskille 5" xfId="13"/>
    <cellStyle name="Tusenskille 5 2" xfId="749"/>
    <cellStyle name="Tusenskille 6" xfId="115"/>
    <cellStyle name="TusenskilleFjernNull" xfId="845"/>
  </cellStyles>
  <dxfs count="19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mruColors>
      <color rgb="FFF8E9D6"/>
      <color rgb="FFFFFF99"/>
      <color rgb="FFF7D7F7"/>
      <color rgb="FFFCD2E2"/>
      <color rgb="FFD2F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46" Type="http://schemas.openxmlformats.org/officeDocument/2006/relationships/customXml" Target="../customXml/item5.xml"/><Relationship Id="rId20" Type="http://schemas.openxmlformats.org/officeDocument/2006/relationships/worksheet" Target="worksheets/sheet20.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7140801174953532"/>
          <c:y val="9.8477480734069936E-2"/>
          <c:w val="0.74903048765490665"/>
          <c:h val="0.65437502946862602"/>
        </c:manualLayout>
      </c:layout>
      <c:barChart>
        <c:barDir val="col"/>
        <c:grouping val="clustered"/>
        <c:varyColors val="0"/>
        <c:ser>
          <c:idx val="0"/>
          <c:order val="0"/>
          <c:tx>
            <c:strRef>
              <c:f>Figurer!$M$8</c:f>
              <c:strCache>
                <c:ptCount val="1"/>
                <c:pt idx="0">
                  <c:v>2016</c:v>
                </c:pt>
              </c:strCache>
            </c:strRef>
          </c:tx>
          <c:invertIfNegative val="0"/>
          <c:cat>
            <c:strRef>
              <c:f>Figurer!$L$10:$L$29</c:f>
              <c:strCache>
                <c:ptCount val="20"/>
                <c:pt idx="0">
                  <c:v>Danica Pensjon</c:v>
                </c:pt>
                <c:pt idx="1">
                  <c:v>DNB Liv</c:v>
                </c:pt>
                <c:pt idx="2">
                  <c:v>Eika Forsikring</c:v>
                </c:pt>
                <c:pt idx="3">
                  <c:v>Frende Livsfors</c:v>
                </c:pt>
                <c:pt idx="4">
                  <c:v>Frende Skade</c:v>
                </c:pt>
                <c:pt idx="5">
                  <c:v>Gjensidige Fors</c:v>
                </c:pt>
                <c:pt idx="6">
                  <c:v>Gjensidige Pensj</c:v>
                </c:pt>
                <c:pt idx="7">
                  <c:v>Handelsb Liv</c:v>
                </c:pt>
                <c:pt idx="8">
                  <c:v>If Skadefors</c:v>
                </c:pt>
                <c:pt idx="9">
                  <c:v>KLP</c:v>
                </c:pt>
                <c:pt idx="10">
                  <c:v>KLP Bedriftsp</c:v>
                </c:pt>
                <c:pt idx="11">
                  <c:v>KLP Skadef</c:v>
                </c:pt>
                <c:pt idx="12">
                  <c:v>Landbruksfors.</c:v>
                </c:pt>
                <c:pt idx="13">
                  <c:v>NEMI</c:v>
                </c:pt>
                <c:pt idx="14">
                  <c:v>Nordea Liv</c:v>
                </c:pt>
                <c:pt idx="15">
                  <c:v>OPF</c:v>
                </c:pt>
                <c:pt idx="16">
                  <c:v>SpareBank 1</c:v>
                </c:pt>
                <c:pt idx="17">
                  <c:v>Storebrand </c:v>
                </c:pt>
                <c:pt idx="18">
                  <c:v>Telenor Fors</c:v>
                </c:pt>
                <c:pt idx="19">
                  <c:v>Tryg Fors</c:v>
                </c:pt>
              </c:strCache>
            </c:strRef>
          </c:cat>
          <c:val>
            <c:numRef>
              <c:f>Figurer!$M$10:$M$29</c:f>
              <c:numCache>
                <c:formatCode>#,##0</c:formatCode>
                <c:ptCount val="20"/>
                <c:pt idx="0">
                  <c:v>197548.72899999999</c:v>
                </c:pt>
                <c:pt idx="1">
                  <c:v>4445756.0010000002</c:v>
                </c:pt>
                <c:pt idx="2">
                  <c:v>248926</c:v>
                </c:pt>
                <c:pt idx="3">
                  <c:v>449437</c:v>
                </c:pt>
                <c:pt idx="4">
                  <c:v>4457</c:v>
                </c:pt>
                <c:pt idx="5">
                  <c:v>1139361</c:v>
                </c:pt>
                <c:pt idx="6">
                  <c:v>268828.26399999997</c:v>
                </c:pt>
                <c:pt idx="7">
                  <c:v>20615</c:v>
                </c:pt>
                <c:pt idx="8">
                  <c:v>248460.12299999999</c:v>
                </c:pt>
                <c:pt idx="9">
                  <c:v>17863744.790199999</c:v>
                </c:pt>
                <c:pt idx="10">
                  <c:v>52817</c:v>
                </c:pt>
                <c:pt idx="11">
                  <c:v>118032.765</c:v>
                </c:pt>
                <c:pt idx="12">
                  <c:v>17232</c:v>
                </c:pt>
                <c:pt idx="13">
                  <c:v>1481</c:v>
                </c:pt>
                <c:pt idx="14">
                  <c:v>1314347.7010432926</c:v>
                </c:pt>
                <c:pt idx="15">
                  <c:v>1315437</c:v>
                </c:pt>
                <c:pt idx="16">
                  <c:v>1347598.1754899998</c:v>
                </c:pt>
                <c:pt idx="17">
                  <c:v>4383879.6049999995</c:v>
                </c:pt>
                <c:pt idx="18">
                  <c:v>25828</c:v>
                </c:pt>
                <c:pt idx="19">
                  <c:v>472129.78125</c:v>
                </c:pt>
              </c:numCache>
            </c:numRef>
          </c:val>
          <c:extLst>
            <c:ext xmlns:c16="http://schemas.microsoft.com/office/drawing/2014/chart" uri="{C3380CC4-5D6E-409C-BE32-E72D297353CC}">
              <c16:uniqueId val="{00000002-93AE-4CD9-98AD-A52686D1F9FB}"/>
            </c:ext>
          </c:extLst>
        </c:ser>
        <c:ser>
          <c:idx val="1"/>
          <c:order val="1"/>
          <c:tx>
            <c:strRef>
              <c:f>Figurer!$N$8</c:f>
              <c:strCache>
                <c:ptCount val="1"/>
                <c:pt idx="0">
                  <c:v>2017</c:v>
                </c:pt>
              </c:strCache>
            </c:strRef>
          </c:tx>
          <c:invertIfNegative val="0"/>
          <c:cat>
            <c:strRef>
              <c:f>Figurer!$L$10:$L$29</c:f>
              <c:strCache>
                <c:ptCount val="20"/>
                <c:pt idx="0">
                  <c:v>Danica Pensjon</c:v>
                </c:pt>
                <c:pt idx="1">
                  <c:v>DNB Liv</c:v>
                </c:pt>
                <c:pt idx="2">
                  <c:v>Eika Forsikring</c:v>
                </c:pt>
                <c:pt idx="3">
                  <c:v>Frende Livsfors</c:v>
                </c:pt>
                <c:pt idx="4">
                  <c:v>Frende Skade</c:v>
                </c:pt>
                <c:pt idx="5">
                  <c:v>Gjensidige Fors</c:v>
                </c:pt>
                <c:pt idx="6">
                  <c:v>Gjensidige Pensj</c:v>
                </c:pt>
                <c:pt idx="7">
                  <c:v>Handelsb Liv</c:v>
                </c:pt>
                <c:pt idx="8">
                  <c:v>If Skadefors</c:v>
                </c:pt>
                <c:pt idx="9">
                  <c:v>KLP</c:v>
                </c:pt>
                <c:pt idx="10">
                  <c:v>KLP Bedriftsp</c:v>
                </c:pt>
                <c:pt idx="11">
                  <c:v>KLP Skadef</c:v>
                </c:pt>
                <c:pt idx="12">
                  <c:v>Landbruksfors.</c:v>
                </c:pt>
                <c:pt idx="13">
                  <c:v>NEMI</c:v>
                </c:pt>
                <c:pt idx="14">
                  <c:v>Nordea Liv</c:v>
                </c:pt>
                <c:pt idx="15">
                  <c:v>OPF</c:v>
                </c:pt>
                <c:pt idx="16">
                  <c:v>SpareBank 1</c:v>
                </c:pt>
                <c:pt idx="17">
                  <c:v>Storebrand </c:v>
                </c:pt>
                <c:pt idx="18">
                  <c:v>Telenor Fors</c:v>
                </c:pt>
                <c:pt idx="19">
                  <c:v>Tryg Fors</c:v>
                </c:pt>
              </c:strCache>
            </c:strRef>
          </c:cat>
          <c:val>
            <c:numRef>
              <c:f>Figurer!$N$10:$N$29</c:f>
              <c:numCache>
                <c:formatCode>#,##0</c:formatCode>
                <c:ptCount val="20"/>
                <c:pt idx="0">
                  <c:v>195763.908</c:v>
                </c:pt>
                <c:pt idx="1">
                  <c:v>3078142</c:v>
                </c:pt>
                <c:pt idx="2">
                  <c:v>154629</c:v>
                </c:pt>
                <c:pt idx="3">
                  <c:v>490232.783</c:v>
                </c:pt>
                <c:pt idx="4">
                  <c:v>4451</c:v>
                </c:pt>
                <c:pt idx="5">
                  <c:v>1205494</c:v>
                </c:pt>
                <c:pt idx="6">
                  <c:v>276379</c:v>
                </c:pt>
                <c:pt idx="7">
                  <c:v>19906</c:v>
                </c:pt>
                <c:pt idx="8">
                  <c:v>286954.01899999997</c:v>
                </c:pt>
                <c:pt idx="9">
                  <c:v>14896769.38098</c:v>
                </c:pt>
                <c:pt idx="10">
                  <c:v>42087</c:v>
                </c:pt>
                <c:pt idx="11">
                  <c:v>128824.133</c:v>
                </c:pt>
                <c:pt idx="12">
                  <c:v>24256</c:v>
                </c:pt>
                <c:pt idx="13">
                  <c:v>2011</c:v>
                </c:pt>
                <c:pt idx="14">
                  <c:v>927868.64466550318</c:v>
                </c:pt>
                <c:pt idx="15">
                  <c:v>1524757</c:v>
                </c:pt>
                <c:pt idx="16">
                  <c:v>1416935.0100199999</c:v>
                </c:pt>
                <c:pt idx="17">
                  <c:v>3161034.8239999996</c:v>
                </c:pt>
                <c:pt idx="18">
                  <c:v>23751</c:v>
                </c:pt>
                <c:pt idx="19">
                  <c:v>458748.43799999997</c:v>
                </c:pt>
              </c:numCache>
            </c:numRef>
          </c:val>
          <c:extLst>
            <c:ext xmlns:c16="http://schemas.microsoft.com/office/drawing/2014/chart" uri="{C3380CC4-5D6E-409C-BE32-E72D297353CC}">
              <c16:uniqueId val="{00000003-93AE-4CD9-98AD-A52686D1F9FB}"/>
            </c:ext>
          </c:extLst>
        </c:ser>
        <c:dLbls>
          <c:showLegendKey val="0"/>
          <c:showVal val="0"/>
          <c:showCatName val="0"/>
          <c:showSerName val="0"/>
          <c:showPercent val="0"/>
          <c:showBubbleSize val="0"/>
        </c:dLbls>
        <c:gapWidth val="150"/>
        <c:axId val="242174208"/>
        <c:axId val="242180096"/>
      </c:barChart>
      <c:catAx>
        <c:axId val="2421742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180096"/>
        <c:crosses val="autoZero"/>
        <c:auto val="1"/>
        <c:lblAlgn val="ctr"/>
        <c:lblOffset val="100"/>
        <c:tickLblSkip val="1"/>
        <c:tickMarkSkip val="1"/>
        <c:noMultiLvlLbl val="0"/>
      </c:catAx>
      <c:valAx>
        <c:axId val="242180096"/>
        <c:scaling>
          <c:orientation val="minMax"/>
        </c:scaling>
        <c:delete val="0"/>
        <c:axPos val="l"/>
        <c:title>
          <c:tx>
            <c:rich>
              <a:bodyPr/>
              <a:lstStyle/>
              <a:p>
                <a:pPr>
                  <a:defRPr/>
                </a:pPr>
                <a:r>
                  <a:rPr lang="en-US" b="1"/>
                  <a:t>i 1000kr.</a:t>
                </a:r>
              </a:p>
            </c:rich>
          </c:tx>
          <c:layout>
            <c:manualLayout>
              <c:xMode val="edge"/>
              <c:yMode val="edge"/>
              <c:x val="1.9581387667906975E-2"/>
              <c:y val="0.30321655900796829"/>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174208"/>
        <c:crosses val="autoZero"/>
        <c:crossBetween val="between"/>
      </c:valAx>
    </c:plotArea>
    <c:legend>
      <c:legendPos val="b"/>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6608656849620704"/>
          <c:y val="0.10754105736782903"/>
          <c:w val="0.77619271486646502"/>
          <c:h val="0.61573077622722905"/>
        </c:manualLayout>
      </c:layout>
      <c:barChart>
        <c:barDir val="col"/>
        <c:grouping val="clustered"/>
        <c:varyColors val="0"/>
        <c:ser>
          <c:idx val="0"/>
          <c:order val="0"/>
          <c:tx>
            <c:strRef>
              <c:f>Figurer!$M$35</c:f>
              <c:strCache>
                <c:ptCount val="1"/>
                <c:pt idx="0">
                  <c:v>2016</c:v>
                </c:pt>
              </c:strCache>
            </c:strRef>
          </c:tx>
          <c:invertIfNegative val="0"/>
          <c:cat>
            <c:strLit>
              <c:ptCount val="11"/>
              <c:pt idx="0">
                <c:v>Danica Pensjon</c:v>
              </c:pt>
              <c:pt idx="1">
                <c:v>DNB Liv</c:v>
              </c:pt>
              <c:pt idx="2">
                <c:v>Frende Livsfors</c:v>
              </c:pt>
              <c:pt idx="3">
                <c:v>Gjensidige Pensj</c:v>
              </c:pt>
              <c:pt idx="4">
                <c:v>KLP</c:v>
              </c:pt>
              <c:pt idx="5">
                <c:v>KLP Bedriftsp</c:v>
              </c:pt>
              <c:pt idx="6">
                <c:v>Nordea Liv</c:v>
              </c:pt>
              <c:pt idx="7">
                <c:v>SHB Liv</c:v>
              </c:pt>
              <c:pt idx="8">
                <c:v>Silver</c:v>
              </c:pt>
              <c:pt idx="9">
                <c:v>SpareBank 1</c:v>
              </c:pt>
              <c:pt idx="10">
                <c:v>Storebrand</c:v>
              </c:pt>
            </c:strLit>
          </c:cat>
          <c:val>
            <c:numRef>
              <c:f>Figurer!$M$36:$M$46</c:f>
              <c:numCache>
                <c:formatCode>#,##0</c:formatCode>
                <c:ptCount val="11"/>
                <c:pt idx="0">
                  <c:v>797149.23</c:v>
                </c:pt>
                <c:pt idx="1">
                  <c:v>3901376</c:v>
                </c:pt>
                <c:pt idx="2">
                  <c:v>148103</c:v>
                </c:pt>
                <c:pt idx="3">
                  <c:v>934615.7030000001</c:v>
                </c:pt>
                <c:pt idx="4">
                  <c:v>76382.539000000004</c:v>
                </c:pt>
                <c:pt idx="5">
                  <c:v>130945</c:v>
                </c:pt>
                <c:pt idx="6">
                  <c:v>4451546.6203800002</c:v>
                </c:pt>
                <c:pt idx="7">
                  <c:v>64356</c:v>
                </c:pt>
                <c:pt idx="8">
                  <c:v>-0.69540974</c:v>
                </c:pt>
                <c:pt idx="9">
                  <c:v>1016157.0894799998</c:v>
                </c:pt>
                <c:pt idx="10">
                  <c:v>4898885.9740000004</c:v>
                </c:pt>
              </c:numCache>
            </c:numRef>
          </c:val>
          <c:extLst>
            <c:ext xmlns:c16="http://schemas.microsoft.com/office/drawing/2014/chart" uri="{C3380CC4-5D6E-409C-BE32-E72D297353CC}">
              <c16:uniqueId val="{00000000-3971-4F9A-B5A3-CF52C774B823}"/>
            </c:ext>
          </c:extLst>
        </c:ser>
        <c:ser>
          <c:idx val="1"/>
          <c:order val="1"/>
          <c:tx>
            <c:strRef>
              <c:f>Figurer!$N$35</c:f>
              <c:strCache>
                <c:ptCount val="1"/>
                <c:pt idx="0">
                  <c:v>2017</c:v>
                </c:pt>
              </c:strCache>
            </c:strRef>
          </c:tx>
          <c:invertIfNegative val="0"/>
          <c:cat>
            <c:strLit>
              <c:ptCount val="11"/>
              <c:pt idx="0">
                <c:v>Danica Pensjon</c:v>
              </c:pt>
              <c:pt idx="1">
                <c:v>DNB Liv</c:v>
              </c:pt>
              <c:pt idx="2">
                <c:v>Frende Livsfors</c:v>
              </c:pt>
              <c:pt idx="3">
                <c:v>Gjensidige Pensj</c:v>
              </c:pt>
              <c:pt idx="4">
                <c:v>KLP</c:v>
              </c:pt>
              <c:pt idx="5">
                <c:v>KLP Bedriftsp</c:v>
              </c:pt>
              <c:pt idx="6">
                <c:v>Nordea Liv</c:v>
              </c:pt>
              <c:pt idx="7">
                <c:v>SHB Liv</c:v>
              </c:pt>
              <c:pt idx="8">
                <c:v>Silver</c:v>
              </c:pt>
              <c:pt idx="9">
                <c:v>SpareBank 1</c:v>
              </c:pt>
              <c:pt idx="10">
                <c:v>Storebrand</c:v>
              </c:pt>
            </c:strLit>
          </c:cat>
          <c:val>
            <c:numRef>
              <c:f>Figurer!$N$36:$N$46</c:f>
              <c:numCache>
                <c:formatCode>#,##0</c:formatCode>
                <c:ptCount val="11"/>
                <c:pt idx="0">
                  <c:v>872284.58900000004</c:v>
                </c:pt>
                <c:pt idx="1">
                  <c:v>4145174</c:v>
                </c:pt>
                <c:pt idx="2">
                  <c:v>168384</c:v>
                </c:pt>
                <c:pt idx="3">
                  <c:v>1226333</c:v>
                </c:pt>
                <c:pt idx="4">
                  <c:v>52296.226000000002</c:v>
                </c:pt>
                <c:pt idx="5">
                  <c:v>176194</c:v>
                </c:pt>
                <c:pt idx="6">
                  <c:v>4608895.0639900006</c:v>
                </c:pt>
                <c:pt idx="7">
                  <c:v>59615</c:v>
                </c:pt>
                <c:pt idx="8">
                  <c:v>0</c:v>
                </c:pt>
                <c:pt idx="9">
                  <c:v>1413647.3683399998</c:v>
                </c:pt>
                <c:pt idx="10">
                  <c:v>5054517.3</c:v>
                </c:pt>
              </c:numCache>
            </c:numRef>
          </c:val>
          <c:extLst>
            <c:ext xmlns:c16="http://schemas.microsoft.com/office/drawing/2014/chart" uri="{C3380CC4-5D6E-409C-BE32-E72D297353CC}">
              <c16:uniqueId val="{00000001-3971-4F9A-B5A3-CF52C774B823}"/>
            </c:ext>
          </c:extLst>
        </c:ser>
        <c:dLbls>
          <c:showLegendKey val="0"/>
          <c:showVal val="0"/>
          <c:showCatName val="0"/>
          <c:showSerName val="0"/>
          <c:showPercent val="0"/>
          <c:showBubbleSize val="0"/>
        </c:dLbls>
        <c:gapWidth val="150"/>
        <c:axId val="242208128"/>
        <c:axId val="242427008"/>
      </c:barChart>
      <c:catAx>
        <c:axId val="2422081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427008"/>
        <c:crosses val="autoZero"/>
        <c:auto val="1"/>
        <c:lblAlgn val="ctr"/>
        <c:lblOffset val="100"/>
        <c:tickLblSkip val="1"/>
        <c:tickMarkSkip val="1"/>
        <c:noMultiLvlLbl val="0"/>
      </c:catAx>
      <c:valAx>
        <c:axId val="242427008"/>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6.9541508114698515E-3"/>
              <c:y val="0.33962311853875432"/>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208128"/>
        <c:crosses val="autoZero"/>
        <c:crossBetween val="between"/>
      </c:valAx>
    </c:plotArea>
    <c:legend>
      <c:legendPos val="b"/>
      <c:layout>
        <c:manualLayout>
          <c:xMode val="edge"/>
          <c:yMode val="edge"/>
          <c:x val="0.34749475592659351"/>
          <c:y val="0.93710900423161392"/>
          <c:w val="0.23943149676571668"/>
          <c:h val="5.0314424982592074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9034622721340161"/>
          <c:y val="7.9682070044274814E-2"/>
          <c:w val="0.72950920069418312"/>
          <c:h val="0.62009389947752291"/>
        </c:manualLayout>
      </c:layout>
      <c:barChart>
        <c:barDir val="col"/>
        <c:grouping val="clustered"/>
        <c:varyColors val="0"/>
        <c:ser>
          <c:idx val="0"/>
          <c:order val="0"/>
          <c:tx>
            <c:strRef>
              <c:f>Figurer!$M$59</c:f>
              <c:strCache>
                <c:ptCount val="1"/>
                <c:pt idx="0">
                  <c:v>2016</c:v>
                </c:pt>
              </c:strCache>
            </c:strRef>
          </c:tx>
          <c:invertIfNegative val="0"/>
          <c:cat>
            <c:strLit>
              <c:ptCount val="15"/>
              <c:pt idx="0">
                <c:v>Danica Pensjon</c:v>
              </c:pt>
              <c:pt idx="1">
                <c:v>DNB Liv</c:v>
              </c:pt>
              <c:pt idx="2">
                <c:v>Eika Forsikring</c:v>
              </c:pt>
              <c:pt idx="3">
                <c:v>Frende Livsfors</c:v>
              </c:pt>
              <c:pt idx="4">
                <c:v>Gjensidige Fors</c:v>
              </c:pt>
              <c:pt idx="5">
                <c:v>Gjensidige Pensj</c:v>
              </c:pt>
              <c:pt idx="6">
                <c:v>Handelsb Liv</c:v>
              </c:pt>
              <c:pt idx="7">
                <c:v>If Skadefors</c:v>
              </c:pt>
              <c:pt idx="8">
                <c:v>KLP</c:v>
              </c:pt>
              <c:pt idx="9">
                <c:v>KLP Bedriftsp</c:v>
              </c:pt>
              <c:pt idx="10">
                <c:v>Nordea Liv</c:v>
              </c:pt>
              <c:pt idx="11">
                <c:v>OPF</c:v>
              </c:pt>
              <c:pt idx="12">
                <c:v>Silver</c:v>
              </c:pt>
              <c:pt idx="13">
                <c:v>SpareBank 1</c:v>
              </c:pt>
              <c:pt idx="14">
                <c:v>Storebrand </c:v>
              </c:pt>
            </c:strLit>
          </c:cat>
          <c:val>
            <c:numRef>
              <c:f>Figurer!$M$60:$M$74</c:f>
              <c:numCache>
                <c:formatCode>#,##0</c:formatCode>
                <c:ptCount val="15"/>
                <c:pt idx="0">
                  <c:v>910116.41500000004</c:v>
                </c:pt>
                <c:pt idx="1">
                  <c:v>204999593</c:v>
                </c:pt>
                <c:pt idx="2">
                  <c:v>0</c:v>
                </c:pt>
                <c:pt idx="3">
                  <c:v>832830</c:v>
                </c:pt>
                <c:pt idx="4">
                  <c:v>0</c:v>
                </c:pt>
                <c:pt idx="5">
                  <c:v>5116874.0429999996</c:v>
                </c:pt>
                <c:pt idx="6">
                  <c:v>28242</c:v>
                </c:pt>
                <c:pt idx="7">
                  <c:v>0</c:v>
                </c:pt>
                <c:pt idx="8">
                  <c:v>408022300.04294997</c:v>
                </c:pt>
                <c:pt idx="9">
                  <c:v>1444299</c:v>
                </c:pt>
                <c:pt idx="10">
                  <c:v>48064765.021499872</c:v>
                </c:pt>
                <c:pt idx="11">
                  <c:v>61571650</c:v>
                </c:pt>
                <c:pt idx="12">
                  <c:v>8612877.0735400002</c:v>
                </c:pt>
                <c:pt idx="13">
                  <c:v>16839593.38775</c:v>
                </c:pt>
                <c:pt idx="14">
                  <c:v>173966226.97000003</c:v>
                </c:pt>
              </c:numCache>
            </c:numRef>
          </c:val>
          <c:extLst>
            <c:ext xmlns:c16="http://schemas.microsoft.com/office/drawing/2014/chart" uri="{C3380CC4-5D6E-409C-BE32-E72D297353CC}">
              <c16:uniqueId val="{00000000-F5D7-4882-A9B6-45C2F0317A05}"/>
            </c:ext>
          </c:extLst>
        </c:ser>
        <c:ser>
          <c:idx val="1"/>
          <c:order val="1"/>
          <c:tx>
            <c:strRef>
              <c:f>Figurer!$N$59</c:f>
              <c:strCache>
                <c:ptCount val="1"/>
                <c:pt idx="0">
                  <c:v>2017</c:v>
                </c:pt>
              </c:strCache>
            </c:strRef>
          </c:tx>
          <c:invertIfNegative val="0"/>
          <c:cat>
            <c:strLit>
              <c:ptCount val="15"/>
              <c:pt idx="0">
                <c:v>Danica Pensjon</c:v>
              </c:pt>
              <c:pt idx="1">
                <c:v>DNB Liv</c:v>
              </c:pt>
              <c:pt idx="2">
                <c:v>Eika Forsikring</c:v>
              </c:pt>
              <c:pt idx="3">
                <c:v>Frende Livsfors</c:v>
              </c:pt>
              <c:pt idx="4">
                <c:v>Gjensidige Fors</c:v>
              </c:pt>
              <c:pt idx="5">
                <c:v>Gjensidige Pensj</c:v>
              </c:pt>
              <c:pt idx="6">
                <c:v>Handelsb Liv</c:v>
              </c:pt>
              <c:pt idx="7">
                <c:v>If Skadefors</c:v>
              </c:pt>
              <c:pt idx="8">
                <c:v>KLP</c:v>
              </c:pt>
              <c:pt idx="9">
                <c:v>KLP Bedriftsp</c:v>
              </c:pt>
              <c:pt idx="10">
                <c:v>Nordea Liv</c:v>
              </c:pt>
              <c:pt idx="11">
                <c:v>OPF</c:v>
              </c:pt>
              <c:pt idx="12">
                <c:v>Silver</c:v>
              </c:pt>
              <c:pt idx="13">
                <c:v>SpareBank 1</c:v>
              </c:pt>
              <c:pt idx="14">
                <c:v>Storebrand </c:v>
              </c:pt>
            </c:strLit>
          </c:cat>
          <c:val>
            <c:numRef>
              <c:f>Figurer!$N$60:$N$74</c:f>
              <c:numCache>
                <c:formatCode>#,##0</c:formatCode>
                <c:ptCount val="15"/>
                <c:pt idx="0">
                  <c:v>981728.21099999989</c:v>
                </c:pt>
                <c:pt idx="1">
                  <c:v>202823706</c:v>
                </c:pt>
                <c:pt idx="2">
                  <c:v>0</c:v>
                </c:pt>
                <c:pt idx="3">
                  <c:v>979049</c:v>
                </c:pt>
                <c:pt idx="4">
                  <c:v>0</c:v>
                </c:pt>
                <c:pt idx="5">
                  <c:v>5705784</c:v>
                </c:pt>
                <c:pt idx="6">
                  <c:v>27134</c:v>
                </c:pt>
                <c:pt idx="7">
                  <c:v>0</c:v>
                </c:pt>
                <c:pt idx="8">
                  <c:v>432230923.24921</c:v>
                </c:pt>
                <c:pt idx="9">
                  <c:v>1534741</c:v>
                </c:pt>
                <c:pt idx="10">
                  <c:v>49325851.608999982</c:v>
                </c:pt>
                <c:pt idx="11">
                  <c:v>66551653</c:v>
                </c:pt>
                <c:pt idx="12">
                  <c:v>0</c:v>
                </c:pt>
                <c:pt idx="13">
                  <c:v>17251701.960609999</c:v>
                </c:pt>
                <c:pt idx="14">
                  <c:v>175952011.514</c:v>
                </c:pt>
              </c:numCache>
            </c:numRef>
          </c:val>
          <c:extLst>
            <c:ext xmlns:c16="http://schemas.microsoft.com/office/drawing/2014/chart" uri="{C3380CC4-5D6E-409C-BE32-E72D297353CC}">
              <c16:uniqueId val="{00000001-F5D7-4882-A9B6-45C2F0317A05}"/>
            </c:ext>
          </c:extLst>
        </c:ser>
        <c:dLbls>
          <c:showLegendKey val="0"/>
          <c:showVal val="0"/>
          <c:showCatName val="0"/>
          <c:showSerName val="0"/>
          <c:showPercent val="0"/>
          <c:showBubbleSize val="0"/>
        </c:dLbls>
        <c:gapWidth val="150"/>
        <c:axId val="242742784"/>
        <c:axId val="242744320"/>
      </c:barChart>
      <c:catAx>
        <c:axId val="2427427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744320"/>
        <c:crosses val="autoZero"/>
        <c:auto val="1"/>
        <c:lblAlgn val="ctr"/>
        <c:lblOffset val="100"/>
        <c:tickLblSkip val="1"/>
        <c:tickMarkSkip val="1"/>
        <c:noMultiLvlLbl val="0"/>
      </c:catAx>
      <c:valAx>
        <c:axId val="242744320"/>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4590163934426229E-2"/>
              <c:y val="0.34865976584387876"/>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742784"/>
        <c:crosses val="autoZero"/>
        <c:crossBetween val="between"/>
      </c:valAx>
    </c:plotArea>
    <c:legend>
      <c:legendPos val="b"/>
      <c:layout>
        <c:manualLayout>
          <c:xMode val="edge"/>
          <c:yMode val="edge"/>
          <c:x val="0.36156705821608365"/>
          <c:y val="0.94061493998643431"/>
          <c:w val="0.21357027092924838"/>
          <c:h val="4.5976938275973926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8826753749914957"/>
          <c:y val="9.2115610054672017E-2"/>
          <c:w val="0.74306560247500353"/>
          <c:h val="0.6114621490399017"/>
        </c:manualLayout>
      </c:layout>
      <c:barChart>
        <c:barDir val="col"/>
        <c:grouping val="clustered"/>
        <c:varyColors val="0"/>
        <c:ser>
          <c:idx val="0"/>
          <c:order val="0"/>
          <c:tx>
            <c:strRef>
              <c:f>Figurer!$M$84</c:f>
              <c:strCache>
                <c:ptCount val="1"/>
                <c:pt idx="0">
                  <c:v>2016</c:v>
                </c:pt>
              </c:strCache>
            </c:strRef>
          </c:tx>
          <c:invertIfNegative val="0"/>
          <c:cat>
            <c:strLit>
              <c:ptCount val="11"/>
              <c:pt idx="0">
                <c:v>Danica Pensjon</c:v>
              </c:pt>
              <c:pt idx="1">
                <c:v>DNB Liv</c:v>
              </c:pt>
              <c:pt idx="2">
                <c:v>Frende Livsfors</c:v>
              </c:pt>
              <c:pt idx="3">
                <c:v>Gjensidige Pensj</c:v>
              </c:pt>
              <c:pt idx="4">
                <c:v>KLP</c:v>
              </c:pt>
              <c:pt idx="5">
                <c:v>KLP Bedriftsp</c:v>
              </c:pt>
              <c:pt idx="6">
                <c:v>Nordea Liv</c:v>
              </c:pt>
              <c:pt idx="7">
                <c:v>SHB Liv</c:v>
              </c:pt>
              <c:pt idx="8">
                <c:v>Silver</c:v>
              </c:pt>
              <c:pt idx="9">
                <c:v>SpareBank 1</c:v>
              </c:pt>
              <c:pt idx="10">
                <c:v>Storebrand</c:v>
              </c:pt>
            </c:strLit>
          </c:cat>
          <c:val>
            <c:numRef>
              <c:f>Figurer!$M$85:$M$95</c:f>
              <c:numCache>
                <c:formatCode>#,##0</c:formatCode>
                <c:ptCount val="11"/>
                <c:pt idx="0">
                  <c:v>12599531.244999999</c:v>
                </c:pt>
                <c:pt idx="1">
                  <c:v>52892825</c:v>
                </c:pt>
                <c:pt idx="2">
                  <c:v>2394875</c:v>
                </c:pt>
                <c:pt idx="3">
                  <c:v>16013492.852000002</c:v>
                </c:pt>
                <c:pt idx="4">
                  <c:v>2120218.96215</c:v>
                </c:pt>
                <c:pt idx="5">
                  <c:v>1361843</c:v>
                </c:pt>
                <c:pt idx="6">
                  <c:v>42006581.100000001</c:v>
                </c:pt>
                <c:pt idx="7">
                  <c:v>1571024</c:v>
                </c:pt>
                <c:pt idx="8">
                  <c:v>515694.20325000002</c:v>
                </c:pt>
                <c:pt idx="9">
                  <c:v>16928884.25474</c:v>
                </c:pt>
                <c:pt idx="10">
                  <c:v>58026529.603</c:v>
                </c:pt>
              </c:numCache>
            </c:numRef>
          </c:val>
          <c:extLst>
            <c:ext xmlns:c16="http://schemas.microsoft.com/office/drawing/2014/chart" uri="{C3380CC4-5D6E-409C-BE32-E72D297353CC}">
              <c16:uniqueId val="{00000000-62B1-4395-80F9-424B1553CC96}"/>
            </c:ext>
          </c:extLst>
        </c:ser>
        <c:ser>
          <c:idx val="1"/>
          <c:order val="1"/>
          <c:tx>
            <c:strRef>
              <c:f>Figurer!$N$84</c:f>
              <c:strCache>
                <c:ptCount val="1"/>
                <c:pt idx="0">
                  <c:v>2017</c:v>
                </c:pt>
              </c:strCache>
            </c:strRef>
          </c:tx>
          <c:invertIfNegative val="0"/>
          <c:cat>
            <c:strLit>
              <c:ptCount val="11"/>
              <c:pt idx="0">
                <c:v>Danica Pensjon</c:v>
              </c:pt>
              <c:pt idx="1">
                <c:v>DNB Liv</c:v>
              </c:pt>
              <c:pt idx="2">
                <c:v>Frende Livsfors</c:v>
              </c:pt>
              <c:pt idx="3">
                <c:v>Gjensidige Pensj</c:v>
              </c:pt>
              <c:pt idx="4">
                <c:v>KLP</c:v>
              </c:pt>
              <c:pt idx="5">
                <c:v>KLP Bedriftsp</c:v>
              </c:pt>
              <c:pt idx="6">
                <c:v>Nordea Liv</c:v>
              </c:pt>
              <c:pt idx="7">
                <c:v>SHB Liv</c:v>
              </c:pt>
              <c:pt idx="8">
                <c:v>Silver</c:v>
              </c:pt>
              <c:pt idx="9">
                <c:v>SpareBank 1</c:v>
              </c:pt>
              <c:pt idx="10">
                <c:v>Storebrand</c:v>
              </c:pt>
            </c:strLit>
          </c:cat>
          <c:val>
            <c:numRef>
              <c:f>Figurer!$N$85:$N$95</c:f>
              <c:numCache>
                <c:formatCode>#,##0</c:formatCode>
                <c:ptCount val="11"/>
                <c:pt idx="0">
                  <c:v>15516241.074000001</c:v>
                </c:pt>
                <c:pt idx="1">
                  <c:v>67680359</c:v>
                </c:pt>
                <c:pt idx="2">
                  <c:v>2925269</c:v>
                </c:pt>
                <c:pt idx="3">
                  <c:v>20522578</c:v>
                </c:pt>
                <c:pt idx="4">
                  <c:v>2288839.25715</c:v>
                </c:pt>
                <c:pt idx="5">
                  <c:v>2183015</c:v>
                </c:pt>
                <c:pt idx="6">
                  <c:v>52390620</c:v>
                </c:pt>
                <c:pt idx="7">
                  <c:v>1903610</c:v>
                </c:pt>
                <c:pt idx="8">
                  <c:v>0</c:v>
                </c:pt>
                <c:pt idx="9">
                  <c:v>21802567.120070003</c:v>
                </c:pt>
                <c:pt idx="10">
                  <c:v>71261439.237000003</c:v>
                </c:pt>
              </c:numCache>
            </c:numRef>
          </c:val>
          <c:extLst>
            <c:ext xmlns:c16="http://schemas.microsoft.com/office/drawing/2014/chart" uri="{C3380CC4-5D6E-409C-BE32-E72D297353CC}">
              <c16:uniqueId val="{00000001-62B1-4395-80F9-424B1553CC96}"/>
            </c:ext>
          </c:extLst>
        </c:ser>
        <c:dLbls>
          <c:showLegendKey val="0"/>
          <c:showVal val="0"/>
          <c:showCatName val="0"/>
          <c:showSerName val="0"/>
          <c:showPercent val="0"/>
          <c:showBubbleSize val="0"/>
        </c:dLbls>
        <c:gapWidth val="150"/>
        <c:axId val="243158400"/>
        <c:axId val="243164288"/>
      </c:barChart>
      <c:catAx>
        <c:axId val="2431584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3164288"/>
        <c:crosses val="autoZero"/>
        <c:auto val="1"/>
        <c:lblAlgn val="ctr"/>
        <c:lblOffset val="100"/>
        <c:tickLblSkip val="1"/>
        <c:tickMarkSkip val="1"/>
        <c:noMultiLvlLbl val="0"/>
      </c:catAx>
      <c:valAx>
        <c:axId val="243164288"/>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5920873124147342E-2"/>
              <c:y val="0.33544386003133031"/>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158400"/>
        <c:crosses val="autoZero"/>
        <c:crossBetween val="between"/>
      </c:valAx>
    </c:plotArea>
    <c:legend>
      <c:legendPos val="b"/>
      <c:layout>
        <c:manualLayout>
          <c:xMode val="edge"/>
          <c:yMode val="edge"/>
          <c:x val="0.34561192811335145"/>
          <c:y val="0.93671075700518092"/>
          <c:w val="0.23419750566649891"/>
          <c:h val="4.8523233014845533E-2"/>
        </c:manualLayout>
      </c:layout>
      <c:overlay val="0"/>
      <c:txPr>
        <a:bodyPr/>
        <a:lstStyle/>
        <a:p>
          <a:pPr>
            <a:defRPr sz="595"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8614144699303892"/>
          <c:y val="8.40864305054419E-2"/>
          <c:w val="0.75271796188519913"/>
          <c:h val="0.62564087493112053"/>
        </c:manualLayout>
      </c:layout>
      <c:barChart>
        <c:barDir val="col"/>
        <c:grouping val="clustered"/>
        <c:varyColors val="0"/>
        <c:ser>
          <c:idx val="0"/>
          <c:order val="0"/>
          <c:tx>
            <c:strRef>
              <c:f>Figurer!$M$111</c:f>
              <c:strCache>
                <c:ptCount val="1"/>
                <c:pt idx="0">
                  <c:v>2016</c:v>
                </c:pt>
              </c:strCache>
            </c:strRef>
          </c:tx>
          <c:invertIfNegative val="0"/>
          <c:cat>
            <c:strLit>
              <c:ptCount val="9"/>
              <c:pt idx="0">
                <c:v>Danica Pensjon</c:v>
              </c:pt>
              <c:pt idx="1">
                <c:v>DNB Liv</c:v>
              </c:pt>
              <c:pt idx="2">
                <c:v>Gjensidige Pensj</c:v>
              </c:pt>
              <c:pt idx="3">
                <c:v>KLP</c:v>
              </c:pt>
              <c:pt idx="4">
                <c:v>KLP Bedriftsp</c:v>
              </c:pt>
              <c:pt idx="5">
                <c:v>Nordea Liv</c:v>
              </c:pt>
              <c:pt idx="6">
                <c:v>Silver</c:v>
              </c:pt>
              <c:pt idx="7">
                <c:v>SpareBank 1</c:v>
              </c:pt>
              <c:pt idx="8">
                <c:v>Storebrand </c:v>
              </c:pt>
            </c:strLit>
          </c:cat>
          <c:val>
            <c:numRef>
              <c:f>Figurer!$M$112:$M$120</c:f>
              <c:numCache>
                <c:formatCode>#,##0</c:formatCode>
                <c:ptCount val="9"/>
                <c:pt idx="0">
                  <c:v>-12439.066000000001</c:v>
                </c:pt>
                <c:pt idx="1">
                  <c:v>262638</c:v>
                </c:pt>
                <c:pt idx="2">
                  <c:v>18936.523000000001</c:v>
                </c:pt>
                <c:pt idx="3">
                  <c:v>1614478.551</c:v>
                </c:pt>
                <c:pt idx="4">
                  <c:v>-820</c:v>
                </c:pt>
                <c:pt idx="5">
                  <c:v>-123516.09354999999</c:v>
                </c:pt>
                <c:pt idx="6">
                  <c:v>-6471.7848400000003</c:v>
                </c:pt>
                <c:pt idx="7">
                  <c:v>64200.531299999988</c:v>
                </c:pt>
                <c:pt idx="8">
                  <c:v>-1925751.284</c:v>
                </c:pt>
              </c:numCache>
            </c:numRef>
          </c:val>
          <c:extLst>
            <c:ext xmlns:c16="http://schemas.microsoft.com/office/drawing/2014/chart" uri="{C3380CC4-5D6E-409C-BE32-E72D297353CC}">
              <c16:uniqueId val="{00000000-2BF8-4278-857F-91A0E7196849}"/>
            </c:ext>
          </c:extLst>
        </c:ser>
        <c:ser>
          <c:idx val="1"/>
          <c:order val="1"/>
          <c:tx>
            <c:strRef>
              <c:f>Figurer!$N$111</c:f>
              <c:strCache>
                <c:ptCount val="1"/>
                <c:pt idx="0">
                  <c:v>2017</c:v>
                </c:pt>
              </c:strCache>
            </c:strRef>
          </c:tx>
          <c:invertIfNegative val="0"/>
          <c:cat>
            <c:strLit>
              <c:ptCount val="9"/>
              <c:pt idx="0">
                <c:v>Danica Pensjon</c:v>
              </c:pt>
              <c:pt idx="1">
                <c:v>DNB Liv</c:v>
              </c:pt>
              <c:pt idx="2">
                <c:v>Gjensidige Pensj</c:v>
              </c:pt>
              <c:pt idx="3">
                <c:v>KLP</c:v>
              </c:pt>
              <c:pt idx="4">
                <c:v>KLP Bedriftsp</c:v>
              </c:pt>
              <c:pt idx="5">
                <c:v>Nordea Liv</c:v>
              </c:pt>
              <c:pt idx="6">
                <c:v>Silver</c:v>
              </c:pt>
              <c:pt idx="7">
                <c:v>SpareBank 1</c:v>
              </c:pt>
              <c:pt idx="8">
                <c:v>Storebrand </c:v>
              </c:pt>
            </c:strLit>
          </c:cat>
          <c:val>
            <c:numRef>
              <c:f>Figurer!$N$112:$N$120</c:f>
              <c:numCache>
                <c:formatCode>#,##0</c:formatCode>
                <c:ptCount val="9"/>
                <c:pt idx="0">
                  <c:v>6533.34</c:v>
                </c:pt>
                <c:pt idx="1">
                  <c:v>265666</c:v>
                </c:pt>
                <c:pt idx="2">
                  <c:v>28932</c:v>
                </c:pt>
                <c:pt idx="3">
                  <c:v>-27046.426999999996</c:v>
                </c:pt>
                <c:pt idx="4">
                  <c:v>-12133</c:v>
                </c:pt>
                <c:pt idx="5">
                  <c:v>-56828.131709999798</c:v>
                </c:pt>
                <c:pt idx="6">
                  <c:v>0</c:v>
                </c:pt>
                <c:pt idx="7">
                  <c:v>1724.0824799999973</c:v>
                </c:pt>
                <c:pt idx="8">
                  <c:v>-257188.065</c:v>
                </c:pt>
              </c:numCache>
            </c:numRef>
          </c:val>
          <c:extLst>
            <c:ext xmlns:c16="http://schemas.microsoft.com/office/drawing/2014/chart" uri="{C3380CC4-5D6E-409C-BE32-E72D297353CC}">
              <c16:uniqueId val="{00000001-2BF8-4278-857F-91A0E7196849}"/>
            </c:ext>
          </c:extLst>
        </c:ser>
        <c:dLbls>
          <c:showLegendKey val="0"/>
          <c:showVal val="0"/>
          <c:showCatName val="0"/>
          <c:showSerName val="0"/>
          <c:showPercent val="0"/>
          <c:showBubbleSize val="0"/>
        </c:dLbls>
        <c:gapWidth val="150"/>
        <c:axId val="243201536"/>
        <c:axId val="243203072"/>
      </c:barChart>
      <c:catAx>
        <c:axId val="243201536"/>
        <c:scaling>
          <c:orientation val="minMax"/>
        </c:scaling>
        <c:delete val="0"/>
        <c:axPos val="b"/>
        <c:numFmt formatCode="General" sourceLinked="1"/>
        <c:majorTickMark val="out"/>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nb-NO"/>
          </a:p>
        </c:txPr>
        <c:crossAx val="243203072"/>
        <c:crosses val="autoZero"/>
        <c:auto val="1"/>
        <c:lblAlgn val="ctr"/>
        <c:lblOffset val="100"/>
        <c:tickLblSkip val="1"/>
        <c:tickMarkSkip val="1"/>
        <c:noMultiLvlLbl val="0"/>
      </c:catAx>
      <c:valAx>
        <c:axId val="243203072"/>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1739130434782612E-2"/>
              <c:y val="0.35755283411244326"/>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201536"/>
        <c:crosses val="autoZero"/>
        <c:crossBetween val="between"/>
      </c:valAx>
    </c:plotArea>
    <c:legend>
      <c:legendPos val="b"/>
      <c:layout>
        <c:manualLayout>
          <c:xMode val="edge"/>
          <c:yMode val="edge"/>
          <c:x val="0.34737347369622462"/>
          <c:y val="0.94455128774817365"/>
          <c:w val="0.22871391076115474"/>
          <c:h val="4.5888981710243797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7253853430922791"/>
          <c:y val="8.5614035087719767E-2"/>
          <c:w val="0.75564702786135474"/>
          <c:h val="0.63649189114519311"/>
        </c:manualLayout>
      </c:layout>
      <c:barChart>
        <c:barDir val="col"/>
        <c:grouping val="clustered"/>
        <c:varyColors val="0"/>
        <c:ser>
          <c:idx val="0"/>
          <c:order val="0"/>
          <c:tx>
            <c:strRef>
              <c:f>Figurer!$M$137</c:f>
              <c:strCache>
                <c:ptCount val="1"/>
                <c:pt idx="0">
                  <c:v>2016</c:v>
                </c:pt>
              </c:strCache>
            </c:strRef>
          </c:tx>
          <c:invertIfNegative val="0"/>
          <c:cat>
            <c:strLit>
              <c:ptCount val="10"/>
              <c:pt idx="0">
                <c:v>Danica Pensjon</c:v>
              </c:pt>
              <c:pt idx="1">
                <c:v>DNB Liv</c:v>
              </c:pt>
              <c:pt idx="2">
                <c:v>Frende Livsfors</c:v>
              </c:pt>
              <c:pt idx="3">
                <c:v>Gjensidige Pensj</c:v>
              </c:pt>
              <c:pt idx="4">
                <c:v>KLP Bedriftsp</c:v>
              </c:pt>
              <c:pt idx="5">
                <c:v>Nordea Liv</c:v>
              </c:pt>
              <c:pt idx="6">
                <c:v>SHB Liv</c:v>
              </c:pt>
              <c:pt idx="7">
                <c:v>Silver</c:v>
              </c:pt>
              <c:pt idx="8">
                <c:v>SpareBank 1</c:v>
              </c:pt>
              <c:pt idx="9">
                <c:v>Storebrand</c:v>
              </c:pt>
            </c:strLit>
          </c:cat>
          <c:val>
            <c:numRef>
              <c:f>Figurer!$M$138:$M$147</c:f>
              <c:numCache>
                <c:formatCode>#,##0</c:formatCode>
                <c:ptCount val="10"/>
                <c:pt idx="0">
                  <c:v>37077.396000000008</c:v>
                </c:pt>
                <c:pt idx="1">
                  <c:v>208921</c:v>
                </c:pt>
                <c:pt idx="2">
                  <c:v>-5750.4639999999999</c:v>
                </c:pt>
                <c:pt idx="3">
                  <c:v>183221.28399999999</c:v>
                </c:pt>
                <c:pt idx="4">
                  <c:v>32282</c:v>
                </c:pt>
                <c:pt idx="5">
                  <c:v>-398530.23641999997</c:v>
                </c:pt>
                <c:pt idx="6">
                  <c:v>48162</c:v>
                </c:pt>
                <c:pt idx="7">
                  <c:v>-19388</c:v>
                </c:pt>
                <c:pt idx="8">
                  <c:v>654348.20671000006</c:v>
                </c:pt>
                <c:pt idx="9">
                  <c:v>-523421.85800000001</c:v>
                </c:pt>
              </c:numCache>
            </c:numRef>
          </c:val>
          <c:extLst>
            <c:ext xmlns:c16="http://schemas.microsoft.com/office/drawing/2014/chart" uri="{C3380CC4-5D6E-409C-BE32-E72D297353CC}">
              <c16:uniqueId val="{00000000-B400-4C26-965B-0553A4A37873}"/>
            </c:ext>
          </c:extLst>
        </c:ser>
        <c:ser>
          <c:idx val="1"/>
          <c:order val="1"/>
          <c:tx>
            <c:strRef>
              <c:f>Figurer!$N$137</c:f>
              <c:strCache>
                <c:ptCount val="1"/>
                <c:pt idx="0">
                  <c:v>2017</c:v>
                </c:pt>
              </c:strCache>
            </c:strRef>
          </c:tx>
          <c:invertIfNegative val="0"/>
          <c:cat>
            <c:strLit>
              <c:ptCount val="10"/>
              <c:pt idx="0">
                <c:v>Danica Pensjon</c:v>
              </c:pt>
              <c:pt idx="1">
                <c:v>DNB Liv</c:v>
              </c:pt>
              <c:pt idx="2">
                <c:v>Frende Livsfors</c:v>
              </c:pt>
              <c:pt idx="3">
                <c:v>Gjensidige Pensj</c:v>
              </c:pt>
              <c:pt idx="4">
                <c:v>KLP Bedriftsp</c:v>
              </c:pt>
              <c:pt idx="5">
                <c:v>Nordea Liv</c:v>
              </c:pt>
              <c:pt idx="6">
                <c:v>SHB Liv</c:v>
              </c:pt>
              <c:pt idx="7">
                <c:v>Silver</c:v>
              </c:pt>
              <c:pt idx="8">
                <c:v>SpareBank 1</c:v>
              </c:pt>
              <c:pt idx="9">
                <c:v>Storebrand</c:v>
              </c:pt>
            </c:strLit>
          </c:cat>
          <c:val>
            <c:numRef>
              <c:f>Figurer!$N$138:$N$147</c:f>
              <c:numCache>
                <c:formatCode>#,##0</c:formatCode>
                <c:ptCount val="10"/>
                <c:pt idx="0">
                  <c:v>161022.16700000002</c:v>
                </c:pt>
                <c:pt idx="1">
                  <c:v>1424944</c:v>
                </c:pt>
                <c:pt idx="2">
                  <c:v>-35332.91399999999</c:v>
                </c:pt>
                <c:pt idx="3">
                  <c:v>835231</c:v>
                </c:pt>
                <c:pt idx="4">
                  <c:v>264421</c:v>
                </c:pt>
                <c:pt idx="5">
                  <c:v>-874319.18146000011</c:v>
                </c:pt>
                <c:pt idx="6">
                  <c:v>42014</c:v>
                </c:pt>
                <c:pt idx="7">
                  <c:v>0</c:v>
                </c:pt>
                <c:pt idx="8">
                  <c:v>413293.57460000005</c:v>
                </c:pt>
                <c:pt idx="9">
                  <c:v>-2167031.818</c:v>
                </c:pt>
              </c:numCache>
            </c:numRef>
          </c:val>
          <c:extLst>
            <c:ext xmlns:c16="http://schemas.microsoft.com/office/drawing/2014/chart" uri="{C3380CC4-5D6E-409C-BE32-E72D297353CC}">
              <c16:uniqueId val="{00000001-B400-4C26-965B-0553A4A37873}"/>
            </c:ext>
          </c:extLst>
        </c:ser>
        <c:dLbls>
          <c:showLegendKey val="0"/>
          <c:showVal val="0"/>
          <c:showCatName val="0"/>
          <c:showSerName val="0"/>
          <c:showPercent val="0"/>
          <c:showBubbleSize val="0"/>
        </c:dLbls>
        <c:gapWidth val="150"/>
        <c:axId val="243686400"/>
        <c:axId val="243700480"/>
      </c:barChart>
      <c:catAx>
        <c:axId val="243686400"/>
        <c:scaling>
          <c:orientation val="minMax"/>
        </c:scaling>
        <c:delete val="0"/>
        <c:axPos val="b"/>
        <c:numFmt formatCode="General" sourceLinked="1"/>
        <c:majorTickMark val="out"/>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nb-NO"/>
          </a:p>
        </c:txPr>
        <c:crossAx val="243700480"/>
        <c:crosses val="autoZero"/>
        <c:auto val="1"/>
        <c:lblAlgn val="ctr"/>
        <c:lblOffset val="100"/>
        <c:tickLblSkip val="1"/>
        <c:tickMarkSkip val="1"/>
        <c:noMultiLvlLbl val="0"/>
      </c:catAx>
      <c:valAx>
        <c:axId val="243700480"/>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3.3875338753387642E-2"/>
              <c:y val="0.330526785811528"/>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686400"/>
        <c:crosses val="autoZero"/>
        <c:crossBetween val="between"/>
      </c:valAx>
    </c:plotArea>
    <c:legend>
      <c:legendPos val="b"/>
      <c:layout>
        <c:manualLayout>
          <c:xMode val="edge"/>
          <c:yMode val="edge"/>
          <c:x val="0.35049740733627832"/>
          <c:y val="0.93473780507726956"/>
          <c:w val="0.23080411696505387"/>
          <c:h val="4.8421167271103877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476250</xdr:colOff>
      <xdr:row>54</xdr:row>
      <xdr:rowOff>28575</xdr:rowOff>
    </xdr:to>
    <xdr:pic>
      <xdr:nvPicPr>
        <xdr:cNvPr id="2" name="Picture 1" descr="Statistikk_forside.pd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6572250" cy="11258550"/>
        </a:xfrm>
        <a:prstGeom prst="rect">
          <a:avLst/>
        </a:prstGeom>
        <a:noFill/>
        <a:ln w="9525">
          <a:noFill/>
          <a:miter lim="800000"/>
          <a:headEnd/>
          <a:tailEnd/>
        </a:ln>
      </xdr:spPr>
    </xdr:pic>
    <xdr:clientData/>
  </xdr:twoCellAnchor>
  <xdr:twoCellAnchor>
    <xdr:from>
      <xdr:col>0</xdr:col>
      <xdr:colOff>695325</xdr:colOff>
      <xdr:row>41</xdr:row>
      <xdr:rowOff>34925</xdr:rowOff>
    </xdr:from>
    <xdr:to>
      <xdr:col>5</xdr:col>
      <xdr:colOff>371492</xdr:colOff>
      <xdr:row>43</xdr:row>
      <xdr:rowOff>152400</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083675"/>
          <a:ext cx="3486167" cy="517525"/>
        </a:xfrm>
        <a:prstGeom prst="rect">
          <a:avLst/>
        </a:prstGeom>
        <a:noFill/>
        <a:ln>
          <a:noFill/>
        </a:ln>
        <a:effectLst/>
        <a:extLst>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2017 </a:t>
          </a:r>
          <a:r>
            <a:rPr lang="nb-NO" sz="1100" b="0">
              <a:effectLst/>
              <a:latin typeface="Arial"/>
              <a:ea typeface="ＭＳ 明朝"/>
              <a:cs typeface="Times New Roman"/>
            </a:rPr>
            <a:t>(12.09.2017)</a:t>
          </a:r>
          <a:r>
            <a:rPr lang="nb-NO" sz="1600" b="1">
              <a:effectLst/>
              <a:latin typeface="Arial"/>
              <a:ea typeface="ＭＳ 明朝"/>
              <a:cs typeface="Times New Roman"/>
            </a:rPr>
            <a:t> </a:t>
          </a:r>
        </a:p>
        <a:p>
          <a:pPr>
            <a:spcAft>
              <a:spcPts val="0"/>
            </a:spcAft>
          </a:pPr>
          <a:endParaRPr lang="nb-NO" sz="1600" b="1">
            <a:effectLst/>
            <a:latin typeface="Arial"/>
            <a:ea typeface="ＭＳ 明朝"/>
            <a:cs typeface="Times New Roman"/>
          </a:endParaRPr>
        </a:p>
        <a:p>
          <a:pPr>
            <a:spcAft>
              <a:spcPts val="0"/>
            </a:spcAft>
          </a:pPr>
          <a:r>
            <a:rPr lang="nb-NO" sz="1000" b="0">
              <a:effectLst/>
              <a:latin typeface="Arial"/>
              <a:ea typeface="ＭＳ 明朝"/>
              <a:cs typeface="Times New Roman"/>
            </a:rPr>
            <a:t>Sist endret 17.11.2017</a:t>
          </a:r>
          <a:endParaRPr lang="nb-NO" sz="1000" b="0">
            <a:effectLst/>
            <a:ea typeface="ＭＳ 明朝"/>
            <a:cs typeface="Times New Roman"/>
          </a:endParaRPr>
        </a:p>
      </xdr:txBody>
    </xdr:sp>
    <xdr:clientData/>
  </xdr:twoCellAnchor>
  <xdr:twoCellAnchor>
    <xdr:from>
      <xdr:col>0</xdr:col>
      <xdr:colOff>666750</xdr:colOff>
      <xdr:row>32</xdr:row>
      <xdr:rowOff>387350</xdr:rowOff>
    </xdr:from>
    <xdr:to>
      <xdr:col>8</xdr:col>
      <xdr:colOff>196850</xdr:colOff>
      <xdr:row>38</xdr:row>
      <xdr:rowOff>22225</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292975"/>
          <a:ext cx="5626100" cy="1149350"/>
        </a:xfrm>
        <a:prstGeom prst="rect">
          <a:avLst/>
        </a:prstGeom>
        <a:noFill/>
        <a:ln>
          <a:noFill/>
        </a:ln>
        <a:effectLst/>
        <a:extLst>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3100"/>
            </a:lnSpc>
            <a:spcAft>
              <a:spcPts val="0"/>
            </a:spcAft>
          </a:pPr>
          <a:r>
            <a:rPr lang="nb-NO" sz="2800" b="1">
              <a:solidFill>
                <a:srgbClr val="54758C"/>
              </a:solidFill>
              <a:effectLst/>
              <a:latin typeface="Arial"/>
              <a:ea typeface="ＭＳ 明朝"/>
              <a:cs typeface="Times New Roman"/>
            </a:rPr>
            <a:t>MARKEDSANDELER</a:t>
          </a:r>
          <a:endParaRPr lang="nb-NO" sz="1200">
            <a:effectLst/>
            <a:ea typeface="ＭＳ 明朝"/>
            <a:cs typeface="Times New Roman"/>
          </a:endParaRPr>
        </a:p>
        <a:p>
          <a:pPr>
            <a:lnSpc>
              <a:spcPts val="3200"/>
            </a:lnSpc>
            <a:spcAft>
              <a:spcPts val="0"/>
            </a:spcAft>
          </a:pPr>
          <a:r>
            <a:rPr lang="en-GB" sz="2600">
              <a:solidFill>
                <a:srgbClr val="54758C"/>
              </a:solidFill>
              <a:effectLst/>
              <a:latin typeface="Arial"/>
              <a:ea typeface="ＭＳ 明朝"/>
              <a:cs typeface="MinionPro-Regular"/>
            </a:rPr>
            <a:t>– endelige tall og regnskapsstatistikk</a:t>
          </a:r>
          <a:endParaRPr lang="nb-NO" sz="1200">
            <a:solidFill>
              <a:srgbClr val="000000"/>
            </a:solidFill>
            <a:effectLst/>
            <a:latin typeface="MinionPro-Regular"/>
            <a:ea typeface="ＭＳ 明朝"/>
            <a:cs typeface="MinionPro-Regular"/>
          </a:endParaRPr>
        </a:p>
        <a:p>
          <a:pPr>
            <a:lnSpc>
              <a:spcPts val="1300"/>
            </a:lnSpc>
            <a:spcAft>
              <a:spcPts val="0"/>
            </a:spcAft>
          </a:pPr>
          <a:r>
            <a:rPr lang="nb-NO" sz="1200">
              <a:effectLst/>
              <a:ea typeface="ＭＳ 明朝"/>
              <a:cs typeface="Times New Roman"/>
            </a:rPr>
            <a:t> </a:t>
          </a:r>
        </a:p>
      </xdr:txBody>
    </xdr:sp>
    <xdr:clientData/>
  </xdr:twoCellAnchor>
  <xdr:twoCellAnchor>
    <xdr:from>
      <xdr:col>0</xdr:col>
      <xdr:colOff>447675</xdr:colOff>
      <xdr:row>5</xdr:row>
      <xdr:rowOff>12700</xdr:rowOff>
    </xdr:from>
    <xdr:to>
      <xdr:col>2</xdr:col>
      <xdr:colOff>530482</xdr:colOff>
      <xdr:row>7</xdr:row>
      <xdr:rowOff>66616</xdr:rowOff>
    </xdr:to>
    <xdr:sp macro="" textlink="">
      <xdr:nvSpPr>
        <xdr:cNvPr id="5" name="Text Box 3">
          <a:extLst>
            <a:ext uri="{FF2B5EF4-FFF2-40B4-BE49-F238E27FC236}">
              <a16:creationId xmlns:a16="http://schemas.microsoft.com/office/drawing/2014/main" id="{00000000-0008-0000-0000-000005000000}"/>
            </a:ext>
          </a:extLst>
        </xdr:cNvPr>
        <xdr:cNvSpPr txBox="1"/>
      </xdr:nvSpPr>
      <xdr:spPr>
        <a:xfrm>
          <a:off x="447675" y="822325"/>
          <a:ext cx="1606807" cy="511116"/>
        </a:xfrm>
        <a:prstGeom prst="rect">
          <a:avLst/>
        </a:prstGeom>
        <a:noFill/>
        <a:ln>
          <a:noFill/>
        </a:ln>
        <a:effectLst/>
        <a:extLst>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500"/>
            </a:lnSpc>
            <a:spcAft>
              <a:spcPts val="0"/>
            </a:spcAft>
          </a:pPr>
          <a:r>
            <a:rPr lang="nb-NO" sz="1400" cap="all">
              <a:ln w="0" cap="flat" cmpd="sng" algn="ctr">
                <a:noFill/>
                <a:prstDash val="solid"/>
                <a:round/>
              </a:ln>
              <a:solidFill>
                <a:schemeClr val="bg1"/>
              </a:solidFill>
              <a:effectLst/>
              <a:latin typeface="Arial"/>
              <a:ea typeface="ＭＳ 明朝"/>
              <a:cs typeface="Arial"/>
            </a:rPr>
            <a:t>LIVSTATISTIKK</a:t>
          </a:r>
          <a:endParaRPr lang="nb-NO" sz="1400">
            <a:ln w="0" cap="flat" cmpd="sng" algn="ctr">
              <a:noFill/>
              <a:prstDash val="solid"/>
              <a:round/>
            </a:ln>
            <a:solidFill>
              <a:schemeClr val="bg1"/>
            </a:solidFill>
            <a:effectLst/>
            <a:latin typeface="Arial"/>
            <a:ea typeface="ＭＳ 明朝"/>
            <a:cs typeface="Arial"/>
          </a:endParaRPr>
        </a:p>
        <a:p>
          <a:pPr>
            <a:lnSpc>
              <a:spcPts val="1100"/>
            </a:lnSpc>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6</xdr:row>
      <xdr:rowOff>0</xdr:rowOff>
    </xdr:from>
    <xdr:to>
      <xdr:col>9</xdr:col>
      <xdr:colOff>352425</xdr:colOff>
      <xdr:row>26</xdr:row>
      <xdr:rowOff>9525</xdr:rowOff>
    </xdr:to>
    <xdr:graphicFrame macro="">
      <xdr:nvGraphicFramePr>
        <xdr:cNvPr id="2" name="Chart 1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30</xdr:row>
      <xdr:rowOff>219075</xdr:rowOff>
    </xdr:from>
    <xdr:to>
      <xdr:col>9</xdr:col>
      <xdr:colOff>285750</xdr:colOff>
      <xdr:row>50</xdr:row>
      <xdr:rowOff>123825</xdr:rowOff>
    </xdr:to>
    <xdr:graphicFrame macro="">
      <xdr:nvGraphicFramePr>
        <xdr:cNvPr id="3" name="Chart 1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56</xdr:row>
      <xdr:rowOff>228600</xdr:rowOff>
    </xdr:from>
    <xdr:to>
      <xdr:col>9</xdr:col>
      <xdr:colOff>142875</xdr:colOff>
      <xdr:row>74</xdr:row>
      <xdr:rowOff>180975</xdr:rowOff>
    </xdr:to>
    <xdr:graphicFrame macro="">
      <xdr:nvGraphicFramePr>
        <xdr:cNvPr id="6" name="Chart 1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82</xdr:row>
      <xdr:rowOff>57150</xdr:rowOff>
    </xdr:from>
    <xdr:to>
      <xdr:col>9</xdr:col>
      <xdr:colOff>123825</xdr:colOff>
      <xdr:row>102</xdr:row>
      <xdr:rowOff>114300</xdr:rowOff>
    </xdr:to>
    <xdr:graphicFrame macro="">
      <xdr:nvGraphicFramePr>
        <xdr:cNvPr id="7" name="Chart 1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28575</xdr:colOff>
      <xdr:row>109</xdr:row>
      <xdr:rowOff>28575</xdr:rowOff>
    </xdr:from>
    <xdr:to>
      <xdr:col>9</xdr:col>
      <xdr:colOff>180975</xdr:colOff>
      <xdr:row>126</xdr:row>
      <xdr:rowOff>200025</xdr:rowOff>
    </xdr:to>
    <xdr:graphicFrame macro="">
      <xdr:nvGraphicFramePr>
        <xdr:cNvPr id="8" name="Chart 1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134</xdr:row>
      <xdr:rowOff>57150</xdr:rowOff>
    </xdr:from>
    <xdr:to>
      <xdr:col>9</xdr:col>
      <xdr:colOff>171450</xdr:colOff>
      <xdr:row>153</xdr:row>
      <xdr:rowOff>123825</xdr:rowOff>
    </xdr:to>
    <xdr:graphicFrame macro="">
      <xdr:nvGraphicFramePr>
        <xdr:cNvPr id="9" name="Chart 1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10583</xdr:colOff>
      <xdr:row>4</xdr:row>
      <xdr:rowOff>127000</xdr:rowOff>
    </xdr:from>
    <xdr:to>
      <xdr:col>0</xdr:col>
      <xdr:colOff>4064000</xdr:colOff>
      <xdr:row>40</xdr:row>
      <xdr:rowOff>74083</xdr:rowOff>
    </xdr:to>
    <xdr:sp macro="" textlink="">
      <xdr:nvSpPr>
        <xdr:cNvPr id="4" name="Text Box 1026">
          <a:extLst>
            <a:ext uri="{FF2B5EF4-FFF2-40B4-BE49-F238E27FC236}">
              <a16:creationId xmlns:a16="http://schemas.microsoft.com/office/drawing/2014/main" id="{00000000-0008-0000-2100-000004000000}"/>
            </a:ext>
          </a:extLst>
        </xdr:cNvPr>
        <xdr:cNvSpPr txBox="1">
          <a:spLocks noChangeArrowheads="1"/>
        </xdr:cNvSpPr>
      </xdr:nvSpPr>
      <xdr:spPr bwMode="auto">
        <a:xfrm>
          <a:off x="10583" y="762000"/>
          <a:ext cx="4053417" cy="10974916"/>
        </a:xfrm>
        <a:prstGeom prst="rect">
          <a:avLst/>
        </a:prstGeom>
        <a:solidFill>
          <a:srgbClr val="FFFFFF"/>
        </a:solidFill>
        <a:ln w="9525">
          <a:noFill/>
          <a:miter lim="800000"/>
          <a:headEnd/>
          <a:tailEnd/>
        </a:ln>
      </xdr:spPr>
      <xdr:txBody>
        <a:bodyPr vertOverflow="clip" wrap="square" lIns="36576" tIns="32004" rIns="0" bIns="0" anchor="t" upright="1"/>
        <a:lstStyle/>
        <a:p>
          <a:pPr algn="l" rtl="0">
            <a:lnSpc>
              <a:spcPts val="1600"/>
            </a:lnSpc>
            <a:defRPr sz="1000"/>
          </a:pPr>
          <a:r>
            <a:rPr lang="nb-NO" sz="1200" b="1" i="0" strike="noStrike">
              <a:solidFill>
                <a:srgbClr val="000000"/>
              </a:solidFill>
              <a:latin typeface="Times New Roman"/>
              <a:cs typeface="Times New Roman"/>
            </a:rPr>
            <a:t>Selskaper som inngår i statistikken</a:t>
          </a:r>
        </a:p>
        <a:p>
          <a:pPr algn="l" rtl="0">
            <a:lnSpc>
              <a:spcPts val="1600"/>
            </a:lnSpc>
            <a:defRPr sz="1000"/>
          </a:pPr>
          <a:r>
            <a:rPr lang="nb-NO" sz="1200" b="0" i="0" strike="noStrike">
              <a:solidFill>
                <a:srgbClr val="000000"/>
              </a:solidFill>
              <a:latin typeface="Times New Roman"/>
              <a:cs typeface="Times New Roman"/>
            </a:rPr>
            <a:t>Statistikken viser tall for medlemsselskaper i Finans Norge som </a:t>
          </a:r>
          <a:br>
            <a:rPr lang="nb-NO" sz="1200" b="0" i="0" strike="noStrike">
              <a:solidFill>
                <a:srgbClr val="000000"/>
              </a:solidFill>
              <a:latin typeface="Times New Roman"/>
              <a:cs typeface="Times New Roman"/>
            </a:rPr>
          </a:br>
          <a:r>
            <a:rPr lang="nb-NO" sz="1200" b="0" i="0" strike="noStrike">
              <a:solidFill>
                <a:srgbClr val="000000"/>
              </a:solidFill>
              <a:latin typeface="Times New Roman"/>
              <a:cs typeface="Times New Roman"/>
            </a:rPr>
            <a:t>selger livprodukter.</a:t>
          </a:r>
        </a:p>
        <a:p>
          <a:pPr algn="l" rtl="0">
            <a:lnSpc>
              <a:spcPts val="1600"/>
            </a:lnSpc>
            <a:defRPr sz="1000"/>
          </a:pPr>
          <a:endParaRPr lang="nb-NO" sz="1200" b="1" i="0" strike="noStrike">
            <a:solidFill>
              <a:srgbClr val="000000"/>
            </a:solidFill>
            <a:latin typeface="Times New Roman"/>
            <a:cs typeface="Times New Roman"/>
          </a:endParaRPr>
        </a:p>
        <a:p>
          <a:pPr algn="l" rtl="0">
            <a:lnSpc>
              <a:spcPts val="1600"/>
            </a:lnSpc>
            <a:defRPr sz="1000"/>
          </a:pPr>
          <a:r>
            <a:rPr lang="nb-NO" sz="1200" b="0" i="0" u="sng" strike="noStrike">
              <a:solidFill>
                <a:srgbClr val="000000"/>
              </a:solidFill>
              <a:latin typeface="Times New Roman"/>
              <a:cs typeface="Times New Roman"/>
            </a:rPr>
            <a:t>Produkter uten investeringsvalg</a:t>
          </a:r>
          <a:r>
            <a:rPr lang="nb-NO" sz="1200" b="0" i="0" strike="noStrike">
              <a:solidFill>
                <a:srgbClr val="000000"/>
              </a:solidFill>
              <a:latin typeface="Times New Roman"/>
              <a:cs typeface="Times New Roman"/>
            </a:rPr>
            <a:t>:</a:t>
          </a:r>
        </a:p>
        <a:p>
          <a:pPr marL="0" marR="0" indent="0" algn="l" defTabSz="914400" rtl="0" eaLnBrk="1" fontAlgn="auto" latinLnBrk="0" hangingPunct="1">
            <a:lnSpc>
              <a:spcPts val="1600"/>
            </a:lnSpc>
            <a:spcBef>
              <a:spcPts val="0"/>
            </a:spcBef>
            <a:spcAft>
              <a:spcPts val="0"/>
            </a:spcAft>
            <a:buClrTx/>
            <a:buSzTx/>
            <a:buFontTx/>
            <a:buNone/>
            <a:tabLst/>
            <a:defRPr sz="1000"/>
          </a:pPr>
          <a:r>
            <a:rPr lang="nb-NO" sz="1200" b="0" i="0" strike="noStrike">
              <a:solidFill>
                <a:srgbClr val="000000"/>
              </a:solidFill>
              <a:latin typeface="Times New Roman"/>
              <a:cs typeface="Times New Roman"/>
            </a:rPr>
            <a:t>ACE European Group </a:t>
          </a: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(utenlandsk skadeselskap, filial)</a:t>
          </a:r>
          <a:r>
            <a:rPr lang="nb-NO" sz="1200" b="0" i="0" strike="noStrike">
              <a:solidFill>
                <a:srgbClr val="000000"/>
              </a:solidFill>
              <a:latin typeface="Times New Roman"/>
              <a:cs typeface="Times New Roman"/>
            </a:rPr>
            <a:t> </a:t>
          </a:r>
        </a:p>
        <a:p>
          <a:pPr algn="l" rtl="0">
            <a:lnSpc>
              <a:spcPts val="1600"/>
            </a:lnSpc>
            <a:defRPr sz="1000"/>
          </a:pPr>
          <a:r>
            <a:rPr lang="nb-NO" sz="1200" b="0" i="0" strike="noStrike">
              <a:solidFill>
                <a:srgbClr val="000000"/>
              </a:solidFill>
              <a:latin typeface="Times New Roman"/>
              <a:cs typeface="Times New Roman"/>
            </a:rPr>
            <a:t>Danica Pensjonsforsikring</a:t>
          </a:r>
        </a:p>
        <a:p>
          <a:pPr algn="l" rtl="0">
            <a:lnSpc>
              <a:spcPts val="1600"/>
            </a:lnSpc>
            <a:defRPr sz="1000"/>
          </a:pPr>
          <a:r>
            <a:rPr lang="nb-NO" sz="1200" b="0" i="0" strike="noStrike">
              <a:solidFill>
                <a:srgbClr val="000000"/>
              </a:solidFill>
              <a:latin typeface="Times New Roman"/>
              <a:cs typeface="Times New Roman"/>
            </a:rPr>
            <a:t>DNB Livsforsikring ASA</a:t>
          </a:r>
        </a:p>
        <a:p>
          <a:pPr algn="l" rtl="0">
            <a:lnSpc>
              <a:spcPts val="1600"/>
            </a:lnSpc>
            <a:defRPr sz="1000"/>
          </a:pPr>
          <a:r>
            <a:rPr lang="nb-NO" sz="1200" b="0" i="0" strike="noStrike">
              <a:solidFill>
                <a:srgbClr val="000000"/>
              </a:solidFill>
              <a:latin typeface="Times New Roman"/>
              <a:cs typeface="Times New Roman"/>
            </a:rPr>
            <a:t>Eika Forsikring AS (skadeselskap</a:t>
          </a:r>
          <a:r>
            <a:rPr lang="nb-NO" sz="1200" b="0" i="0" strike="noStrike" baseline="0">
              <a:solidFill>
                <a:srgbClr val="000000"/>
              </a:solidFill>
              <a:latin typeface="Times New Roman"/>
              <a:cs typeface="Times New Roman"/>
            </a:rPr>
            <a:t>)</a:t>
          </a: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Frende Livsforsikring</a:t>
          </a:r>
        </a:p>
        <a:p>
          <a:pPr algn="l" rtl="0">
            <a:lnSpc>
              <a:spcPts val="1600"/>
            </a:lnSpc>
            <a:defRPr sz="1000"/>
          </a:pPr>
          <a:r>
            <a:rPr lang="nb-NO" sz="1200" b="0" i="0" strike="noStrike">
              <a:solidFill>
                <a:srgbClr val="000000"/>
              </a:solidFill>
              <a:latin typeface="Times New Roman"/>
              <a:cs typeface="Times New Roman"/>
            </a:rPr>
            <a:t>Frende Skadeforsikring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Gjensidige Forsikring (skadeselskap)</a:t>
          </a:r>
        </a:p>
        <a:p>
          <a:pPr algn="l" rtl="0">
            <a:lnSpc>
              <a:spcPts val="1600"/>
            </a:lnSpc>
            <a:defRPr sz="1000"/>
          </a:pPr>
          <a:r>
            <a:rPr lang="nb-NO" sz="1200" b="0" i="0" strike="noStrike">
              <a:solidFill>
                <a:srgbClr val="000000"/>
              </a:solidFill>
              <a:latin typeface="Times New Roman"/>
              <a:cs typeface="Times New Roman"/>
            </a:rPr>
            <a:t>Gjensidige Pensjonsforsikring</a:t>
          </a:r>
        </a:p>
        <a:p>
          <a:pPr algn="l" rtl="0">
            <a:lnSpc>
              <a:spcPts val="1600"/>
            </a:lnSpc>
            <a:defRPr sz="1000"/>
          </a:pPr>
          <a:r>
            <a:rPr lang="nb-NO" sz="1200" b="0" i="0" strike="noStrike">
              <a:solidFill>
                <a:srgbClr val="000000"/>
              </a:solidFill>
              <a:latin typeface="Times New Roman"/>
              <a:cs typeface="Times New Roman"/>
            </a:rPr>
            <a:t>Handelsbanken Liv (utenlandsk,</a:t>
          </a:r>
          <a:r>
            <a:rPr lang="nb-NO" sz="1200" b="0" i="0" strike="noStrike" baseline="0">
              <a:solidFill>
                <a:srgbClr val="000000"/>
              </a:solidFill>
              <a:latin typeface="Times New Roman"/>
              <a:cs typeface="Times New Roman"/>
            </a:rPr>
            <a:t> </a:t>
          </a:r>
          <a:r>
            <a:rPr lang="nb-NO" sz="1200" b="0" i="0" strike="noStrike">
              <a:solidFill>
                <a:srgbClr val="000000"/>
              </a:solidFill>
              <a:latin typeface="Times New Roman"/>
              <a:cs typeface="Times New Roman"/>
            </a:rPr>
            <a:t>filial)</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If Skadeforsikring NUF (skadeselskap)</a:t>
          </a:r>
        </a:p>
        <a:p>
          <a:pPr algn="l" rtl="0">
            <a:lnSpc>
              <a:spcPts val="1600"/>
            </a:lnSpc>
            <a:defRPr sz="1000"/>
          </a:pPr>
          <a:r>
            <a:rPr lang="nb-NO" sz="1200" b="0" i="0" strike="noStrike">
              <a:solidFill>
                <a:srgbClr val="000000"/>
              </a:solidFill>
              <a:latin typeface="Times New Roman"/>
              <a:cs typeface="Times New Roman"/>
            </a:rPr>
            <a:t>KLP</a:t>
          </a:r>
        </a:p>
        <a:p>
          <a:pPr algn="l" rtl="0">
            <a:lnSpc>
              <a:spcPts val="1600"/>
            </a:lnSpc>
            <a:defRPr sz="1000"/>
          </a:pPr>
          <a:r>
            <a:rPr lang="nb-NO" sz="1200" b="0" i="0" strike="noStrike">
              <a:solidFill>
                <a:srgbClr val="000000"/>
              </a:solidFill>
              <a:latin typeface="Times New Roman"/>
              <a:cs typeface="Times New Roman"/>
            </a:rPr>
            <a:t>KLP</a:t>
          </a:r>
          <a:r>
            <a:rPr lang="nb-NO" sz="1200" b="0" i="0" strike="noStrike" baseline="0">
              <a:solidFill>
                <a:srgbClr val="000000"/>
              </a:solidFill>
              <a:latin typeface="Times New Roman"/>
              <a:cs typeface="Times New Roman"/>
            </a:rPr>
            <a:t> Bedriftspensjon AS</a:t>
          </a:r>
        </a:p>
        <a:p>
          <a:pPr algn="l" rtl="0">
            <a:lnSpc>
              <a:spcPts val="1600"/>
            </a:lnSpc>
            <a:defRPr sz="1000"/>
          </a:pPr>
          <a:r>
            <a:rPr lang="nb-NO" sz="1200" b="0" i="0" strike="noStrike" baseline="0">
              <a:solidFill>
                <a:srgbClr val="000000"/>
              </a:solidFill>
              <a:latin typeface="Times New Roman"/>
              <a:cs typeface="Times New Roman"/>
            </a:rPr>
            <a:t>KLP Skadeforsikring AS</a:t>
          </a:r>
        </a:p>
        <a:p>
          <a:pPr algn="l" rtl="0">
            <a:lnSpc>
              <a:spcPts val="1600"/>
            </a:lnSpc>
            <a:defRPr sz="1000"/>
          </a:pPr>
          <a:r>
            <a:rPr lang="nb-NO" sz="1200" b="0" i="0" strike="noStrike" baseline="0">
              <a:solidFill>
                <a:srgbClr val="000000"/>
              </a:solidFill>
              <a:latin typeface="Times New Roman"/>
              <a:cs typeface="Times New Roman"/>
            </a:rPr>
            <a:t>Landbruksforsikring (skadeselskap)</a:t>
          </a: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Livsforsikringsselskapet Nordea Liv Norge</a:t>
          </a:r>
        </a:p>
        <a:p>
          <a:pPr algn="l" rtl="0">
            <a:lnSpc>
              <a:spcPts val="1600"/>
            </a:lnSpc>
            <a:defRPr sz="1000"/>
          </a:pPr>
          <a:r>
            <a:rPr lang="nb-NO" sz="1200" b="0" i="0" strike="noStrike">
              <a:solidFill>
                <a:srgbClr val="000000"/>
              </a:solidFill>
              <a:latin typeface="Times New Roman"/>
              <a:cs typeface="Times New Roman"/>
            </a:rPr>
            <a:t>NEMI</a:t>
          </a:r>
          <a:r>
            <a:rPr lang="nb-NO" sz="1200" b="0" i="0" strike="noStrike" baseline="0">
              <a:solidFill>
                <a:srgbClr val="000000"/>
              </a:solidFill>
              <a:latin typeface="Times New Roman"/>
              <a:cs typeface="Times New Roman"/>
            </a:rPr>
            <a:t> Forsikring (skadeselskap)</a:t>
          </a:r>
          <a:endParaRPr lang="nb-NO" sz="1200" b="0" i="0" strike="noStrike">
            <a:solidFill>
              <a:srgbClr val="000000"/>
            </a:solidFill>
            <a:latin typeface="Times New Roman"/>
            <a:cs typeface="Times New Roman"/>
          </a:endParaRPr>
        </a:p>
        <a:p>
          <a:pPr algn="l" rtl="0">
            <a:lnSpc>
              <a:spcPts val="1700"/>
            </a:lnSpc>
            <a:defRPr sz="1000"/>
          </a:pPr>
          <a:r>
            <a:rPr lang="nb-NO" sz="1200" b="0" i="0" strike="noStrike">
              <a:solidFill>
                <a:srgbClr val="000000"/>
              </a:solidFill>
              <a:latin typeface="Times New Roman"/>
              <a:cs typeface="Times New Roman"/>
            </a:rPr>
            <a:t>Oslo Pensjonsforsikring</a:t>
          </a:r>
        </a:p>
        <a:p>
          <a:pPr algn="l" rtl="0">
            <a:lnSpc>
              <a:spcPts val="1600"/>
            </a:lnSpc>
            <a:defRPr sz="1000"/>
          </a:pPr>
          <a:r>
            <a:rPr lang="nb-NO" sz="1200" b="0" i="0" strike="noStrike">
              <a:solidFill>
                <a:srgbClr val="000000"/>
              </a:solidFill>
              <a:latin typeface="Times New Roman"/>
              <a:cs typeface="Times New Roman"/>
            </a:rPr>
            <a:t>Silver Pensjonsforsikring AS</a:t>
          </a:r>
        </a:p>
        <a:p>
          <a:pPr algn="l" rtl="0">
            <a:lnSpc>
              <a:spcPts val="1700"/>
            </a:lnSpc>
            <a:defRPr sz="1000"/>
          </a:pPr>
          <a:r>
            <a:rPr lang="nb-NO" sz="1200" b="0" i="0" strike="noStrike">
              <a:solidFill>
                <a:srgbClr val="000000"/>
              </a:solidFill>
              <a:latin typeface="Times New Roman"/>
              <a:cs typeface="Times New Roman"/>
            </a:rPr>
            <a:t>SpareBank 1</a:t>
          </a:r>
        </a:p>
        <a:p>
          <a:pPr algn="l" rtl="0">
            <a:lnSpc>
              <a:spcPts val="1600"/>
            </a:lnSpc>
            <a:defRPr sz="1000"/>
          </a:pPr>
          <a:r>
            <a:rPr lang="nb-NO" sz="1200" b="0" i="0" strike="noStrike">
              <a:solidFill>
                <a:srgbClr val="000000"/>
              </a:solidFill>
              <a:latin typeface="Times New Roman"/>
              <a:cs typeface="Times New Roman"/>
            </a:rPr>
            <a:t>Storebrand Livsforsikring</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Telenor 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Tryg Forsikring (skadeselskap)</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700"/>
            </a:lnSpc>
            <a:defRPr sz="1000"/>
          </a:pPr>
          <a:r>
            <a:rPr lang="nb-NO" sz="1200" b="0" i="0" u="sng" strike="noStrike">
              <a:solidFill>
                <a:srgbClr val="000000"/>
              </a:solidFill>
              <a:latin typeface="Times New Roman"/>
              <a:cs typeface="Times New Roman"/>
            </a:rPr>
            <a:t>Produkter med investeringsvalg</a:t>
          </a:r>
          <a:r>
            <a:rPr lang="nb-NO" sz="1200" b="0" i="0" strike="noStrike">
              <a:solidFill>
                <a:srgbClr val="000000"/>
              </a:solidFill>
              <a:latin typeface="Times New Roman"/>
              <a:cs typeface="Times New Roman"/>
            </a:rPr>
            <a:t>:</a:t>
          </a:r>
        </a:p>
        <a:p>
          <a:pPr algn="l" rtl="0">
            <a:lnSpc>
              <a:spcPts val="1700"/>
            </a:lnSpc>
            <a:defRPr sz="1000"/>
          </a:pPr>
          <a:r>
            <a:rPr lang="nb-NO" sz="1200" b="0" i="0" strike="noStrike">
              <a:solidFill>
                <a:srgbClr val="000000"/>
              </a:solidFill>
              <a:latin typeface="Times New Roman"/>
              <a:cs typeface="Times New Roman"/>
            </a:rPr>
            <a:t>Danica Pensjonsforsikring</a:t>
          </a:r>
        </a:p>
        <a:p>
          <a:pPr algn="l" rtl="0">
            <a:lnSpc>
              <a:spcPts val="1600"/>
            </a:lnSpc>
            <a:defRPr sz="1000"/>
          </a:pPr>
          <a:r>
            <a:rPr lang="nb-NO" sz="1200" b="0" i="0" strike="noStrike">
              <a:solidFill>
                <a:srgbClr val="000000"/>
              </a:solidFill>
              <a:latin typeface="Times New Roman"/>
              <a:cs typeface="Times New Roman"/>
            </a:rPr>
            <a:t>DNB Livsforsikring ASA</a:t>
          </a:r>
        </a:p>
        <a:p>
          <a:pPr algn="l" rtl="0">
            <a:lnSpc>
              <a:spcPts val="1700"/>
            </a:lnSpc>
            <a:defRPr sz="1000"/>
          </a:pPr>
          <a:r>
            <a:rPr lang="nb-NO" sz="1200" b="0" i="0" strike="noStrike">
              <a:solidFill>
                <a:srgbClr val="000000"/>
              </a:solidFill>
              <a:latin typeface="Times New Roman"/>
              <a:cs typeface="Times New Roman"/>
            </a:rPr>
            <a:t>Frende</a:t>
          </a:r>
          <a:r>
            <a:rPr lang="nb-NO" sz="1200" b="0" i="0" strike="noStrike" baseline="0">
              <a:solidFill>
                <a:srgbClr val="000000"/>
              </a:solidFill>
              <a:latin typeface="Times New Roman"/>
              <a:cs typeface="Times New Roman"/>
            </a:rPr>
            <a:t> Livsforsikring</a:t>
          </a: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Gjensidige Pensjonsforsikring</a:t>
          </a:r>
        </a:p>
        <a:p>
          <a:pPr algn="l" rtl="0">
            <a:lnSpc>
              <a:spcPts val="1700"/>
            </a:lnSpc>
            <a:defRPr sz="1000"/>
          </a:pPr>
          <a:r>
            <a:rPr lang="nb-NO" sz="1200" b="0" i="0" strike="noStrike">
              <a:solidFill>
                <a:srgbClr val="000000"/>
              </a:solidFill>
              <a:latin typeface="Times New Roman"/>
              <a:cs typeface="Times New Roman"/>
            </a:rPr>
            <a:t>KLP</a:t>
          </a:r>
        </a:p>
        <a:p>
          <a:pPr algn="l" rtl="0">
            <a:lnSpc>
              <a:spcPts val="1600"/>
            </a:lnSpc>
            <a:defRPr sz="1000"/>
          </a:pPr>
          <a:r>
            <a:rPr lang="nb-NO" sz="1200" b="0" i="0" strike="noStrike">
              <a:solidFill>
                <a:srgbClr val="000000"/>
              </a:solidFill>
              <a:latin typeface="Times New Roman"/>
              <a:cs typeface="Times New Roman"/>
            </a:rPr>
            <a:t>KLP Bedriftspensjon AS</a:t>
          </a:r>
        </a:p>
        <a:p>
          <a:pPr algn="l" rtl="0">
            <a:lnSpc>
              <a:spcPts val="1700"/>
            </a:lnSpc>
            <a:defRPr sz="1000"/>
          </a:pPr>
          <a:r>
            <a:rPr lang="nb-NO" sz="1200" b="0" i="0" strike="noStrike">
              <a:solidFill>
                <a:srgbClr val="000000"/>
              </a:solidFill>
              <a:latin typeface="Times New Roman"/>
              <a:cs typeface="Times New Roman"/>
            </a:rPr>
            <a:t>Livsforsikringsselskapet Nordea Liv Norge</a:t>
          </a:r>
        </a:p>
        <a:p>
          <a:pPr algn="l" rtl="0">
            <a:lnSpc>
              <a:spcPts val="1600"/>
            </a:lnSpc>
            <a:defRPr sz="1000"/>
          </a:pPr>
          <a:r>
            <a:rPr lang="nb-NO" sz="1200" b="0" i="0" strike="noStrike">
              <a:solidFill>
                <a:srgbClr val="000000"/>
              </a:solidFill>
              <a:latin typeface="Times New Roman"/>
              <a:cs typeface="Times New Roman"/>
            </a:rPr>
            <a:t>SHB Liv (utenlandsk, filial)</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Silver Pensjonsforsikring AS</a:t>
          </a:r>
        </a:p>
        <a:p>
          <a:pPr algn="l" rtl="0">
            <a:lnSpc>
              <a:spcPts val="1600"/>
            </a:lnSpc>
            <a:defRPr sz="1000"/>
          </a:pPr>
          <a:r>
            <a:rPr lang="nb-NO" sz="1200" b="0" i="0" strike="noStrike">
              <a:solidFill>
                <a:srgbClr val="000000"/>
              </a:solidFill>
              <a:latin typeface="Times New Roman"/>
              <a:cs typeface="Times New Roman"/>
            </a:rPr>
            <a:t>SpareBank 1</a:t>
          </a:r>
        </a:p>
        <a:p>
          <a:pPr algn="l" rtl="0">
            <a:lnSpc>
              <a:spcPts val="1700"/>
            </a:lnSpc>
            <a:defRPr sz="1000"/>
          </a:pPr>
          <a:r>
            <a:rPr lang="nb-NO" sz="1200" b="0" i="0" strike="noStrike">
              <a:solidFill>
                <a:srgbClr val="000000"/>
              </a:solidFill>
              <a:latin typeface="Times New Roman"/>
              <a:cs typeface="Times New Roman"/>
            </a:rPr>
            <a:t>Storebrand Livsforsikring</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600"/>
            </a:lnSpc>
            <a:defRPr sz="1000"/>
          </a:pPr>
          <a:r>
            <a:rPr lang="nb-NO" sz="1200" b="0" i="0" u="sng" strike="noStrike">
              <a:solidFill>
                <a:srgbClr val="000000"/>
              </a:solidFill>
              <a:latin typeface="Times New Roman"/>
              <a:cs typeface="Times New Roman"/>
            </a:rPr>
            <a:t>Utenlandske filialer</a:t>
          </a:r>
          <a:r>
            <a:rPr lang="nb-NO" sz="1200" b="0" i="0" strike="noStrike">
              <a:solidFill>
                <a:srgbClr val="000000"/>
              </a:solidFill>
              <a:latin typeface="Times New Roman"/>
              <a:cs typeface="Times New Roman"/>
            </a:rPr>
            <a:t>:</a:t>
          </a:r>
        </a:p>
        <a:p>
          <a:pPr algn="l" rtl="0">
            <a:lnSpc>
              <a:spcPts val="1700"/>
            </a:lnSpc>
            <a:defRPr sz="1000"/>
          </a:pPr>
          <a:r>
            <a:rPr lang="nb-NO" sz="1200" b="0" i="0" strike="noStrike">
              <a:solidFill>
                <a:srgbClr val="000000"/>
              </a:solidFill>
              <a:latin typeface="Times New Roman"/>
              <a:cs typeface="Times New Roman"/>
            </a:rPr>
            <a:t>Disse har ikke samme krav til regnskapsføring som norske livselskaper, og rapporterer derfor kun utvalgte</a:t>
          </a:r>
          <a:r>
            <a:rPr lang="nb-NO" sz="1200" b="0" i="0" strike="noStrike" baseline="0">
              <a:solidFill>
                <a:srgbClr val="000000"/>
              </a:solidFill>
              <a:latin typeface="Times New Roman"/>
              <a:cs typeface="Times New Roman"/>
            </a:rPr>
            <a:t> poster</a:t>
          </a:r>
          <a:r>
            <a:rPr lang="nb-NO" sz="1200" b="0" i="0" strike="noStrike">
              <a:solidFill>
                <a:srgbClr val="000000"/>
              </a:solidFill>
              <a:latin typeface="Times New Roman"/>
              <a:cs typeface="Times New Roman"/>
            </a:rPr>
            <a:t>.</a:t>
          </a:r>
        </a:p>
        <a:p>
          <a:pPr algn="l" rtl="0">
            <a:lnSpc>
              <a:spcPts val="1600"/>
            </a:lnSpc>
            <a:defRPr sz="1000"/>
          </a:pP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I figurer og tabeller har enkelte selskap "forkortede" navn.</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r>
            <a:rPr lang="nb-NO" sz="1200" b="0" i="0" strike="noStrike">
              <a:solidFill>
                <a:srgbClr val="000000"/>
              </a:solidFill>
              <a:latin typeface="Times New Roman"/>
              <a:cs typeface="Times New Roman"/>
            </a:rPr>
            <a:t> </a:t>
          </a: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000"/>
            </a:lnSpc>
            <a:defRPr sz="1000"/>
          </a:pPr>
          <a:endParaRPr lang="nb-NO" sz="14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000"/>
            </a:lnSpc>
            <a:defRPr sz="1000"/>
          </a:pPr>
          <a:endParaRPr lang="nb-NO" sz="1400" b="0" i="0" strike="noStrike">
            <a:solidFill>
              <a:srgbClr val="000000"/>
            </a:solidFill>
            <a:latin typeface="Times New Roman"/>
            <a:cs typeface="Times New Roman"/>
          </a:endParaRPr>
        </a:p>
      </xdr:txBody>
    </xdr:sp>
    <xdr:clientData/>
  </xdr:twoCellAnchor>
  <xdr:twoCellAnchor>
    <xdr:from>
      <xdr:col>3</xdr:col>
      <xdr:colOff>455084</xdr:colOff>
      <xdr:row>5</xdr:row>
      <xdr:rowOff>10583</xdr:rowOff>
    </xdr:from>
    <xdr:to>
      <xdr:col>11</xdr:col>
      <xdr:colOff>349250</xdr:colOff>
      <xdr:row>29</xdr:row>
      <xdr:rowOff>63500</xdr:rowOff>
    </xdr:to>
    <xdr:sp macro="" textlink="">
      <xdr:nvSpPr>
        <xdr:cNvPr id="5" name="TekstSylinder 4">
          <a:extLst>
            <a:ext uri="{FF2B5EF4-FFF2-40B4-BE49-F238E27FC236}">
              <a16:creationId xmlns:a16="http://schemas.microsoft.com/office/drawing/2014/main" id="{00000000-0008-0000-2100-000005000000}"/>
            </a:ext>
          </a:extLst>
        </xdr:cNvPr>
        <xdr:cNvSpPr txBox="1"/>
      </xdr:nvSpPr>
      <xdr:spPr>
        <a:xfrm>
          <a:off x="12170834" y="804333"/>
          <a:ext cx="6413499" cy="828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nb-NO">
            <a:effectLst/>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Kommentarer til dataene</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u="sng"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u="sng" baseline="0">
              <a:solidFill>
                <a:schemeClr val="dk1"/>
              </a:solidFill>
              <a:effectLst/>
              <a:latin typeface="Times New Roman" panose="02020603050405020304" pitchFamily="18" charset="0"/>
              <a:ea typeface="+mn-ea"/>
              <a:cs typeface="Times New Roman" panose="02020603050405020304" pitchFamily="18" charset="0"/>
            </a:rPr>
            <a:t>Generelle kommentarer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Når det nedenfor står "Endring i 20xx-tall", menes endringer i forhold til tilsvarende periode året før.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For Brutto forfalt premie kan regnskapstallene (Tabell 4) være høyere enn markedstallene, fordi de kan inneholde tall for skadeforsikring og utenlandsk virksomhet.</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For Overførte reserver til/fra andre i markedstallene inngår ikke overførte reserver som gjelder Gruppeliv. Disse vil imidlertid inngå i Tabell 4.</a:t>
          </a:r>
          <a:endParaRPr lang="nb-NO" sz="1100">
            <a:effectLst/>
            <a:latin typeface="Times New Roman" panose="02020603050405020304" pitchFamily="18" charset="0"/>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a:p>
          <a:pPr eaLnBrk="1" fontAlgn="auto" latinLnBrk="0" hangingPunct="1"/>
          <a:r>
            <a:rPr lang="nb-NO" sz="1100" b="0" i="0" u="sng" baseline="0">
              <a:solidFill>
                <a:schemeClr val="dk1"/>
              </a:solidFill>
              <a:effectLst/>
              <a:latin typeface="Times New Roman" panose="02020603050405020304" pitchFamily="18" charset="0"/>
              <a:ea typeface="+mn-ea"/>
              <a:cs typeface="Times New Roman" panose="02020603050405020304" pitchFamily="18" charset="0"/>
            </a:rPr>
            <a:t>ACE European Group:</a:t>
          </a:r>
          <a:endParaRPr lang="en-US">
            <a:effectLst/>
            <a:latin typeface="Times New Roman" panose="02020603050405020304" pitchFamily="18" charset="0"/>
            <a:cs typeface="Times New Roman" panose="02020603050405020304" pitchFamily="18" charset="0"/>
          </a:endParaRPr>
        </a:p>
        <a:p>
          <a:pPr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Selskapet har ikke levert data for 2017.</a:t>
          </a:r>
          <a:br>
            <a:rPr lang="nb-NO" sz="1100" b="0" i="0" baseline="0">
              <a:solidFill>
                <a:schemeClr val="dk1"/>
              </a:solidFill>
              <a:effectLst/>
              <a:latin typeface="Times New Roman" panose="02020603050405020304" pitchFamily="18" charset="0"/>
              <a:ea typeface="+mn-ea"/>
              <a:cs typeface="Times New Roman" panose="02020603050405020304" pitchFamily="18" charset="0"/>
            </a:rPr>
          </a:br>
          <a:endParaRPr lang="en-US">
            <a:effectLst/>
            <a:latin typeface="Times New Roman" panose="02020603050405020304" pitchFamily="18" charset="0"/>
            <a:cs typeface="Times New Roman" panose="02020603050405020304" pitchFamily="18" charset="0"/>
          </a:endParaRPr>
        </a:p>
        <a:p>
          <a:pPr eaLnBrk="1" fontAlgn="auto" latinLnBrk="0" hangingPunct="1"/>
          <a:r>
            <a:rPr lang="nb-NO" sz="1100" b="0" i="0" u="sng" baseline="0">
              <a:solidFill>
                <a:schemeClr val="dk1"/>
              </a:solidFill>
              <a:effectLst/>
              <a:latin typeface="Times New Roman" panose="02020603050405020304" pitchFamily="18" charset="0"/>
              <a:ea typeface="+mn-ea"/>
              <a:cs typeface="Times New Roman" panose="02020603050405020304" pitchFamily="18" charset="0"/>
            </a:rPr>
            <a:t>Silver Pensjonsforsikring</a:t>
          </a:r>
          <a:endParaRPr lang="en-US">
            <a:effectLst/>
            <a:latin typeface="Times New Roman" panose="02020603050405020304" pitchFamily="18" charset="0"/>
            <a:cs typeface="Times New Roman" panose="02020603050405020304" pitchFamily="18" charset="0"/>
          </a:endParaRPr>
        </a:p>
        <a:p>
          <a:pPr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Selskapet har ikke levert data for 2017. </a:t>
          </a:r>
          <a:endParaRPr lang="en-US">
            <a:effectLst/>
            <a:latin typeface="Times New Roman" panose="02020603050405020304" pitchFamily="18" charset="0"/>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Innsamlede data</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 innsamlede data er identiske med det som forekommer i statistikken.</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 underliggende tallene for statistikken er med en desimal, men statistikktallene publiseres uten desimaler. </a:t>
          </a: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Det betyr at sumtall i formler kan avvike fra de synlige summene.</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1"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Prosentendringer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Prosentendringer med tallverdi ≥ 1000 gjengis som enten 999 eller - 999. Sammenligner vi tall med samme fortegn, vil vi få prosentøkning når vi går fra lavere tallverdi til høyere tallverdi. Sammenligner vi tall med ulike fortegn, vil vi få prosentøkning når vi går fra negative tall til positive tall. Prosentendringer fra negative tall til 0 (null) = + 100, mens prosentendringer fra positive tall til 0 (null) = - 100. Prosentendringer fra 0 til positive eller negative tall angis ikke (---). Det samme gjelder små tallstørrelser som vises som 0.</a:t>
          </a:r>
          <a:endParaRPr lang="nb-NO" sz="1100">
            <a:effectLst/>
            <a:latin typeface="Times New Roman" panose="02020603050405020304" pitchFamily="18" charset="0"/>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FA/Statistikk%20og%20analyse/Fellessaker/Ny%20presentasjon%20MA/Overset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FA/Statistikk%20og%20analyse/Livstatistikk/Faste%20statistikker/MA/2017/Q2/Utkast%20Statistikkskjema%20MA%202%20kvartal%20201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t"/>
      <sheetName val="Oppslagstabeller"/>
      <sheetName val="Oversetter"/>
    </sheetNames>
    <sheetDataSet>
      <sheetData sheetId="0"/>
      <sheetData sheetId="1">
        <row r="1">
          <cell r="A1" t="str">
            <v>selskap_id</v>
          </cell>
          <cell r="B1" t="str">
            <v>sortering</v>
          </cell>
          <cell r="C1" t="str">
            <v>2a</v>
          </cell>
          <cell r="D1" t="str">
            <v>2b</v>
          </cell>
          <cell r="E1" t="str">
            <v>3a</v>
          </cell>
          <cell r="F1" t="str">
            <v>3b</v>
          </cell>
          <cell r="G1" t="str">
            <v>selskap_navn</v>
          </cell>
        </row>
        <row r="2">
          <cell r="A2" t="str">
            <v>19</v>
          </cell>
          <cell r="B2" t="str">
            <v>01</v>
          </cell>
          <cell r="C2">
            <v>3</v>
          </cell>
          <cell r="E2">
            <v>3</v>
          </cell>
          <cell r="G2" t="str">
            <v>ACE European Group Ltd</v>
          </cell>
        </row>
        <row r="3">
          <cell r="A3" t="str">
            <v>34</v>
          </cell>
          <cell r="B3" t="str">
            <v>02</v>
          </cell>
          <cell r="C3">
            <v>7</v>
          </cell>
          <cell r="D3">
            <v>3</v>
          </cell>
          <cell r="E3">
            <v>7</v>
          </cell>
          <cell r="F3">
            <v>3</v>
          </cell>
          <cell r="G3" t="str">
            <v>Danica Pensjonsforsikring</v>
          </cell>
        </row>
        <row r="4">
          <cell r="A4" t="str">
            <v>35</v>
          </cell>
          <cell r="B4" t="str">
            <v>03</v>
          </cell>
          <cell r="C4">
            <v>11</v>
          </cell>
          <cell r="D4">
            <v>7</v>
          </cell>
          <cell r="E4">
            <v>11</v>
          </cell>
          <cell r="F4">
            <v>7</v>
          </cell>
          <cell r="G4" t="str">
            <v>DNB Livsforsikring ASA</v>
          </cell>
          <cell r="N4">
            <v>16</v>
          </cell>
        </row>
        <row r="5">
          <cell r="A5" t="str">
            <v>15</v>
          </cell>
          <cell r="B5" t="str">
            <v>04</v>
          </cell>
          <cell r="C5">
            <v>15</v>
          </cell>
          <cell r="E5">
            <v>15</v>
          </cell>
          <cell r="G5" t="str">
            <v>Eika Gruppen AS</v>
          </cell>
          <cell r="N5" t="str">
            <v>4.-kvartal-2015-markedsandeler---endelige-tall-og-regnskapsstatistikk.xlsx</v>
          </cell>
        </row>
        <row r="6">
          <cell r="A6" t="str">
            <v>36</v>
          </cell>
          <cell r="B6" t="str">
            <v>05</v>
          </cell>
          <cell r="C6">
            <v>19</v>
          </cell>
          <cell r="D6">
            <v>11</v>
          </cell>
          <cell r="E6">
            <v>19</v>
          </cell>
          <cell r="F6">
            <v>11</v>
          </cell>
          <cell r="G6" t="str">
            <v>Frende Livsforsikring AS</v>
          </cell>
        </row>
        <row r="7">
          <cell r="A7" t="str">
            <v>20</v>
          </cell>
          <cell r="B7" t="str">
            <v>06</v>
          </cell>
          <cell r="C7">
            <v>23</v>
          </cell>
          <cell r="E7">
            <v>23</v>
          </cell>
          <cell r="G7" t="str">
            <v>Frende Skadeforsikring AS</v>
          </cell>
        </row>
        <row r="8">
          <cell r="A8" t="str">
            <v>4</v>
          </cell>
          <cell r="B8" t="str">
            <v>07</v>
          </cell>
          <cell r="C8">
            <v>27</v>
          </cell>
          <cell r="E8">
            <v>27</v>
          </cell>
          <cell r="G8" t="str">
            <v>Gjensidige Forsikring ASA</v>
          </cell>
        </row>
        <row r="9">
          <cell r="A9" t="str">
            <v>37</v>
          </cell>
          <cell r="B9" t="str">
            <v>08</v>
          </cell>
          <cell r="C9">
            <v>31</v>
          </cell>
          <cell r="D9">
            <v>15</v>
          </cell>
          <cell r="E9">
            <v>31</v>
          </cell>
          <cell r="F9">
            <v>15</v>
          </cell>
          <cell r="G9" t="str">
            <v>Gjensidige Pensjon og Sparing</v>
          </cell>
        </row>
        <row r="10">
          <cell r="A10" t="str">
            <v>38</v>
          </cell>
          <cell r="B10" t="str">
            <v>09</v>
          </cell>
          <cell r="C10">
            <v>35</v>
          </cell>
          <cell r="E10">
            <v>35</v>
          </cell>
          <cell r="G10" t="str">
            <v>Handelsbanken Liv</v>
          </cell>
        </row>
        <row r="11">
          <cell r="A11" t="str">
            <v>6</v>
          </cell>
          <cell r="B11" t="str">
            <v>10</v>
          </cell>
          <cell r="C11">
            <v>39</v>
          </cell>
          <cell r="E11">
            <v>39</v>
          </cell>
          <cell r="G11" t="str">
            <v>If Skadeforsikring nuf</v>
          </cell>
        </row>
        <row r="12">
          <cell r="A12" t="str">
            <v>39</v>
          </cell>
          <cell r="B12" t="str">
            <v>11</v>
          </cell>
          <cell r="C12">
            <v>47</v>
          </cell>
          <cell r="D12">
            <v>23</v>
          </cell>
          <cell r="E12">
            <v>47</v>
          </cell>
          <cell r="F12">
            <v>23</v>
          </cell>
          <cell r="G12" t="str">
            <v>KLP Bedriftspensjon AS</v>
          </cell>
        </row>
        <row r="13">
          <cell r="A13" t="str">
            <v>5</v>
          </cell>
          <cell r="B13" t="str">
            <v>12</v>
          </cell>
          <cell r="C13">
            <v>43</v>
          </cell>
          <cell r="D13">
            <v>19</v>
          </cell>
          <cell r="E13">
            <v>43</v>
          </cell>
          <cell r="F13">
            <v>19</v>
          </cell>
          <cell r="G13" t="str">
            <v>KLP</v>
          </cell>
        </row>
        <row r="14">
          <cell r="A14" t="str">
            <v>22</v>
          </cell>
          <cell r="B14" t="str">
            <v>13</v>
          </cell>
          <cell r="C14">
            <v>55</v>
          </cell>
          <cell r="E14">
            <v>55</v>
          </cell>
          <cell r="G14" t="str">
            <v>Landbruksforsikring AS</v>
          </cell>
        </row>
        <row r="15">
          <cell r="A15" t="str">
            <v>17</v>
          </cell>
          <cell r="B15" t="str">
            <v>14</v>
          </cell>
          <cell r="C15">
            <v>59</v>
          </cell>
          <cell r="E15">
            <v>59</v>
          </cell>
          <cell r="G15" t="str">
            <v>NEMI Forsikring AS</v>
          </cell>
        </row>
        <row r="16">
          <cell r="A16" t="str">
            <v>40</v>
          </cell>
          <cell r="B16" t="str">
            <v>15</v>
          </cell>
          <cell r="C16">
            <v>63</v>
          </cell>
          <cell r="D16">
            <v>27</v>
          </cell>
          <cell r="E16">
            <v>63</v>
          </cell>
          <cell r="F16">
            <v>27</v>
          </cell>
          <cell r="G16" t="str">
            <v>Livsforsikringsselskapet Nordea Liv Norge AS</v>
          </cell>
        </row>
        <row r="17">
          <cell r="A17" t="str">
            <v>41</v>
          </cell>
          <cell r="B17" t="str">
            <v>16</v>
          </cell>
          <cell r="C17">
            <v>67</v>
          </cell>
          <cell r="E17">
            <v>67</v>
          </cell>
          <cell r="G17" t="str">
            <v>Oslo Pensjonsforsikring</v>
          </cell>
        </row>
        <row r="18">
          <cell r="A18" t="str">
            <v>43</v>
          </cell>
          <cell r="B18" t="str">
            <v>17</v>
          </cell>
          <cell r="C18">
            <v>71</v>
          </cell>
          <cell r="D18">
            <v>35</v>
          </cell>
          <cell r="E18">
            <v>71</v>
          </cell>
          <cell r="F18">
            <v>35</v>
          </cell>
          <cell r="G18" t="str">
            <v>Silver Pensjonsforsikring  AS</v>
          </cell>
        </row>
        <row r="19">
          <cell r="A19" t="str">
            <v>49</v>
          </cell>
          <cell r="B19" t="str">
            <v>18</v>
          </cell>
          <cell r="C19">
            <v>75</v>
          </cell>
          <cell r="D19">
            <v>39</v>
          </cell>
          <cell r="E19">
            <v>75</v>
          </cell>
          <cell r="F19">
            <v>39</v>
          </cell>
          <cell r="G19" t="str">
            <v>Sparebank 1 Fondsforsikring</v>
          </cell>
        </row>
        <row r="20">
          <cell r="A20" t="str">
            <v>50</v>
          </cell>
          <cell r="B20" t="str">
            <v>19</v>
          </cell>
          <cell r="C20">
            <v>79</v>
          </cell>
          <cell r="D20">
            <v>43</v>
          </cell>
          <cell r="E20">
            <v>79</v>
          </cell>
          <cell r="F20">
            <v>43</v>
          </cell>
          <cell r="G20" t="str">
            <v>Storebrand Fondsforsikring</v>
          </cell>
        </row>
        <row r="21">
          <cell r="A21" t="str">
            <v>16</v>
          </cell>
          <cell r="B21" t="str">
            <v>20</v>
          </cell>
          <cell r="C21">
            <v>83</v>
          </cell>
          <cell r="E21">
            <v>83</v>
          </cell>
          <cell r="G21" t="str">
            <v>Telenor Forsikring AS</v>
          </cell>
        </row>
        <row r="22">
          <cell r="A22" t="str">
            <v>47</v>
          </cell>
          <cell r="B22" t="str">
            <v>21</v>
          </cell>
          <cell r="G22" t="str">
            <v>TrygVesta Forsikring</v>
          </cell>
        </row>
        <row r="23">
          <cell r="A23" t="str">
            <v>8</v>
          </cell>
          <cell r="B23" t="str">
            <v>22</v>
          </cell>
          <cell r="C23">
            <v>87</v>
          </cell>
          <cell r="E23">
            <v>87</v>
          </cell>
          <cell r="G23" t="str">
            <v>Tryg Forsikring</v>
          </cell>
        </row>
        <row r="24">
          <cell r="A24" t="str">
            <v>10</v>
          </cell>
          <cell r="B24" t="str">
            <v>23</v>
          </cell>
          <cell r="G24" t="str">
            <v>SpareBank 1 Forsikring AS</v>
          </cell>
        </row>
        <row r="25">
          <cell r="A25" t="str">
            <v>32</v>
          </cell>
          <cell r="B25" t="str">
            <v>24</v>
          </cell>
          <cell r="G25" t="str">
            <v>Storebrand ASA</v>
          </cell>
        </row>
        <row r="26">
          <cell r="A26" t="str">
            <v>33</v>
          </cell>
          <cell r="B26" t="str">
            <v>25</v>
          </cell>
          <cell r="G26" t="str">
            <v>Altraplan Luxembourg</v>
          </cell>
        </row>
        <row r="27">
          <cell r="A27" t="str">
            <v>42</v>
          </cell>
          <cell r="B27" t="str">
            <v>26</v>
          </cell>
          <cell r="D27">
            <v>31</v>
          </cell>
          <cell r="F27">
            <v>31</v>
          </cell>
          <cell r="G27" t="str">
            <v>SHB Liv</v>
          </cell>
        </row>
        <row r="28">
          <cell r="A28" t="str">
            <v>44</v>
          </cell>
          <cell r="B28" t="str">
            <v>27</v>
          </cell>
          <cell r="C28">
            <v>51</v>
          </cell>
          <cell r="E28">
            <v>51</v>
          </cell>
          <cell r="G28" t="str">
            <v>KLP Skadeforsikring</v>
          </cell>
        </row>
        <row r="29">
          <cell r="A29" t="str">
            <v>45</v>
          </cell>
          <cell r="B29" t="str">
            <v>28</v>
          </cell>
          <cell r="G29" t="str">
            <v>Commercial Union International Life</v>
          </cell>
        </row>
        <row r="30">
          <cell r="A30" t="str">
            <v>46</v>
          </cell>
          <cell r="B30" t="str">
            <v>29</v>
          </cell>
          <cell r="G30" t="str">
            <v>Gjensidige NOR Spareforsikring</v>
          </cell>
        </row>
        <row r="31">
          <cell r="A31" t="str">
            <v>48</v>
          </cell>
          <cell r="B31" t="str">
            <v>30</v>
          </cell>
          <cell r="G31" t="str">
            <v>Vesta</v>
          </cell>
        </row>
        <row r="32">
          <cell r="A32" t="str">
            <v>51</v>
          </cell>
          <cell r="B32" t="str">
            <v>31</v>
          </cell>
          <cell r="G32" t="str">
            <v>Danica Link</v>
          </cell>
        </row>
        <row r="33">
          <cell r="A33" t="str">
            <v>52</v>
          </cell>
          <cell r="B33" t="str">
            <v>32</v>
          </cell>
          <cell r="G33" t="str">
            <v>Danica Fondsforsikring</v>
          </cell>
        </row>
        <row r="34">
          <cell r="A34" t="str">
            <v>53</v>
          </cell>
          <cell r="B34" t="str">
            <v>33</v>
          </cell>
          <cell r="G34" t="str">
            <v>Gjensidige NOR Fondsforsikring</v>
          </cell>
        </row>
        <row r="35">
          <cell r="A35" t="str">
            <v>54</v>
          </cell>
          <cell r="B35" t="str">
            <v>34</v>
          </cell>
          <cell r="G35" t="str">
            <v>Vital Link</v>
          </cell>
        </row>
        <row r="36">
          <cell r="A36" t="str">
            <v>55</v>
          </cell>
          <cell r="B36" t="str">
            <v>35</v>
          </cell>
          <cell r="G36" t="str">
            <v>Nordea Link</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2a"/>
      <sheetName val="Tabell 2b"/>
      <sheetName val="Tabell 3a"/>
      <sheetName val="Tabell 3b"/>
      <sheetName val="Tabell 4"/>
      <sheetName val="Tabell 6"/>
      <sheetName val="Tabell 8"/>
      <sheetName val="Noter og kommentarer"/>
      <sheetName val="Utkast Statistikkskjema MA 2 kv"/>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55"/>
  <sheetViews>
    <sheetView showGridLines="0" topLeftCell="A28" workbookViewId="0">
      <selection activeCell="A56" sqref="A56"/>
    </sheetView>
  </sheetViews>
  <sheetFormatPr baseColWidth="10" defaultColWidth="11.42578125" defaultRowHeight="12.75" x14ac:dyDescent="0.2"/>
  <sheetData>
    <row r="1" spans="2:9" s="51" customFormat="1" x14ac:dyDescent="0.2"/>
    <row r="2" spans="2:9" s="51" customFormat="1" x14ac:dyDescent="0.2"/>
    <row r="3" spans="2:9" s="51" customFormat="1" x14ac:dyDescent="0.2"/>
    <row r="4" spans="2:9" s="51" customFormat="1" x14ac:dyDescent="0.2"/>
    <row r="5" spans="2:9" s="51" customFormat="1" x14ac:dyDescent="0.2">
      <c r="B5" s="52"/>
      <c r="C5" s="52"/>
      <c r="D5" s="52"/>
      <c r="E5" s="52"/>
      <c r="F5" s="52"/>
      <c r="G5" s="52"/>
      <c r="H5" s="52"/>
    </row>
    <row r="6" spans="2:9" s="51" customFormat="1" ht="23.25" x14ac:dyDescent="0.35">
      <c r="B6" s="53"/>
      <c r="C6" s="52"/>
      <c r="D6" s="52"/>
      <c r="E6" s="52"/>
      <c r="F6" s="52"/>
      <c r="G6" s="52"/>
      <c r="H6" s="52"/>
      <c r="I6" s="54"/>
    </row>
    <row r="7" spans="2:9" s="51" customFormat="1" x14ac:dyDescent="0.2">
      <c r="B7" s="52"/>
      <c r="C7" s="52"/>
      <c r="D7" s="52"/>
      <c r="E7" s="52"/>
      <c r="F7" s="52"/>
      <c r="G7" s="52"/>
      <c r="H7" s="52"/>
      <c r="I7" s="52"/>
    </row>
    <row r="8" spans="2:9" s="51" customFormat="1" x14ac:dyDescent="0.2">
      <c r="B8" s="52"/>
      <c r="C8" s="52"/>
      <c r="D8" s="52"/>
      <c r="F8" s="52"/>
      <c r="G8" s="52"/>
      <c r="H8" s="52"/>
    </row>
    <row r="9" spans="2:9" s="51" customFormat="1" x14ac:dyDescent="0.2">
      <c r="B9" s="52"/>
      <c r="C9" s="52"/>
      <c r="D9" s="52"/>
      <c r="E9" s="52"/>
      <c r="F9" s="52"/>
      <c r="G9" s="52"/>
      <c r="H9" s="52"/>
    </row>
    <row r="10" spans="2:9" s="51" customFormat="1" ht="23.25" x14ac:dyDescent="0.35">
      <c r="B10" s="52"/>
      <c r="C10" s="52"/>
      <c r="D10" s="52"/>
      <c r="I10" s="54"/>
    </row>
    <row r="11" spans="2:9" s="51" customFormat="1" x14ac:dyDescent="0.2">
      <c r="B11" s="52"/>
      <c r="C11" s="52"/>
      <c r="D11" s="52"/>
    </row>
    <row r="12" spans="2:9" s="51" customFormat="1" ht="27" customHeight="1" x14ac:dyDescent="0.35">
      <c r="B12" s="52"/>
      <c r="C12" s="52"/>
      <c r="D12" s="52"/>
      <c r="E12" s="52"/>
      <c r="F12" s="52"/>
      <c r="G12" s="52"/>
      <c r="H12" s="52"/>
      <c r="I12" s="54"/>
    </row>
    <row r="13" spans="2:9" s="51" customFormat="1" ht="19.5" customHeight="1" x14ac:dyDescent="0.35">
      <c r="B13" s="52"/>
      <c r="I13" s="54"/>
    </row>
    <row r="14" spans="2:9" s="51" customFormat="1" x14ac:dyDescent="0.2">
      <c r="B14" s="52"/>
      <c r="C14" s="52"/>
      <c r="D14" s="52"/>
      <c r="F14" s="52"/>
      <c r="G14" s="52"/>
      <c r="H14" s="52"/>
    </row>
    <row r="15" spans="2:9" s="51" customFormat="1" x14ac:dyDescent="0.2">
      <c r="B15" s="52"/>
      <c r="C15" s="52"/>
      <c r="D15" s="52"/>
      <c r="F15" s="52"/>
      <c r="G15" s="52"/>
      <c r="H15" s="52"/>
      <c r="I15" s="52"/>
    </row>
    <row r="16" spans="2:9" s="51" customFormat="1" ht="34.5" x14ac:dyDescent="0.45">
      <c r="B16" s="52"/>
      <c r="C16" s="52"/>
      <c r="D16" s="52"/>
      <c r="E16" s="55"/>
      <c r="F16" s="52"/>
      <c r="G16" s="52"/>
      <c r="H16" s="52"/>
      <c r="I16" s="52"/>
    </row>
    <row r="17" spans="2:9" s="51" customFormat="1" ht="33" x14ac:dyDescent="0.45">
      <c r="B17" s="52"/>
      <c r="C17" s="52"/>
      <c r="D17" s="52"/>
      <c r="E17" s="56"/>
      <c r="F17" s="52"/>
      <c r="G17" s="52"/>
      <c r="H17" s="52"/>
      <c r="I17" s="52"/>
    </row>
    <row r="18" spans="2:9" s="51" customFormat="1" ht="33" x14ac:dyDescent="0.45">
      <c r="D18" s="56"/>
    </row>
    <row r="19" spans="2:9" s="51" customFormat="1" ht="18.75" x14ac:dyDescent="0.3">
      <c r="E19" s="57"/>
      <c r="I19" s="58"/>
    </row>
    <row r="20" spans="2:9" s="51" customFormat="1" x14ac:dyDescent="0.2"/>
    <row r="21" spans="2:9" s="51" customFormat="1" x14ac:dyDescent="0.2">
      <c r="E21" s="59"/>
    </row>
    <row r="22" spans="2:9" s="51" customFormat="1" ht="26.25" x14ac:dyDescent="0.4">
      <c r="E22" s="60"/>
    </row>
    <row r="23" spans="2:9" s="51" customFormat="1" x14ac:dyDescent="0.2"/>
    <row r="24" spans="2:9" s="51" customFormat="1" x14ac:dyDescent="0.2"/>
    <row r="25" spans="2:9" s="51" customFormat="1" ht="18.75" x14ac:dyDescent="0.3">
      <c r="E25" s="61"/>
    </row>
    <row r="26" spans="2:9" s="51" customFormat="1" ht="18.75" x14ac:dyDescent="0.3">
      <c r="E26" s="62"/>
    </row>
    <row r="27" spans="2:9" s="51" customFormat="1" x14ac:dyDescent="0.2"/>
    <row r="28" spans="2:9" s="51" customFormat="1" x14ac:dyDescent="0.2"/>
    <row r="29" spans="2:9" s="51" customFormat="1" x14ac:dyDescent="0.2"/>
    <row r="30" spans="2:9" s="51" customFormat="1" x14ac:dyDescent="0.2"/>
    <row r="31" spans="2:9" s="51" customFormat="1" x14ac:dyDescent="0.2"/>
    <row r="32" spans="2:9" s="51" customFormat="1" x14ac:dyDescent="0.2"/>
    <row r="33" spans="1:9" s="51" customFormat="1" ht="35.25" x14ac:dyDescent="0.2">
      <c r="A33" s="63"/>
    </row>
    <row r="34" spans="1:9" s="51" customFormat="1" x14ac:dyDescent="0.2"/>
    <row r="35" spans="1:9" s="51" customFormat="1" x14ac:dyDescent="0.2"/>
    <row r="36" spans="1:9" s="51" customFormat="1" ht="33" x14ac:dyDescent="0.2">
      <c r="B36" s="64"/>
    </row>
    <row r="37" spans="1:9" s="51" customFormat="1" x14ac:dyDescent="0.2"/>
    <row r="38" spans="1:9" s="51" customFormat="1" x14ac:dyDescent="0.2"/>
    <row r="39" spans="1:9" s="51" customFormat="1" ht="18" x14ac:dyDescent="0.25">
      <c r="B39" s="65"/>
    </row>
    <row r="40" spans="1:9" s="51" customFormat="1" x14ac:dyDescent="0.2"/>
    <row r="41" spans="1:9" s="51" customFormat="1" ht="18.75" x14ac:dyDescent="0.3">
      <c r="I41" s="66"/>
    </row>
    <row r="42" spans="1:9" s="51" customFormat="1" x14ac:dyDescent="0.2"/>
    <row r="43" spans="1:9" s="51" customFormat="1" ht="18.75" x14ac:dyDescent="0.3">
      <c r="B43" s="651"/>
      <c r="C43" s="651"/>
      <c r="D43" s="651"/>
    </row>
    <row r="44" spans="1:9" s="51" customFormat="1" x14ac:dyDescent="0.2"/>
    <row r="45" spans="1:9" s="51" customFormat="1" x14ac:dyDescent="0.2"/>
    <row r="46" spans="1:9" s="51" customFormat="1" x14ac:dyDescent="0.2"/>
    <row r="47" spans="1:9" s="51" customFormat="1" x14ac:dyDescent="0.2"/>
    <row r="48" spans="1:9" s="51" customFormat="1" x14ac:dyDescent="0.2"/>
    <row r="49" s="51" customFormat="1" x14ac:dyDescent="0.2"/>
    <row r="50" s="51" customFormat="1" x14ac:dyDescent="0.2"/>
    <row r="51" s="51" customFormat="1" x14ac:dyDescent="0.2"/>
    <row r="52" s="51" customFormat="1" x14ac:dyDescent="0.2"/>
    <row r="53" s="51" customFormat="1" x14ac:dyDescent="0.2"/>
    <row r="54" s="51" customFormat="1" x14ac:dyDescent="0.2"/>
    <row r="55" s="51" customFormat="1" x14ac:dyDescent="0.2"/>
  </sheetData>
  <mergeCells count="1">
    <mergeCell ref="B43:D43"/>
  </mergeCells>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Q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1.28515625" style="148" bestFit="1" customWidth="1"/>
    <col min="3" max="3" width="11" style="148" customWidth="1"/>
    <col min="4" max="5" width="8.7109375" style="148" customWidth="1"/>
    <col min="6" max="7" width="10.85546875" style="148" customWidth="1"/>
    <col min="8" max="9" width="8.7109375" style="148" customWidth="1"/>
    <col min="10" max="11" width="11.28515625" style="148" bestFit="1" customWidth="1"/>
    <col min="12" max="13" width="8.7109375" style="148" customWidth="1"/>
    <col min="14" max="14" width="11.42578125" style="148"/>
    <col min="15" max="16384" width="11.42578125" style="1"/>
  </cols>
  <sheetData>
    <row r="1" spans="1:17" x14ac:dyDescent="0.2">
      <c r="A1" s="171" t="s">
        <v>152</v>
      </c>
      <c r="B1" s="434"/>
      <c r="C1" s="250" t="s">
        <v>139</v>
      </c>
      <c r="D1" s="26"/>
      <c r="E1" s="26"/>
      <c r="F1" s="26"/>
      <c r="G1" s="26"/>
      <c r="H1" s="26"/>
      <c r="I1" s="26"/>
      <c r="J1" s="26"/>
      <c r="K1" s="26"/>
      <c r="L1" s="26"/>
      <c r="M1" s="26"/>
    </row>
    <row r="2" spans="1:17" ht="15.75" x14ac:dyDescent="0.25">
      <c r="A2" s="164" t="s">
        <v>32</v>
      </c>
      <c r="B2" s="679"/>
      <c r="C2" s="679"/>
      <c r="D2" s="679"/>
      <c r="E2" s="297"/>
      <c r="F2" s="679"/>
      <c r="G2" s="679"/>
      <c r="H2" s="679"/>
      <c r="I2" s="297"/>
      <c r="J2" s="679"/>
      <c r="K2" s="679"/>
      <c r="L2" s="679"/>
      <c r="M2" s="297"/>
    </row>
    <row r="3" spans="1:17" ht="15.75" x14ac:dyDescent="0.25">
      <c r="A3" s="162"/>
      <c r="B3" s="297"/>
      <c r="C3" s="297"/>
      <c r="D3" s="297"/>
      <c r="E3" s="297"/>
      <c r="F3" s="297"/>
      <c r="G3" s="297"/>
      <c r="H3" s="297"/>
      <c r="I3" s="297"/>
      <c r="J3" s="297"/>
      <c r="K3" s="297"/>
      <c r="L3" s="297"/>
      <c r="M3" s="297"/>
    </row>
    <row r="4" spans="1:17" x14ac:dyDescent="0.2">
      <c r="A4" s="143"/>
      <c r="B4" s="676" t="s">
        <v>0</v>
      </c>
      <c r="C4" s="677"/>
      <c r="D4" s="677"/>
      <c r="E4" s="299"/>
      <c r="F4" s="676" t="s">
        <v>1</v>
      </c>
      <c r="G4" s="677"/>
      <c r="H4" s="677"/>
      <c r="I4" s="302"/>
      <c r="J4" s="676" t="s">
        <v>2</v>
      </c>
      <c r="K4" s="677"/>
      <c r="L4" s="677"/>
      <c r="M4" s="302"/>
    </row>
    <row r="5" spans="1:17"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7" x14ac:dyDescent="0.2">
      <c r="A6" s="435"/>
      <c r="B6" s="155"/>
      <c r="C6" s="155"/>
      <c r="D6" s="248" t="s">
        <v>4</v>
      </c>
      <c r="E6" s="155" t="s">
        <v>34</v>
      </c>
      <c r="F6" s="160"/>
      <c r="G6" s="160"/>
      <c r="H6" s="246" t="s">
        <v>4</v>
      </c>
      <c r="I6" s="155" t="s">
        <v>34</v>
      </c>
      <c r="J6" s="160"/>
      <c r="K6" s="160"/>
      <c r="L6" s="246" t="s">
        <v>4</v>
      </c>
      <c r="M6" s="155" t="s">
        <v>34</v>
      </c>
    </row>
    <row r="7" spans="1:17" ht="15.75" x14ac:dyDescent="0.2">
      <c r="A7" s="14" t="s">
        <v>27</v>
      </c>
      <c r="B7" s="304">
        <v>684813</v>
      </c>
      <c r="C7" s="305">
        <v>484191</v>
      </c>
      <c r="D7" s="344">
        <f>IF(B7=0, "    ---- ", IF(ABS(ROUND(100/B7*C7-100,1))&lt;999,ROUND(100/B7*C7-100,1),IF(ROUND(100/B7*C7-100,1)&gt;999,999,-999)))</f>
        <v>-29.3</v>
      </c>
      <c r="E7" s="11">
        <f>IFERROR(100/'Skjema total MA'!C7*C7,0)</f>
        <v>17.781931465258758</v>
      </c>
      <c r="F7" s="304">
        <v>685483</v>
      </c>
      <c r="G7" s="305">
        <v>413634</v>
      </c>
      <c r="H7" s="344">
        <f>IF(F7=0, "    ---- ", IF(ABS(ROUND(100/F7*G7-100,1))&lt;999,ROUND(100/F7*G7-100,1),IF(ROUND(100/F7*G7-100,1)&gt;999,999,-999)))</f>
        <v>-39.700000000000003</v>
      </c>
      <c r="I7" s="159">
        <f>IFERROR(100/'Skjema total MA'!F7*G7,0)</f>
        <v>9.1062369389499906</v>
      </c>
      <c r="J7" s="306">
        <v>1370296</v>
      </c>
      <c r="K7" s="307">
        <v>897825</v>
      </c>
      <c r="L7" s="403">
        <f>IF(J7=0, "    ---- ", IF(ABS(ROUND(100/J7*K7-100,1))&lt;999,ROUND(100/J7*K7-100,1),IF(ROUND(100/J7*K7-100,1)&gt;999,999,-999)))</f>
        <v>-34.5</v>
      </c>
      <c r="M7" s="11">
        <f>IFERROR(100/'Skjema total MA'!I7*K7,0)</f>
        <v>12.357793085497745</v>
      </c>
    </row>
    <row r="8" spans="1:17" ht="15.75" x14ac:dyDescent="0.2">
      <c r="A8" s="21" t="s">
        <v>29</v>
      </c>
      <c r="B8" s="286">
        <v>134839.34099999999</v>
      </c>
      <c r="C8" s="287">
        <v>136294</v>
      </c>
      <c r="D8" s="165">
        <f t="shared" ref="D8:D12" si="0">IF(B8=0, "    ---- ", IF(ABS(ROUND(100/B8*C8-100,1))&lt;999,ROUND(100/B8*C8-100,1),IF(ROUND(100/B8*C8-100,1)&gt;999,999,-999)))</f>
        <v>1.1000000000000001</v>
      </c>
      <c r="E8" s="27">
        <f>IFERROR(100/'Skjema total MA'!C8*C8,0)</f>
        <v>9.0709173975541972</v>
      </c>
      <c r="F8" s="423"/>
      <c r="G8" s="424"/>
      <c r="H8" s="170"/>
      <c r="I8" s="175"/>
      <c r="J8" s="234">
        <v>134839.34099999999</v>
      </c>
      <c r="K8" s="290">
        <v>136294</v>
      </c>
      <c r="L8" s="165">
        <f t="shared" ref="L8:L9" si="1">IF(J8=0, "    ---- ", IF(ABS(ROUND(100/J8*K8-100,1))&lt;999,ROUND(100/J8*K8-100,1),IF(ROUND(100/J8*K8-100,1)&gt;999,999,-999)))</f>
        <v>1.1000000000000001</v>
      </c>
      <c r="M8" s="27">
        <f>IFERROR(100/'Skjema total MA'!I8*K8,0)</f>
        <v>9.0709173975541972</v>
      </c>
    </row>
    <row r="9" spans="1:17" ht="15.75" x14ac:dyDescent="0.2">
      <c r="A9" s="21" t="s">
        <v>28</v>
      </c>
      <c r="B9" s="286">
        <v>60347.000719999902</v>
      </c>
      <c r="C9" s="287">
        <v>57586.463000000003</v>
      </c>
      <c r="D9" s="165">
        <f t="shared" si="0"/>
        <v>-4.5999999999999996</v>
      </c>
      <c r="E9" s="27">
        <f>IFERROR(100/'Skjema total MA'!C9*C9,0)</f>
        <v>7.9545479322308328</v>
      </c>
      <c r="F9" s="423"/>
      <c r="G9" s="424"/>
      <c r="H9" s="170"/>
      <c r="I9" s="175"/>
      <c r="J9" s="234">
        <v>60347.000719999902</v>
      </c>
      <c r="K9" s="290">
        <v>57586.463000000003</v>
      </c>
      <c r="L9" s="165">
        <f t="shared" si="1"/>
        <v>-4.5999999999999996</v>
      </c>
      <c r="M9" s="27">
        <f>IFERROR(100/'Skjema total MA'!I9*K9,0)</f>
        <v>7.9545479322308328</v>
      </c>
    </row>
    <row r="10" spans="1:17" ht="15.75" x14ac:dyDescent="0.2">
      <c r="A10" s="13" t="s">
        <v>26</v>
      </c>
      <c r="B10" s="308">
        <v>18392705</v>
      </c>
      <c r="C10" s="309">
        <v>16486332</v>
      </c>
      <c r="D10" s="170">
        <f t="shared" si="0"/>
        <v>-10.4</v>
      </c>
      <c r="E10" s="11">
        <f>IFERROR(100/'Skjema total MA'!C10*C10,0)</f>
        <v>71.650369747409442</v>
      </c>
      <c r="F10" s="308">
        <v>4614687</v>
      </c>
      <c r="G10" s="309">
        <v>5646532</v>
      </c>
      <c r="H10" s="170">
        <f t="shared" ref="H10:H12" si="2">IF(F10=0, "    ---- ", IF(ABS(ROUND(100/F10*G10-100,1))&lt;999,ROUND(100/F10*G10-100,1),IF(ROUND(100/F10*G10-100,1)&gt;999,999,-999)))</f>
        <v>22.4</v>
      </c>
      <c r="I10" s="159">
        <f>IFERROR(100/'Skjema total MA'!F10*G10,0)</f>
        <v>14.992288817624154</v>
      </c>
      <c r="J10" s="306">
        <v>23007392</v>
      </c>
      <c r="K10" s="307">
        <v>22132864</v>
      </c>
      <c r="L10" s="404">
        <f t="shared" ref="L10:L12" si="3">IF(J10=0, "    ---- ", IF(ABS(ROUND(100/J10*K10-100,1))&lt;999,ROUND(100/J10*K10-100,1),IF(ROUND(100/J10*K10-100,1)&gt;999,999,-999)))</f>
        <v>-3.8</v>
      </c>
      <c r="M10" s="11">
        <f>IFERROR(100/'Skjema total MA'!I10*K10,0)</f>
        <v>36.479340534208681</v>
      </c>
      <c r="Q10" s="148"/>
    </row>
    <row r="11" spans="1:17" s="43" customFormat="1" ht="15.75" x14ac:dyDescent="0.2">
      <c r="A11" s="13" t="s">
        <v>25</v>
      </c>
      <c r="B11" s="308">
        <v>55105</v>
      </c>
      <c r="C11" s="309">
        <v>11125</v>
      </c>
      <c r="D11" s="170">
        <f t="shared" si="0"/>
        <v>-79.8</v>
      </c>
      <c r="E11" s="11">
        <f>IFERROR(100/'Skjema total MA'!C11*C11,0)</f>
        <v>100.00000000000001</v>
      </c>
      <c r="F11" s="308">
        <v>29294</v>
      </c>
      <c r="G11" s="309">
        <v>27708</v>
      </c>
      <c r="H11" s="170">
        <f t="shared" si="2"/>
        <v>-5.4</v>
      </c>
      <c r="I11" s="159">
        <f>IFERROR(100/'Skjema total MA'!F11*G11,0)</f>
        <v>17.216605634678913</v>
      </c>
      <c r="J11" s="306">
        <v>84399</v>
      </c>
      <c r="K11" s="307">
        <v>38833</v>
      </c>
      <c r="L11" s="404">
        <f t="shared" si="3"/>
        <v>-54</v>
      </c>
      <c r="M11" s="11">
        <f>IFERROR(100/'Skjema total MA'!I11*K11,0)</f>
        <v>22.5691053109609</v>
      </c>
      <c r="N11" s="142"/>
    </row>
    <row r="12" spans="1:17" s="43" customFormat="1" ht="15.75" x14ac:dyDescent="0.2">
      <c r="A12" s="41" t="s">
        <v>24</v>
      </c>
      <c r="B12" s="310">
        <v>26590</v>
      </c>
      <c r="C12" s="311">
        <v>716</v>
      </c>
      <c r="D12" s="168">
        <f t="shared" si="0"/>
        <v>-97.3</v>
      </c>
      <c r="E12" s="36">
        <f>IFERROR(100/'Skjema total MA'!C12*C12,0)</f>
        <v>100</v>
      </c>
      <c r="F12" s="310">
        <v>16225</v>
      </c>
      <c r="G12" s="311">
        <v>13081</v>
      </c>
      <c r="H12" s="168">
        <f t="shared" si="2"/>
        <v>-19.399999999999999</v>
      </c>
      <c r="I12" s="168">
        <f>IFERROR(100/'Skjema total MA'!F12*G12,0)</f>
        <v>17.772752510681823</v>
      </c>
      <c r="J12" s="312">
        <v>42815</v>
      </c>
      <c r="K12" s="313">
        <v>13797</v>
      </c>
      <c r="L12" s="405">
        <f t="shared" si="3"/>
        <v>-67.8</v>
      </c>
      <c r="M12" s="36">
        <f>IFERROR(100/'Skjema total MA'!I12*K12,0)</f>
        <v>18.564958446684049</v>
      </c>
      <c r="N12" s="142"/>
      <c r="Q12" s="142"/>
    </row>
    <row r="13" spans="1:17" s="43" customFormat="1" x14ac:dyDescent="0.2">
      <c r="A13" s="167"/>
      <c r="B13" s="144"/>
      <c r="C13" s="33"/>
      <c r="D13" s="158"/>
      <c r="E13" s="158"/>
      <c r="F13" s="144"/>
      <c r="G13" s="33"/>
      <c r="H13" s="158"/>
      <c r="I13" s="158"/>
      <c r="J13" s="48"/>
      <c r="K13" s="48"/>
      <c r="L13" s="158"/>
      <c r="M13" s="158"/>
      <c r="N13" s="142"/>
    </row>
    <row r="14" spans="1:17" x14ac:dyDescent="0.2">
      <c r="A14" s="152" t="s">
        <v>296</v>
      </c>
      <c r="B14" s="26"/>
    </row>
    <row r="15" spans="1:17" x14ac:dyDescent="0.2">
      <c r="F15" s="145"/>
      <c r="G15" s="145"/>
      <c r="H15" s="145"/>
      <c r="I15" s="145"/>
      <c r="J15" s="145"/>
      <c r="K15" s="145"/>
      <c r="L15" s="145"/>
      <c r="M15" s="145"/>
    </row>
    <row r="16" spans="1:17"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v>168295</v>
      </c>
      <c r="C22" s="315">
        <v>324191</v>
      </c>
      <c r="D22" s="344">
        <f t="shared" ref="D22:D37" si="4">IF(B22=0, "    ---- ", IF(ABS(ROUND(100/B22*C22-100,1))&lt;999,ROUND(100/B22*C22-100,1),IF(ROUND(100/B22*C22-100,1)&gt;999,999,-999)))</f>
        <v>92.6</v>
      </c>
      <c r="E22" s="11">
        <f>IFERROR(100/'Skjema total MA'!C22*C22,0)</f>
        <v>33.808509765657</v>
      </c>
      <c r="F22" s="316">
        <v>80574</v>
      </c>
      <c r="G22" s="315">
        <v>83796</v>
      </c>
      <c r="H22" s="344">
        <f t="shared" ref="H22:H33" si="5">IF(F22=0, "    ---- ", IF(ABS(ROUND(100/F22*G22-100,1))&lt;999,ROUND(100/F22*G22-100,1),IF(ROUND(100/F22*G22-100,1)&gt;999,999,-999)))</f>
        <v>4</v>
      </c>
      <c r="I22" s="11">
        <f>IFERROR(100/'Skjema total MA'!F22*G22,0)</f>
        <v>42.029256632952716</v>
      </c>
      <c r="J22" s="314">
        <v>248869</v>
      </c>
      <c r="K22" s="314">
        <v>407987</v>
      </c>
      <c r="L22" s="403">
        <f t="shared" ref="L22:L33" si="6">IF(J22=0, "    ---- ", IF(ABS(ROUND(100/J22*K22-100,1))&lt;999,ROUND(100/J22*K22-100,1),IF(ROUND(100/J22*K22-100,1)&gt;999,999,-999)))</f>
        <v>63.9</v>
      </c>
      <c r="M22" s="24">
        <f>IFERROR(100/'Skjema total MA'!I22*K22,0)</f>
        <v>35.223552938313901</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185083.53242</v>
      </c>
      <c r="C27" s="290">
        <v>190441</v>
      </c>
      <c r="D27" s="165">
        <f t="shared" si="4"/>
        <v>2.9</v>
      </c>
      <c r="E27" s="27">
        <f>IFERROR(100/'Skjema total MA'!C27*C27,0)</f>
        <v>19.254653705413599</v>
      </c>
      <c r="F27" s="234"/>
      <c r="G27" s="290"/>
      <c r="H27" s="165"/>
      <c r="I27" s="27"/>
      <c r="J27" s="44">
        <v>185083.53242</v>
      </c>
      <c r="K27" s="44">
        <v>190441</v>
      </c>
      <c r="L27" s="259">
        <f t="shared" si="6"/>
        <v>2.9</v>
      </c>
      <c r="M27" s="23">
        <f>IFERROR(100/'Skjema total MA'!I27*K27,0)</f>
        <v>19.254653705413599</v>
      </c>
    </row>
    <row r="28" spans="1:14" s="3" customFormat="1" ht="15.75" x14ac:dyDescent="0.2">
      <c r="A28" s="13" t="s">
        <v>26</v>
      </c>
      <c r="B28" s="236">
        <v>29674571</v>
      </c>
      <c r="C28" s="307">
        <v>28614660</v>
      </c>
      <c r="D28" s="170">
        <f t="shared" si="4"/>
        <v>-3.6</v>
      </c>
      <c r="E28" s="11">
        <f>IFERROR(100/'Skjema total MA'!C28*C28,0)</f>
        <v>56.160328634956556</v>
      </c>
      <c r="F28" s="306">
        <v>5433167</v>
      </c>
      <c r="G28" s="307">
        <v>5744086</v>
      </c>
      <c r="H28" s="170">
        <f t="shared" si="5"/>
        <v>5.7</v>
      </c>
      <c r="I28" s="11">
        <f>IFERROR(100/'Skjema total MA'!F28*G28,0)</f>
        <v>29.252283404374634</v>
      </c>
      <c r="J28" s="236">
        <v>35107738</v>
      </c>
      <c r="K28" s="236">
        <v>34358746</v>
      </c>
      <c r="L28" s="404">
        <f t="shared" si="6"/>
        <v>-2.1</v>
      </c>
      <c r="M28" s="24">
        <f>IFERROR(100/'Skjema total MA'!I28*K28,0)</f>
        <v>48.674983669557328</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v>18629</v>
      </c>
      <c r="C32" s="307">
        <v>18919</v>
      </c>
      <c r="D32" s="170">
        <f t="shared" si="4"/>
        <v>1.6</v>
      </c>
      <c r="E32" s="11">
        <f>IFERROR(100/'Skjema total MA'!C32*C32,0)</f>
        <v>80.57833771987454</v>
      </c>
      <c r="F32" s="306">
        <v>-54284</v>
      </c>
      <c r="G32" s="307">
        <v>-37479</v>
      </c>
      <c r="H32" s="170">
        <f t="shared" si="5"/>
        <v>-31</v>
      </c>
      <c r="I32" s="11">
        <f>IFERROR(100/'Skjema total MA'!F32*G32,0)</f>
        <v>-200.07733034995053</v>
      </c>
      <c r="J32" s="236">
        <v>-35655</v>
      </c>
      <c r="K32" s="236">
        <v>-18560</v>
      </c>
      <c r="L32" s="404">
        <f t="shared" si="6"/>
        <v>-47.9</v>
      </c>
      <c r="M32" s="24">
        <f>IFERROR(100/'Skjema total MA'!I32*K32,0)</f>
        <v>-43.969297912754158</v>
      </c>
    </row>
    <row r="33" spans="1:14" ht="15.75" x14ac:dyDescent="0.2">
      <c r="A33" s="13" t="s">
        <v>24</v>
      </c>
      <c r="B33" s="236">
        <v>-52669</v>
      </c>
      <c r="C33" s="307">
        <v>-34211</v>
      </c>
      <c r="D33" s="170">
        <f t="shared" si="4"/>
        <v>-35</v>
      </c>
      <c r="E33" s="11">
        <f>IFERROR(100/'Skjema total MA'!C33*C33,0)</f>
        <v>109.74133875994903</v>
      </c>
      <c r="F33" s="306">
        <v>32083</v>
      </c>
      <c r="G33" s="307">
        <v>13387</v>
      </c>
      <c r="H33" s="170">
        <f t="shared" si="5"/>
        <v>-58.3</v>
      </c>
      <c r="I33" s="11">
        <f>IFERROR(100/'Skjema total MA'!F33*G33,0)</f>
        <v>20.442332516451849</v>
      </c>
      <c r="J33" s="236">
        <v>-20586</v>
      </c>
      <c r="K33" s="236">
        <v>-20824</v>
      </c>
      <c r="L33" s="404">
        <f t="shared" si="6"/>
        <v>1.2</v>
      </c>
      <c r="M33" s="24">
        <f>IFERROR(100/'Skjema total MA'!I33*K33,0)</f>
        <v>-60.689355879752341</v>
      </c>
    </row>
    <row r="34" spans="1:14" ht="15.75" x14ac:dyDescent="0.2">
      <c r="A34" s="12" t="s">
        <v>308</v>
      </c>
      <c r="B34" s="236">
        <v>2822</v>
      </c>
      <c r="C34" s="307">
        <v>2300</v>
      </c>
      <c r="D34" s="170">
        <f t="shared" si="4"/>
        <v>-18.5</v>
      </c>
      <c r="E34" s="11">
        <f>100/'Skjema total MA'!C34*C34</f>
        <v>98.613494270555975</v>
      </c>
      <c r="F34" s="425"/>
      <c r="G34" s="426"/>
      <c r="H34" s="170"/>
      <c r="I34" s="410"/>
      <c r="J34" s="236">
        <v>2822</v>
      </c>
      <c r="K34" s="236">
        <v>2300</v>
      </c>
      <c r="L34" s="404"/>
      <c r="M34" s="24">
        <f>IFERROR(100/'Skjema total MA'!I34*K34,0)</f>
        <v>98.613494270555975</v>
      </c>
    </row>
    <row r="35" spans="1:14" ht="15.75" x14ac:dyDescent="0.2">
      <c r="A35" s="12" t="s">
        <v>309</v>
      </c>
      <c r="B35" s="236">
        <v>3697850</v>
      </c>
      <c r="C35" s="307">
        <v>3574782</v>
      </c>
      <c r="D35" s="170">
        <f t="shared" si="4"/>
        <v>-3.3</v>
      </c>
      <c r="E35" s="11">
        <f>100/'Skjema total MA'!C35*C35</f>
        <v>87.941458303502699</v>
      </c>
      <c r="F35" s="425"/>
      <c r="G35" s="427"/>
      <c r="H35" s="170"/>
      <c r="I35" s="410"/>
      <c r="J35" s="236">
        <v>3697850</v>
      </c>
      <c r="K35" s="236">
        <v>3574782</v>
      </c>
      <c r="L35" s="404"/>
      <c r="M35" s="24">
        <f>IFERROR(100/'Skjema total MA'!I35*K35,0)</f>
        <v>87.941458303502699</v>
      </c>
    </row>
    <row r="36" spans="1:14" ht="15.75" x14ac:dyDescent="0.2">
      <c r="A36" s="12" t="s">
        <v>310</v>
      </c>
      <c r="B36" s="236"/>
      <c r="C36" s="307"/>
      <c r="D36" s="170"/>
      <c r="E36" s="11"/>
      <c r="F36" s="425"/>
      <c r="G36" s="426"/>
      <c r="H36" s="170"/>
      <c r="I36" s="410"/>
      <c r="J36" s="236"/>
      <c r="K36" s="236"/>
      <c r="L36" s="404"/>
      <c r="M36" s="24"/>
    </row>
    <row r="37" spans="1:14" ht="15.75" x14ac:dyDescent="0.2">
      <c r="A37" s="18" t="s">
        <v>311</v>
      </c>
      <c r="B37" s="281">
        <v>9</v>
      </c>
      <c r="C37" s="313">
        <v>4</v>
      </c>
      <c r="D37" s="168">
        <f t="shared" si="4"/>
        <v>-55.6</v>
      </c>
      <c r="E37" s="11">
        <f>100/'Skjema total MA'!C37*C37</f>
        <v>100</v>
      </c>
      <c r="F37" s="428"/>
      <c r="G37" s="429"/>
      <c r="H37" s="168"/>
      <c r="I37" s="36"/>
      <c r="J37" s="236">
        <v>9</v>
      </c>
      <c r="K37" s="236">
        <v>4</v>
      </c>
      <c r="L37" s="405"/>
      <c r="M37" s="36">
        <f>IFERROR(100/'Skjema total MA'!I37*K37,0)</f>
        <v>100</v>
      </c>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409011</v>
      </c>
      <c r="C45" s="309">
        <v>386875</v>
      </c>
      <c r="D45" s="403">
        <f t="shared" ref="D45:D55" si="7">IF(B45=0, "    ---- ", IF(ABS(ROUND(100/B45*C45-100,1))&lt;999,ROUND(100/B45*C45-100,1),IF(ROUND(100/B45*C45-100,1)&gt;999,999,-999)))</f>
        <v>-5.4</v>
      </c>
      <c r="E45" s="11">
        <f>IFERROR(100/'Skjema total MA'!C45*C45,0)</f>
        <v>14.109237030165062</v>
      </c>
      <c r="F45" s="144"/>
      <c r="G45" s="33"/>
      <c r="H45" s="158"/>
      <c r="I45" s="158"/>
      <c r="J45" s="37"/>
      <c r="K45" s="37"/>
      <c r="L45" s="158"/>
      <c r="M45" s="158"/>
      <c r="N45" s="147"/>
    </row>
    <row r="46" spans="1:14" s="3" customFormat="1" ht="15.75" x14ac:dyDescent="0.2">
      <c r="A46" s="38" t="s">
        <v>312</v>
      </c>
      <c r="B46" s="286">
        <v>304543</v>
      </c>
      <c r="C46" s="287">
        <v>265346</v>
      </c>
      <c r="D46" s="259">
        <f t="shared" si="7"/>
        <v>-12.9</v>
      </c>
      <c r="E46" s="27">
        <f>IFERROR(100/'Skjema total MA'!C46*C46,0)</f>
        <v>18.230194939972442</v>
      </c>
      <c r="F46" s="144"/>
      <c r="G46" s="33"/>
      <c r="H46" s="144"/>
      <c r="I46" s="144"/>
      <c r="J46" s="33"/>
      <c r="K46" s="33"/>
      <c r="L46" s="158"/>
      <c r="M46" s="158"/>
      <c r="N46" s="147"/>
    </row>
    <row r="47" spans="1:14" s="3" customFormat="1" ht="15.75" x14ac:dyDescent="0.2">
      <c r="A47" s="38" t="s">
        <v>313</v>
      </c>
      <c r="B47" s="44">
        <v>104468</v>
      </c>
      <c r="C47" s="290">
        <v>121529</v>
      </c>
      <c r="D47" s="259">
        <f>IF(B47=0, "    ---- ", IF(ABS(ROUND(100/B47*C47-100,1))&lt;999,ROUND(100/B47*C47-100,1),IF(ROUND(100/B47*C47-100,1)&gt;999,999,-999)))</f>
        <v>16.3</v>
      </c>
      <c r="E47" s="27">
        <f>IFERROR(100/'Skjema total MA'!C47*C47,0)</f>
        <v>9.4467192889011358</v>
      </c>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v>22258</v>
      </c>
      <c r="C51" s="309">
        <v>17532</v>
      </c>
      <c r="D51" s="404">
        <f t="shared" si="7"/>
        <v>-21.2</v>
      </c>
      <c r="E51" s="11">
        <f>IFERROR(100/'Skjema total MA'!C51*C51,0)</f>
        <v>12.375569916277067</v>
      </c>
      <c r="F51" s="144"/>
      <c r="G51" s="33"/>
      <c r="H51" s="144"/>
      <c r="I51" s="144"/>
      <c r="J51" s="33"/>
      <c r="K51" s="33"/>
      <c r="L51" s="158"/>
      <c r="M51" s="158"/>
      <c r="N51" s="147"/>
    </row>
    <row r="52" spans="1:14" s="3" customFormat="1" ht="15.75" x14ac:dyDescent="0.2">
      <c r="A52" s="38" t="s">
        <v>312</v>
      </c>
      <c r="B52" s="286">
        <v>22258</v>
      </c>
      <c r="C52" s="287">
        <v>17532</v>
      </c>
      <c r="D52" s="259">
        <f t="shared" si="7"/>
        <v>-21.2</v>
      </c>
      <c r="E52" s="27">
        <f>IFERROR(100/'Skjema total MA'!C52*C52,0)</f>
        <v>20.792885180400042</v>
      </c>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v>6221</v>
      </c>
      <c r="C54" s="309">
        <v>38332</v>
      </c>
      <c r="D54" s="404">
        <f t="shared" si="7"/>
        <v>516.20000000000005</v>
      </c>
      <c r="E54" s="11">
        <f>IFERROR(100/'Skjema total MA'!C54*C54,0)</f>
        <v>44.409705321006101</v>
      </c>
      <c r="F54" s="144"/>
      <c r="G54" s="33"/>
      <c r="H54" s="144"/>
      <c r="I54" s="144"/>
      <c r="J54" s="33"/>
      <c r="K54" s="33"/>
      <c r="L54" s="158"/>
      <c r="M54" s="158"/>
      <c r="N54" s="147"/>
    </row>
    <row r="55" spans="1:14" s="3" customFormat="1" ht="15.75" x14ac:dyDescent="0.2">
      <c r="A55" s="38" t="s">
        <v>312</v>
      </c>
      <c r="B55" s="286">
        <v>6221</v>
      </c>
      <c r="C55" s="287">
        <v>38332</v>
      </c>
      <c r="D55" s="259">
        <f t="shared" si="7"/>
        <v>516.20000000000005</v>
      </c>
      <c r="E55" s="27">
        <f>IFERROR(100/'Skjema total MA'!C55*C55,0)</f>
        <v>44.409705321006101</v>
      </c>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3180815</v>
      </c>
      <c r="C64" s="347">
        <v>1880585</v>
      </c>
      <c r="D64" s="344">
        <f t="shared" ref="D64:D109" si="8">IF(B64=0, "    ---- ", IF(ABS(ROUND(100/B64*C64-100,1))&lt;999,ROUND(100/B64*C64-100,1),IF(ROUND(100/B64*C64-100,1)&gt;999,999,-999)))</f>
        <v>-40.9</v>
      </c>
      <c r="E64" s="11">
        <f>IFERROR(100/'Skjema total MA'!C64*C64,0)</f>
        <v>35.012022613657933</v>
      </c>
      <c r="F64" s="346">
        <v>3135319</v>
      </c>
      <c r="G64" s="346">
        <v>3647744</v>
      </c>
      <c r="H64" s="344">
        <f t="shared" ref="H64:H109" si="9">IF(F64=0, "    ---- ", IF(ABS(ROUND(100/F64*G64-100,1))&lt;999,ROUND(100/F64*G64-100,1),IF(ROUND(100/F64*G64-100,1)&gt;999,999,-999)))</f>
        <v>16.3</v>
      </c>
      <c r="I64" s="11">
        <f>IFERROR(100/'Skjema total MA'!F64*G64,0)</f>
        <v>28.095545470846055</v>
      </c>
      <c r="J64" s="307">
        <v>6316134</v>
      </c>
      <c r="K64" s="314">
        <v>5528329</v>
      </c>
      <c r="L64" s="404">
        <f t="shared" ref="L64:L109" si="10">IF(J64=0, "    ---- ", IF(ABS(ROUND(100/J64*K64-100,1))&lt;999,ROUND(100/J64*K64-100,1),IF(ROUND(100/J64*K64-100,1)&gt;999,999,-999)))</f>
        <v>-12.5</v>
      </c>
      <c r="M64" s="11">
        <f>IFERROR(100/'Skjema total MA'!I64*K64,0)</f>
        <v>30.119569144443737</v>
      </c>
    </row>
    <row r="65" spans="1:14" x14ac:dyDescent="0.2">
      <c r="A65" s="21" t="s">
        <v>9</v>
      </c>
      <c r="B65" s="44">
        <v>3180815</v>
      </c>
      <c r="C65" s="144">
        <v>1880585</v>
      </c>
      <c r="D65" s="165">
        <f t="shared" si="8"/>
        <v>-40.9</v>
      </c>
      <c r="E65" s="27">
        <f>IFERROR(100/'Skjema total MA'!C65*C65,0)</f>
        <v>36.646117598877758</v>
      </c>
      <c r="F65" s="234"/>
      <c r="G65" s="144"/>
      <c r="H65" s="165"/>
      <c r="I65" s="27"/>
      <c r="J65" s="290">
        <v>3180815</v>
      </c>
      <c r="K65" s="44">
        <v>1880585</v>
      </c>
      <c r="L65" s="259">
        <f t="shared" si="10"/>
        <v>-40.9</v>
      </c>
      <c r="M65" s="27">
        <f>IFERROR(100/'Skjema total MA'!I65*K65,0)</f>
        <v>36.646117598877758</v>
      </c>
    </row>
    <row r="66" spans="1:14" x14ac:dyDescent="0.2">
      <c r="A66" s="21" t="s">
        <v>10</v>
      </c>
      <c r="B66" s="292"/>
      <c r="C66" s="293"/>
      <c r="D66" s="165"/>
      <c r="E66" s="27"/>
      <c r="F66" s="292">
        <v>3135319</v>
      </c>
      <c r="G66" s="293">
        <v>3647744</v>
      </c>
      <c r="H66" s="165">
        <f t="shared" si="9"/>
        <v>16.3</v>
      </c>
      <c r="I66" s="27">
        <f>IFERROR(100/'Skjema total MA'!F66*G66,0)</f>
        <v>28.378038114044735</v>
      </c>
      <c r="J66" s="290">
        <v>3135319</v>
      </c>
      <c r="K66" s="44">
        <v>3647744</v>
      </c>
      <c r="L66" s="259">
        <f t="shared" si="10"/>
        <v>16.3</v>
      </c>
      <c r="M66" s="27">
        <f>IFERROR(100/'Skjema total MA'!I66*K66,0)</f>
        <v>28.121040734783982</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v>18056</v>
      </c>
      <c r="D74" s="165" t="str">
        <f t="shared" ref="D74" si="11">IF(B74=0, "    ---- ", IF(ABS(ROUND(100/B74*C74-100,1))&lt;999,ROUND(100/B74*C74-100,1),IF(ROUND(100/B74*C74-100,1)&gt;999,999,-999)))</f>
        <v xml:space="preserve">    ---- </v>
      </c>
      <c r="E74" s="27">
        <f>IFERROR(100/'Skjema total MA'!C75*C74,0)</f>
        <v>0.35374330266888632</v>
      </c>
      <c r="F74" s="234"/>
      <c r="G74" s="144"/>
      <c r="H74" s="165"/>
      <c r="I74" s="27"/>
      <c r="J74" s="290"/>
      <c r="K74" s="44">
        <v>18056</v>
      </c>
      <c r="L74" s="259" t="str">
        <f t="shared" ref="L74" si="12">IF(J74=0, "    ---- ", IF(ABS(ROUND(100/J74*K74-100,1))&lt;999,ROUND(100/J74*K74-100,1),IF(ROUND(100/J74*K74-100,1)&gt;999,999,-999)))</f>
        <v xml:space="preserve">    ---- </v>
      </c>
      <c r="M74" s="27">
        <f>IFERROR(100/'Skjema total MA'!I75*K74,0)</f>
        <v>0.10059062386446037</v>
      </c>
      <c r="N74" s="147"/>
    </row>
    <row r="75" spans="1:14" ht="15.75" x14ac:dyDescent="0.2">
      <c r="A75" s="21" t="s">
        <v>318</v>
      </c>
      <c r="B75" s="234">
        <v>3153597</v>
      </c>
      <c r="C75" s="234">
        <v>1860082.17</v>
      </c>
      <c r="D75" s="165">
        <f t="shared" si="8"/>
        <v>-41</v>
      </c>
      <c r="E75" s="27">
        <f>IFERROR(100/'Skjema total MA'!C75*C75,0)</f>
        <v>36.441715222159324</v>
      </c>
      <c r="F75" s="234">
        <v>3135319</v>
      </c>
      <c r="G75" s="144">
        <v>3647744</v>
      </c>
      <c r="H75" s="165">
        <f t="shared" si="9"/>
        <v>16.3</v>
      </c>
      <c r="I75" s="27">
        <f>IFERROR(100/'Skjema total MA'!F75*G75,0)</f>
        <v>28.396577919733637</v>
      </c>
      <c r="J75" s="290">
        <v>6288916</v>
      </c>
      <c r="K75" s="44">
        <v>5507826.1699999999</v>
      </c>
      <c r="L75" s="259">
        <f t="shared" si="10"/>
        <v>-12.4</v>
      </c>
      <c r="M75" s="27">
        <f>IFERROR(100/'Skjema total MA'!I75*K75,0)</f>
        <v>30.68429721850362</v>
      </c>
    </row>
    <row r="76" spans="1:14" x14ac:dyDescent="0.2">
      <c r="A76" s="21" t="s">
        <v>9</v>
      </c>
      <c r="B76" s="234">
        <v>3153597</v>
      </c>
      <c r="C76" s="144">
        <v>1860082.17</v>
      </c>
      <c r="D76" s="165">
        <f t="shared" si="8"/>
        <v>-41</v>
      </c>
      <c r="E76" s="27">
        <f>IFERROR(100/'Skjema total MA'!C76*C76,0)</f>
        <v>37.28357205349969</v>
      </c>
      <c r="F76" s="234"/>
      <c r="G76" s="144"/>
      <c r="H76" s="165"/>
      <c r="I76" s="27"/>
      <c r="J76" s="290">
        <v>3153597</v>
      </c>
      <c r="K76" s="44">
        <v>1860082.17</v>
      </c>
      <c r="L76" s="259">
        <f t="shared" si="10"/>
        <v>-41</v>
      </c>
      <c r="M76" s="27">
        <f>IFERROR(100/'Skjema total MA'!I76*K76,0)</f>
        <v>37.28357205349969</v>
      </c>
    </row>
    <row r="77" spans="1:14" x14ac:dyDescent="0.2">
      <c r="A77" s="21" t="s">
        <v>10</v>
      </c>
      <c r="B77" s="292"/>
      <c r="C77" s="293"/>
      <c r="D77" s="165"/>
      <c r="E77" s="27"/>
      <c r="F77" s="292">
        <v>3135319</v>
      </c>
      <c r="G77" s="293">
        <v>3647744</v>
      </c>
      <c r="H77" s="165">
        <f t="shared" si="9"/>
        <v>16.3</v>
      </c>
      <c r="I77" s="27">
        <f>IFERROR(100/'Skjema total MA'!F77*G77,0)</f>
        <v>28.396577919733637</v>
      </c>
      <c r="J77" s="290">
        <v>3135319</v>
      </c>
      <c r="K77" s="44">
        <v>3647744</v>
      </c>
      <c r="L77" s="259">
        <f t="shared" si="10"/>
        <v>16.3</v>
      </c>
      <c r="M77" s="27">
        <f>IFERROR(100/'Skjema total MA'!I77*K77,0)</f>
        <v>28.144065621302516</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v>27218</v>
      </c>
      <c r="C84" s="144">
        <v>20502.830000000002</v>
      </c>
      <c r="D84" s="165">
        <f t="shared" si="8"/>
        <v>-24.7</v>
      </c>
      <c r="E84" s="27">
        <f>IFERROR(100/'Skjema total MA'!C84*C84,0)</f>
        <v>14.144638673889016</v>
      </c>
      <c r="F84" s="234"/>
      <c r="G84" s="144"/>
      <c r="H84" s="165"/>
      <c r="I84" s="27"/>
      <c r="J84" s="290">
        <v>27218</v>
      </c>
      <c r="K84" s="44">
        <v>20502.830000000002</v>
      </c>
      <c r="L84" s="259">
        <f t="shared" si="10"/>
        <v>-24.7</v>
      </c>
      <c r="M84" s="27">
        <f>IFERROR(100/'Skjema total MA'!I84*K84,0)</f>
        <v>13.370520072326583</v>
      </c>
    </row>
    <row r="85" spans="1:13" ht="15.75" x14ac:dyDescent="0.2">
      <c r="A85" s="13" t="s">
        <v>26</v>
      </c>
      <c r="B85" s="347">
        <v>151088177</v>
      </c>
      <c r="C85" s="347">
        <v>154147932</v>
      </c>
      <c r="D85" s="170">
        <f t="shared" si="8"/>
        <v>2</v>
      </c>
      <c r="E85" s="11">
        <f>IFERROR(100/'Skjema total MA'!C85*C85,0)</f>
        <v>41.236955211613811</v>
      </c>
      <c r="F85" s="346">
        <v>42844971</v>
      </c>
      <c r="G85" s="346">
        <v>56289741</v>
      </c>
      <c r="H85" s="170">
        <f t="shared" si="9"/>
        <v>31.4</v>
      </c>
      <c r="I85" s="11">
        <f>IFERROR(100/'Skjema total MA'!F85*G85,0)</f>
        <v>28.302455441479591</v>
      </c>
      <c r="J85" s="307">
        <v>193933148</v>
      </c>
      <c r="K85" s="236">
        <v>210437673</v>
      </c>
      <c r="L85" s="404">
        <f t="shared" si="10"/>
        <v>8.5</v>
      </c>
      <c r="M85" s="11">
        <f>IFERROR(100/'Skjema total MA'!I85*K85,0)</f>
        <v>36.745054228209334</v>
      </c>
    </row>
    <row r="86" spans="1:13" x14ac:dyDescent="0.2">
      <c r="A86" s="21" t="s">
        <v>9</v>
      </c>
      <c r="B86" s="234">
        <v>150989793</v>
      </c>
      <c r="C86" s="144">
        <v>154051756</v>
      </c>
      <c r="D86" s="165">
        <f t="shared" si="8"/>
        <v>2</v>
      </c>
      <c r="E86" s="27">
        <f>IFERROR(100/'Skjema total MA'!C86*C86,0)</f>
        <v>41.515725769185764</v>
      </c>
      <c r="F86" s="234"/>
      <c r="G86" s="144"/>
      <c r="H86" s="165"/>
      <c r="I86" s="27"/>
      <c r="J86" s="290">
        <v>150989793</v>
      </c>
      <c r="K86" s="44">
        <v>154051756</v>
      </c>
      <c r="L86" s="259">
        <f t="shared" si="10"/>
        <v>2</v>
      </c>
      <c r="M86" s="27">
        <f>IFERROR(100/'Skjema total MA'!I86*K86,0)</f>
        <v>41.515725769185764</v>
      </c>
    </row>
    <row r="87" spans="1:13" x14ac:dyDescent="0.2">
      <c r="A87" s="21" t="s">
        <v>10</v>
      </c>
      <c r="B87" s="234">
        <v>98384</v>
      </c>
      <c r="C87" s="144">
        <v>96176</v>
      </c>
      <c r="D87" s="165">
        <f t="shared" si="8"/>
        <v>-2.2000000000000002</v>
      </c>
      <c r="E87" s="27">
        <f>IFERROR(100/'Skjema total MA'!C87*C87,0)</f>
        <v>3.8484262504543088</v>
      </c>
      <c r="F87" s="234">
        <v>42844971</v>
      </c>
      <c r="G87" s="144">
        <v>56289741</v>
      </c>
      <c r="H87" s="165">
        <f t="shared" si="9"/>
        <v>31.4</v>
      </c>
      <c r="I87" s="27">
        <f>IFERROR(100/'Skjema total MA'!F87*G87,0)</f>
        <v>28.35369206019482</v>
      </c>
      <c r="J87" s="290">
        <v>42943355</v>
      </c>
      <c r="K87" s="44">
        <v>56385917</v>
      </c>
      <c r="L87" s="259">
        <f t="shared" si="10"/>
        <v>31.3</v>
      </c>
      <c r="M87" s="27">
        <f>IFERROR(100/'Skjema total MA'!I87*K87,0)</f>
        <v>28.049049580070186</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v>261562</v>
      </c>
      <c r="D95" s="165" t="str">
        <f t="shared" ref="D95" si="13">IF(B95=0, "    ---- ", IF(ABS(ROUND(100/B95*C95-100,1))&lt;999,ROUND(100/B95*C95-100,1),IF(ROUND(100/B95*C95-100,1)&gt;999,999,-999)))</f>
        <v xml:space="preserve">    ---- </v>
      </c>
      <c r="E95" s="27">
        <f>IFERROR(100/'Skjema total MA'!C96*C95,0)</f>
        <v>7.094965715725228E-2</v>
      </c>
      <c r="F95" s="234"/>
      <c r="G95" s="144"/>
      <c r="H95" s="165"/>
      <c r="I95" s="27"/>
      <c r="J95" s="290"/>
      <c r="K95" s="44">
        <v>261562</v>
      </c>
      <c r="L95" s="259" t="str">
        <f t="shared" ref="L95" si="14">IF(J95=0, "    ---- ", IF(ABS(ROUND(100/J95*K95-100,1))&lt;999,ROUND(100/J95*K95-100,1),IF(ROUND(100/J95*K95-100,1)&gt;999,999,-999)))</f>
        <v xml:space="preserve">    ---- </v>
      </c>
      <c r="M95" s="27">
        <f>IFERROR(100/'Skjema total MA'!I96*K95,0)</f>
        <v>4.6159128123456822E-2</v>
      </c>
    </row>
    <row r="96" spans="1:13" ht="15.75" x14ac:dyDescent="0.2">
      <c r="A96" s="21" t="s">
        <v>318</v>
      </c>
      <c r="B96" s="234">
        <v>149749776</v>
      </c>
      <c r="C96" s="234">
        <v>152799013</v>
      </c>
      <c r="D96" s="165">
        <f t="shared" si="8"/>
        <v>2</v>
      </c>
      <c r="E96" s="27">
        <f>IFERROR(100/'Skjema total MA'!C96*C96,0)</f>
        <v>41.447295808705135</v>
      </c>
      <c r="F96" s="292">
        <v>42674479.577</v>
      </c>
      <c r="G96" s="292">
        <v>56143714</v>
      </c>
      <c r="H96" s="165">
        <f t="shared" si="9"/>
        <v>31.6</v>
      </c>
      <c r="I96" s="27">
        <f>IFERROR(100/'Skjema total MA'!F96*G96,0)</f>
        <v>28.356236676261286</v>
      </c>
      <c r="J96" s="290">
        <v>192424255.57699999</v>
      </c>
      <c r="K96" s="44">
        <v>208942727</v>
      </c>
      <c r="L96" s="259">
        <f t="shared" si="10"/>
        <v>8.6</v>
      </c>
      <c r="M96" s="27">
        <f>IFERROR(100/'Skjema total MA'!I96*K96,0)</f>
        <v>36.873147116390996</v>
      </c>
    </row>
    <row r="97" spans="1:13" x14ac:dyDescent="0.2">
      <c r="A97" s="21" t="s">
        <v>9</v>
      </c>
      <c r="B97" s="292">
        <v>149651392</v>
      </c>
      <c r="C97" s="293">
        <v>152702837</v>
      </c>
      <c r="D97" s="165">
        <f t="shared" si="8"/>
        <v>2</v>
      </c>
      <c r="E97" s="27">
        <f>IFERROR(100/'Skjema total MA'!C97*C97,0)</f>
        <v>41.703914357300242</v>
      </c>
      <c r="F97" s="234"/>
      <c r="G97" s="144"/>
      <c r="H97" s="165"/>
      <c r="I97" s="27"/>
      <c r="J97" s="290">
        <v>149651392</v>
      </c>
      <c r="K97" s="44">
        <v>152702837</v>
      </c>
      <c r="L97" s="259">
        <f t="shared" si="10"/>
        <v>2</v>
      </c>
      <c r="M97" s="27">
        <f>IFERROR(100/'Skjema total MA'!I97*K97,0)</f>
        <v>41.703914357300242</v>
      </c>
    </row>
    <row r="98" spans="1:13" x14ac:dyDescent="0.2">
      <c r="A98" s="21" t="s">
        <v>10</v>
      </c>
      <c r="B98" s="292">
        <v>98384</v>
      </c>
      <c r="C98" s="293">
        <v>96176</v>
      </c>
      <c r="D98" s="165">
        <f t="shared" si="8"/>
        <v>-2.2000000000000002</v>
      </c>
      <c r="E98" s="27">
        <f>IFERROR(100/'Skjema total MA'!C98*C98,0)</f>
        <v>3.8484262504543088</v>
      </c>
      <c r="F98" s="234">
        <v>42674479.577</v>
      </c>
      <c r="G98" s="234">
        <v>56143714</v>
      </c>
      <c r="H98" s="165">
        <f t="shared" si="9"/>
        <v>31.6</v>
      </c>
      <c r="I98" s="27">
        <f>IFERROR(100/'Skjema total MA'!F98*G98,0)</f>
        <v>28.356236676261286</v>
      </c>
      <c r="J98" s="290">
        <v>42772863.577</v>
      </c>
      <c r="K98" s="44">
        <v>56239890</v>
      </c>
      <c r="L98" s="259">
        <f t="shared" si="10"/>
        <v>31.5</v>
      </c>
      <c r="M98" s="27">
        <f>IFERROR(100/'Skjema total MA'!I98*K98,0)</f>
        <v>28.050752925079038</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v>1338401</v>
      </c>
      <c r="C105" s="144">
        <v>1348919</v>
      </c>
      <c r="D105" s="165">
        <f t="shared" si="8"/>
        <v>0.8</v>
      </c>
      <c r="E105" s="27">
        <f>IFERROR(100/'Skjema total MA'!C105*C105,0)</f>
        <v>27.478726031211622</v>
      </c>
      <c r="F105" s="234">
        <v>170491.864</v>
      </c>
      <c r="G105" s="144">
        <v>146027</v>
      </c>
      <c r="H105" s="165">
        <f t="shared" si="9"/>
        <v>-14.3</v>
      </c>
      <c r="I105" s="27">
        <f>IFERROR(100/'Skjema total MA'!F105*G105,0)</f>
        <v>27.408064722402369</v>
      </c>
      <c r="J105" s="290">
        <v>1508892.8640000001</v>
      </c>
      <c r="K105" s="44">
        <v>1494946</v>
      </c>
      <c r="L105" s="259">
        <f t="shared" si="10"/>
        <v>-0.9</v>
      </c>
      <c r="M105" s="27">
        <f>IFERROR(100/'Skjema total MA'!I105*K105,0)</f>
        <v>27.471807750139305</v>
      </c>
    </row>
    <row r="106" spans="1:13" ht="15.75" x14ac:dyDescent="0.2">
      <c r="A106" s="21" t="s">
        <v>328</v>
      </c>
      <c r="B106" s="234">
        <v>109903097</v>
      </c>
      <c r="C106" s="234">
        <v>125121529</v>
      </c>
      <c r="D106" s="165">
        <f t="shared" si="8"/>
        <v>13.8</v>
      </c>
      <c r="E106" s="27">
        <f>IFERROR(100/'Skjema total MA'!C106*C106,0)</f>
        <v>42.757379330377333</v>
      </c>
      <c r="F106" s="234">
        <v>154204.01500000001</v>
      </c>
      <c r="G106" s="234">
        <v>257088</v>
      </c>
      <c r="H106" s="165">
        <f t="shared" si="9"/>
        <v>66.7</v>
      </c>
      <c r="I106" s="27">
        <f>IFERROR(100/'Skjema total MA'!F106*G106,0)</f>
        <v>3.9474651406447681</v>
      </c>
      <c r="J106" s="290">
        <v>110057301.015</v>
      </c>
      <c r="K106" s="44">
        <v>125378617</v>
      </c>
      <c r="L106" s="259">
        <f t="shared" si="10"/>
        <v>13.9</v>
      </c>
      <c r="M106" s="27">
        <f>IFERROR(100/'Skjema total MA'!I106*K106,0)</f>
        <v>41.912439755482808</v>
      </c>
    </row>
    <row r="107" spans="1:13" ht="15.75" x14ac:dyDescent="0.2">
      <c r="A107" s="21" t="s">
        <v>320</v>
      </c>
      <c r="B107" s="234">
        <v>98384</v>
      </c>
      <c r="C107" s="234">
        <v>96176</v>
      </c>
      <c r="D107" s="165">
        <f t="shared" si="8"/>
        <v>-2.2000000000000002</v>
      </c>
      <c r="E107" s="27">
        <f>IFERROR(100/'Skjema total MA'!C107*C107,0)</f>
        <v>12.584024855547403</v>
      </c>
      <c r="F107" s="234">
        <v>12686715</v>
      </c>
      <c r="G107" s="234">
        <v>16508385</v>
      </c>
      <c r="H107" s="165">
        <f t="shared" si="9"/>
        <v>30.1</v>
      </c>
      <c r="I107" s="27">
        <f>IFERROR(100/'Skjema total MA'!F107*G107,0)</f>
        <v>26.096156186449004</v>
      </c>
      <c r="J107" s="290">
        <v>12785099</v>
      </c>
      <c r="K107" s="44">
        <v>16604561</v>
      </c>
      <c r="L107" s="259">
        <f t="shared" si="10"/>
        <v>29.9</v>
      </c>
      <c r="M107" s="27">
        <f>IFERROR(100/'Skjema total MA'!I107*K107,0)</f>
        <v>25.934858740817251</v>
      </c>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v>399943</v>
      </c>
      <c r="C109" s="158">
        <v>248028</v>
      </c>
      <c r="D109" s="170">
        <f t="shared" si="8"/>
        <v>-38</v>
      </c>
      <c r="E109" s="11">
        <f>IFERROR(100/'Skjema total MA'!C109*C109,0)</f>
        <v>71.235511536195503</v>
      </c>
      <c r="F109" s="306">
        <v>816344</v>
      </c>
      <c r="G109" s="158">
        <v>2443000</v>
      </c>
      <c r="H109" s="170">
        <f t="shared" si="9"/>
        <v>199.3</v>
      </c>
      <c r="I109" s="11">
        <f>IFERROR(100/'Skjema total MA'!F109*G109,0)</f>
        <v>37.754903608791246</v>
      </c>
      <c r="J109" s="307">
        <v>1216287</v>
      </c>
      <c r="K109" s="236">
        <v>2691028</v>
      </c>
      <c r="L109" s="404">
        <f t="shared" si="10"/>
        <v>121.2</v>
      </c>
      <c r="M109" s="11">
        <f>IFERROR(100/'Skjema total MA'!I109*K109,0)</f>
        <v>39.464468296200899</v>
      </c>
    </row>
    <row r="110" spans="1:13" x14ac:dyDescent="0.2">
      <c r="A110" s="21" t="s">
        <v>9</v>
      </c>
      <c r="B110" s="234">
        <v>399943</v>
      </c>
      <c r="C110" s="144">
        <v>248028</v>
      </c>
      <c r="D110" s="165">
        <f t="shared" ref="D110:D122" si="15">IF(B110=0, "    ---- ", IF(ABS(ROUND(100/B110*C110-100,1))&lt;999,ROUND(100/B110*C110-100,1),IF(ROUND(100/B110*C110-100,1)&gt;999,999,-999)))</f>
        <v>-38</v>
      </c>
      <c r="E110" s="27">
        <f>IFERROR(100/'Skjema total MA'!C110*C110,0)</f>
        <v>76.092431882607073</v>
      </c>
      <c r="F110" s="234"/>
      <c r="G110" s="144"/>
      <c r="H110" s="165"/>
      <c r="I110" s="27"/>
      <c r="J110" s="290">
        <v>399943</v>
      </c>
      <c r="K110" s="44">
        <v>248028</v>
      </c>
      <c r="L110" s="259">
        <f t="shared" ref="L110:L123" si="16">IF(J110=0, "    ---- ", IF(ABS(ROUND(100/J110*K110-100,1))&lt;999,ROUND(100/J110*K110-100,1),IF(ROUND(100/J110*K110-100,1)&gt;999,999,-999)))</f>
        <v>-38</v>
      </c>
      <c r="M110" s="27">
        <f>IFERROR(100/'Skjema total MA'!I110*K110,0)</f>
        <v>76.092431882607073</v>
      </c>
    </row>
    <row r="111" spans="1:13" x14ac:dyDescent="0.2">
      <c r="A111" s="21" t="s">
        <v>10</v>
      </c>
      <c r="B111" s="234"/>
      <c r="C111" s="144"/>
      <c r="D111" s="165"/>
      <c r="E111" s="27"/>
      <c r="F111" s="234">
        <v>816344</v>
      </c>
      <c r="G111" s="144">
        <v>2443000</v>
      </c>
      <c r="H111" s="165">
        <f t="shared" ref="H111:H123" si="17">IF(F111=0, "    ---- ", IF(ABS(ROUND(100/F111*G111-100,1))&lt;999,ROUND(100/F111*G111-100,1),IF(ROUND(100/F111*G111-100,1)&gt;999,999,-999)))</f>
        <v>199.3</v>
      </c>
      <c r="I111" s="27">
        <f>IFERROR(100/'Skjema total MA'!F111*G111,0)</f>
        <v>37.754903608791246</v>
      </c>
      <c r="J111" s="290">
        <v>816344</v>
      </c>
      <c r="K111" s="44">
        <v>2443000</v>
      </c>
      <c r="L111" s="259">
        <f t="shared" si="16"/>
        <v>199.3</v>
      </c>
      <c r="M111" s="27">
        <f>IFERROR(100/'Skjema total MA'!I111*K111,0)</f>
        <v>37.74015189241284</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v>218450</v>
      </c>
      <c r="C114" s="234">
        <v>2776</v>
      </c>
      <c r="D114" s="165">
        <f t="shared" si="15"/>
        <v>-98.7</v>
      </c>
      <c r="E114" s="27">
        <f>IFERROR(100/'Skjema total MA'!C114*C114,0)</f>
        <v>9.04181088523314</v>
      </c>
      <c r="F114" s="234"/>
      <c r="G114" s="234"/>
      <c r="H114" s="165"/>
      <c r="I114" s="27"/>
      <c r="J114" s="290">
        <v>218450</v>
      </c>
      <c r="K114" s="44">
        <v>2776</v>
      </c>
      <c r="L114" s="259">
        <f t="shared" si="16"/>
        <v>-98.7</v>
      </c>
      <c r="M114" s="27">
        <f>IFERROR(100/'Skjema total MA'!I114*K114,0)</f>
        <v>6.4769545161263462</v>
      </c>
    </row>
    <row r="115" spans="1:14" ht="15.75" x14ac:dyDescent="0.2">
      <c r="A115" s="21" t="s">
        <v>322</v>
      </c>
      <c r="B115" s="234"/>
      <c r="C115" s="234"/>
      <c r="D115" s="165"/>
      <c r="E115" s="27"/>
      <c r="F115" s="234">
        <v>81968.741999999998</v>
      </c>
      <c r="G115" s="234">
        <v>147677</v>
      </c>
      <c r="H115" s="165">
        <f t="shared" si="17"/>
        <v>80.2</v>
      </c>
      <c r="I115" s="27">
        <f>IFERROR(100/'Skjema total MA'!F115*G115,0)</f>
        <v>13.363702561948665</v>
      </c>
      <c r="J115" s="290">
        <v>81968.741999999998</v>
      </c>
      <c r="K115" s="44">
        <v>147677</v>
      </c>
      <c r="L115" s="259">
        <f t="shared" si="16"/>
        <v>80.2</v>
      </c>
      <c r="M115" s="27">
        <f>IFERROR(100/'Skjema total MA'!I115*K115,0)</f>
        <v>13.363702561948665</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237109</v>
      </c>
      <c r="C117" s="158">
        <v>45897</v>
      </c>
      <c r="D117" s="170">
        <f t="shared" si="15"/>
        <v>-80.599999999999994</v>
      </c>
      <c r="E117" s="11">
        <f>IFERROR(100/'Skjema total MA'!C117*C117,0)</f>
        <v>15.645258542923159</v>
      </c>
      <c r="F117" s="306">
        <v>534125</v>
      </c>
      <c r="G117" s="158">
        <v>981817</v>
      </c>
      <c r="H117" s="170">
        <f t="shared" si="17"/>
        <v>83.8</v>
      </c>
      <c r="I117" s="11">
        <f>IFERROR(100/'Skjema total MA'!F117*G117,0)</f>
        <v>15.228998776235089</v>
      </c>
      <c r="J117" s="307">
        <v>771234</v>
      </c>
      <c r="K117" s="236">
        <v>1027714</v>
      </c>
      <c r="L117" s="404">
        <f t="shared" si="16"/>
        <v>33.299999999999997</v>
      </c>
      <c r="M117" s="11">
        <f>IFERROR(100/'Skjema total MA'!I117*K117,0)</f>
        <v>15.247115572938668</v>
      </c>
    </row>
    <row r="118" spans="1:14" x14ac:dyDescent="0.2">
      <c r="A118" s="21" t="s">
        <v>9</v>
      </c>
      <c r="B118" s="234">
        <v>237109</v>
      </c>
      <c r="C118" s="144">
        <v>45897</v>
      </c>
      <c r="D118" s="165">
        <f t="shared" si="15"/>
        <v>-80.599999999999994</v>
      </c>
      <c r="E118" s="27">
        <f>IFERROR(100/'Skjema total MA'!C118*C118,0)</f>
        <v>17.767609398228064</v>
      </c>
      <c r="F118" s="234"/>
      <c r="G118" s="144"/>
      <c r="H118" s="165" t="str">
        <f t="shared" si="17"/>
        <v xml:space="preserve">    ---- </v>
      </c>
      <c r="I118" s="27">
        <f>IFERROR(100/'Skjema total MA'!F118*G118,0)</f>
        <v>0</v>
      </c>
      <c r="J118" s="290">
        <v>237109</v>
      </c>
      <c r="K118" s="44">
        <v>45897</v>
      </c>
      <c r="L118" s="259">
        <f t="shared" si="16"/>
        <v>-80.599999999999994</v>
      </c>
      <c r="M118" s="27">
        <f>IFERROR(100/'Skjema total MA'!I118*K118,0)</f>
        <v>17.767609398228064</v>
      </c>
    </row>
    <row r="119" spans="1:14" x14ac:dyDescent="0.2">
      <c r="A119" s="21" t="s">
        <v>10</v>
      </c>
      <c r="B119" s="234"/>
      <c r="C119" s="144"/>
      <c r="D119" s="165"/>
      <c r="E119" s="27"/>
      <c r="F119" s="234">
        <v>534125</v>
      </c>
      <c r="G119" s="144">
        <v>981817</v>
      </c>
      <c r="H119" s="165">
        <f t="shared" si="17"/>
        <v>83.8</v>
      </c>
      <c r="I119" s="27">
        <f>IFERROR(100/'Skjema total MA'!F119*G119,0)</f>
        <v>15.228998776235089</v>
      </c>
      <c r="J119" s="290">
        <v>534125</v>
      </c>
      <c r="K119" s="44">
        <v>981817</v>
      </c>
      <c r="L119" s="259">
        <f t="shared" si="16"/>
        <v>83.8</v>
      </c>
      <c r="M119" s="27">
        <f>IFERROR(100/'Skjema total MA'!I119*K119,0)</f>
        <v>15.187979682018783</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v>15825</v>
      </c>
      <c r="C122" s="234">
        <v>2658</v>
      </c>
      <c r="D122" s="165">
        <f t="shared" si="15"/>
        <v>-83.2</v>
      </c>
      <c r="E122" s="27">
        <f>IFERROR(100/'Skjema total MA'!C122*C122,0)</f>
        <v>44.887669367357439</v>
      </c>
      <c r="F122" s="234"/>
      <c r="G122" s="234"/>
      <c r="H122" s="165"/>
      <c r="I122" s="27"/>
      <c r="J122" s="290">
        <v>15825</v>
      </c>
      <c r="K122" s="44">
        <v>2658</v>
      </c>
      <c r="L122" s="259">
        <f t="shared" si="16"/>
        <v>-83.2</v>
      </c>
      <c r="M122" s="27">
        <f>IFERROR(100/'Skjema total MA'!I122*K122,0)</f>
        <v>16.90369896559919</v>
      </c>
    </row>
    <row r="123" spans="1:14" ht="15.75" x14ac:dyDescent="0.2">
      <c r="A123" s="21" t="s">
        <v>320</v>
      </c>
      <c r="B123" s="234"/>
      <c r="C123" s="234"/>
      <c r="D123" s="165"/>
      <c r="E123" s="27"/>
      <c r="F123" s="234">
        <v>135029.67499999999</v>
      </c>
      <c r="G123" s="234">
        <v>328260</v>
      </c>
      <c r="H123" s="165">
        <f t="shared" si="17"/>
        <v>143.1</v>
      </c>
      <c r="I123" s="27">
        <f>IFERROR(100/'Skjema total MA'!F123*G123,0)</f>
        <v>34.840210869366928</v>
      </c>
      <c r="J123" s="290">
        <v>135029.67499999999</v>
      </c>
      <c r="K123" s="44">
        <v>328260</v>
      </c>
      <c r="L123" s="259">
        <f t="shared" si="16"/>
        <v>143.1</v>
      </c>
      <c r="M123" s="27">
        <f>IFERROR(100/'Skjema total MA'!I123*K123,0)</f>
        <v>34.727387013210084</v>
      </c>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v>1E-3</v>
      </c>
      <c r="C132" s="307"/>
      <c r="D132" s="344">
        <f t="shared" ref="D132:D133" si="18">IF(B132=0, "    ---- ", IF(ABS(ROUND(100/B132*C132-100,1))&lt;999,ROUND(100/B132*C132-100,1),IF(ROUND(100/B132*C132-100,1)&gt;999,999,-999)))</f>
        <v>-100</v>
      </c>
      <c r="E132" s="11">
        <f>IFERROR(100/'Skjema total MA'!C132*C132,0)</f>
        <v>0</v>
      </c>
      <c r="F132" s="314"/>
      <c r="G132" s="315"/>
      <c r="H132" s="407"/>
      <c r="I132" s="24"/>
      <c r="J132" s="316">
        <v>1E-3</v>
      </c>
      <c r="K132" s="316"/>
      <c r="L132" s="403">
        <f t="shared" ref="L132:L133" si="19">IF(J132=0, "    ---- ", IF(ABS(ROUND(100/J132*K132-100,1))&lt;999,ROUND(100/J132*K132-100,1),IF(ROUND(100/J132*K132-100,1)&gt;999,999,-999)))</f>
        <v>-100</v>
      </c>
      <c r="M132" s="11">
        <f>IFERROR(100/'Skjema total MA'!I132*K132,0)</f>
        <v>0</v>
      </c>
      <c r="N132" s="147"/>
    </row>
    <row r="133" spans="1:14" s="3" customFormat="1" ht="15.75" x14ac:dyDescent="0.2">
      <c r="A133" s="13" t="s">
        <v>324</v>
      </c>
      <c r="B133" s="236">
        <v>2146290</v>
      </c>
      <c r="C133" s="307"/>
      <c r="D133" s="170">
        <f t="shared" si="18"/>
        <v>-100</v>
      </c>
      <c r="E133" s="11">
        <f>IFERROR(100/'Skjema total MA'!C133*C133,0)</f>
        <v>0</v>
      </c>
      <c r="F133" s="236"/>
      <c r="G133" s="307"/>
      <c r="H133" s="408"/>
      <c r="I133" s="24"/>
      <c r="J133" s="306">
        <v>2146290</v>
      </c>
      <c r="K133" s="306"/>
      <c r="L133" s="404">
        <f t="shared" si="19"/>
        <v>-100</v>
      </c>
      <c r="M133" s="11">
        <f>IFERROR(100/'Skjema total MA'!I133*K133,0)</f>
        <v>0</v>
      </c>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721" priority="132">
      <formula>kvartal &lt; 4</formula>
    </cfRule>
  </conditionalFormatting>
  <conditionalFormatting sqref="B29">
    <cfRule type="expression" dxfId="1720" priority="130">
      <formula>kvartal &lt; 4</formula>
    </cfRule>
  </conditionalFormatting>
  <conditionalFormatting sqref="B30">
    <cfRule type="expression" dxfId="1719" priority="129">
      <formula>kvartal &lt; 4</formula>
    </cfRule>
  </conditionalFormatting>
  <conditionalFormatting sqref="B31">
    <cfRule type="expression" dxfId="1718" priority="128">
      <formula>kvartal &lt; 4</formula>
    </cfRule>
  </conditionalFormatting>
  <conditionalFormatting sqref="C29">
    <cfRule type="expression" dxfId="1717" priority="127">
      <formula>kvartal &lt; 4</formula>
    </cfRule>
  </conditionalFormatting>
  <conditionalFormatting sqref="C30">
    <cfRule type="expression" dxfId="1716" priority="126">
      <formula>kvartal &lt; 4</formula>
    </cfRule>
  </conditionalFormatting>
  <conditionalFormatting sqref="C31">
    <cfRule type="expression" dxfId="1715" priority="125">
      <formula>kvartal &lt; 4</formula>
    </cfRule>
  </conditionalFormatting>
  <conditionalFormatting sqref="B23:C25">
    <cfRule type="expression" dxfId="1714" priority="124">
      <formula>kvartal &lt; 4</formula>
    </cfRule>
  </conditionalFormatting>
  <conditionalFormatting sqref="F23:G25">
    <cfRule type="expression" dxfId="1713" priority="120">
      <formula>kvartal &lt; 4</formula>
    </cfRule>
  </conditionalFormatting>
  <conditionalFormatting sqref="F29">
    <cfRule type="expression" dxfId="1712" priority="113">
      <formula>kvartal &lt; 4</formula>
    </cfRule>
  </conditionalFormatting>
  <conditionalFormatting sqref="F30">
    <cfRule type="expression" dxfId="1711" priority="112">
      <formula>kvartal &lt; 4</formula>
    </cfRule>
  </conditionalFormatting>
  <conditionalFormatting sqref="F31">
    <cfRule type="expression" dxfId="1710" priority="111">
      <formula>kvartal &lt; 4</formula>
    </cfRule>
  </conditionalFormatting>
  <conditionalFormatting sqref="G29">
    <cfRule type="expression" dxfId="1709" priority="110">
      <formula>kvartal &lt; 4</formula>
    </cfRule>
  </conditionalFormatting>
  <conditionalFormatting sqref="G30">
    <cfRule type="expression" dxfId="1708" priority="109">
      <formula>kvartal &lt; 4</formula>
    </cfRule>
  </conditionalFormatting>
  <conditionalFormatting sqref="G31">
    <cfRule type="expression" dxfId="1707" priority="108">
      <formula>kvartal &lt; 4</formula>
    </cfRule>
  </conditionalFormatting>
  <conditionalFormatting sqref="B26">
    <cfRule type="expression" dxfId="1706" priority="107">
      <formula>kvartal &lt; 4</formula>
    </cfRule>
  </conditionalFormatting>
  <conditionalFormatting sqref="C26">
    <cfRule type="expression" dxfId="1705" priority="106">
      <formula>kvartal &lt; 4</formula>
    </cfRule>
  </conditionalFormatting>
  <conditionalFormatting sqref="F26">
    <cfRule type="expression" dxfId="1704" priority="105">
      <formula>kvartal &lt; 4</formula>
    </cfRule>
  </conditionalFormatting>
  <conditionalFormatting sqref="G26">
    <cfRule type="expression" dxfId="1703" priority="104">
      <formula>kvartal &lt; 4</formula>
    </cfRule>
  </conditionalFormatting>
  <conditionalFormatting sqref="J23:K26">
    <cfRule type="expression" dxfId="1702" priority="103">
      <formula>kvartal &lt; 4</formula>
    </cfRule>
  </conditionalFormatting>
  <conditionalFormatting sqref="J29:K31">
    <cfRule type="expression" dxfId="1701" priority="101">
      <formula>kvartal &lt; 4</formula>
    </cfRule>
  </conditionalFormatting>
  <conditionalFormatting sqref="B67">
    <cfRule type="expression" dxfId="1700" priority="100">
      <formula>kvartal &lt; 4</formula>
    </cfRule>
  </conditionalFormatting>
  <conditionalFormatting sqref="C67">
    <cfRule type="expression" dxfId="1699" priority="99">
      <formula>kvartal &lt; 4</formula>
    </cfRule>
  </conditionalFormatting>
  <conditionalFormatting sqref="B70">
    <cfRule type="expression" dxfId="1698" priority="98">
      <formula>kvartal &lt; 4</formula>
    </cfRule>
  </conditionalFormatting>
  <conditionalFormatting sqref="C70">
    <cfRule type="expression" dxfId="1697" priority="97">
      <formula>kvartal &lt; 4</formula>
    </cfRule>
  </conditionalFormatting>
  <conditionalFormatting sqref="B78">
    <cfRule type="expression" dxfId="1696" priority="96">
      <formula>kvartal &lt; 4</formula>
    </cfRule>
  </conditionalFormatting>
  <conditionalFormatting sqref="C78">
    <cfRule type="expression" dxfId="1695" priority="95">
      <formula>kvartal &lt; 4</formula>
    </cfRule>
  </conditionalFormatting>
  <conditionalFormatting sqref="B81">
    <cfRule type="expression" dxfId="1694" priority="94">
      <formula>kvartal &lt; 4</formula>
    </cfRule>
  </conditionalFormatting>
  <conditionalFormatting sqref="C81">
    <cfRule type="expression" dxfId="1693" priority="93">
      <formula>kvartal &lt; 4</formula>
    </cfRule>
  </conditionalFormatting>
  <conditionalFormatting sqref="B88">
    <cfRule type="expression" dxfId="1692" priority="84">
      <formula>kvartal &lt; 4</formula>
    </cfRule>
  </conditionalFormatting>
  <conditionalFormatting sqref="C88">
    <cfRule type="expression" dxfId="1691" priority="83">
      <formula>kvartal &lt; 4</formula>
    </cfRule>
  </conditionalFormatting>
  <conditionalFormatting sqref="B91">
    <cfRule type="expression" dxfId="1690" priority="82">
      <formula>kvartal &lt; 4</formula>
    </cfRule>
  </conditionalFormatting>
  <conditionalFormatting sqref="C91">
    <cfRule type="expression" dxfId="1689" priority="81">
      <formula>kvartal &lt; 4</formula>
    </cfRule>
  </conditionalFormatting>
  <conditionalFormatting sqref="B99">
    <cfRule type="expression" dxfId="1688" priority="80">
      <formula>kvartal &lt; 4</formula>
    </cfRule>
  </conditionalFormatting>
  <conditionalFormatting sqref="C99">
    <cfRule type="expression" dxfId="1687" priority="79">
      <formula>kvartal &lt; 4</formula>
    </cfRule>
  </conditionalFormatting>
  <conditionalFormatting sqref="B102">
    <cfRule type="expression" dxfId="1686" priority="78">
      <formula>kvartal &lt; 4</formula>
    </cfRule>
  </conditionalFormatting>
  <conditionalFormatting sqref="C102">
    <cfRule type="expression" dxfId="1685" priority="77">
      <formula>kvartal &lt; 4</formula>
    </cfRule>
  </conditionalFormatting>
  <conditionalFormatting sqref="B113">
    <cfRule type="expression" dxfId="1684" priority="76">
      <formula>kvartal &lt; 4</formula>
    </cfRule>
  </conditionalFormatting>
  <conditionalFormatting sqref="C113">
    <cfRule type="expression" dxfId="1683" priority="75">
      <formula>kvartal &lt; 4</formula>
    </cfRule>
  </conditionalFormatting>
  <conditionalFormatting sqref="B121">
    <cfRule type="expression" dxfId="1682" priority="74">
      <formula>kvartal &lt; 4</formula>
    </cfRule>
  </conditionalFormatting>
  <conditionalFormatting sqref="C121">
    <cfRule type="expression" dxfId="1681" priority="73">
      <formula>kvartal &lt; 4</formula>
    </cfRule>
  </conditionalFormatting>
  <conditionalFormatting sqref="F68">
    <cfRule type="expression" dxfId="1680" priority="72">
      <formula>kvartal &lt; 4</formula>
    </cfRule>
  </conditionalFormatting>
  <conditionalFormatting sqref="G68">
    <cfRule type="expression" dxfId="1679" priority="71">
      <formula>kvartal &lt; 4</formula>
    </cfRule>
  </conditionalFormatting>
  <conditionalFormatting sqref="F69:G69">
    <cfRule type="expression" dxfId="1678" priority="70">
      <formula>kvartal &lt; 4</formula>
    </cfRule>
  </conditionalFormatting>
  <conditionalFormatting sqref="F71:G72">
    <cfRule type="expression" dxfId="1677" priority="69">
      <formula>kvartal &lt; 4</formula>
    </cfRule>
  </conditionalFormatting>
  <conditionalFormatting sqref="F79:G80">
    <cfRule type="expression" dxfId="1676" priority="68">
      <formula>kvartal &lt; 4</formula>
    </cfRule>
  </conditionalFormatting>
  <conditionalFormatting sqref="F82:G83">
    <cfRule type="expression" dxfId="1675" priority="67">
      <formula>kvartal &lt; 4</formula>
    </cfRule>
  </conditionalFormatting>
  <conditionalFormatting sqref="F89:G90">
    <cfRule type="expression" dxfId="1674" priority="62">
      <formula>kvartal &lt; 4</formula>
    </cfRule>
  </conditionalFormatting>
  <conditionalFormatting sqref="F92:G93">
    <cfRule type="expression" dxfId="1673" priority="61">
      <formula>kvartal &lt; 4</formula>
    </cfRule>
  </conditionalFormatting>
  <conditionalFormatting sqref="F100:G101">
    <cfRule type="expression" dxfId="1672" priority="60">
      <formula>kvartal &lt; 4</formula>
    </cfRule>
  </conditionalFormatting>
  <conditionalFormatting sqref="F103:G104">
    <cfRule type="expression" dxfId="1671" priority="59">
      <formula>kvartal &lt; 4</formula>
    </cfRule>
  </conditionalFormatting>
  <conditionalFormatting sqref="F113">
    <cfRule type="expression" dxfId="1670" priority="58">
      <formula>kvartal &lt; 4</formula>
    </cfRule>
  </conditionalFormatting>
  <conditionalFormatting sqref="G113">
    <cfRule type="expression" dxfId="1669" priority="57">
      <formula>kvartal &lt; 4</formula>
    </cfRule>
  </conditionalFormatting>
  <conditionalFormatting sqref="F121:G121">
    <cfRule type="expression" dxfId="1668" priority="56">
      <formula>kvartal &lt; 4</formula>
    </cfRule>
  </conditionalFormatting>
  <conditionalFormatting sqref="F67:G67">
    <cfRule type="expression" dxfId="1667" priority="55">
      <formula>kvartal &lt; 4</formula>
    </cfRule>
  </conditionalFormatting>
  <conditionalFormatting sqref="F70:G70">
    <cfRule type="expression" dxfId="1666" priority="54">
      <formula>kvartal &lt; 4</formula>
    </cfRule>
  </conditionalFormatting>
  <conditionalFormatting sqref="F78:G78">
    <cfRule type="expression" dxfId="1665" priority="53">
      <formula>kvartal &lt; 4</formula>
    </cfRule>
  </conditionalFormatting>
  <conditionalFormatting sqref="F81:G81">
    <cfRule type="expression" dxfId="1664" priority="52">
      <formula>kvartal &lt; 4</formula>
    </cfRule>
  </conditionalFormatting>
  <conditionalFormatting sqref="F88:G88">
    <cfRule type="expression" dxfId="1663" priority="46">
      <formula>kvartal &lt; 4</formula>
    </cfRule>
  </conditionalFormatting>
  <conditionalFormatting sqref="F91">
    <cfRule type="expression" dxfId="1662" priority="45">
      <formula>kvartal &lt; 4</formula>
    </cfRule>
  </conditionalFormatting>
  <conditionalFormatting sqref="G91">
    <cfRule type="expression" dxfId="1661" priority="44">
      <formula>kvartal &lt; 4</formula>
    </cfRule>
  </conditionalFormatting>
  <conditionalFormatting sqref="F99">
    <cfRule type="expression" dxfId="1660" priority="43">
      <formula>kvartal &lt; 4</formula>
    </cfRule>
  </conditionalFormatting>
  <conditionalFormatting sqref="G99">
    <cfRule type="expression" dxfId="1659" priority="42">
      <formula>kvartal &lt; 4</formula>
    </cfRule>
  </conditionalFormatting>
  <conditionalFormatting sqref="G102">
    <cfRule type="expression" dxfId="1658" priority="41">
      <formula>kvartal &lt; 4</formula>
    </cfRule>
  </conditionalFormatting>
  <conditionalFormatting sqref="F102">
    <cfRule type="expression" dxfId="1657" priority="40">
      <formula>kvartal &lt; 4</formula>
    </cfRule>
  </conditionalFormatting>
  <conditionalFormatting sqref="J67:K71">
    <cfRule type="expression" dxfId="1656" priority="39">
      <formula>kvartal &lt; 4</formula>
    </cfRule>
  </conditionalFormatting>
  <conditionalFormatting sqref="J72:K72">
    <cfRule type="expression" dxfId="1655" priority="38">
      <formula>kvartal &lt; 4</formula>
    </cfRule>
  </conditionalFormatting>
  <conditionalFormatting sqref="J78:K83">
    <cfRule type="expression" dxfId="1654" priority="37">
      <formula>kvartal &lt; 4</formula>
    </cfRule>
  </conditionalFormatting>
  <conditionalFormatting sqref="J88:K93">
    <cfRule type="expression" dxfId="1653" priority="34">
      <formula>kvartal &lt; 4</formula>
    </cfRule>
  </conditionalFormatting>
  <conditionalFormatting sqref="J99:K104">
    <cfRule type="expression" dxfId="1652" priority="33">
      <formula>kvartal &lt; 4</formula>
    </cfRule>
  </conditionalFormatting>
  <conditionalFormatting sqref="J113:K113">
    <cfRule type="expression" dxfId="1651" priority="32">
      <formula>kvartal &lt; 4</formula>
    </cfRule>
  </conditionalFormatting>
  <conditionalFormatting sqref="J121:K121">
    <cfRule type="expression" dxfId="1650" priority="31">
      <formula>kvartal &lt; 4</formula>
    </cfRule>
  </conditionalFormatting>
  <conditionalFormatting sqref="A23:A25">
    <cfRule type="expression" dxfId="1649" priority="15">
      <formula>kvartal &lt; 4</formula>
    </cfRule>
  </conditionalFormatting>
  <conditionalFormatting sqref="A29:A31">
    <cfRule type="expression" dxfId="1648" priority="13">
      <formula>kvartal &lt; 4</formula>
    </cfRule>
  </conditionalFormatting>
  <conditionalFormatting sqref="A48:A50">
    <cfRule type="expression" dxfId="1647" priority="12">
      <formula>kvartal &lt; 4</formula>
    </cfRule>
  </conditionalFormatting>
  <conditionalFormatting sqref="A67:A72">
    <cfRule type="expression" dxfId="1646" priority="10">
      <formula>kvartal &lt; 4</formula>
    </cfRule>
  </conditionalFormatting>
  <conditionalFormatting sqref="A78:A83">
    <cfRule type="expression" dxfId="1645" priority="9">
      <formula>kvartal &lt; 4</formula>
    </cfRule>
  </conditionalFormatting>
  <conditionalFormatting sqref="A88:A93">
    <cfRule type="expression" dxfId="1644" priority="6">
      <formula>kvartal &lt; 4</formula>
    </cfRule>
  </conditionalFormatting>
  <conditionalFormatting sqref="A99:A104">
    <cfRule type="expression" dxfId="1643" priority="5">
      <formula>kvartal &lt; 4</formula>
    </cfRule>
  </conditionalFormatting>
  <conditionalFormatting sqref="A113">
    <cfRule type="expression" dxfId="1642" priority="4">
      <formula>kvartal &lt; 4</formula>
    </cfRule>
  </conditionalFormatting>
  <conditionalFormatting sqref="A121">
    <cfRule type="expression" dxfId="1641" priority="3">
      <formula>kvartal &lt; 4</formula>
    </cfRule>
  </conditionalFormatting>
  <conditionalFormatting sqref="A26">
    <cfRule type="expression" dxfId="1640" priority="2">
      <formula>kvartal &lt; 4</formula>
    </cfRule>
  </conditionalFormatting>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140</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248926</v>
      </c>
      <c r="C7" s="305">
        <v>154629</v>
      </c>
      <c r="D7" s="344">
        <f>IF(B7=0, "    ---- ", IF(ABS(ROUND(100/B7*C7-100,1))&lt;999,ROUND(100/B7*C7-100,1),IF(ROUND(100/B7*C7-100,1)&gt;999,999,-999)))</f>
        <v>-37.9</v>
      </c>
      <c r="E7" s="11">
        <f>IFERROR(100/'Skjema total MA'!C7*C7,0)</f>
        <v>5.678755450930514</v>
      </c>
      <c r="F7" s="304"/>
      <c r="G7" s="305"/>
      <c r="H7" s="344"/>
      <c r="I7" s="159"/>
      <c r="J7" s="306">
        <v>248926</v>
      </c>
      <c r="K7" s="307">
        <v>154629</v>
      </c>
      <c r="L7" s="403">
        <f>IF(J7=0, "    ---- ", IF(ABS(ROUND(100/J7*K7-100,1))&lt;999,ROUND(100/J7*K7-100,1),IF(ROUND(100/J7*K7-100,1)&gt;999,999,-999)))</f>
        <v>-37.9</v>
      </c>
      <c r="M7" s="11">
        <f>IFERROR(100/'Skjema total MA'!I7*K7,0)</f>
        <v>2.1283359084648241</v>
      </c>
    </row>
    <row r="8" spans="1:14" ht="15.75" x14ac:dyDescent="0.2">
      <c r="A8" s="21" t="s">
        <v>29</v>
      </c>
      <c r="B8" s="286">
        <v>124178</v>
      </c>
      <c r="C8" s="287">
        <v>77365</v>
      </c>
      <c r="D8" s="165">
        <f t="shared" ref="D8:D9" si="0">IF(B8=0, "    ---- ", IF(ABS(ROUND(100/B8*C8-100,1))&lt;999,ROUND(100/B8*C8-100,1),IF(ROUND(100/B8*C8-100,1)&gt;999,999,-999)))</f>
        <v>-37.700000000000003</v>
      </c>
      <c r="E8" s="27">
        <f>IFERROR(100/'Skjema total MA'!C8*C8,0)</f>
        <v>5.1489539118507084</v>
      </c>
      <c r="F8" s="423"/>
      <c r="G8" s="424"/>
      <c r="H8" s="170"/>
      <c r="I8" s="175"/>
      <c r="J8" s="234">
        <v>124178</v>
      </c>
      <c r="K8" s="290">
        <v>77365</v>
      </c>
      <c r="L8" s="165">
        <f t="shared" ref="L8:L9" si="1">IF(J8=0, "    ---- ", IF(ABS(ROUND(100/J8*K8-100,1))&lt;999,ROUND(100/J8*K8-100,1),IF(ROUND(100/J8*K8-100,1)&gt;999,999,-999)))</f>
        <v>-37.700000000000003</v>
      </c>
      <c r="M8" s="27">
        <f>IFERROR(100/'Skjema total MA'!I8*K8,0)</f>
        <v>5.1489539118507084</v>
      </c>
    </row>
    <row r="9" spans="1:14" ht="15.75" x14ac:dyDescent="0.2">
      <c r="A9" s="21" t="s">
        <v>28</v>
      </c>
      <c r="B9" s="286">
        <v>124748</v>
      </c>
      <c r="C9" s="287">
        <v>77264</v>
      </c>
      <c r="D9" s="165">
        <f t="shared" si="0"/>
        <v>-38.1</v>
      </c>
      <c r="E9" s="27">
        <f>IFERROR(100/'Skjema total MA'!C9*C9,0)</f>
        <v>10.672650470578182</v>
      </c>
      <c r="F9" s="423"/>
      <c r="G9" s="424"/>
      <c r="H9" s="170"/>
      <c r="I9" s="175"/>
      <c r="J9" s="234">
        <v>124748</v>
      </c>
      <c r="K9" s="290">
        <v>77264</v>
      </c>
      <c r="L9" s="165">
        <f t="shared" si="1"/>
        <v>-38.1</v>
      </c>
      <c r="M9" s="27">
        <f>IFERROR(100/'Skjema total MA'!I9*K9,0)</f>
        <v>10.672650470578182</v>
      </c>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c r="C45" s="309"/>
      <c r="D45" s="403"/>
      <c r="E45" s="11"/>
      <c r="F45" s="144"/>
      <c r="G45" s="33"/>
      <c r="H45" s="158"/>
      <c r="I45" s="158"/>
      <c r="J45" s="37"/>
      <c r="K45" s="37"/>
      <c r="L45" s="158"/>
      <c r="M45" s="158"/>
      <c r="N45" s="147"/>
    </row>
    <row r="46" spans="1:14" s="3" customFormat="1" ht="15.75" x14ac:dyDescent="0.2">
      <c r="A46" s="38" t="s">
        <v>312</v>
      </c>
      <c r="B46" s="286"/>
      <c r="C46" s="287"/>
      <c r="D46" s="259"/>
      <c r="E46" s="27"/>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639" priority="132">
      <formula>kvartal &lt; 4</formula>
    </cfRule>
  </conditionalFormatting>
  <conditionalFormatting sqref="B29">
    <cfRule type="expression" dxfId="1638" priority="130">
      <formula>kvartal &lt; 4</formula>
    </cfRule>
  </conditionalFormatting>
  <conditionalFormatting sqref="B30">
    <cfRule type="expression" dxfId="1637" priority="129">
      <formula>kvartal &lt; 4</formula>
    </cfRule>
  </conditionalFormatting>
  <conditionalFormatting sqref="B31">
    <cfRule type="expression" dxfId="1636" priority="128">
      <formula>kvartal &lt; 4</formula>
    </cfRule>
  </conditionalFormatting>
  <conditionalFormatting sqref="C29">
    <cfRule type="expression" dxfId="1635" priority="127">
      <formula>kvartal &lt; 4</formula>
    </cfRule>
  </conditionalFormatting>
  <conditionalFormatting sqref="C30">
    <cfRule type="expression" dxfId="1634" priority="126">
      <formula>kvartal &lt; 4</formula>
    </cfRule>
  </conditionalFormatting>
  <conditionalFormatting sqref="C31">
    <cfRule type="expression" dxfId="1633" priority="125">
      <formula>kvartal &lt; 4</formula>
    </cfRule>
  </conditionalFormatting>
  <conditionalFormatting sqref="B23:C25">
    <cfRule type="expression" dxfId="1632" priority="124">
      <formula>kvartal &lt; 4</formula>
    </cfRule>
  </conditionalFormatting>
  <conditionalFormatting sqref="F23:G25">
    <cfRule type="expression" dxfId="1631" priority="120">
      <formula>kvartal &lt; 4</formula>
    </cfRule>
  </conditionalFormatting>
  <conditionalFormatting sqref="F29">
    <cfRule type="expression" dxfId="1630" priority="113">
      <formula>kvartal &lt; 4</formula>
    </cfRule>
  </conditionalFormatting>
  <conditionalFormatting sqref="F30">
    <cfRule type="expression" dxfId="1629" priority="112">
      <formula>kvartal &lt; 4</formula>
    </cfRule>
  </conditionalFormatting>
  <conditionalFormatting sqref="F31">
    <cfRule type="expression" dxfId="1628" priority="111">
      <formula>kvartal &lt; 4</formula>
    </cfRule>
  </conditionalFormatting>
  <conditionalFormatting sqref="G29">
    <cfRule type="expression" dxfId="1627" priority="110">
      <formula>kvartal &lt; 4</formula>
    </cfRule>
  </conditionalFormatting>
  <conditionalFormatting sqref="G30">
    <cfRule type="expression" dxfId="1626" priority="109">
      <formula>kvartal &lt; 4</formula>
    </cfRule>
  </conditionalFormatting>
  <conditionalFormatting sqref="G31">
    <cfRule type="expression" dxfId="1625" priority="108">
      <formula>kvartal &lt; 4</formula>
    </cfRule>
  </conditionalFormatting>
  <conditionalFormatting sqref="B26">
    <cfRule type="expression" dxfId="1624" priority="107">
      <formula>kvartal &lt; 4</formula>
    </cfRule>
  </conditionalFormatting>
  <conditionalFormatting sqref="C26">
    <cfRule type="expression" dxfId="1623" priority="106">
      <formula>kvartal &lt; 4</formula>
    </cfRule>
  </conditionalFormatting>
  <conditionalFormatting sqref="F26">
    <cfRule type="expression" dxfId="1622" priority="105">
      <formula>kvartal &lt; 4</formula>
    </cfRule>
  </conditionalFormatting>
  <conditionalFormatting sqref="G26">
    <cfRule type="expression" dxfId="1621" priority="104">
      <formula>kvartal &lt; 4</formula>
    </cfRule>
  </conditionalFormatting>
  <conditionalFormatting sqref="J23:K26">
    <cfRule type="expression" dxfId="1620" priority="103">
      <formula>kvartal &lt; 4</formula>
    </cfRule>
  </conditionalFormatting>
  <conditionalFormatting sqref="J29:K31">
    <cfRule type="expression" dxfId="1619" priority="101">
      <formula>kvartal &lt; 4</formula>
    </cfRule>
  </conditionalFormatting>
  <conditionalFormatting sqref="B67">
    <cfRule type="expression" dxfId="1618" priority="100">
      <formula>kvartal &lt; 4</formula>
    </cfRule>
  </conditionalFormatting>
  <conditionalFormatting sqref="C67">
    <cfRule type="expression" dxfId="1617" priority="99">
      <formula>kvartal &lt; 4</formula>
    </cfRule>
  </conditionalFormatting>
  <conditionalFormatting sqref="B70">
    <cfRule type="expression" dxfId="1616" priority="98">
      <formula>kvartal &lt; 4</formula>
    </cfRule>
  </conditionalFormatting>
  <conditionalFormatting sqref="C70">
    <cfRule type="expression" dxfId="1615" priority="97">
      <formula>kvartal &lt; 4</formula>
    </cfRule>
  </conditionalFormatting>
  <conditionalFormatting sqref="B78">
    <cfRule type="expression" dxfId="1614" priority="96">
      <formula>kvartal &lt; 4</formula>
    </cfRule>
  </conditionalFormatting>
  <conditionalFormatting sqref="C78">
    <cfRule type="expression" dxfId="1613" priority="95">
      <formula>kvartal &lt; 4</formula>
    </cfRule>
  </conditionalFormatting>
  <conditionalFormatting sqref="B81">
    <cfRule type="expression" dxfId="1612" priority="94">
      <formula>kvartal &lt; 4</formula>
    </cfRule>
  </conditionalFormatting>
  <conditionalFormatting sqref="C81">
    <cfRule type="expression" dxfId="1611" priority="93">
      <formula>kvartal &lt; 4</formula>
    </cfRule>
  </conditionalFormatting>
  <conditionalFormatting sqref="B88">
    <cfRule type="expression" dxfId="1610" priority="84">
      <formula>kvartal &lt; 4</formula>
    </cfRule>
  </conditionalFormatting>
  <conditionalFormatting sqref="C88">
    <cfRule type="expression" dxfId="1609" priority="83">
      <formula>kvartal &lt; 4</formula>
    </cfRule>
  </conditionalFormatting>
  <conditionalFormatting sqref="B91">
    <cfRule type="expression" dxfId="1608" priority="82">
      <formula>kvartal &lt; 4</formula>
    </cfRule>
  </conditionalFormatting>
  <conditionalFormatting sqref="C91">
    <cfRule type="expression" dxfId="1607" priority="81">
      <formula>kvartal &lt; 4</formula>
    </cfRule>
  </conditionalFormatting>
  <conditionalFormatting sqref="B99">
    <cfRule type="expression" dxfId="1606" priority="80">
      <formula>kvartal &lt; 4</formula>
    </cfRule>
  </conditionalFormatting>
  <conditionalFormatting sqref="C99">
    <cfRule type="expression" dxfId="1605" priority="79">
      <formula>kvartal &lt; 4</formula>
    </cfRule>
  </conditionalFormatting>
  <conditionalFormatting sqref="B102">
    <cfRule type="expression" dxfId="1604" priority="78">
      <formula>kvartal &lt; 4</formula>
    </cfRule>
  </conditionalFormatting>
  <conditionalFormatting sqref="C102">
    <cfRule type="expression" dxfId="1603" priority="77">
      <formula>kvartal &lt; 4</formula>
    </cfRule>
  </conditionalFormatting>
  <conditionalFormatting sqref="B113">
    <cfRule type="expression" dxfId="1602" priority="76">
      <formula>kvartal &lt; 4</formula>
    </cfRule>
  </conditionalFormatting>
  <conditionalFormatting sqref="C113">
    <cfRule type="expression" dxfId="1601" priority="75">
      <formula>kvartal &lt; 4</formula>
    </cfRule>
  </conditionalFormatting>
  <conditionalFormatting sqref="B121">
    <cfRule type="expression" dxfId="1600" priority="74">
      <formula>kvartal &lt; 4</formula>
    </cfRule>
  </conditionalFormatting>
  <conditionalFormatting sqref="C121">
    <cfRule type="expression" dxfId="1599" priority="73">
      <formula>kvartal &lt; 4</formula>
    </cfRule>
  </conditionalFormatting>
  <conditionalFormatting sqref="F68">
    <cfRule type="expression" dxfId="1598" priority="72">
      <formula>kvartal &lt; 4</formula>
    </cfRule>
  </conditionalFormatting>
  <conditionalFormatting sqref="G68">
    <cfRule type="expression" dxfId="1597" priority="71">
      <formula>kvartal &lt; 4</formula>
    </cfRule>
  </conditionalFormatting>
  <conditionalFormatting sqref="F69:G69">
    <cfRule type="expression" dxfId="1596" priority="70">
      <formula>kvartal &lt; 4</formula>
    </cfRule>
  </conditionalFormatting>
  <conditionalFormatting sqref="F71:G72">
    <cfRule type="expression" dxfId="1595" priority="69">
      <formula>kvartal &lt; 4</formula>
    </cfRule>
  </conditionalFormatting>
  <conditionalFormatting sqref="F79:G80">
    <cfRule type="expression" dxfId="1594" priority="68">
      <formula>kvartal &lt; 4</formula>
    </cfRule>
  </conditionalFormatting>
  <conditionalFormatting sqref="F82:G83">
    <cfRule type="expression" dxfId="1593" priority="67">
      <formula>kvartal &lt; 4</formula>
    </cfRule>
  </conditionalFormatting>
  <conditionalFormatting sqref="F89:G90">
    <cfRule type="expression" dxfId="1592" priority="62">
      <formula>kvartal &lt; 4</formula>
    </cfRule>
  </conditionalFormatting>
  <conditionalFormatting sqref="F92:G93">
    <cfRule type="expression" dxfId="1591" priority="61">
      <formula>kvartal &lt; 4</formula>
    </cfRule>
  </conditionalFormatting>
  <conditionalFormatting sqref="F100:G101">
    <cfRule type="expression" dxfId="1590" priority="60">
      <formula>kvartal &lt; 4</formula>
    </cfRule>
  </conditionalFormatting>
  <conditionalFormatting sqref="F103:G104">
    <cfRule type="expression" dxfId="1589" priority="59">
      <formula>kvartal &lt; 4</formula>
    </cfRule>
  </conditionalFormatting>
  <conditionalFormatting sqref="F113">
    <cfRule type="expression" dxfId="1588" priority="58">
      <formula>kvartal &lt; 4</formula>
    </cfRule>
  </conditionalFormatting>
  <conditionalFormatting sqref="G113">
    <cfRule type="expression" dxfId="1587" priority="57">
      <formula>kvartal &lt; 4</formula>
    </cfRule>
  </conditionalFormatting>
  <conditionalFormatting sqref="F121:G121">
    <cfRule type="expression" dxfId="1586" priority="56">
      <formula>kvartal &lt; 4</formula>
    </cfRule>
  </conditionalFormatting>
  <conditionalFormatting sqref="F67:G67">
    <cfRule type="expression" dxfId="1585" priority="55">
      <formula>kvartal &lt; 4</formula>
    </cfRule>
  </conditionalFormatting>
  <conditionalFormatting sqref="F70:G70">
    <cfRule type="expression" dxfId="1584" priority="54">
      <formula>kvartal &lt; 4</formula>
    </cfRule>
  </conditionalFormatting>
  <conditionalFormatting sqref="F78:G78">
    <cfRule type="expression" dxfId="1583" priority="53">
      <formula>kvartal &lt; 4</formula>
    </cfRule>
  </conditionalFormatting>
  <conditionalFormatting sqref="F81:G81">
    <cfRule type="expression" dxfId="1582" priority="52">
      <formula>kvartal &lt; 4</formula>
    </cfRule>
  </conditionalFormatting>
  <conditionalFormatting sqref="F88:G88">
    <cfRule type="expression" dxfId="1581" priority="46">
      <formula>kvartal &lt; 4</formula>
    </cfRule>
  </conditionalFormatting>
  <conditionalFormatting sqref="F91">
    <cfRule type="expression" dxfId="1580" priority="45">
      <formula>kvartal &lt; 4</formula>
    </cfRule>
  </conditionalFormatting>
  <conditionalFormatting sqref="G91">
    <cfRule type="expression" dxfId="1579" priority="44">
      <formula>kvartal &lt; 4</formula>
    </cfRule>
  </conditionalFormatting>
  <conditionalFormatting sqref="F99">
    <cfRule type="expression" dxfId="1578" priority="43">
      <formula>kvartal &lt; 4</formula>
    </cfRule>
  </conditionalFormatting>
  <conditionalFormatting sqref="G99">
    <cfRule type="expression" dxfId="1577" priority="42">
      <formula>kvartal &lt; 4</formula>
    </cfRule>
  </conditionalFormatting>
  <conditionalFormatting sqref="G102">
    <cfRule type="expression" dxfId="1576" priority="41">
      <formula>kvartal &lt; 4</formula>
    </cfRule>
  </conditionalFormatting>
  <conditionalFormatting sqref="F102">
    <cfRule type="expression" dxfId="1575" priority="40">
      <formula>kvartal &lt; 4</formula>
    </cfRule>
  </conditionalFormatting>
  <conditionalFormatting sqref="J67:K71">
    <cfRule type="expression" dxfId="1574" priority="39">
      <formula>kvartal &lt; 4</formula>
    </cfRule>
  </conditionalFormatting>
  <conditionalFormatting sqref="J72:K72">
    <cfRule type="expression" dxfId="1573" priority="38">
      <formula>kvartal &lt; 4</formula>
    </cfRule>
  </conditionalFormatting>
  <conditionalFormatting sqref="J78:K83">
    <cfRule type="expression" dxfId="1572" priority="37">
      <formula>kvartal &lt; 4</formula>
    </cfRule>
  </conditionalFormatting>
  <conditionalFormatting sqref="J88:K93">
    <cfRule type="expression" dxfId="1571" priority="34">
      <formula>kvartal &lt; 4</formula>
    </cfRule>
  </conditionalFormatting>
  <conditionalFormatting sqref="J99:K104">
    <cfRule type="expression" dxfId="1570" priority="33">
      <formula>kvartal &lt; 4</formula>
    </cfRule>
  </conditionalFormatting>
  <conditionalFormatting sqref="J113:K113">
    <cfRule type="expression" dxfId="1569" priority="32">
      <formula>kvartal &lt; 4</formula>
    </cfRule>
  </conditionalFormatting>
  <conditionalFormatting sqref="J121:K121">
    <cfRule type="expression" dxfId="1568" priority="31">
      <formula>kvartal &lt; 4</formula>
    </cfRule>
  </conditionalFormatting>
  <conditionalFormatting sqref="A23:A25">
    <cfRule type="expression" dxfId="1567" priority="15">
      <formula>kvartal &lt; 4</formula>
    </cfRule>
  </conditionalFormatting>
  <conditionalFormatting sqref="A29:A31">
    <cfRule type="expression" dxfId="1566" priority="13">
      <formula>kvartal &lt; 4</formula>
    </cfRule>
  </conditionalFormatting>
  <conditionalFormatting sqref="A48:A50">
    <cfRule type="expression" dxfId="1565" priority="12">
      <formula>kvartal &lt; 4</formula>
    </cfRule>
  </conditionalFormatting>
  <conditionalFormatting sqref="A67:A72">
    <cfRule type="expression" dxfId="1564" priority="10">
      <formula>kvartal &lt; 4</formula>
    </cfRule>
  </conditionalFormatting>
  <conditionalFormatting sqref="A78:A83">
    <cfRule type="expression" dxfId="1563" priority="9">
      <formula>kvartal &lt; 4</formula>
    </cfRule>
  </conditionalFormatting>
  <conditionalFormatting sqref="A88:A93">
    <cfRule type="expression" dxfId="1562" priority="6">
      <formula>kvartal &lt; 4</formula>
    </cfRule>
  </conditionalFormatting>
  <conditionalFormatting sqref="A99:A104">
    <cfRule type="expression" dxfId="1561" priority="5">
      <formula>kvartal &lt; 4</formula>
    </cfRule>
  </conditionalFormatting>
  <conditionalFormatting sqref="A113">
    <cfRule type="expression" dxfId="1560" priority="4">
      <formula>kvartal &lt; 4</formula>
    </cfRule>
  </conditionalFormatting>
  <conditionalFormatting sqref="A121">
    <cfRule type="expression" dxfId="1559" priority="3">
      <formula>kvartal &lt; 4</formula>
    </cfRule>
  </conditionalFormatting>
  <conditionalFormatting sqref="A26">
    <cfRule type="expression" dxfId="1558" priority="2">
      <formula>kvartal &lt; 4</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R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8" x14ac:dyDescent="0.2">
      <c r="A1" s="171" t="s">
        <v>152</v>
      </c>
      <c r="B1" s="434"/>
      <c r="C1" s="250" t="s">
        <v>141</v>
      </c>
      <c r="D1" s="26"/>
      <c r="E1" s="26"/>
      <c r="F1" s="26"/>
      <c r="G1" s="26"/>
      <c r="H1" s="26"/>
      <c r="I1" s="26"/>
      <c r="J1" s="26"/>
      <c r="K1" s="26"/>
      <c r="L1" s="26"/>
      <c r="M1" s="26"/>
    </row>
    <row r="2" spans="1:18" ht="15.75" x14ac:dyDescent="0.25">
      <c r="A2" s="164" t="s">
        <v>32</v>
      </c>
      <c r="B2" s="679"/>
      <c r="C2" s="679"/>
      <c r="D2" s="679"/>
      <c r="E2" s="297"/>
      <c r="F2" s="679"/>
      <c r="G2" s="679"/>
      <c r="H2" s="679"/>
      <c r="I2" s="297"/>
      <c r="J2" s="679"/>
      <c r="K2" s="679"/>
      <c r="L2" s="679"/>
      <c r="M2" s="297"/>
    </row>
    <row r="3" spans="1:18" ht="15.75" x14ac:dyDescent="0.25">
      <c r="A3" s="162"/>
      <c r="B3" s="297"/>
      <c r="C3" s="297"/>
      <c r="D3" s="297"/>
      <c r="E3" s="297"/>
      <c r="F3" s="297"/>
      <c r="G3" s="297"/>
      <c r="H3" s="297"/>
      <c r="I3" s="297"/>
      <c r="J3" s="297"/>
      <c r="K3" s="297"/>
      <c r="L3" s="297"/>
      <c r="M3" s="297"/>
    </row>
    <row r="4" spans="1:18" x14ac:dyDescent="0.2">
      <c r="A4" s="143"/>
      <c r="B4" s="676" t="s">
        <v>0</v>
      </c>
      <c r="C4" s="677"/>
      <c r="D4" s="677"/>
      <c r="E4" s="299"/>
      <c r="F4" s="676" t="s">
        <v>1</v>
      </c>
      <c r="G4" s="677"/>
      <c r="H4" s="677"/>
      <c r="I4" s="302"/>
      <c r="J4" s="676" t="s">
        <v>2</v>
      </c>
      <c r="K4" s="677"/>
      <c r="L4" s="677"/>
      <c r="M4" s="302"/>
    </row>
    <row r="5" spans="1:18"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8" x14ac:dyDescent="0.2">
      <c r="A6" s="435"/>
      <c r="B6" s="155"/>
      <c r="C6" s="155"/>
      <c r="D6" s="248" t="s">
        <v>4</v>
      </c>
      <c r="E6" s="155" t="s">
        <v>34</v>
      </c>
      <c r="F6" s="160"/>
      <c r="G6" s="160"/>
      <c r="H6" s="246" t="s">
        <v>4</v>
      </c>
      <c r="I6" s="155" t="s">
        <v>34</v>
      </c>
      <c r="J6" s="160"/>
      <c r="K6" s="160"/>
      <c r="L6" s="246" t="s">
        <v>4</v>
      </c>
      <c r="M6" s="155" t="s">
        <v>34</v>
      </c>
    </row>
    <row r="7" spans="1:18" ht="15.75" x14ac:dyDescent="0.2">
      <c r="A7" s="14" t="s">
        <v>27</v>
      </c>
      <c r="B7" s="304">
        <v>233822</v>
      </c>
      <c r="C7" s="305">
        <v>263380</v>
      </c>
      <c r="D7" s="344">
        <f>IF(B7=0, "    ---- ", IF(ABS(ROUND(100/B7*C7-100,1))&lt;999,ROUND(100/B7*C7-100,1),IF(ROUND(100/B7*C7-100,1)&gt;999,999,-999)))</f>
        <v>12.6</v>
      </c>
      <c r="E7" s="11">
        <f>IFERROR(100/'Skjema total MA'!C7*C7,0)</f>
        <v>9.6726397420023336</v>
      </c>
      <c r="F7" s="304"/>
      <c r="G7" s="305"/>
      <c r="H7" s="344"/>
      <c r="I7" s="159"/>
      <c r="J7" s="306">
        <v>233822</v>
      </c>
      <c r="K7" s="307">
        <v>263380</v>
      </c>
      <c r="L7" s="403">
        <f>IF(J7=0, "    ---- ", IF(ABS(ROUND(100/J7*K7-100,1))&lt;999,ROUND(100/J7*K7-100,1),IF(ROUND(100/J7*K7-100,1)&gt;999,999,-999)))</f>
        <v>12.6</v>
      </c>
      <c r="M7" s="11">
        <f>IFERROR(100/'Skjema total MA'!I7*K7,0)</f>
        <v>3.6252003930146701</v>
      </c>
    </row>
    <row r="8" spans="1:18" ht="15.75" x14ac:dyDescent="0.2">
      <c r="A8" s="21" t="s">
        <v>29</v>
      </c>
      <c r="B8" s="286">
        <v>120987</v>
      </c>
      <c r="C8" s="287">
        <v>138367</v>
      </c>
      <c r="D8" s="165">
        <f t="shared" ref="D8:D10" si="0">IF(B8=0, "    ---- ", IF(ABS(ROUND(100/B8*C8-100,1))&lt;999,ROUND(100/B8*C8-100,1),IF(ROUND(100/B8*C8-100,1)&gt;999,999,-999)))</f>
        <v>14.4</v>
      </c>
      <c r="E8" s="27">
        <f>IFERROR(100/'Skjema total MA'!C8*C8,0)</f>
        <v>9.208883938745517</v>
      </c>
      <c r="F8" s="423"/>
      <c r="G8" s="424"/>
      <c r="H8" s="170"/>
      <c r="I8" s="175"/>
      <c r="J8" s="234">
        <v>120987</v>
      </c>
      <c r="K8" s="290">
        <v>138367</v>
      </c>
      <c r="L8" s="165">
        <f t="shared" ref="L8:L9" si="1">IF(J8=0, "    ---- ", IF(ABS(ROUND(100/J8*K8-100,1))&lt;999,ROUND(100/J8*K8-100,1),IF(ROUND(100/J8*K8-100,1)&gt;999,999,-999)))</f>
        <v>14.4</v>
      </c>
      <c r="M8" s="27">
        <f>IFERROR(100/'Skjema total MA'!I8*K8,0)</f>
        <v>9.208883938745517</v>
      </c>
    </row>
    <row r="9" spans="1:18" ht="15.75" x14ac:dyDescent="0.2">
      <c r="A9" s="21" t="s">
        <v>28</v>
      </c>
      <c r="B9" s="286">
        <v>112835</v>
      </c>
      <c r="C9" s="287">
        <v>125012</v>
      </c>
      <c r="D9" s="165">
        <f t="shared" si="0"/>
        <v>10.8</v>
      </c>
      <c r="E9" s="27">
        <f>IFERROR(100/'Skjema total MA'!C9*C9,0)</f>
        <v>17.268189333038926</v>
      </c>
      <c r="F9" s="423"/>
      <c r="G9" s="424"/>
      <c r="H9" s="170"/>
      <c r="I9" s="175"/>
      <c r="J9" s="234">
        <v>112835</v>
      </c>
      <c r="K9" s="290">
        <v>125012</v>
      </c>
      <c r="L9" s="165">
        <f t="shared" si="1"/>
        <v>10.8</v>
      </c>
      <c r="M9" s="27">
        <f>IFERROR(100/'Skjema total MA'!I9*K9,0)</f>
        <v>17.268189333038926</v>
      </c>
    </row>
    <row r="10" spans="1:18" ht="15.75" x14ac:dyDescent="0.2">
      <c r="A10" s="13" t="s">
        <v>26</v>
      </c>
      <c r="B10" s="308">
        <v>316486</v>
      </c>
      <c r="C10" s="309">
        <v>363793</v>
      </c>
      <c r="D10" s="170">
        <f t="shared" si="0"/>
        <v>14.9</v>
      </c>
      <c r="E10" s="11">
        <f>IFERROR(100/'Skjema total MA'!C10*C10,0)</f>
        <v>1.5810613883985427</v>
      </c>
      <c r="F10" s="308"/>
      <c r="G10" s="309"/>
      <c r="H10" s="170"/>
      <c r="I10" s="159"/>
      <c r="J10" s="306">
        <v>316486</v>
      </c>
      <c r="K10" s="307">
        <v>363793</v>
      </c>
      <c r="L10" s="404">
        <f t="shared" ref="L10" si="2">IF(J10=0, "    ---- ", IF(ABS(ROUND(100/J10*K10-100,1))&lt;999,ROUND(100/J10*K10-100,1),IF(ROUND(100/J10*K10-100,1)&gt;999,999,-999)))</f>
        <v>14.9</v>
      </c>
      <c r="M10" s="11">
        <f>IFERROR(100/'Skjema total MA'!I10*K10,0)</f>
        <v>0.59960286797774476</v>
      </c>
    </row>
    <row r="11" spans="1:18" s="43" customFormat="1" ht="15.75" x14ac:dyDescent="0.2">
      <c r="A11" s="13" t="s">
        <v>25</v>
      </c>
      <c r="B11" s="308"/>
      <c r="C11" s="309"/>
      <c r="D11" s="170"/>
      <c r="E11" s="11"/>
      <c r="F11" s="308"/>
      <c r="G11" s="309"/>
      <c r="H11" s="170"/>
      <c r="I11" s="159"/>
      <c r="J11" s="306"/>
      <c r="K11" s="307"/>
      <c r="L11" s="404"/>
      <c r="M11" s="11"/>
      <c r="N11" s="142"/>
      <c r="Q11" s="142"/>
    </row>
    <row r="12" spans="1:18" s="43" customFormat="1" ht="15.75" x14ac:dyDescent="0.2">
      <c r="A12" s="41" t="s">
        <v>24</v>
      </c>
      <c r="B12" s="310"/>
      <c r="C12" s="311"/>
      <c r="D12" s="168"/>
      <c r="E12" s="36"/>
      <c r="F12" s="310"/>
      <c r="G12" s="311"/>
      <c r="H12" s="168"/>
      <c r="I12" s="168"/>
      <c r="J12" s="312"/>
      <c r="K12" s="313"/>
      <c r="L12" s="405"/>
      <c r="M12" s="36"/>
      <c r="N12" s="142"/>
    </row>
    <row r="13" spans="1:18" s="43" customFormat="1" x14ac:dyDescent="0.2">
      <c r="A13" s="167"/>
      <c r="B13" s="144"/>
      <c r="C13" s="33"/>
      <c r="D13" s="158"/>
      <c r="E13" s="158"/>
      <c r="F13" s="144"/>
      <c r="G13" s="33"/>
      <c r="H13" s="158"/>
      <c r="I13" s="158"/>
      <c r="J13" s="48"/>
      <c r="K13" s="48"/>
      <c r="L13" s="158"/>
      <c r="M13" s="158"/>
      <c r="N13" s="142"/>
      <c r="P13" s="1"/>
    </row>
    <row r="14" spans="1:18" x14ac:dyDescent="0.2">
      <c r="A14" s="152" t="s">
        <v>296</v>
      </c>
      <c r="B14" s="26"/>
      <c r="R14" s="43"/>
    </row>
    <row r="15" spans="1:18" x14ac:dyDescent="0.2">
      <c r="F15" s="145"/>
      <c r="G15" s="145"/>
      <c r="H15" s="145"/>
      <c r="I15" s="145"/>
      <c r="J15" s="145"/>
      <c r="K15" s="145"/>
      <c r="L15" s="145"/>
      <c r="M15" s="145"/>
    </row>
    <row r="16" spans="1:18"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v>119464</v>
      </c>
      <c r="C22" s="315">
        <v>124081</v>
      </c>
      <c r="D22" s="344">
        <f t="shared" ref="D22:D28" si="3">IF(B22=0, "    ---- ", IF(ABS(ROUND(100/B22*C22-100,1))&lt;999,ROUND(100/B22*C22-100,1),IF(ROUND(100/B22*C22-100,1)&gt;999,999,-999)))</f>
        <v>3.9</v>
      </c>
      <c r="E22" s="11">
        <f>IFERROR(100/'Skjema total MA'!C22*C22,0)</f>
        <v>12.939883279401608</v>
      </c>
      <c r="F22" s="316">
        <v>3214</v>
      </c>
      <c r="G22" s="315">
        <v>3017</v>
      </c>
      <c r="H22" s="344">
        <f t="shared" ref="H22:H28" si="4">IF(F22=0, "    ---- ", IF(ABS(ROUND(100/F22*G22-100,1))&lt;999,ROUND(100/F22*G22-100,1),IF(ROUND(100/F22*G22-100,1)&gt;999,999,-999)))</f>
        <v>-6.1</v>
      </c>
      <c r="I22" s="11">
        <f>IFERROR(100/'Skjema total MA'!F22*G22,0)</f>
        <v>1.5132257776220623</v>
      </c>
      <c r="J22" s="314">
        <v>122678</v>
      </c>
      <c r="K22" s="314">
        <v>127098</v>
      </c>
      <c r="L22" s="403">
        <f t="shared" ref="L22:L28" si="5">IF(J22=0, "    ---- ", IF(ABS(ROUND(100/J22*K22-100,1))&lt;999,ROUND(100/J22*K22-100,1),IF(ROUND(100/J22*K22-100,1)&gt;999,999,-999)))</f>
        <v>3.6</v>
      </c>
      <c r="M22" s="24">
        <f>IFERROR(100/'Skjema total MA'!I22*K22,0)</f>
        <v>10.973004363751345</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119464</v>
      </c>
      <c r="C27" s="290">
        <v>124081</v>
      </c>
      <c r="D27" s="165">
        <f t="shared" si="3"/>
        <v>3.9</v>
      </c>
      <c r="E27" s="27">
        <f>IFERROR(100/'Skjema total MA'!C27*C27,0)</f>
        <v>12.545285345180002</v>
      </c>
      <c r="F27" s="234"/>
      <c r="G27" s="290"/>
      <c r="H27" s="165"/>
      <c r="I27" s="27"/>
      <c r="J27" s="44">
        <v>119464</v>
      </c>
      <c r="K27" s="44">
        <v>124081</v>
      </c>
      <c r="L27" s="259">
        <f t="shared" si="5"/>
        <v>3.9</v>
      </c>
      <c r="M27" s="23">
        <f>IFERROR(100/'Skjema total MA'!I27*K27,0)</f>
        <v>12.545285345180002</v>
      </c>
    </row>
    <row r="28" spans="1:14" s="3" customFormat="1" ht="15.75" x14ac:dyDescent="0.2">
      <c r="A28" s="13" t="s">
        <v>26</v>
      </c>
      <c r="B28" s="236">
        <v>353936</v>
      </c>
      <c r="C28" s="307">
        <v>428167</v>
      </c>
      <c r="D28" s="170">
        <f t="shared" si="3"/>
        <v>21</v>
      </c>
      <c r="E28" s="11">
        <f>IFERROR(100/'Skjema total MA'!C28*C28,0)</f>
        <v>0.84033846394272882</v>
      </c>
      <c r="F28" s="306">
        <v>74317</v>
      </c>
      <c r="G28" s="307">
        <v>100569</v>
      </c>
      <c r="H28" s="170">
        <f t="shared" si="4"/>
        <v>35.299999999999997</v>
      </c>
      <c r="I28" s="11">
        <f>IFERROR(100/'Skjema total MA'!F28*G28,0)</f>
        <v>0.51215683220873653</v>
      </c>
      <c r="J28" s="236">
        <v>428253</v>
      </c>
      <c r="K28" s="236">
        <v>528736</v>
      </c>
      <c r="L28" s="404">
        <f t="shared" si="5"/>
        <v>23.5</v>
      </c>
      <c r="M28" s="24">
        <f>IFERROR(100/'Skjema total MA'!I28*K28,0)</f>
        <v>0.74904410555341761</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65"/>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28500</v>
      </c>
      <c r="C45" s="309">
        <v>29804.782999999999</v>
      </c>
      <c r="D45" s="403">
        <f t="shared" ref="D45:D46" si="6">IF(B45=0, "    ---- ", IF(ABS(ROUND(100/B45*C45-100,1))&lt;999,ROUND(100/B45*C45-100,1),IF(ROUND(100/B45*C45-100,1)&gt;999,999,-999)))</f>
        <v>4.5999999999999996</v>
      </c>
      <c r="E45" s="11">
        <f>IFERROR(100/'Skjema total MA'!C45*C45,0)</f>
        <v>1.0869731773302336</v>
      </c>
      <c r="F45" s="144"/>
      <c r="G45" s="33"/>
      <c r="H45" s="158"/>
      <c r="I45" s="158"/>
      <c r="J45" s="37"/>
      <c r="K45" s="37"/>
      <c r="L45" s="158"/>
      <c r="M45" s="158"/>
      <c r="N45" s="147"/>
    </row>
    <row r="46" spans="1:14" s="3" customFormat="1" ht="15.75" x14ac:dyDescent="0.2">
      <c r="A46" s="38" t="s">
        <v>312</v>
      </c>
      <c r="B46" s="286">
        <v>28500</v>
      </c>
      <c r="C46" s="287">
        <v>29804.782999999999</v>
      </c>
      <c r="D46" s="259">
        <f t="shared" si="6"/>
        <v>4.5999999999999996</v>
      </c>
      <c r="E46" s="27">
        <f>IFERROR(100/'Skjema total MA'!C46*C46,0)</f>
        <v>2.0476924627979192</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67651</v>
      </c>
      <c r="C64" s="347">
        <v>72967</v>
      </c>
      <c r="D64" s="344">
        <f t="shared" ref="D64:D109" si="7">IF(B64=0, "    ---- ", IF(ABS(ROUND(100/B64*C64-100,1))&lt;999,ROUND(100/B64*C64-100,1),IF(ROUND(100/B64*C64-100,1)&gt;999,999,-999)))</f>
        <v>7.9</v>
      </c>
      <c r="E64" s="11">
        <f>IFERROR(100/'Skjema total MA'!C64*C64,0)</f>
        <v>1.3584720999320841</v>
      </c>
      <c r="F64" s="346">
        <v>144889</v>
      </c>
      <c r="G64" s="346">
        <v>165367</v>
      </c>
      <c r="H64" s="344">
        <f t="shared" ref="H64:H109" si="8">IF(F64=0, "    ---- ", IF(ABS(ROUND(100/F64*G64-100,1))&lt;999,ROUND(100/F64*G64-100,1),IF(ROUND(100/F64*G64-100,1)&gt;999,999,-999)))</f>
        <v>14.1</v>
      </c>
      <c r="I64" s="11">
        <f>IFERROR(100/'Skjema total MA'!F64*G64,0)</f>
        <v>1.2736847947326895</v>
      </c>
      <c r="J64" s="307">
        <v>212540</v>
      </c>
      <c r="K64" s="314">
        <v>238334</v>
      </c>
      <c r="L64" s="404">
        <f t="shared" ref="L64:L109" si="9">IF(J64=0, "    ---- ", IF(ABS(ROUND(100/J64*K64-100,1))&lt;999,ROUND(100/J64*K64-100,1),IF(ROUND(100/J64*K64-100,1)&gt;999,999,-999)))</f>
        <v>12.1</v>
      </c>
      <c r="M64" s="11">
        <f>IFERROR(100/'Skjema total MA'!I64*K64,0)</f>
        <v>1.2984967776830674</v>
      </c>
    </row>
    <row r="65" spans="1:14" x14ac:dyDescent="0.2">
      <c r="A65" s="395" t="s">
        <v>9</v>
      </c>
      <c r="B65" s="44"/>
      <c r="C65" s="144"/>
      <c r="D65" s="165"/>
      <c r="E65" s="27"/>
      <c r="F65" s="234"/>
      <c r="G65" s="144"/>
      <c r="H65" s="165"/>
      <c r="I65" s="27"/>
      <c r="J65" s="290"/>
      <c r="K65" s="44"/>
      <c r="L65" s="259"/>
      <c r="M65" s="27"/>
    </row>
    <row r="66" spans="1:14" x14ac:dyDescent="0.2">
      <c r="A66" s="21" t="s">
        <v>10</v>
      </c>
      <c r="B66" s="292">
        <v>67651</v>
      </c>
      <c r="C66" s="293">
        <v>72967</v>
      </c>
      <c r="D66" s="165">
        <f t="shared" si="7"/>
        <v>7.9</v>
      </c>
      <c r="E66" s="27">
        <f>IFERROR(100/'Skjema total MA'!C66*C66,0)</f>
        <v>62.113671601972442</v>
      </c>
      <c r="F66" s="292">
        <v>144889</v>
      </c>
      <c r="G66" s="293">
        <v>165367</v>
      </c>
      <c r="H66" s="165">
        <f t="shared" si="8"/>
        <v>14.1</v>
      </c>
      <c r="I66" s="27">
        <f>IFERROR(100/'Skjema total MA'!F66*G66,0)</f>
        <v>1.286491329656148</v>
      </c>
      <c r="J66" s="290">
        <v>212540</v>
      </c>
      <c r="K66" s="44">
        <v>238334</v>
      </c>
      <c r="L66" s="259">
        <f t="shared" si="9"/>
        <v>12.1</v>
      </c>
      <c r="M66" s="27">
        <f>IFERROR(100/'Skjema total MA'!I66*K66,0)</f>
        <v>1.8373548479509541</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v>67651</v>
      </c>
      <c r="C75" s="234">
        <v>72967</v>
      </c>
      <c r="D75" s="165">
        <f t="shared" si="7"/>
        <v>7.9</v>
      </c>
      <c r="E75" s="27">
        <f>IFERROR(100/'Skjema total MA'!C75*C75,0)</f>
        <v>1.42952966137797</v>
      </c>
      <c r="F75" s="234">
        <v>144889</v>
      </c>
      <c r="G75" s="144">
        <v>165367</v>
      </c>
      <c r="H75" s="165">
        <f t="shared" si="8"/>
        <v>14.1</v>
      </c>
      <c r="I75" s="27">
        <f>IFERROR(100/'Skjema total MA'!F75*G75,0)</f>
        <v>1.2873318140890897</v>
      </c>
      <c r="J75" s="290">
        <v>212540</v>
      </c>
      <c r="K75" s="44">
        <v>238334</v>
      </c>
      <c r="L75" s="259">
        <f t="shared" si="9"/>
        <v>12.1</v>
      </c>
      <c r="M75" s="27">
        <f>IFERROR(100/'Skjema total MA'!I75*K75,0)</f>
        <v>1.3277672656242965</v>
      </c>
    </row>
    <row r="76" spans="1:14" x14ac:dyDescent="0.2">
      <c r="A76" s="21" t="s">
        <v>9</v>
      </c>
      <c r="B76" s="234"/>
      <c r="C76" s="144"/>
      <c r="D76" s="165"/>
      <c r="E76" s="27"/>
      <c r="F76" s="234"/>
      <c r="G76" s="144"/>
      <c r="H76" s="165"/>
      <c r="I76" s="27"/>
      <c r="J76" s="290"/>
      <c r="K76" s="44"/>
      <c r="L76" s="259"/>
      <c r="M76" s="27"/>
    </row>
    <row r="77" spans="1:14" x14ac:dyDescent="0.2">
      <c r="A77" s="21" t="s">
        <v>10</v>
      </c>
      <c r="B77" s="292">
        <v>67651</v>
      </c>
      <c r="C77" s="293">
        <v>72967</v>
      </c>
      <c r="D77" s="165">
        <f t="shared" si="7"/>
        <v>7.9</v>
      </c>
      <c r="E77" s="27">
        <f>IFERROR(100/'Skjema total MA'!C77*C77,0)</f>
        <v>63.310019172432014</v>
      </c>
      <c r="F77" s="292">
        <v>144889</v>
      </c>
      <c r="G77" s="293">
        <v>165367</v>
      </c>
      <c r="H77" s="165">
        <f t="shared" si="8"/>
        <v>14.1</v>
      </c>
      <c r="I77" s="27">
        <f>IFERROR(100/'Skjema total MA'!F77*G77,0)</f>
        <v>1.2873318140890897</v>
      </c>
      <c r="J77" s="290">
        <v>212540</v>
      </c>
      <c r="K77" s="44">
        <v>238334</v>
      </c>
      <c r="L77" s="259">
        <f t="shared" si="9"/>
        <v>12.1</v>
      </c>
      <c r="M77" s="27">
        <f>IFERROR(100/'Skjema total MA'!I77*K77,0)</f>
        <v>1.8388592334844533</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v>162408</v>
      </c>
      <c r="C85" s="347">
        <v>187089</v>
      </c>
      <c r="D85" s="170">
        <f t="shared" si="7"/>
        <v>15.2</v>
      </c>
      <c r="E85" s="11">
        <f>IFERROR(100/'Skjema total MA'!C85*C85,0)</f>
        <v>5.0049200229203311E-2</v>
      </c>
      <c r="F85" s="346">
        <v>2320558</v>
      </c>
      <c r="G85" s="346">
        <v>2824700</v>
      </c>
      <c r="H85" s="170">
        <f t="shared" si="8"/>
        <v>21.7</v>
      </c>
      <c r="I85" s="11">
        <f>IFERROR(100/'Skjema total MA'!F85*G85,0)</f>
        <v>1.4202578385561837</v>
      </c>
      <c r="J85" s="307">
        <v>2482966</v>
      </c>
      <c r="K85" s="236">
        <v>3011789</v>
      </c>
      <c r="L85" s="404">
        <f t="shared" si="9"/>
        <v>21.3</v>
      </c>
      <c r="M85" s="11">
        <f>IFERROR(100/'Skjema total MA'!I85*K85,0)</f>
        <v>0.52589609337166721</v>
      </c>
    </row>
    <row r="86" spans="1:13" x14ac:dyDescent="0.2">
      <c r="A86" s="21" t="s">
        <v>9</v>
      </c>
      <c r="B86" s="234"/>
      <c r="C86" s="144"/>
      <c r="D86" s="165"/>
      <c r="E86" s="27"/>
      <c r="F86" s="234"/>
      <c r="G86" s="144"/>
      <c r="H86" s="165"/>
      <c r="I86" s="27"/>
      <c r="J86" s="290"/>
      <c r="K86" s="44"/>
      <c r="L86" s="259"/>
      <c r="M86" s="27"/>
    </row>
    <row r="87" spans="1:13" x14ac:dyDescent="0.2">
      <c r="A87" s="21" t="s">
        <v>10</v>
      </c>
      <c r="B87" s="234">
        <v>162408</v>
      </c>
      <c r="C87" s="144">
        <v>187089</v>
      </c>
      <c r="D87" s="165">
        <f t="shared" si="7"/>
        <v>15.2</v>
      </c>
      <c r="E87" s="27">
        <f>IFERROR(100/'Skjema total MA'!C87*C87,0)</f>
        <v>7.4862566416907148</v>
      </c>
      <c r="F87" s="234">
        <v>2320558</v>
      </c>
      <c r="G87" s="144">
        <v>2824700</v>
      </c>
      <c r="H87" s="165">
        <f t="shared" si="8"/>
        <v>21.7</v>
      </c>
      <c r="I87" s="27">
        <f>IFERROR(100/'Skjema total MA'!F87*G87,0)</f>
        <v>1.4228289656268327</v>
      </c>
      <c r="J87" s="290">
        <v>2482966</v>
      </c>
      <c r="K87" s="44">
        <v>3011789</v>
      </c>
      <c r="L87" s="259">
        <f t="shared" si="9"/>
        <v>21.3</v>
      </c>
      <c r="M87" s="27">
        <f>IFERROR(100/'Skjema total MA'!I87*K87,0)</f>
        <v>1.4982077703145273</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v>162408</v>
      </c>
      <c r="C96" s="234">
        <v>187089</v>
      </c>
      <c r="D96" s="165">
        <f t="shared" si="7"/>
        <v>15.2</v>
      </c>
      <c r="E96" s="27">
        <f>IFERROR(100/'Skjema total MA'!C96*C96,0)</f>
        <v>5.0748581246102917E-2</v>
      </c>
      <c r="F96" s="292">
        <v>2320558</v>
      </c>
      <c r="G96" s="292">
        <v>2824700</v>
      </c>
      <c r="H96" s="165">
        <f t="shared" si="8"/>
        <v>21.7</v>
      </c>
      <c r="I96" s="27">
        <f>IFERROR(100/'Skjema total MA'!F96*G96,0)</f>
        <v>1.4266576974126659</v>
      </c>
      <c r="J96" s="290">
        <v>2482966</v>
      </c>
      <c r="K96" s="44">
        <v>3011789</v>
      </c>
      <c r="L96" s="259">
        <f t="shared" si="9"/>
        <v>21.3</v>
      </c>
      <c r="M96" s="27">
        <f>IFERROR(100/'Skjema total MA'!I96*K96,0)</f>
        <v>0.53150516639197554</v>
      </c>
    </row>
    <row r="97" spans="1:13" x14ac:dyDescent="0.2">
      <c r="A97" s="21" t="s">
        <v>9</v>
      </c>
      <c r="B97" s="292"/>
      <c r="C97" s="293"/>
      <c r="D97" s="165"/>
      <c r="E97" s="27"/>
      <c r="F97" s="234"/>
      <c r="G97" s="144"/>
      <c r="H97" s="165"/>
      <c r="I97" s="27"/>
      <c r="J97" s="290"/>
      <c r="K97" s="44"/>
      <c r="L97" s="259"/>
      <c r="M97" s="27"/>
    </row>
    <row r="98" spans="1:13" x14ac:dyDescent="0.2">
      <c r="A98" s="21" t="s">
        <v>10</v>
      </c>
      <c r="B98" s="292">
        <v>162408</v>
      </c>
      <c r="C98" s="293">
        <v>187089</v>
      </c>
      <c r="D98" s="165">
        <f t="shared" si="7"/>
        <v>15.2</v>
      </c>
      <c r="E98" s="27">
        <f>IFERROR(100/'Skjema total MA'!C98*C98,0)</f>
        <v>7.4862566416907148</v>
      </c>
      <c r="F98" s="234">
        <v>2320558</v>
      </c>
      <c r="G98" s="234">
        <v>2824700</v>
      </c>
      <c r="H98" s="165">
        <f t="shared" si="8"/>
        <v>21.7</v>
      </c>
      <c r="I98" s="27">
        <f>IFERROR(100/'Skjema total MA'!F98*G98,0)</f>
        <v>1.4266576974126659</v>
      </c>
      <c r="J98" s="290">
        <v>2482966</v>
      </c>
      <c r="K98" s="44">
        <v>3011789</v>
      </c>
      <c r="L98" s="259">
        <f t="shared" si="9"/>
        <v>21.3</v>
      </c>
      <c r="M98" s="27">
        <f>IFERROR(100/'Skjema total MA'!I98*K98,0)</f>
        <v>1.5021890885894491</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v>828.38</v>
      </c>
      <c r="C109" s="158">
        <v>303.44600000000003</v>
      </c>
      <c r="D109" s="170">
        <f t="shared" si="7"/>
        <v>-63.4</v>
      </c>
      <c r="E109" s="11">
        <f>IFERROR(100/'Skjema total MA'!C109*C109,0)</f>
        <v>8.7151978944362676E-2</v>
      </c>
      <c r="F109" s="306">
        <v>30749.536</v>
      </c>
      <c r="G109" s="158">
        <v>46177.891000000003</v>
      </c>
      <c r="H109" s="170">
        <f t="shared" si="8"/>
        <v>50.2</v>
      </c>
      <c r="I109" s="11">
        <f>IFERROR(100/'Skjema total MA'!F109*G109,0)</f>
        <v>0.71364790158095337</v>
      </c>
      <c r="J109" s="307">
        <v>31577.916000000001</v>
      </c>
      <c r="K109" s="236">
        <v>46481.337000000007</v>
      </c>
      <c r="L109" s="404">
        <f t="shared" si="9"/>
        <v>47.2</v>
      </c>
      <c r="M109" s="11">
        <f>IFERROR(100/'Skjema total MA'!I109*K109,0)</f>
        <v>0.68165818059177763</v>
      </c>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v>828.38</v>
      </c>
      <c r="C111" s="144">
        <v>303.44600000000003</v>
      </c>
      <c r="D111" s="165">
        <f t="shared" ref="D111:D119" si="10">IF(B111=0, "    ---- ", IF(ABS(ROUND(100/B111*C111-100,1))&lt;999,ROUND(100/B111*C111-100,1),IF(ROUND(100/B111*C111-100,1)&gt;999,999,-999)))</f>
        <v>-63.4</v>
      </c>
      <c r="E111" s="27">
        <f>IFERROR(100/'Skjema total MA'!C111*C111,0)</f>
        <v>11.997545501918763</v>
      </c>
      <c r="F111" s="234">
        <v>30749.536</v>
      </c>
      <c r="G111" s="144">
        <v>46177.891000000003</v>
      </c>
      <c r="H111" s="165">
        <f t="shared" ref="H111:H119" si="11">IF(F111=0, "    ---- ", IF(ABS(ROUND(100/F111*G111-100,1))&lt;999,ROUND(100/F111*G111-100,1),IF(ROUND(100/F111*G111-100,1)&gt;999,999,-999)))</f>
        <v>50.2</v>
      </c>
      <c r="I111" s="27">
        <f>IFERROR(100/'Skjema total MA'!F111*G111,0)</f>
        <v>0.71364790158095337</v>
      </c>
      <c r="J111" s="290">
        <v>31577.916000000001</v>
      </c>
      <c r="K111" s="44">
        <v>46481.337000000007</v>
      </c>
      <c r="L111" s="259">
        <f t="shared" ref="L111:L119" si="12">IF(J111=0, "    ---- ", IF(ABS(ROUND(100/J111*K111-100,1))&lt;999,ROUND(100/J111*K111-100,1),IF(ROUND(100/J111*K111-100,1)&gt;999,999,-999)))</f>
        <v>47.2</v>
      </c>
      <c r="M111" s="27">
        <f>IFERROR(100/'Skjema total MA'!I111*K111,0)</f>
        <v>0.71805678204765833</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2696.0970000000002</v>
      </c>
      <c r="C117" s="158">
        <v>733.12800000000004</v>
      </c>
      <c r="D117" s="170">
        <f t="shared" si="10"/>
        <v>-72.8</v>
      </c>
      <c r="E117" s="11">
        <f>IFERROR(100/'Skjema total MA'!C117*C117,0)</f>
        <v>0.24990690252208578</v>
      </c>
      <c r="F117" s="306">
        <v>36500</v>
      </c>
      <c r="G117" s="158">
        <v>81510.804999999993</v>
      </c>
      <c r="H117" s="170">
        <f t="shared" si="11"/>
        <v>123.3</v>
      </c>
      <c r="I117" s="11">
        <f>IFERROR(100/'Skjema total MA'!F117*G117,0)</f>
        <v>1.2643170260801524</v>
      </c>
      <c r="J117" s="307">
        <v>39196.097000000002</v>
      </c>
      <c r="K117" s="236">
        <v>82243.93299999999</v>
      </c>
      <c r="L117" s="404">
        <f t="shared" si="12"/>
        <v>109.8</v>
      </c>
      <c r="M117" s="11">
        <f>IFERROR(100/'Skjema total MA'!I117*K117,0)</f>
        <v>1.2201670422160487</v>
      </c>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v>2696.0970000000002</v>
      </c>
      <c r="C119" s="144">
        <v>733.12800000000004</v>
      </c>
      <c r="D119" s="165">
        <f t="shared" si="10"/>
        <v>-72.8</v>
      </c>
      <c r="E119" s="27">
        <f>IFERROR(100/'Skjema total MA'!C119*C119,0)</f>
        <v>4.2105085372274971</v>
      </c>
      <c r="F119" s="234">
        <v>36500</v>
      </c>
      <c r="G119" s="144">
        <v>81510.804999999993</v>
      </c>
      <c r="H119" s="165">
        <f t="shared" si="11"/>
        <v>123.3</v>
      </c>
      <c r="I119" s="27">
        <f>IFERROR(100/'Skjema total MA'!F119*G119,0)</f>
        <v>1.2643170260801524</v>
      </c>
      <c r="J119" s="290">
        <v>39196.097000000002</v>
      </c>
      <c r="K119" s="44">
        <v>82243.93299999999</v>
      </c>
      <c r="L119" s="259">
        <f t="shared" si="12"/>
        <v>109.8</v>
      </c>
      <c r="M119" s="27">
        <f>IFERROR(100/'Skjema total MA'!I119*K119,0)</f>
        <v>1.2722525515175578</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557" priority="132">
      <formula>kvartal &lt; 4</formula>
    </cfRule>
  </conditionalFormatting>
  <conditionalFormatting sqref="B29">
    <cfRule type="expression" dxfId="1556" priority="130">
      <formula>kvartal &lt; 4</formula>
    </cfRule>
  </conditionalFormatting>
  <conditionalFormatting sqref="B30">
    <cfRule type="expression" dxfId="1555" priority="129">
      <formula>kvartal &lt; 4</formula>
    </cfRule>
  </conditionalFormatting>
  <conditionalFormatting sqref="B31">
    <cfRule type="expression" dxfId="1554" priority="128">
      <formula>kvartal &lt; 4</formula>
    </cfRule>
  </conditionalFormatting>
  <conditionalFormatting sqref="C29">
    <cfRule type="expression" dxfId="1553" priority="127">
      <formula>kvartal &lt; 4</formula>
    </cfRule>
  </conditionalFormatting>
  <conditionalFormatting sqref="C30">
    <cfRule type="expression" dxfId="1552" priority="126">
      <formula>kvartal &lt; 4</formula>
    </cfRule>
  </conditionalFormatting>
  <conditionalFormatting sqref="C31">
    <cfRule type="expression" dxfId="1551" priority="125">
      <formula>kvartal &lt; 4</formula>
    </cfRule>
  </conditionalFormatting>
  <conditionalFormatting sqref="B23:C25">
    <cfRule type="expression" dxfId="1550" priority="124">
      <formula>kvartal &lt; 4</formula>
    </cfRule>
  </conditionalFormatting>
  <conditionalFormatting sqref="F23:G25">
    <cfRule type="expression" dxfId="1549" priority="120">
      <formula>kvartal &lt; 4</formula>
    </cfRule>
  </conditionalFormatting>
  <conditionalFormatting sqref="F29">
    <cfRule type="expression" dxfId="1548" priority="113">
      <formula>kvartal &lt; 4</formula>
    </cfRule>
  </conditionalFormatting>
  <conditionalFormatting sqref="F30">
    <cfRule type="expression" dxfId="1547" priority="112">
      <formula>kvartal &lt; 4</formula>
    </cfRule>
  </conditionalFormatting>
  <conditionalFormatting sqref="F31">
    <cfRule type="expression" dxfId="1546" priority="111">
      <formula>kvartal &lt; 4</formula>
    </cfRule>
  </conditionalFormatting>
  <conditionalFormatting sqref="G29">
    <cfRule type="expression" dxfId="1545" priority="110">
      <formula>kvartal &lt; 4</formula>
    </cfRule>
  </conditionalFormatting>
  <conditionalFormatting sqref="G30">
    <cfRule type="expression" dxfId="1544" priority="109">
      <formula>kvartal &lt; 4</formula>
    </cfRule>
  </conditionalFormatting>
  <conditionalFormatting sqref="G31">
    <cfRule type="expression" dxfId="1543" priority="108">
      <formula>kvartal &lt; 4</formula>
    </cfRule>
  </conditionalFormatting>
  <conditionalFormatting sqref="B26">
    <cfRule type="expression" dxfId="1542" priority="107">
      <formula>kvartal &lt; 4</formula>
    </cfRule>
  </conditionalFormatting>
  <conditionalFormatting sqref="C26">
    <cfRule type="expression" dxfId="1541" priority="106">
      <formula>kvartal &lt; 4</formula>
    </cfRule>
  </conditionalFormatting>
  <conditionalFormatting sqref="F26">
    <cfRule type="expression" dxfId="1540" priority="105">
      <formula>kvartal &lt; 4</formula>
    </cfRule>
  </conditionalFormatting>
  <conditionalFormatting sqref="G26">
    <cfRule type="expression" dxfId="1539" priority="104">
      <formula>kvartal &lt; 4</formula>
    </cfRule>
  </conditionalFormatting>
  <conditionalFormatting sqref="J23:K26">
    <cfRule type="expression" dxfId="1538" priority="103">
      <formula>kvartal &lt; 4</formula>
    </cfRule>
  </conditionalFormatting>
  <conditionalFormatting sqref="J29:K31">
    <cfRule type="expression" dxfId="1537" priority="101">
      <formula>kvartal &lt; 4</formula>
    </cfRule>
  </conditionalFormatting>
  <conditionalFormatting sqref="B67">
    <cfRule type="expression" dxfId="1536" priority="100">
      <formula>kvartal &lt; 4</formula>
    </cfRule>
  </conditionalFormatting>
  <conditionalFormatting sqref="C67">
    <cfRule type="expression" dxfId="1535" priority="99">
      <formula>kvartal &lt; 4</formula>
    </cfRule>
  </conditionalFormatting>
  <conditionalFormatting sqref="B70">
    <cfRule type="expression" dxfId="1534" priority="98">
      <formula>kvartal &lt; 4</formula>
    </cfRule>
  </conditionalFormatting>
  <conditionalFormatting sqref="C70">
    <cfRule type="expression" dxfId="1533" priority="97">
      <formula>kvartal &lt; 4</formula>
    </cfRule>
  </conditionalFormatting>
  <conditionalFormatting sqref="B78">
    <cfRule type="expression" dxfId="1532" priority="96">
      <formula>kvartal &lt; 4</formula>
    </cfRule>
  </conditionalFormatting>
  <conditionalFormatting sqref="C78">
    <cfRule type="expression" dxfId="1531" priority="95">
      <formula>kvartal &lt; 4</formula>
    </cfRule>
  </conditionalFormatting>
  <conditionalFormatting sqref="B81">
    <cfRule type="expression" dxfId="1530" priority="94">
      <formula>kvartal &lt; 4</formula>
    </cfRule>
  </conditionalFormatting>
  <conditionalFormatting sqref="C81">
    <cfRule type="expression" dxfId="1529" priority="93">
      <formula>kvartal &lt; 4</formula>
    </cfRule>
  </conditionalFormatting>
  <conditionalFormatting sqref="B88">
    <cfRule type="expression" dxfId="1528" priority="84">
      <formula>kvartal &lt; 4</formula>
    </cfRule>
  </conditionalFormatting>
  <conditionalFormatting sqref="C88">
    <cfRule type="expression" dxfId="1527" priority="83">
      <formula>kvartal &lt; 4</formula>
    </cfRule>
  </conditionalFormatting>
  <conditionalFormatting sqref="B91">
    <cfRule type="expression" dxfId="1526" priority="82">
      <formula>kvartal &lt; 4</formula>
    </cfRule>
  </conditionalFormatting>
  <conditionalFormatting sqref="C91">
    <cfRule type="expression" dxfId="1525" priority="81">
      <formula>kvartal &lt; 4</formula>
    </cfRule>
  </conditionalFormatting>
  <conditionalFormatting sqref="B99">
    <cfRule type="expression" dxfId="1524" priority="80">
      <formula>kvartal &lt; 4</formula>
    </cfRule>
  </conditionalFormatting>
  <conditionalFormatting sqref="C99">
    <cfRule type="expression" dxfId="1523" priority="79">
      <formula>kvartal &lt; 4</formula>
    </cfRule>
  </conditionalFormatting>
  <conditionalFormatting sqref="B102">
    <cfRule type="expression" dxfId="1522" priority="78">
      <formula>kvartal &lt; 4</formula>
    </cfRule>
  </conditionalFormatting>
  <conditionalFormatting sqref="C102">
    <cfRule type="expression" dxfId="1521" priority="77">
      <formula>kvartal &lt; 4</formula>
    </cfRule>
  </conditionalFormatting>
  <conditionalFormatting sqref="B113">
    <cfRule type="expression" dxfId="1520" priority="76">
      <formula>kvartal &lt; 4</formula>
    </cfRule>
  </conditionalFormatting>
  <conditionalFormatting sqref="C113">
    <cfRule type="expression" dxfId="1519" priority="75">
      <formula>kvartal &lt; 4</formula>
    </cfRule>
  </conditionalFormatting>
  <conditionalFormatting sqref="B121">
    <cfRule type="expression" dxfId="1518" priority="74">
      <formula>kvartal &lt; 4</formula>
    </cfRule>
  </conditionalFormatting>
  <conditionalFormatting sqref="C121">
    <cfRule type="expression" dxfId="1517" priority="73">
      <formula>kvartal &lt; 4</formula>
    </cfRule>
  </conditionalFormatting>
  <conditionalFormatting sqref="F68">
    <cfRule type="expression" dxfId="1516" priority="72">
      <formula>kvartal &lt; 4</formula>
    </cfRule>
  </conditionalFormatting>
  <conditionalFormatting sqref="G68">
    <cfRule type="expression" dxfId="1515" priority="71">
      <formula>kvartal &lt; 4</formula>
    </cfRule>
  </conditionalFormatting>
  <conditionalFormatting sqref="F69:G69">
    <cfRule type="expression" dxfId="1514" priority="70">
      <formula>kvartal &lt; 4</formula>
    </cfRule>
  </conditionalFormatting>
  <conditionalFormatting sqref="F71:G72">
    <cfRule type="expression" dxfId="1513" priority="69">
      <formula>kvartal &lt; 4</formula>
    </cfRule>
  </conditionalFormatting>
  <conditionalFormatting sqref="F79:G80">
    <cfRule type="expression" dxfId="1512" priority="68">
      <formula>kvartal &lt; 4</formula>
    </cfRule>
  </conditionalFormatting>
  <conditionalFormatting sqref="F82:G83">
    <cfRule type="expression" dxfId="1511" priority="67">
      <formula>kvartal &lt; 4</formula>
    </cfRule>
  </conditionalFormatting>
  <conditionalFormatting sqref="F89:G90">
    <cfRule type="expression" dxfId="1510" priority="62">
      <formula>kvartal &lt; 4</formula>
    </cfRule>
  </conditionalFormatting>
  <conditionalFormatting sqref="F92:G93">
    <cfRule type="expression" dxfId="1509" priority="61">
      <formula>kvartal &lt; 4</formula>
    </cfRule>
  </conditionalFormatting>
  <conditionalFormatting sqref="F100:G101">
    <cfRule type="expression" dxfId="1508" priority="60">
      <formula>kvartal &lt; 4</formula>
    </cfRule>
  </conditionalFormatting>
  <conditionalFormatting sqref="F103:G104">
    <cfRule type="expression" dxfId="1507" priority="59">
      <formula>kvartal &lt; 4</formula>
    </cfRule>
  </conditionalFormatting>
  <conditionalFormatting sqref="F113">
    <cfRule type="expression" dxfId="1506" priority="58">
      <formula>kvartal &lt; 4</formula>
    </cfRule>
  </conditionalFormatting>
  <conditionalFormatting sqref="G113">
    <cfRule type="expression" dxfId="1505" priority="57">
      <formula>kvartal &lt; 4</formula>
    </cfRule>
  </conditionalFormatting>
  <conditionalFormatting sqref="F121:G121">
    <cfRule type="expression" dxfId="1504" priority="56">
      <formula>kvartal &lt; 4</formula>
    </cfRule>
  </conditionalFormatting>
  <conditionalFormatting sqref="F67:G67">
    <cfRule type="expression" dxfId="1503" priority="55">
      <formula>kvartal &lt; 4</formula>
    </cfRule>
  </conditionalFormatting>
  <conditionalFormatting sqref="F70:G70">
    <cfRule type="expression" dxfId="1502" priority="54">
      <formula>kvartal &lt; 4</formula>
    </cfRule>
  </conditionalFormatting>
  <conditionalFormatting sqref="F78:G78">
    <cfRule type="expression" dxfId="1501" priority="53">
      <formula>kvartal &lt; 4</formula>
    </cfRule>
  </conditionalFormatting>
  <conditionalFormatting sqref="F81:G81">
    <cfRule type="expression" dxfId="1500" priority="52">
      <formula>kvartal &lt; 4</formula>
    </cfRule>
  </conditionalFormatting>
  <conditionalFormatting sqref="F88:G88">
    <cfRule type="expression" dxfId="1499" priority="46">
      <formula>kvartal &lt; 4</formula>
    </cfRule>
  </conditionalFormatting>
  <conditionalFormatting sqref="F91">
    <cfRule type="expression" dxfId="1498" priority="45">
      <formula>kvartal &lt; 4</formula>
    </cfRule>
  </conditionalFormatting>
  <conditionalFormatting sqref="G91">
    <cfRule type="expression" dxfId="1497" priority="44">
      <formula>kvartal &lt; 4</formula>
    </cfRule>
  </conditionalFormatting>
  <conditionalFormatting sqref="F99">
    <cfRule type="expression" dxfId="1496" priority="43">
      <formula>kvartal &lt; 4</formula>
    </cfRule>
  </conditionalFormatting>
  <conditionalFormatting sqref="G99">
    <cfRule type="expression" dxfId="1495" priority="42">
      <formula>kvartal &lt; 4</formula>
    </cfRule>
  </conditionalFormatting>
  <conditionalFormatting sqref="G102">
    <cfRule type="expression" dxfId="1494" priority="41">
      <formula>kvartal &lt; 4</formula>
    </cfRule>
  </conditionalFormatting>
  <conditionalFormatting sqref="F102">
    <cfRule type="expression" dxfId="1493" priority="40">
      <formula>kvartal &lt; 4</formula>
    </cfRule>
  </conditionalFormatting>
  <conditionalFormatting sqref="J67:K71">
    <cfRule type="expression" dxfId="1492" priority="39">
      <formula>kvartal &lt; 4</formula>
    </cfRule>
  </conditionalFormatting>
  <conditionalFormatting sqref="J72:K72">
    <cfRule type="expression" dxfId="1491" priority="38">
      <formula>kvartal &lt; 4</formula>
    </cfRule>
  </conditionalFormatting>
  <conditionalFormatting sqref="J78:K83">
    <cfRule type="expression" dxfId="1490" priority="37">
      <formula>kvartal &lt; 4</formula>
    </cfRule>
  </conditionalFormatting>
  <conditionalFormatting sqref="J88:K93">
    <cfRule type="expression" dxfId="1489" priority="34">
      <formula>kvartal &lt; 4</formula>
    </cfRule>
  </conditionalFormatting>
  <conditionalFormatting sqref="J99:K104">
    <cfRule type="expression" dxfId="1488" priority="33">
      <formula>kvartal &lt; 4</formula>
    </cfRule>
  </conditionalFormatting>
  <conditionalFormatting sqref="J113:K113">
    <cfRule type="expression" dxfId="1487" priority="32">
      <formula>kvartal &lt; 4</formula>
    </cfRule>
  </conditionalFormatting>
  <conditionalFormatting sqref="J121:K121">
    <cfRule type="expression" dxfId="1486" priority="31">
      <formula>kvartal &lt; 4</formula>
    </cfRule>
  </conditionalFormatting>
  <conditionalFormatting sqref="A23:A25">
    <cfRule type="expression" dxfId="1485" priority="15">
      <formula>kvartal &lt; 4</formula>
    </cfRule>
  </conditionalFormatting>
  <conditionalFormatting sqref="A29:A31">
    <cfRule type="expression" dxfId="1484" priority="13">
      <formula>kvartal &lt; 4</formula>
    </cfRule>
  </conditionalFormatting>
  <conditionalFormatting sqref="A48:A50">
    <cfRule type="expression" dxfId="1483" priority="12">
      <formula>kvartal &lt; 4</formula>
    </cfRule>
  </conditionalFormatting>
  <conditionalFormatting sqref="A67:A72">
    <cfRule type="expression" dxfId="1482" priority="10">
      <formula>kvartal &lt; 4</formula>
    </cfRule>
  </conditionalFormatting>
  <conditionalFormatting sqref="A78:A83">
    <cfRule type="expression" dxfId="1481" priority="9">
      <formula>kvartal &lt; 4</formula>
    </cfRule>
  </conditionalFormatting>
  <conditionalFormatting sqref="A88:A93">
    <cfRule type="expression" dxfId="1480" priority="6">
      <formula>kvartal &lt; 4</formula>
    </cfRule>
  </conditionalFormatting>
  <conditionalFormatting sqref="A99:A104">
    <cfRule type="expression" dxfId="1479" priority="5">
      <formula>kvartal &lt; 4</formula>
    </cfRule>
  </conditionalFormatting>
  <conditionalFormatting sqref="A113">
    <cfRule type="expression" dxfId="1478" priority="4">
      <formula>kvartal &lt; 4</formula>
    </cfRule>
  </conditionalFormatting>
  <conditionalFormatting sqref="A121">
    <cfRule type="expression" dxfId="1477" priority="3">
      <formula>kvartal &lt; 4</formula>
    </cfRule>
  </conditionalFormatting>
  <conditionalFormatting sqref="A26">
    <cfRule type="expression" dxfId="1476" priority="2">
      <formula>kvartal &lt; 4</formula>
    </cfRule>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142</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4457</v>
      </c>
      <c r="C45" s="309">
        <v>4451</v>
      </c>
      <c r="D45" s="403">
        <f t="shared" ref="D45:D46" si="0">IF(B45=0, "    ---- ", IF(ABS(ROUND(100/B45*C45-100,1))&lt;999,ROUND(100/B45*C45-100,1),IF(ROUND(100/B45*C45-100,1)&gt;999,999,-999)))</f>
        <v>-0.1</v>
      </c>
      <c r="E45" s="11">
        <f>IFERROR(100/'Skjema total MA'!C45*C45,0)</f>
        <v>0.16232688600003797</v>
      </c>
      <c r="F45" s="144"/>
      <c r="G45" s="33"/>
      <c r="H45" s="158"/>
      <c r="I45" s="158"/>
      <c r="J45" s="37"/>
      <c r="K45" s="37"/>
      <c r="L45" s="158"/>
      <c r="M45" s="158"/>
      <c r="N45" s="147"/>
    </row>
    <row r="46" spans="1:14" s="3" customFormat="1" ht="15.75" x14ac:dyDescent="0.2">
      <c r="A46" s="38" t="s">
        <v>312</v>
      </c>
      <c r="B46" s="286">
        <v>4457</v>
      </c>
      <c r="C46" s="287">
        <v>4451</v>
      </c>
      <c r="D46" s="259">
        <f t="shared" si="0"/>
        <v>-0.1</v>
      </c>
      <c r="E46" s="27">
        <f>IFERROR(100/'Skjema total MA'!C46*C46,0)</f>
        <v>0.3057992118886938</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475" priority="132">
      <formula>kvartal &lt; 4</formula>
    </cfRule>
  </conditionalFormatting>
  <conditionalFormatting sqref="B29">
    <cfRule type="expression" dxfId="1474" priority="130">
      <formula>kvartal &lt; 4</formula>
    </cfRule>
  </conditionalFormatting>
  <conditionalFormatting sqref="B30">
    <cfRule type="expression" dxfId="1473" priority="129">
      <formula>kvartal &lt; 4</formula>
    </cfRule>
  </conditionalFormatting>
  <conditionalFormatting sqref="B31">
    <cfRule type="expression" dxfId="1472" priority="128">
      <formula>kvartal &lt; 4</formula>
    </cfRule>
  </conditionalFormatting>
  <conditionalFormatting sqref="C29">
    <cfRule type="expression" dxfId="1471" priority="127">
      <formula>kvartal &lt; 4</formula>
    </cfRule>
  </conditionalFormatting>
  <conditionalFormatting sqref="C30">
    <cfRule type="expression" dxfId="1470" priority="126">
      <formula>kvartal &lt; 4</formula>
    </cfRule>
  </conditionalFormatting>
  <conditionalFormatting sqref="C31">
    <cfRule type="expression" dxfId="1469" priority="125">
      <formula>kvartal &lt; 4</formula>
    </cfRule>
  </conditionalFormatting>
  <conditionalFormatting sqref="B23:C25">
    <cfRule type="expression" dxfId="1468" priority="124">
      <formula>kvartal &lt; 4</formula>
    </cfRule>
  </conditionalFormatting>
  <conditionalFormatting sqref="F23:G25">
    <cfRule type="expression" dxfId="1467" priority="120">
      <formula>kvartal &lt; 4</formula>
    </cfRule>
  </conditionalFormatting>
  <conditionalFormatting sqref="F29">
    <cfRule type="expression" dxfId="1466" priority="113">
      <formula>kvartal &lt; 4</formula>
    </cfRule>
  </conditionalFormatting>
  <conditionalFormatting sqref="F30">
    <cfRule type="expression" dxfId="1465" priority="112">
      <formula>kvartal &lt; 4</formula>
    </cfRule>
  </conditionalFormatting>
  <conditionalFormatting sqref="F31">
    <cfRule type="expression" dxfId="1464" priority="111">
      <formula>kvartal &lt; 4</formula>
    </cfRule>
  </conditionalFormatting>
  <conditionalFormatting sqref="G29">
    <cfRule type="expression" dxfId="1463" priority="110">
      <formula>kvartal &lt; 4</formula>
    </cfRule>
  </conditionalFormatting>
  <conditionalFormatting sqref="G30">
    <cfRule type="expression" dxfId="1462" priority="109">
      <formula>kvartal &lt; 4</formula>
    </cfRule>
  </conditionalFormatting>
  <conditionalFormatting sqref="G31">
    <cfRule type="expression" dxfId="1461" priority="108">
      <formula>kvartal &lt; 4</formula>
    </cfRule>
  </conditionalFormatting>
  <conditionalFormatting sqref="B26">
    <cfRule type="expression" dxfId="1460" priority="107">
      <formula>kvartal &lt; 4</formula>
    </cfRule>
  </conditionalFormatting>
  <conditionalFormatting sqref="C26">
    <cfRule type="expression" dxfId="1459" priority="106">
      <formula>kvartal &lt; 4</formula>
    </cfRule>
  </conditionalFormatting>
  <conditionalFormatting sqref="F26">
    <cfRule type="expression" dxfId="1458" priority="105">
      <formula>kvartal &lt; 4</formula>
    </cfRule>
  </conditionalFormatting>
  <conditionalFormatting sqref="G26">
    <cfRule type="expression" dxfId="1457" priority="104">
      <formula>kvartal &lt; 4</formula>
    </cfRule>
  </conditionalFormatting>
  <conditionalFormatting sqref="J23:K26">
    <cfRule type="expression" dxfId="1456" priority="103">
      <formula>kvartal &lt; 4</formula>
    </cfRule>
  </conditionalFormatting>
  <conditionalFormatting sqref="J29:K31">
    <cfRule type="expression" dxfId="1455" priority="101">
      <formula>kvartal &lt; 4</formula>
    </cfRule>
  </conditionalFormatting>
  <conditionalFormatting sqref="B67">
    <cfRule type="expression" dxfId="1454" priority="100">
      <formula>kvartal &lt; 4</formula>
    </cfRule>
  </conditionalFormatting>
  <conditionalFormatting sqref="C67">
    <cfRule type="expression" dxfId="1453" priority="99">
      <formula>kvartal &lt; 4</formula>
    </cfRule>
  </conditionalFormatting>
  <conditionalFormatting sqref="B70">
    <cfRule type="expression" dxfId="1452" priority="98">
      <formula>kvartal &lt; 4</formula>
    </cfRule>
  </conditionalFormatting>
  <conditionalFormatting sqref="C70">
    <cfRule type="expression" dxfId="1451" priority="97">
      <formula>kvartal &lt; 4</formula>
    </cfRule>
  </conditionalFormatting>
  <conditionalFormatting sqref="B78">
    <cfRule type="expression" dxfId="1450" priority="96">
      <formula>kvartal &lt; 4</formula>
    </cfRule>
  </conditionalFormatting>
  <conditionalFormatting sqref="C78">
    <cfRule type="expression" dxfId="1449" priority="95">
      <formula>kvartal &lt; 4</formula>
    </cfRule>
  </conditionalFormatting>
  <conditionalFormatting sqref="B81">
    <cfRule type="expression" dxfId="1448" priority="94">
      <formula>kvartal &lt; 4</formula>
    </cfRule>
  </conditionalFormatting>
  <conditionalFormatting sqref="C81">
    <cfRule type="expression" dxfId="1447" priority="93">
      <formula>kvartal &lt; 4</formula>
    </cfRule>
  </conditionalFormatting>
  <conditionalFormatting sqref="B88">
    <cfRule type="expression" dxfId="1446" priority="84">
      <formula>kvartal &lt; 4</formula>
    </cfRule>
  </conditionalFormatting>
  <conditionalFormatting sqref="C88">
    <cfRule type="expression" dxfId="1445" priority="83">
      <formula>kvartal &lt; 4</formula>
    </cfRule>
  </conditionalFormatting>
  <conditionalFormatting sqref="B91">
    <cfRule type="expression" dxfId="1444" priority="82">
      <formula>kvartal &lt; 4</formula>
    </cfRule>
  </conditionalFormatting>
  <conditionalFormatting sqref="C91">
    <cfRule type="expression" dxfId="1443" priority="81">
      <formula>kvartal &lt; 4</formula>
    </cfRule>
  </conditionalFormatting>
  <conditionalFormatting sqref="B99">
    <cfRule type="expression" dxfId="1442" priority="80">
      <formula>kvartal &lt; 4</formula>
    </cfRule>
  </conditionalFormatting>
  <conditionalFormatting sqref="C99">
    <cfRule type="expression" dxfId="1441" priority="79">
      <formula>kvartal &lt; 4</formula>
    </cfRule>
  </conditionalFormatting>
  <conditionalFormatting sqref="B102">
    <cfRule type="expression" dxfId="1440" priority="78">
      <formula>kvartal &lt; 4</formula>
    </cfRule>
  </conditionalFormatting>
  <conditionalFormatting sqref="C102">
    <cfRule type="expression" dxfId="1439" priority="77">
      <formula>kvartal &lt; 4</formula>
    </cfRule>
  </conditionalFormatting>
  <conditionalFormatting sqref="B113">
    <cfRule type="expression" dxfId="1438" priority="76">
      <formula>kvartal &lt; 4</formula>
    </cfRule>
  </conditionalFormatting>
  <conditionalFormatting sqref="C113">
    <cfRule type="expression" dxfId="1437" priority="75">
      <formula>kvartal &lt; 4</formula>
    </cfRule>
  </conditionalFormatting>
  <conditionalFormatting sqref="B121">
    <cfRule type="expression" dxfId="1436" priority="74">
      <formula>kvartal &lt; 4</formula>
    </cfRule>
  </conditionalFormatting>
  <conditionalFormatting sqref="C121">
    <cfRule type="expression" dxfId="1435" priority="73">
      <formula>kvartal &lt; 4</formula>
    </cfRule>
  </conditionalFormatting>
  <conditionalFormatting sqref="F68">
    <cfRule type="expression" dxfId="1434" priority="72">
      <formula>kvartal &lt; 4</formula>
    </cfRule>
  </conditionalFormatting>
  <conditionalFormatting sqref="G68">
    <cfRule type="expression" dxfId="1433" priority="71">
      <formula>kvartal &lt; 4</formula>
    </cfRule>
  </conditionalFormatting>
  <conditionalFormatting sqref="F69:G69">
    <cfRule type="expression" dxfId="1432" priority="70">
      <formula>kvartal &lt; 4</formula>
    </cfRule>
  </conditionalFormatting>
  <conditionalFormatting sqref="F71:G72">
    <cfRule type="expression" dxfId="1431" priority="69">
      <formula>kvartal &lt; 4</formula>
    </cfRule>
  </conditionalFormatting>
  <conditionalFormatting sqref="F79:G80">
    <cfRule type="expression" dxfId="1430" priority="68">
      <formula>kvartal &lt; 4</formula>
    </cfRule>
  </conditionalFormatting>
  <conditionalFormatting sqref="F82:G83">
    <cfRule type="expression" dxfId="1429" priority="67">
      <formula>kvartal &lt; 4</formula>
    </cfRule>
  </conditionalFormatting>
  <conditionalFormatting sqref="F89:G90">
    <cfRule type="expression" dxfId="1428" priority="62">
      <formula>kvartal &lt; 4</formula>
    </cfRule>
  </conditionalFormatting>
  <conditionalFormatting sqref="F92:G93">
    <cfRule type="expression" dxfId="1427" priority="61">
      <formula>kvartal &lt; 4</formula>
    </cfRule>
  </conditionalFormatting>
  <conditionalFormatting sqref="F100:G101">
    <cfRule type="expression" dxfId="1426" priority="60">
      <formula>kvartal &lt; 4</formula>
    </cfRule>
  </conditionalFormatting>
  <conditionalFormatting sqref="F103:G104">
    <cfRule type="expression" dxfId="1425" priority="59">
      <formula>kvartal &lt; 4</formula>
    </cfRule>
  </conditionalFormatting>
  <conditionalFormatting sqref="F113">
    <cfRule type="expression" dxfId="1424" priority="58">
      <formula>kvartal &lt; 4</formula>
    </cfRule>
  </conditionalFormatting>
  <conditionalFormatting sqref="G113">
    <cfRule type="expression" dxfId="1423" priority="57">
      <formula>kvartal &lt; 4</formula>
    </cfRule>
  </conditionalFormatting>
  <conditionalFormatting sqref="F121:G121">
    <cfRule type="expression" dxfId="1422" priority="56">
      <formula>kvartal &lt; 4</formula>
    </cfRule>
  </conditionalFormatting>
  <conditionalFormatting sqref="F67:G67">
    <cfRule type="expression" dxfId="1421" priority="55">
      <formula>kvartal &lt; 4</formula>
    </cfRule>
  </conditionalFormatting>
  <conditionalFormatting sqref="F70:G70">
    <cfRule type="expression" dxfId="1420" priority="54">
      <formula>kvartal &lt; 4</formula>
    </cfRule>
  </conditionalFormatting>
  <conditionalFormatting sqref="F78:G78">
    <cfRule type="expression" dxfId="1419" priority="53">
      <formula>kvartal &lt; 4</formula>
    </cfRule>
  </conditionalFormatting>
  <conditionalFormatting sqref="F81:G81">
    <cfRule type="expression" dxfId="1418" priority="52">
      <formula>kvartal &lt; 4</formula>
    </cfRule>
  </conditionalFormatting>
  <conditionalFormatting sqref="F88:G88">
    <cfRule type="expression" dxfId="1417" priority="46">
      <formula>kvartal &lt; 4</formula>
    </cfRule>
  </conditionalFormatting>
  <conditionalFormatting sqref="F91">
    <cfRule type="expression" dxfId="1416" priority="45">
      <formula>kvartal &lt; 4</formula>
    </cfRule>
  </conditionalFormatting>
  <conditionalFormatting sqref="G91">
    <cfRule type="expression" dxfId="1415" priority="44">
      <formula>kvartal &lt; 4</formula>
    </cfRule>
  </conditionalFormatting>
  <conditionalFormatting sqref="F99">
    <cfRule type="expression" dxfId="1414" priority="43">
      <formula>kvartal &lt; 4</formula>
    </cfRule>
  </conditionalFormatting>
  <conditionalFormatting sqref="G99">
    <cfRule type="expression" dxfId="1413" priority="42">
      <formula>kvartal &lt; 4</formula>
    </cfRule>
  </conditionalFormatting>
  <conditionalFormatting sqref="G102">
    <cfRule type="expression" dxfId="1412" priority="41">
      <formula>kvartal &lt; 4</formula>
    </cfRule>
  </conditionalFormatting>
  <conditionalFormatting sqref="F102">
    <cfRule type="expression" dxfId="1411" priority="40">
      <formula>kvartal &lt; 4</formula>
    </cfRule>
  </conditionalFormatting>
  <conditionalFormatting sqref="J67:K71">
    <cfRule type="expression" dxfId="1410" priority="39">
      <formula>kvartal &lt; 4</formula>
    </cfRule>
  </conditionalFormatting>
  <conditionalFormatting sqref="J72:K72">
    <cfRule type="expression" dxfId="1409" priority="38">
      <formula>kvartal &lt; 4</formula>
    </cfRule>
  </conditionalFormatting>
  <conditionalFormatting sqref="J78:K83">
    <cfRule type="expression" dxfId="1408" priority="37">
      <formula>kvartal &lt; 4</formula>
    </cfRule>
  </conditionalFormatting>
  <conditionalFormatting sqref="J88:K93">
    <cfRule type="expression" dxfId="1407" priority="34">
      <formula>kvartal &lt; 4</formula>
    </cfRule>
  </conditionalFormatting>
  <conditionalFormatting sqref="J99:K104">
    <cfRule type="expression" dxfId="1406" priority="33">
      <formula>kvartal &lt; 4</formula>
    </cfRule>
  </conditionalFormatting>
  <conditionalFormatting sqref="J113:K113">
    <cfRule type="expression" dxfId="1405" priority="32">
      <formula>kvartal &lt; 4</formula>
    </cfRule>
  </conditionalFormatting>
  <conditionalFormatting sqref="J121:K121">
    <cfRule type="expression" dxfId="1404" priority="31">
      <formula>kvartal &lt; 4</formula>
    </cfRule>
  </conditionalFormatting>
  <conditionalFormatting sqref="A23:A25">
    <cfRule type="expression" dxfId="1403" priority="15">
      <formula>kvartal &lt; 4</formula>
    </cfRule>
  </conditionalFormatting>
  <conditionalFormatting sqref="A29:A31">
    <cfRule type="expression" dxfId="1402" priority="13">
      <formula>kvartal &lt; 4</formula>
    </cfRule>
  </conditionalFormatting>
  <conditionalFormatting sqref="A48:A50">
    <cfRule type="expression" dxfId="1401" priority="12">
      <formula>kvartal &lt; 4</formula>
    </cfRule>
  </conditionalFormatting>
  <conditionalFormatting sqref="A67:A72">
    <cfRule type="expression" dxfId="1400" priority="10">
      <formula>kvartal &lt; 4</formula>
    </cfRule>
  </conditionalFormatting>
  <conditionalFormatting sqref="A78:A83">
    <cfRule type="expression" dxfId="1399" priority="9">
      <formula>kvartal &lt; 4</formula>
    </cfRule>
  </conditionalFormatting>
  <conditionalFormatting sqref="A88:A93">
    <cfRule type="expression" dxfId="1398" priority="6">
      <formula>kvartal &lt; 4</formula>
    </cfRule>
  </conditionalFormatting>
  <conditionalFormatting sqref="A99:A104">
    <cfRule type="expression" dxfId="1397" priority="5">
      <formula>kvartal &lt; 4</formula>
    </cfRule>
  </conditionalFormatting>
  <conditionalFormatting sqref="A113">
    <cfRule type="expression" dxfId="1396" priority="4">
      <formula>kvartal &lt; 4</formula>
    </cfRule>
  </conditionalFormatting>
  <conditionalFormatting sqref="A121">
    <cfRule type="expression" dxfId="1395" priority="3">
      <formula>kvartal &lt; 4</formula>
    </cfRule>
  </conditionalFormatting>
  <conditionalFormatting sqref="A26">
    <cfRule type="expression" dxfId="1394" priority="2">
      <formula>kvartal &lt; 4</formula>
    </cfRule>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N142"/>
  <sheetViews>
    <sheetView showGridLines="0"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143</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531506</v>
      </c>
      <c r="C7" s="305">
        <v>530475</v>
      </c>
      <c r="D7" s="344">
        <f>IF(B7=0, "    ---- ", IF(ABS(ROUND(100/B7*C7-100,1))&lt;999,ROUND(100/B7*C7-100,1),IF(ROUND(100/B7*C7-100,1)&gt;999,999,-999)))</f>
        <v>-0.2</v>
      </c>
      <c r="E7" s="11">
        <f>IFERROR(100/'Skjema total MA'!C7*C7,0)</f>
        <v>19.481712989363992</v>
      </c>
      <c r="F7" s="304"/>
      <c r="G7" s="305"/>
      <c r="H7" s="344"/>
      <c r="I7" s="159"/>
      <c r="J7" s="306">
        <v>531506</v>
      </c>
      <c r="K7" s="307">
        <v>530475</v>
      </c>
      <c r="L7" s="403">
        <f>IF(J7=0, "    ---- ", IF(ABS(ROUND(100/J7*K7-100,1))&lt;999,ROUND(100/J7*K7-100,1),IF(ROUND(100/J7*K7-100,1)&gt;999,999,-999)))</f>
        <v>-0.2</v>
      </c>
      <c r="M7" s="11">
        <f>IFERROR(100/'Skjema total MA'!I7*K7,0)</f>
        <v>7.30153458305284</v>
      </c>
    </row>
    <row r="8" spans="1:14" ht="15.75" x14ac:dyDescent="0.2">
      <c r="A8" s="21" t="s">
        <v>29</v>
      </c>
      <c r="B8" s="286">
        <v>300133</v>
      </c>
      <c r="C8" s="287">
        <v>309666</v>
      </c>
      <c r="D8" s="165">
        <f t="shared" ref="D8:D9" si="0">IF(B8=0, "    ---- ", IF(ABS(ROUND(100/B8*C8-100,1))&lt;999,ROUND(100/B8*C8-100,1),IF(ROUND(100/B8*C8-100,1)&gt;999,999,-999)))</f>
        <v>3.2</v>
      </c>
      <c r="E8" s="27">
        <f>IFERROR(100/'Skjema total MA'!C8*C8,0)</f>
        <v>20.609525781259762</v>
      </c>
      <c r="F8" s="423"/>
      <c r="G8" s="424"/>
      <c r="H8" s="170"/>
      <c r="I8" s="175"/>
      <c r="J8" s="234">
        <v>300133</v>
      </c>
      <c r="K8" s="290">
        <v>309666</v>
      </c>
      <c r="L8" s="165">
        <f t="shared" ref="L8:L9" si="1">IF(J8=0, "    ---- ", IF(ABS(ROUND(100/J8*K8-100,1))&lt;999,ROUND(100/J8*K8-100,1),IF(ROUND(100/J8*K8-100,1)&gt;999,999,-999)))</f>
        <v>3.2</v>
      </c>
      <c r="M8" s="27">
        <f>IFERROR(100/'Skjema total MA'!I8*K8,0)</f>
        <v>20.609525781259762</v>
      </c>
    </row>
    <row r="9" spans="1:14" ht="15.75" x14ac:dyDescent="0.2">
      <c r="A9" s="21" t="s">
        <v>28</v>
      </c>
      <c r="B9" s="286">
        <v>231373</v>
      </c>
      <c r="C9" s="287">
        <v>220809</v>
      </c>
      <c r="D9" s="165">
        <f t="shared" si="0"/>
        <v>-4.5999999999999996</v>
      </c>
      <c r="E9" s="27">
        <f>IFERROR(100/'Skjema total MA'!C9*C9,0)</f>
        <v>30.500844866404766</v>
      </c>
      <c r="F9" s="423"/>
      <c r="G9" s="424"/>
      <c r="H9" s="170"/>
      <c r="I9" s="175"/>
      <c r="J9" s="234">
        <v>231373</v>
      </c>
      <c r="K9" s="290">
        <v>220809</v>
      </c>
      <c r="L9" s="165">
        <f t="shared" si="1"/>
        <v>-4.5999999999999996</v>
      </c>
      <c r="M9" s="27">
        <f>IFERROR(100/'Skjema total MA'!I9*K9,0)</f>
        <v>30.500844866404766</v>
      </c>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607855</v>
      </c>
      <c r="C45" s="309">
        <v>675019</v>
      </c>
      <c r="D45" s="403">
        <f t="shared" ref="D45:D55" si="2">IF(B45=0, "    ---- ", IF(ABS(ROUND(100/B45*C45-100,1))&lt;999,ROUND(100/B45*C45-100,1),IF(ROUND(100/B45*C45-100,1)&gt;999,999,-999)))</f>
        <v>11</v>
      </c>
      <c r="E45" s="11">
        <f>IFERROR(100/'Skjema total MA'!C45*C45,0)</f>
        <v>24.617778535353771</v>
      </c>
      <c r="F45" s="144"/>
      <c r="G45" s="33"/>
      <c r="H45" s="158"/>
      <c r="I45" s="158"/>
      <c r="J45" s="37"/>
      <c r="K45" s="37"/>
      <c r="L45" s="158"/>
      <c r="M45" s="158"/>
      <c r="N45" s="147"/>
    </row>
    <row r="46" spans="1:14" s="3" customFormat="1" ht="15.75" x14ac:dyDescent="0.2">
      <c r="A46" s="38" t="s">
        <v>312</v>
      </c>
      <c r="B46" s="286">
        <v>401856</v>
      </c>
      <c r="C46" s="287">
        <v>387910</v>
      </c>
      <c r="D46" s="259">
        <f t="shared" si="2"/>
        <v>-3.5</v>
      </c>
      <c r="E46" s="27">
        <f>IFERROR(100/'Skjema total MA'!C46*C46,0)</f>
        <v>26.650768879744597</v>
      </c>
      <c r="F46" s="144"/>
      <c r="G46" s="33"/>
      <c r="H46" s="144"/>
      <c r="I46" s="144"/>
      <c r="J46" s="33"/>
      <c r="K46" s="33"/>
      <c r="L46" s="158"/>
      <c r="M46" s="158"/>
      <c r="N46" s="147"/>
    </row>
    <row r="47" spans="1:14" s="3" customFormat="1" ht="15.75" x14ac:dyDescent="0.2">
      <c r="A47" s="38" t="s">
        <v>313</v>
      </c>
      <c r="B47" s="44">
        <v>205999</v>
      </c>
      <c r="C47" s="290">
        <v>287109</v>
      </c>
      <c r="D47" s="259">
        <f>IF(B47=0, "    ---- ", IF(ABS(ROUND(100/B47*C47-100,1))&lt;999,ROUND(100/B47*C47-100,1),IF(ROUND(100/B47*C47-100,1)&gt;999,999,-999)))</f>
        <v>39.4</v>
      </c>
      <c r="E47" s="27">
        <f>IFERROR(100/'Skjema total MA'!C47*C47,0)</f>
        <v>22.317620718652471</v>
      </c>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v>58632</v>
      </c>
      <c r="C51" s="309">
        <v>97996</v>
      </c>
      <c r="D51" s="404">
        <f t="shared" si="2"/>
        <v>67.099999999999994</v>
      </c>
      <c r="E51" s="11">
        <f>IFERROR(100/'Skjema total MA'!C51*C51,0)</f>
        <v>69.173873460842316</v>
      </c>
      <c r="F51" s="144"/>
      <c r="G51" s="33"/>
      <c r="H51" s="144"/>
      <c r="I51" s="144"/>
      <c r="J51" s="33"/>
      <c r="K51" s="33"/>
      <c r="L51" s="158"/>
      <c r="M51" s="158"/>
      <c r="N51" s="147"/>
    </row>
    <row r="52" spans="1:14" s="3" customFormat="1" ht="15.75" x14ac:dyDescent="0.2">
      <c r="A52" s="38" t="s">
        <v>312</v>
      </c>
      <c r="B52" s="286">
        <v>58632</v>
      </c>
      <c r="C52" s="287">
        <v>42830</v>
      </c>
      <c r="D52" s="259">
        <f t="shared" si="2"/>
        <v>-27</v>
      </c>
      <c r="E52" s="27">
        <f>IFERROR(100/'Skjema total MA'!C52*C52,0)</f>
        <v>50.796216762293739</v>
      </c>
      <c r="F52" s="144"/>
      <c r="G52" s="33"/>
      <c r="H52" s="144"/>
      <c r="I52" s="144"/>
      <c r="J52" s="33"/>
      <c r="K52" s="33"/>
      <c r="L52" s="158"/>
      <c r="M52" s="158"/>
      <c r="N52" s="147"/>
    </row>
    <row r="53" spans="1:14" s="3" customFormat="1" ht="15.75" x14ac:dyDescent="0.2">
      <c r="A53" s="38" t="s">
        <v>313</v>
      </c>
      <c r="B53" s="286"/>
      <c r="C53" s="287">
        <v>55166</v>
      </c>
      <c r="D53" s="259" t="str">
        <f t="shared" si="2"/>
        <v xml:space="preserve">    ---- </v>
      </c>
      <c r="E53" s="27">
        <f>IFERROR(100/'Skjema total MA'!C53*C53,0)</f>
        <v>96.193649747423223</v>
      </c>
      <c r="F53" s="144"/>
      <c r="G53" s="33"/>
      <c r="H53" s="144"/>
      <c r="I53" s="144"/>
      <c r="J53" s="33"/>
      <c r="K53" s="33"/>
      <c r="L53" s="158"/>
      <c r="M53" s="158"/>
      <c r="N53" s="147"/>
    </row>
    <row r="54" spans="1:14" s="3" customFormat="1" ht="15.75" x14ac:dyDescent="0.2">
      <c r="A54" s="39" t="s">
        <v>315</v>
      </c>
      <c r="B54" s="308">
        <v>47250</v>
      </c>
      <c r="C54" s="309">
        <v>34445</v>
      </c>
      <c r="D54" s="404">
        <f t="shared" si="2"/>
        <v>-27.1</v>
      </c>
      <c r="E54" s="11">
        <f>IFERROR(100/'Skjema total MA'!C54*C54,0)</f>
        <v>39.906404564908044</v>
      </c>
      <c r="F54" s="144"/>
      <c r="G54" s="33"/>
      <c r="H54" s="144"/>
      <c r="I54" s="144"/>
      <c r="J54" s="33"/>
      <c r="K54" s="33"/>
      <c r="L54" s="158"/>
      <c r="M54" s="158"/>
      <c r="N54" s="147"/>
    </row>
    <row r="55" spans="1:14" s="3" customFormat="1" ht="15.75" x14ac:dyDescent="0.2">
      <c r="A55" s="38" t="s">
        <v>312</v>
      </c>
      <c r="B55" s="286">
        <v>47250</v>
      </c>
      <c r="C55" s="287">
        <v>34445</v>
      </c>
      <c r="D55" s="259">
        <f t="shared" si="2"/>
        <v>-27.1</v>
      </c>
      <c r="E55" s="27">
        <f>IFERROR(100/'Skjema total MA'!C55*C55,0)</f>
        <v>39.906404564908044</v>
      </c>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393" priority="132">
      <formula>kvartal &lt; 4</formula>
    </cfRule>
  </conditionalFormatting>
  <conditionalFormatting sqref="B29">
    <cfRule type="expression" dxfId="1392" priority="130">
      <formula>kvartal &lt; 4</formula>
    </cfRule>
  </conditionalFormatting>
  <conditionalFormatting sqref="B30">
    <cfRule type="expression" dxfId="1391" priority="129">
      <formula>kvartal &lt; 4</formula>
    </cfRule>
  </conditionalFormatting>
  <conditionalFormatting sqref="B31">
    <cfRule type="expression" dxfId="1390" priority="128">
      <formula>kvartal &lt; 4</formula>
    </cfRule>
  </conditionalFormatting>
  <conditionalFormatting sqref="C29">
    <cfRule type="expression" dxfId="1389" priority="127">
      <formula>kvartal &lt; 4</formula>
    </cfRule>
  </conditionalFormatting>
  <conditionalFormatting sqref="C30">
    <cfRule type="expression" dxfId="1388" priority="126">
      <formula>kvartal &lt; 4</formula>
    </cfRule>
  </conditionalFormatting>
  <conditionalFormatting sqref="C31">
    <cfRule type="expression" dxfId="1387" priority="125">
      <formula>kvartal &lt; 4</formula>
    </cfRule>
  </conditionalFormatting>
  <conditionalFormatting sqref="B23:C25">
    <cfRule type="expression" dxfId="1386" priority="124">
      <formula>kvartal &lt; 4</formula>
    </cfRule>
  </conditionalFormatting>
  <conditionalFormatting sqref="F23:G25">
    <cfRule type="expression" dxfId="1385" priority="120">
      <formula>kvartal &lt; 4</formula>
    </cfRule>
  </conditionalFormatting>
  <conditionalFormatting sqref="F29">
    <cfRule type="expression" dxfId="1384" priority="113">
      <formula>kvartal &lt; 4</formula>
    </cfRule>
  </conditionalFormatting>
  <conditionalFormatting sqref="F30">
    <cfRule type="expression" dxfId="1383" priority="112">
      <formula>kvartal &lt; 4</formula>
    </cfRule>
  </conditionalFormatting>
  <conditionalFormatting sqref="F31">
    <cfRule type="expression" dxfId="1382" priority="111">
      <formula>kvartal &lt; 4</formula>
    </cfRule>
  </conditionalFormatting>
  <conditionalFormatting sqref="G29">
    <cfRule type="expression" dxfId="1381" priority="110">
      <formula>kvartal &lt; 4</formula>
    </cfRule>
  </conditionalFormatting>
  <conditionalFormatting sqref="G30">
    <cfRule type="expression" dxfId="1380" priority="109">
      <formula>kvartal &lt; 4</formula>
    </cfRule>
  </conditionalFormatting>
  <conditionalFormatting sqref="G31">
    <cfRule type="expression" dxfId="1379" priority="108">
      <formula>kvartal &lt; 4</formula>
    </cfRule>
  </conditionalFormatting>
  <conditionalFormatting sqref="B26">
    <cfRule type="expression" dxfId="1378" priority="107">
      <formula>kvartal &lt; 4</formula>
    </cfRule>
  </conditionalFormatting>
  <conditionalFormatting sqref="C26">
    <cfRule type="expression" dxfId="1377" priority="106">
      <formula>kvartal &lt; 4</formula>
    </cfRule>
  </conditionalFormatting>
  <conditionalFormatting sqref="F26">
    <cfRule type="expression" dxfId="1376" priority="105">
      <formula>kvartal &lt; 4</formula>
    </cfRule>
  </conditionalFormatting>
  <conditionalFormatting sqref="G26">
    <cfRule type="expression" dxfId="1375" priority="104">
      <formula>kvartal &lt; 4</formula>
    </cfRule>
  </conditionalFormatting>
  <conditionalFormatting sqref="J23:K26">
    <cfRule type="expression" dxfId="1374" priority="103">
      <formula>kvartal &lt; 4</formula>
    </cfRule>
  </conditionalFormatting>
  <conditionalFormatting sqref="J29:K31">
    <cfRule type="expression" dxfId="1373" priority="101">
      <formula>kvartal &lt; 4</formula>
    </cfRule>
  </conditionalFormatting>
  <conditionalFormatting sqref="B67">
    <cfRule type="expression" dxfId="1372" priority="100">
      <formula>kvartal &lt; 4</formula>
    </cfRule>
  </conditionalFormatting>
  <conditionalFormatting sqref="C67">
    <cfRule type="expression" dxfId="1371" priority="99">
      <formula>kvartal &lt; 4</formula>
    </cfRule>
  </conditionalFormatting>
  <conditionalFormatting sqref="B70">
    <cfRule type="expression" dxfId="1370" priority="98">
      <formula>kvartal &lt; 4</formula>
    </cfRule>
  </conditionalFormatting>
  <conditionalFormatting sqref="C70">
    <cfRule type="expression" dxfId="1369" priority="97">
      <formula>kvartal &lt; 4</formula>
    </cfRule>
  </conditionalFormatting>
  <conditionalFormatting sqref="B78">
    <cfRule type="expression" dxfId="1368" priority="96">
      <formula>kvartal &lt; 4</formula>
    </cfRule>
  </conditionalFormatting>
  <conditionalFormatting sqref="C78">
    <cfRule type="expression" dxfId="1367" priority="95">
      <formula>kvartal &lt; 4</formula>
    </cfRule>
  </conditionalFormatting>
  <conditionalFormatting sqref="B81">
    <cfRule type="expression" dxfId="1366" priority="94">
      <formula>kvartal &lt; 4</formula>
    </cfRule>
  </conditionalFormatting>
  <conditionalFormatting sqref="C81">
    <cfRule type="expression" dxfId="1365" priority="93">
      <formula>kvartal &lt; 4</formula>
    </cfRule>
  </conditionalFormatting>
  <conditionalFormatting sqref="B88">
    <cfRule type="expression" dxfId="1364" priority="84">
      <formula>kvartal &lt; 4</formula>
    </cfRule>
  </conditionalFormatting>
  <conditionalFormatting sqref="C88">
    <cfRule type="expression" dxfId="1363" priority="83">
      <formula>kvartal &lt; 4</formula>
    </cfRule>
  </conditionalFormatting>
  <conditionalFormatting sqref="B91">
    <cfRule type="expression" dxfId="1362" priority="82">
      <formula>kvartal &lt; 4</formula>
    </cfRule>
  </conditionalFormatting>
  <conditionalFormatting sqref="C91">
    <cfRule type="expression" dxfId="1361" priority="81">
      <formula>kvartal &lt; 4</formula>
    </cfRule>
  </conditionalFormatting>
  <conditionalFormatting sqref="B99">
    <cfRule type="expression" dxfId="1360" priority="80">
      <formula>kvartal &lt; 4</formula>
    </cfRule>
  </conditionalFormatting>
  <conditionalFormatting sqref="C99">
    <cfRule type="expression" dxfId="1359" priority="79">
      <formula>kvartal &lt; 4</formula>
    </cfRule>
  </conditionalFormatting>
  <conditionalFormatting sqref="B102">
    <cfRule type="expression" dxfId="1358" priority="78">
      <formula>kvartal &lt; 4</formula>
    </cfRule>
  </conditionalFormatting>
  <conditionalFormatting sqref="C102">
    <cfRule type="expression" dxfId="1357" priority="77">
      <formula>kvartal &lt; 4</formula>
    </cfRule>
  </conditionalFormatting>
  <conditionalFormatting sqref="B113">
    <cfRule type="expression" dxfId="1356" priority="76">
      <formula>kvartal &lt; 4</formula>
    </cfRule>
  </conditionalFormatting>
  <conditionalFormatting sqref="C113">
    <cfRule type="expression" dxfId="1355" priority="75">
      <formula>kvartal &lt; 4</formula>
    </cfRule>
  </conditionalFormatting>
  <conditionalFormatting sqref="B121">
    <cfRule type="expression" dxfId="1354" priority="74">
      <formula>kvartal &lt; 4</formula>
    </cfRule>
  </conditionalFormatting>
  <conditionalFormatting sqref="C121">
    <cfRule type="expression" dxfId="1353" priority="73">
      <formula>kvartal &lt; 4</formula>
    </cfRule>
  </conditionalFormatting>
  <conditionalFormatting sqref="F68">
    <cfRule type="expression" dxfId="1352" priority="72">
      <formula>kvartal &lt; 4</formula>
    </cfRule>
  </conditionalFormatting>
  <conditionalFormatting sqref="G68">
    <cfRule type="expression" dxfId="1351" priority="71">
      <formula>kvartal &lt; 4</formula>
    </cfRule>
  </conditionalFormatting>
  <conditionalFormatting sqref="F69:G69">
    <cfRule type="expression" dxfId="1350" priority="70">
      <formula>kvartal &lt; 4</formula>
    </cfRule>
  </conditionalFormatting>
  <conditionalFormatting sqref="F71:G72">
    <cfRule type="expression" dxfId="1349" priority="69">
      <formula>kvartal &lt; 4</formula>
    </cfRule>
  </conditionalFormatting>
  <conditionalFormatting sqref="F79:G80">
    <cfRule type="expression" dxfId="1348" priority="68">
      <formula>kvartal &lt; 4</formula>
    </cfRule>
  </conditionalFormatting>
  <conditionalFormatting sqref="F82:G83">
    <cfRule type="expression" dxfId="1347" priority="67">
      <formula>kvartal &lt; 4</formula>
    </cfRule>
  </conditionalFormatting>
  <conditionalFormatting sqref="F89:G90">
    <cfRule type="expression" dxfId="1346" priority="62">
      <formula>kvartal &lt; 4</formula>
    </cfRule>
  </conditionalFormatting>
  <conditionalFormatting sqref="F92:G93">
    <cfRule type="expression" dxfId="1345" priority="61">
      <formula>kvartal &lt; 4</formula>
    </cfRule>
  </conditionalFormatting>
  <conditionalFormatting sqref="F100:G101">
    <cfRule type="expression" dxfId="1344" priority="60">
      <formula>kvartal &lt; 4</formula>
    </cfRule>
  </conditionalFormatting>
  <conditionalFormatting sqref="F103:G104">
    <cfRule type="expression" dxfId="1343" priority="59">
      <formula>kvartal &lt; 4</formula>
    </cfRule>
  </conditionalFormatting>
  <conditionalFormatting sqref="F113">
    <cfRule type="expression" dxfId="1342" priority="58">
      <formula>kvartal &lt; 4</formula>
    </cfRule>
  </conditionalFormatting>
  <conditionalFormatting sqref="G113">
    <cfRule type="expression" dxfId="1341" priority="57">
      <formula>kvartal &lt; 4</formula>
    </cfRule>
  </conditionalFormatting>
  <conditionalFormatting sqref="F121:G121">
    <cfRule type="expression" dxfId="1340" priority="56">
      <formula>kvartal &lt; 4</formula>
    </cfRule>
  </conditionalFormatting>
  <conditionalFormatting sqref="F67:G67">
    <cfRule type="expression" dxfId="1339" priority="55">
      <formula>kvartal &lt; 4</formula>
    </cfRule>
  </conditionalFormatting>
  <conditionalFormatting sqref="F70:G70">
    <cfRule type="expression" dxfId="1338" priority="54">
      <formula>kvartal &lt; 4</formula>
    </cfRule>
  </conditionalFormatting>
  <conditionalFormatting sqref="F78:G78">
    <cfRule type="expression" dxfId="1337" priority="53">
      <formula>kvartal &lt; 4</formula>
    </cfRule>
  </conditionalFormatting>
  <conditionalFormatting sqref="F81:G81">
    <cfRule type="expression" dxfId="1336" priority="52">
      <formula>kvartal &lt; 4</formula>
    </cfRule>
  </conditionalFormatting>
  <conditionalFormatting sqref="F88:G88">
    <cfRule type="expression" dxfId="1335" priority="46">
      <formula>kvartal &lt; 4</formula>
    </cfRule>
  </conditionalFormatting>
  <conditionalFormatting sqref="F91">
    <cfRule type="expression" dxfId="1334" priority="45">
      <formula>kvartal &lt; 4</formula>
    </cfRule>
  </conditionalFormatting>
  <conditionalFormatting sqref="G91">
    <cfRule type="expression" dxfId="1333" priority="44">
      <formula>kvartal &lt; 4</formula>
    </cfRule>
  </conditionalFormatting>
  <conditionalFormatting sqref="F99">
    <cfRule type="expression" dxfId="1332" priority="43">
      <formula>kvartal &lt; 4</formula>
    </cfRule>
  </conditionalFormatting>
  <conditionalFormatting sqref="G99">
    <cfRule type="expression" dxfId="1331" priority="42">
      <formula>kvartal &lt; 4</formula>
    </cfRule>
  </conditionalFormatting>
  <conditionalFormatting sqref="G102">
    <cfRule type="expression" dxfId="1330" priority="41">
      <formula>kvartal &lt; 4</formula>
    </cfRule>
  </conditionalFormatting>
  <conditionalFormatting sqref="F102">
    <cfRule type="expression" dxfId="1329" priority="40">
      <formula>kvartal &lt; 4</formula>
    </cfRule>
  </conditionalFormatting>
  <conditionalFormatting sqref="J67:K71">
    <cfRule type="expression" dxfId="1328" priority="39">
      <formula>kvartal &lt; 4</formula>
    </cfRule>
  </conditionalFormatting>
  <conditionalFormatting sqref="J72:K72">
    <cfRule type="expression" dxfId="1327" priority="38">
      <formula>kvartal &lt; 4</formula>
    </cfRule>
  </conditionalFormatting>
  <conditionalFormatting sqref="J78:K83">
    <cfRule type="expression" dxfId="1326" priority="37">
      <formula>kvartal &lt; 4</formula>
    </cfRule>
  </conditionalFormatting>
  <conditionalFormatting sqref="J88:K93">
    <cfRule type="expression" dxfId="1325" priority="34">
      <formula>kvartal &lt; 4</formula>
    </cfRule>
  </conditionalFormatting>
  <conditionalFormatting sqref="J99:K104">
    <cfRule type="expression" dxfId="1324" priority="33">
      <formula>kvartal &lt; 4</formula>
    </cfRule>
  </conditionalFormatting>
  <conditionalFormatting sqref="J113:K113">
    <cfRule type="expression" dxfId="1323" priority="32">
      <formula>kvartal &lt; 4</formula>
    </cfRule>
  </conditionalFormatting>
  <conditionalFormatting sqref="J121:K121">
    <cfRule type="expression" dxfId="1322" priority="31">
      <formula>kvartal &lt; 4</formula>
    </cfRule>
  </conditionalFormatting>
  <conditionalFormatting sqref="A23:A25">
    <cfRule type="expression" dxfId="1321" priority="15">
      <formula>kvartal &lt; 4</formula>
    </cfRule>
  </conditionalFormatting>
  <conditionalFormatting sqref="A29:A31">
    <cfRule type="expression" dxfId="1320" priority="13">
      <formula>kvartal &lt; 4</formula>
    </cfRule>
  </conditionalFormatting>
  <conditionalFormatting sqref="A48:A50">
    <cfRule type="expression" dxfId="1319" priority="12">
      <formula>kvartal &lt; 4</formula>
    </cfRule>
  </conditionalFormatting>
  <conditionalFormatting sqref="A67:A72">
    <cfRule type="expression" dxfId="1318" priority="10">
      <formula>kvartal &lt; 4</formula>
    </cfRule>
  </conditionalFormatting>
  <conditionalFormatting sqref="A78:A83">
    <cfRule type="expression" dxfId="1317" priority="9">
      <formula>kvartal &lt; 4</formula>
    </cfRule>
  </conditionalFormatting>
  <conditionalFormatting sqref="A88:A93">
    <cfRule type="expression" dxfId="1316" priority="6">
      <formula>kvartal &lt; 4</formula>
    </cfRule>
  </conditionalFormatting>
  <conditionalFormatting sqref="A99:A104">
    <cfRule type="expression" dxfId="1315" priority="5">
      <formula>kvartal &lt; 4</formula>
    </cfRule>
  </conditionalFormatting>
  <conditionalFormatting sqref="A113">
    <cfRule type="expression" dxfId="1314" priority="4">
      <formula>kvartal &lt; 4</formula>
    </cfRule>
  </conditionalFormatting>
  <conditionalFormatting sqref="A121">
    <cfRule type="expression" dxfId="1313" priority="3">
      <formula>kvartal &lt; 4</formula>
    </cfRule>
  </conditionalFormatting>
  <conditionalFormatting sqref="A26">
    <cfRule type="expression" dxfId="1312" priority="2">
      <formula>kvartal &lt; 4</formula>
    </cfRule>
  </conditionalFormatting>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144</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v>54647.447999999997</v>
      </c>
      <c r="G7" s="305">
        <v>89929</v>
      </c>
      <c r="H7" s="344">
        <f>IF(F7=0, "    ---- ", IF(ABS(ROUND(100/F7*G7-100,1))&lt;999,ROUND(100/F7*G7-100,1),IF(ROUND(100/F7*G7-100,1)&gt;999,999,-999)))</f>
        <v>64.599999999999994</v>
      </c>
      <c r="I7" s="159">
        <f>IFERROR(100/'Skjema total MA'!F7*G7,0)</f>
        <v>1.9798052908678536</v>
      </c>
      <c r="J7" s="306">
        <v>54647.447999999997</v>
      </c>
      <c r="K7" s="307">
        <v>89929</v>
      </c>
      <c r="L7" s="403">
        <f>IF(J7=0, "    ---- ", IF(ABS(ROUND(100/J7*K7-100,1))&lt;999,ROUND(100/J7*K7-100,1),IF(ROUND(100/J7*K7-100,1)&gt;999,999,-999)))</f>
        <v>64.599999999999994</v>
      </c>
      <c r="M7" s="11">
        <f>IFERROR(100/'Skjema total MA'!I7*K7,0)</f>
        <v>1.237795755727148</v>
      </c>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v>290667.46999999997</v>
      </c>
      <c r="G10" s="309">
        <v>449769</v>
      </c>
      <c r="H10" s="170">
        <f t="shared" ref="H10:H12" si="0">IF(F10=0, "    ---- ", IF(ABS(ROUND(100/F10*G10-100,1))&lt;999,ROUND(100/F10*G10-100,1),IF(ROUND(100/F10*G10-100,1)&gt;999,999,-999)))</f>
        <v>54.7</v>
      </c>
      <c r="I10" s="159">
        <f>IFERROR(100/'Skjema total MA'!F10*G10,0)</f>
        <v>1.1941961453887089</v>
      </c>
      <c r="J10" s="306">
        <v>290667.46999999997</v>
      </c>
      <c r="K10" s="307">
        <v>449769</v>
      </c>
      <c r="L10" s="404">
        <f t="shared" ref="L10:L12" si="1">IF(J10=0, "    ---- ", IF(ABS(ROUND(100/J10*K10-100,1))&lt;999,ROUND(100/J10*K10-100,1),IF(ROUND(100/J10*K10-100,1)&gt;999,999,-999)))</f>
        <v>54.7</v>
      </c>
      <c r="M10" s="11">
        <f>IFERROR(100/'Skjema total MA'!I10*K10,0)</f>
        <v>0.74130833283620701</v>
      </c>
    </row>
    <row r="11" spans="1:14" s="43" customFormat="1" ht="15.75" x14ac:dyDescent="0.2">
      <c r="A11" s="13" t="s">
        <v>25</v>
      </c>
      <c r="B11" s="308"/>
      <c r="C11" s="309"/>
      <c r="D11" s="170"/>
      <c r="E11" s="11"/>
      <c r="F11" s="308">
        <v>7267.8059999999996</v>
      </c>
      <c r="G11" s="309">
        <v>5186</v>
      </c>
      <c r="H11" s="170">
        <f t="shared" si="0"/>
        <v>-28.6</v>
      </c>
      <c r="I11" s="159">
        <f>IFERROR(100/'Skjema total MA'!F11*G11,0)</f>
        <v>3.2223659889362222</v>
      </c>
      <c r="J11" s="306">
        <v>7267.8059999999996</v>
      </c>
      <c r="K11" s="307">
        <v>5186</v>
      </c>
      <c r="L11" s="404">
        <f t="shared" si="1"/>
        <v>-28.6</v>
      </c>
      <c r="M11" s="11">
        <f>IFERROR(100/'Skjema total MA'!I11*K11,0)</f>
        <v>3.0140184931023417</v>
      </c>
      <c r="N11" s="142"/>
    </row>
    <row r="12" spans="1:14" s="43" customFormat="1" ht="15.75" x14ac:dyDescent="0.2">
      <c r="A12" s="41" t="s">
        <v>24</v>
      </c>
      <c r="B12" s="310"/>
      <c r="C12" s="311"/>
      <c r="D12" s="168"/>
      <c r="E12" s="36"/>
      <c r="F12" s="310">
        <v>984.78399999999999</v>
      </c>
      <c r="G12" s="311">
        <v>251</v>
      </c>
      <c r="H12" s="168">
        <f t="shared" si="0"/>
        <v>-74.5</v>
      </c>
      <c r="I12" s="168">
        <f>IFERROR(100/'Skjema total MA'!F12*G12,0)</f>
        <v>0.34102598273688078</v>
      </c>
      <c r="J12" s="312">
        <v>984.78399999999999</v>
      </c>
      <c r="K12" s="313">
        <v>251</v>
      </c>
      <c r="L12" s="405">
        <f t="shared" si="1"/>
        <v>-74.5</v>
      </c>
      <c r="M12" s="36">
        <f>IFERROR(100/'Skjema total MA'!I12*K12,0)</f>
        <v>0.33774041966497759</v>
      </c>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v>155583.666</v>
      </c>
      <c r="C22" s="315">
        <v>177823</v>
      </c>
      <c r="D22" s="344">
        <f t="shared" ref="D22:D28" si="2">IF(B22=0, "    ---- ", IF(ABS(ROUND(100/B22*C22-100,1))&lt;999,ROUND(100/B22*C22-100,1),IF(ROUND(100/B22*C22-100,1)&gt;999,999,-999)))</f>
        <v>14.3</v>
      </c>
      <c r="E22" s="11">
        <f>IFERROR(100/'Skjema total MA'!C22*C22,0)</f>
        <v>18.544409413149733</v>
      </c>
      <c r="F22" s="316">
        <v>3749.0749999999998</v>
      </c>
      <c r="G22" s="315">
        <v>3832</v>
      </c>
      <c r="H22" s="344">
        <f t="shared" ref="H22:H33" si="3">IF(F22=0, "    ---- ", IF(ABS(ROUND(100/F22*G22-100,1))&lt;999,ROUND(100/F22*G22-100,1),IF(ROUND(100/F22*G22-100,1)&gt;999,999,-999)))</f>
        <v>2.2000000000000002</v>
      </c>
      <c r="I22" s="11">
        <f>IFERROR(100/'Skjema total MA'!F22*G22,0)</f>
        <v>1.9220023797970642</v>
      </c>
      <c r="J22" s="314">
        <v>159332.74100000001</v>
      </c>
      <c r="K22" s="314">
        <v>181655</v>
      </c>
      <c r="L22" s="403">
        <f t="shared" ref="L22:L33" si="4">IF(J22=0, "    ---- ", IF(ABS(ROUND(100/J22*K22-100,1))&lt;999,ROUND(100/J22*K22-100,1),IF(ROUND(100/J22*K22-100,1)&gt;999,999,-999)))</f>
        <v>14</v>
      </c>
      <c r="M22" s="24">
        <f>IFERROR(100/'Skjema total MA'!I22*K22,0)</f>
        <v>15.683182329361992</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155583.666</v>
      </c>
      <c r="C27" s="290">
        <v>177823</v>
      </c>
      <c r="D27" s="165">
        <f t="shared" si="2"/>
        <v>14.3</v>
      </c>
      <c r="E27" s="27">
        <f>IFERROR(100/'Skjema total MA'!C27*C27,0)</f>
        <v>17.978903103101551</v>
      </c>
      <c r="F27" s="234"/>
      <c r="G27" s="290"/>
      <c r="H27" s="165"/>
      <c r="I27" s="27"/>
      <c r="J27" s="44">
        <v>155583.666</v>
      </c>
      <c r="K27" s="44">
        <v>177823</v>
      </c>
      <c r="L27" s="259">
        <f t="shared" si="4"/>
        <v>14.3</v>
      </c>
      <c r="M27" s="23">
        <f>IFERROR(100/'Skjema total MA'!I27*K27,0)</f>
        <v>17.978903103101551</v>
      </c>
    </row>
    <row r="28" spans="1:14" s="3" customFormat="1" ht="15.75" x14ac:dyDescent="0.2">
      <c r="A28" s="13" t="s">
        <v>26</v>
      </c>
      <c r="B28" s="236">
        <v>890452.39800000004</v>
      </c>
      <c r="C28" s="307">
        <v>1163363</v>
      </c>
      <c r="D28" s="170">
        <f t="shared" si="2"/>
        <v>30.6</v>
      </c>
      <c r="E28" s="11">
        <f>IFERROR(100/'Skjema total MA'!C28*C28,0)</f>
        <v>2.2832648859622644</v>
      </c>
      <c r="F28" s="306">
        <v>1604478.888</v>
      </c>
      <c r="G28" s="307">
        <v>1582276</v>
      </c>
      <c r="H28" s="170">
        <f t="shared" si="3"/>
        <v>-1.4</v>
      </c>
      <c r="I28" s="11">
        <f>IFERROR(100/'Skjema total MA'!F28*G28,0)</f>
        <v>8.0578852712059454</v>
      </c>
      <c r="J28" s="236">
        <v>2494931.2860000003</v>
      </c>
      <c r="K28" s="236">
        <v>2745639</v>
      </c>
      <c r="L28" s="404">
        <f t="shared" si="4"/>
        <v>10</v>
      </c>
      <c r="M28" s="24">
        <f>IFERROR(100/'Skjema total MA'!I28*K28,0)</f>
        <v>3.8896627219020079</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v>8872.1460000000006</v>
      </c>
      <c r="G32" s="307">
        <v>14407</v>
      </c>
      <c r="H32" s="170">
        <f t="shared" si="3"/>
        <v>62.4</v>
      </c>
      <c r="I32" s="11">
        <f>IFERROR(100/'Skjema total MA'!F32*G32,0)</f>
        <v>76.91011228559293</v>
      </c>
      <c r="J32" s="236">
        <v>8872.1460000000006</v>
      </c>
      <c r="K32" s="236">
        <v>14407</v>
      </c>
      <c r="L32" s="404">
        <f t="shared" si="4"/>
        <v>62.4</v>
      </c>
      <c r="M32" s="24">
        <f>IFERROR(100/'Skjema total MA'!I32*K32,0)</f>
        <v>34.130693697685842</v>
      </c>
    </row>
    <row r="33" spans="1:14" ht="15.75" x14ac:dyDescent="0.2">
      <c r="A33" s="13" t="s">
        <v>24</v>
      </c>
      <c r="B33" s="236"/>
      <c r="C33" s="307"/>
      <c r="D33" s="170"/>
      <c r="E33" s="11"/>
      <c r="F33" s="306">
        <v>2690.732</v>
      </c>
      <c r="G33" s="307">
        <v>2231</v>
      </c>
      <c r="H33" s="170">
        <f t="shared" si="3"/>
        <v>-17.100000000000001</v>
      </c>
      <c r="I33" s="11">
        <f>IFERROR(100/'Skjema total MA'!F33*G33,0)</f>
        <v>3.4068009146339042</v>
      </c>
      <c r="J33" s="236">
        <v>2690.732</v>
      </c>
      <c r="K33" s="236">
        <v>2231</v>
      </c>
      <c r="L33" s="404">
        <f t="shared" si="4"/>
        <v>-17.100000000000001</v>
      </c>
      <c r="M33" s="24">
        <f>IFERROR(100/'Skjema total MA'!I33*K33,0)</f>
        <v>6.5020146450118839</v>
      </c>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c r="C45" s="309"/>
      <c r="D45" s="403"/>
      <c r="E45" s="11"/>
      <c r="F45" s="144"/>
      <c r="G45" s="33"/>
      <c r="H45" s="158"/>
      <c r="I45" s="158"/>
      <c r="J45" s="37"/>
      <c r="K45" s="37"/>
      <c r="L45" s="158"/>
      <c r="M45" s="158"/>
      <c r="N45" s="147"/>
    </row>
    <row r="46" spans="1:14" s="3" customFormat="1" ht="15.75" x14ac:dyDescent="0.2">
      <c r="A46" s="38" t="s">
        <v>312</v>
      </c>
      <c r="B46" s="286"/>
      <c r="C46" s="287"/>
      <c r="D46" s="259"/>
      <c r="E46" s="27"/>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113244.598</v>
      </c>
      <c r="C64" s="347">
        <v>98556</v>
      </c>
      <c r="D64" s="344">
        <f t="shared" ref="D64:D109" si="5">IF(B64=0, "    ---- ", IF(ABS(ROUND(100/B64*C64-100,1))&lt;999,ROUND(100/B64*C64-100,1),IF(ROUND(100/B64*C64-100,1)&gt;999,999,-999)))</f>
        <v>-13</v>
      </c>
      <c r="E64" s="11">
        <f>IFERROR(100/'Skjema total MA'!C64*C64,0)</f>
        <v>1.8348784557526892</v>
      </c>
      <c r="F64" s="346">
        <v>876219.18</v>
      </c>
      <c r="G64" s="346">
        <v>1132572</v>
      </c>
      <c r="H64" s="344">
        <f t="shared" ref="H64:H109" si="6">IF(F64=0, "    ---- ", IF(ABS(ROUND(100/F64*G64-100,1))&lt;999,ROUND(100/F64*G64-100,1),IF(ROUND(100/F64*G64-100,1)&gt;999,999,-999)))</f>
        <v>29.3</v>
      </c>
      <c r="I64" s="11">
        <f>IFERROR(100/'Skjema total MA'!F64*G64,0)</f>
        <v>8.7232624123313087</v>
      </c>
      <c r="J64" s="307">
        <v>989463.77800000005</v>
      </c>
      <c r="K64" s="314">
        <v>1231128</v>
      </c>
      <c r="L64" s="404">
        <f t="shared" ref="L64:L109" si="7">IF(J64=0, "    ---- ", IF(ABS(ROUND(100/J64*K64-100,1))&lt;999,ROUND(100/J64*K64-100,1),IF(ROUND(100/J64*K64-100,1)&gt;999,999,-999)))</f>
        <v>24.4</v>
      </c>
      <c r="M64" s="11">
        <f>IFERROR(100/'Skjema total MA'!I64*K64,0)</f>
        <v>6.7074598710859519</v>
      </c>
    </row>
    <row r="65" spans="1:14" x14ac:dyDescent="0.2">
      <c r="A65" s="395" t="s">
        <v>9</v>
      </c>
      <c r="B65" s="44">
        <v>113244.598</v>
      </c>
      <c r="C65" s="144">
        <v>98556</v>
      </c>
      <c r="D65" s="165">
        <f t="shared" si="5"/>
        <v>-13</v>
      </c>
      <c r="E65" s="27">
        <f>IFERROR(100/'Skjema total MA'!C65*C65,0)</f>
        <v>1.9205166297056482</v>
      </c>
      <c r="F65" s="234"/>
      <c r="G65" s="144"/>
      <c r="H65" s="165"/>
      <c r="I65" s="27"/>
      <c r="J65" s="290">
        <v>113244.598</v>
      </c>
      <c r="K65" s="44">
        <v>98556</v>
      </c>
      <c r="L65" s="259">
        <f t="shared" si="7"/>
        <v>-13</v>
      </c>
      <c r="M65" s="27">
        <f>IFERROR(100/'Skjema total MA'!I65*K65,0)</f>
        <v>1.9205166297056482</v>
      </c>
    </row>
    <row r="66" spans="1:14" x14ac:dyDescent="0.2">
      <c r="A66" s="21" t="s">
        <v>10</v>
      </c>
      <c r="B66" s="292"/>
      <c r="C66" s="293"/>
      <c r="D66" s="165"/>
      <c r="E66" s="27"/>
      <c r="F66" s="292">
        <v>876219.18</v>
      </c>
      <c r="G66" s="293">
        <v>1132572</v>
      </c>
      <c r="H66" s="165">
        <f t="shared" si="6"/>
        <v>29.3</v>
      </c>
      <c r="I66" s="27">
        <f>IFERROR(100/'Skjema total MA'!F66*G66,0)</f>
        <v>8.8109723113518594</v>
      </c>
      <c r="J66" s="290">
        <v>876219.18</v>
      </c>
      <c r="K66" s="44">
        <v>1132572</v>
      </c>
      <c r="L66" s="259">
        <f t="shared" si="7"/>
        <v>29.3</v>
      </c>
      <c r="M66" s="27">
        <f>IFERROR(100/'Skjema total MA'!I66*K66,0)</f>
        <v>8.7311783247606645</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v>113244.598</v>
      </c>
      <c r="C75" s="234">
        <v>98556</v>
      </c>
      <c r="D75" s="165">
        <f t="shared" si="5"/>
        <v>-13</v>
      </c>
      <c r="E75" s="27">
        <f>IFERROR(100/'Skjema total MA'!C75*C75,0)</f>
        <v>1.9308553908858417</v>
      </c>
      <c r="F75" s="234">
        <v>876219.18</v>
      </c>
      <c r="G75" s="144">
        <v>1132572</v>
      </c>
      <c r="H75" s="165">
        <f t="shared" si="6"/>
        <v>29.3</v>
      </c>
      <c r="I75" s="27">
        <f>IFERROR(100/'Skjema total MA'!F75*G75,0)</f>
        <v>8.81672865412391</v>
      </c>
      <c r="J75" s="290">
        <v>989463.77800000005</v>
      </c>
      <c r="K75" s="44">
        <v>1231128</v>
      </c>
      <c r="L75" s="259">
        <f t="shared" si="7"/>
        <v>24.4</v>
      </c>
      <c r="M75" s="27">
        <f>IFERROR(100/'Skjema total MA'!I75*K75,0)</f>
        <v>6.8586582619076966</v>
      </c>
    </row>
    <row r="76" spans="1:14" x14ac:dyDescent="0.2">
      <c r="A76" s="21" t="s">
        <v>9</v>
      </c>
      <c r="B76" s="234">
        <v>113244.598</v>
      </c>
      <c r="C76" s="144">
        <v>98556</v>
      </c>
      <c r="D76" s="165">
        <f t="shared" si="5"/>
        <v>-13</v>
      </c>
      <c r="E76" s="27">
        <f>IFERROR(100/'Skjema total MA'!C76*C76,0)</f>
        <v>1.975460969718728</v>
      </c>
      <c r="F76" s="234"/>
      <c r="G76" s="144"/>
      <c r="H76" s="165"/>
      <c r="I76" s="27"/>
      <c r="J76" s="290">
        <v>113244.598</v>
      </c>
      <c r="K76" s="44">
        <v>98556</v>
      </c>
      <c r="L76" s="259">
        <f t="shared" si="7"/>
        <v>-13</v>
      </c>
      <c r="M76" s="27">
        <f>IFERROR(100/'Skjema total MA'!I76*K76,0)</f>
        <v>1.975460969718728</v>
      </c>
    </row>
    <row r="77" spans="1:14" x14ac:dyDescent="0.2">
      <c r="A77" s="21" t="s">
        <v>10</v>
      </c>
      <c r="B77" s="292"/>
      <c r="C77" s="293"/>
      <c r="D77" s="165"/>
      <c r="E77" s="27"/>
      <c r="F77" s="292">
        <v>876219.18</v>
      </c>
      <c r="G77" s="293">
        <v>1132572</v>
      </c>
      <c r="H77" s="165">
        <f t="shared" si="6"/>
        <v>29.3</v>
      </c>
      <c r="I77" s="27">
        <f>IFERROR(100/'Skjema total MA'!F77*G77,0)</f>
        <v>8.81672865412391</v>
      </c>
      <c r="J77" s="290">
        <v>876219.18</v>
      </c>
      <c r="K77" s="44">
        <v>1132572</v>
      </c>
      <c r="L77" s="259">
        <f t="shared" si="7"/>
        <v>29.3</v>
      </c>
      <c r="M77" s="27">
        <f>IFERROR(100/'Skjema total MA'!I77*K77,0)</f>
        <v>8.7383272205642264</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v>4226421.6449999996</v>
      </c>
      <c r="C85" s="347">
        <v>4542421</v>
      </c>
      <c r="D85" s="170">
        <f t="shared" si="5"/>
        <v>7.5</v>
      </c>
      <c r="E85" s="11">
        <f>IFERROR(100/'Skjema total MA'!C85*C85,0)</f>
        <v>1.2151678514201152</v>
      </c>
      <c r="F85" s="346">
        <v>14118346.494000001</v>
      </c>
      <c r="G85" s="346">
        <v>18490533</v>
      </c>
      <c r="H85" s="170">
        <f t="shared" si="6"/>
        <v>31</v>
      </c>
      <c r="I85" s="11">
        <f>IFERROR(100/'Skjema total MA'!F85*G85,0)</f>
        <v>9.2970313422068855</v>
      </c>
      <c r="J85" s="307">
        <v>18344768.138999999</v>
      </c>
      <c r="K85" s="236">
        <v>23032954</v>
      </c>
      <c r="L85" s="404">
        <f t="shared" si="7"/>
        <v>25.6</v>
      </c>
      <c r="M85" s="11">
        <f>IFERROR(100/'Skjema total MA'!I85*K85,0)</f>
        <v>4.0218423426771643</v>
      </c>
    </row>
    <row r="86" spans="1:13" x14ac:dyDescent="0.2">
      <c r="A86" s="21" t="s">
        <v>9</v>
      </c>
      <c r="B86" s="234">
        <v>4226421.6449999996</v>
      </c>
      <c r="C86" s="144">
        <v>4542421</v>
      </c>
      <c r="D86" s="165">
        <f t="shared" si="5"/>
        <v>7.5</v>
      </c>
      <c r="E86" s="27">
        <f>IFERROR(100/'Skjema total MA'!C86*C86,0)</f>
        <v>1.2241464132625048</v>
      </c>
      <c r="F86" s="234"/>
      <c r="G86" s="144"/>
      <c r="H86" s="165"/>
      <c r="I86" s="27"/>
      <c r="J86" s="290">
        <v>4226421.6449999996</v>
      </c>
      <c r="K86" s="44">
        <v>4542421</v>
      </c>
      <c r="L86" s="259">
        <f t="shared" si="7"/>
        <v>7.5</v>
      </c>
      <c r="M86" s="27">
        <f>IFERROR(100/'Skjema total MA'!I86*K86,0)</f>
        <v>1.2241464132625048</v>
      </c>
    </row>
    <row r="87" spans="1:13" x14ac:dyDescent="0.2">
      <c r="A87" s="21" t="s">
        <v>10</v>
      </c>
      <c r="B87" s="234"/>
      <c r="C87" s="144"/>
      <c r="D87" s="165"/>
      <c r="E87" s="27"/>
      <c r="F87" s="234">
        <v>14118346.494000001</v>
      </c>
      <c r="G87" s="144">
        <v>18490533</v>
      </c>
      <c r="H87" s="165">
        <f t="shared" si="6"/>
        <v>31</v>
      </c>
      <c r="I87" s="27">
        <f>IFERROR(100/'Skjema total MA'!F87*G87,0)</f>
        <v>9.3138619826101241</v>
      </c>
      <c r="J87" s="290">
        <v>14118346.494000001</v>
      </c>
      <c r="K87" s="44">
        <v>18490533</v>
      </c>
      <c r="L87" s="259">
        <f t="shared" si="7"/>
        <v>31</v>
      </c>
      <c r="M87" s="27">
        <f>IFERROR(100/'Skjema total MA'!I87*K87,0)</f>
        <v>9.1980747050531058</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v>4226421.6449999996</v>
      </c>
      <c r="C96" s="234">
        <v>4542421</v>
      </c>
      <c r="D96" s="165">
        <f t="shared" si="5"/>
        <v>7.5</v>
      </c>
      <c r="E96" s="27">
        <f>IFERROR(100/'Skjema total MA'!C96*C96,0)</f>
        <v>1.2321484489868675</v>
      </c>
      <c r="F96" s="292">
        <v>14118346.494000001</v>
      </c>
      <c r="G96" s="292">
        <v>18490533</v>
      </c>
      <c r="H96" s="165">
        <f t="shared" si="6"/>
        <v>31</v>
      </c>
      <c r="I96" s="27">
        <f>IFERROR(100/'Skjema total MA'!F96*G96,0)</f>
        <v>9.3389249243151173</v>
      </c>
      <c r="J96" s="290">
        <v>18344768.138999999</v>
      </c>
      <c r="K96" s="44">
        <v>23032954</v>
      </c>
      <c r="L96" s="259">
        <f t="shared" si="7"/>
        <v>25.6</v>
      </c>
      <c r="M96" s="27">
        <f>IFERROR(100/'Skjema total MA'!I96*K96,0)</f>
        <v>4.0647382828839334</v>
      </c>
    </row>
    <row r="97" spans="1:13" x14ac:dyDescent="0.2">
      <c r="A97" s="21" t="s">
        <v>9</v>
      </c>
      <c r="B97" s="292">
        <v>4226421.6449999996</v>
      </c>
      <c r="C97" s="293">
        <v>4542421</v>
      </c>
      <c r="D97" s="165">
        <f t="shared" si="5"/>
        <v>7.5</v>
      </c>
      <c r="E97" s="27">
        <f>IFERROR(100/'Skjema total MA'!C97*C97,0)</f>
        <v>1.2405580674234762</v>
      </c>
      <c r="F97" s="234"/>
      <c r="G97" s="144"/>
      <c r="H97" s="165"/>
      <c r="I97" s="27"/>
      <c r="J97" s="290">
        <v>4226421.6449999996</v>
      </c>
      <c r="K97" s="44">
        <v>4542421</v>
      </c>
      <c r="L97" s="259">
        <f t="shared" si="7"/>
        <v>7.5</v>
      </c>
      <c r="M97" s="27">
        <f>IFERROR(100/'Skjema total MA'!I97*K97,0)</f>
        <v>1.2405580674234762</v>
      </c>
    </row>
    <row r="98" spans="1:13" x14ac:dyDescent="0.2">
      <c r="A98" s="21" t="s">
        <v>10</v>
      </c>
      <c r="B98" s="292"/>
      <c r="C98" s="293"/>
      <c r="D98" s="165"/>
      <c r="E98" s="27"/>
      <c r="F98" s="234">
        <v>14118346.494000001</v>
      </c>
      <c r="G98" s="234">
        <v>18490533</v>
      </c>
      <c r="H98" s="165">
        <f t="shared" si="6"/>
        <v>31</v>
      </c>
      <c r="I98" s="27">
        <f>IFERROR(100/'Skjema total MA'!F98*G98,0)</f>
        <v>9.3389249243151173</v>
      </c>
      <c r="J98" s="290">
        <v>14118346.494000001</v>
      </c>
      <c r="K98" s="44">
        <v>18490533</v>
      </c>
      <c r="L98" s="259">
        <f t="shared" si="7"/>
        <v>31</v>
      </c>
      <c r="M98" s="27">
        <f>IFERROR(100/'Skjema total MA'!I98*K98,0)</f>
        <v>9.222517551795006</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v>3370691.0959999999</v>
      </c>
      <c r="C106" s="234">
        <v>3865541</v>
      </c>
      <c r="D106" s="165">
        <f t="shared" si="5"/>
        <v>14.7</v>
      </c>
      <c r="E106" s="27">
        <f>IFERROR(100/'Skjema total MA'!C106*C106,0)</f>
        <v>1.3209589442766971</v>
      </c>
      <c r="F106" s="234"/>
      <c r="G106" s="234"/>
      <c r="H106" s="165"/>
      <c r="I106" s="27"/>
      <c r="J106" s="290">
        <v>3370691.0959999999</v>
      </c>
      <c r="K106" s="44">
        <v>3865541</v>
      </c>
      <c r="L106" s="259">
        <f t="shared" si="7"/>
        <v>14.7</v>
      </c>
      <c r="M106" s="27">
        <f>IFERROR(100/'Skjema total MA'!I106*K106,0)</f>
        <v>1.2922000430491969</v>
      </c>
    </row>
    <row r="107" spans="1:13" ht="15.75" x14ac:dyDescent="0.2">
      <c r="A107" s="21" t="s">
        <v>320</v>
      </c>
      <c r="B107" s="234"/>
      <c r="C107" s="234"/>
      <c r="D107" s="165"/>
      <c r="E107" s="27"/>
      <c r="F107" s="234">
        <v>4727050.2120000003</v>
      </c>
      <c r="G107" s="234">
        <v>6052886</v>
      </c>
      <c r="H107" s="165">
        <f t="shared" si="6"/>
        <v>28</v>
      </c>
      <c r="I107" s="27">
        <f>IFERROR(100/'Skjema total MA'!F107*G107,0)</f>
        <v>9.5682926243100432</v>
      </c>
      <c r="J107" s="290">
        <v>4727050.2120000003</v>
      </c>
      <c r="K107" s="44">
        <v>6052886</v>
      </c>
      <c r="L107" s="259">
        <f t="shared" si="7"/>
        <v>28</v>
      </c>
      <c r="M107" s="27">
        <f>IFERROR(100/'Skjema total MA'!I107*K107,0)</f>
        <v>9.4540736960326974</v>
      </c>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v>27598.878000000001</v>
      </c>
      <c r="C109" s="158">
        <v>40038</v>
      </c>
      <c r="D109" s="170">
        <f t="shared" si="5"/>
        <v>45.1</v>
      </c>
      <c r="E109" s="11">
        <f>IFERROR(100/'Skjema total MA'!C109*C109,0)</f>
        <v>11.499215455054252</v>
      </c>
      <c r="F109" s="306">
        <v>396690.967</v>
      </c>
      <c r="G109" s="158">
        <v>1313065</v>
      </c>
      <c r="H109" s="170">
        <f t="shared" si="6"/>
        <v>231</v>
      </c>
      <c r="I109" s="11">
        <f>IFERROR(100/'Skjema total MA'!F109*G109,0)</f>
        <v>20.292526609528235</v>
      </c>
      <c r="J109" s="307">
        <v>424289.84500000003</v>
      </c>
      <c r="K109" s="236">
        <v>1353103</v>
      </c>
      <c r="L109" s="404">
        <f t="shared" si="7"/>
        <v>218.9</v>
      </c>
      <c r="M109" s="11">
        <f>IFERROR(100/'Skjema total MA'!I109*K109,0)</f>
        <v>19.843528363508046</v>
      </c>
    </row>
    <row r="110" spans="1:13" x14ac:dyDescent="0.2">
      <c r="A110" s="21" t="s">
        <v>9</v>
      </c>
      <c r="B110" s="234">
        <v>27598.878000000001</v>
      </c>
      <c r="C110" s="144">
        <v>40038</v>
      </c>
      <c r="D110" s="165">
        <f t="shared" ref="D110:D122" si="8">IF(B110=0, "    ---- ", IF(ABS(ROUND(100/B110*C110-100,1))&lt;999,ROUND(100/B110*C110-100,1),IF(ROUND(100/B110*C110-100,1)&gt;999,999,-999)))</f>
        <v>45.1</v>
      </c>
      <c r="E110" s="27">
        <f>IFERROR(100/'Skjema total MA'!C110*C110,0)</f>
        <v>12.283245390503581</v>
      </c>
      <c r="F110" s="234"/>
      <c r="G110" s="144"/>
      <c r="H110" s="165"/>
      <c r="I110" s="27"/>
      <c r="J110" s="290">
        <v>27598.878000000001</v>
      </c>
      <c r="K110" s="44">
        <v>40038</v>
      </c>
      <c r="L110" s="259">
        <f t="shared" ref="L110:L123" si="9">IF(J110=0, "    ---- ", IF(ABS(ROUND(100/J110*K110-100,1))&lt;999,ROUND(100/J110*K110-100,1),IF(ROUND(100/J110*K110-100,1)&gt;999,999,-999)))</f>
        <v>45.1</v>
      </c>
      <c r="M110" s="27">
        <f>IFERROR(100/'Skjema total MA'!I110*K110,0)</f>
        <v>12.283245390503581</v>
      </c>
    </row>
    <row r="111" spans="1:13" x14ac:dyDescent="0.2">
      <c r="A111" s="21" t="s">
        <v>10</v>
      </c>
      <c r="B111" s="234"/>
      <c r="C111" s="144"/>
      <c r="D111" s="165"/>
      <c r="E111" s="27"/>
      <c r="F111" s="234">
        <v>396690.967</v>
      </c>
      <c r="G111" s="144">
        <v>1313065</v>
      </c>
      <c r="H111" s="165">
        <f t="shared" ref="H111:H123" si="10">IF(F111=0, "    ---- ", IF(ABS(ROUND(100/F111*G111-100,1))&lt;999,ROUND(100/F111*G111-100,1),IF(ROUND(100/F111*G111-100,1)&gt;999,999,-999)))</f>
        <v>231</v>
      </c>
      <c r="I111" s="27">
        <f>IFERROR(100/'Skjema total MA'!F111*G111,0)</f>
        <v>20.292526609528235</v>
      </c>
      <c r="J111" s="290">
        <v>396690.967</v>
      </c>
      <c r="K111" s="44">
        <v>1313065</v>
      </c>
      <c r="L111" s="259">
        <f t="shared" si="9"/>
        <v>231</v>
      </c>
      <c r="M111" s="27">
        <f>IFERROR(100/'Skjema total MA'!I111*K111,0)</f>
        <v>20.284597848796999</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v>5604.4089999999997</v>
      </c>
      <c r="C114" s="234">
        <v>10600</v>
      </c>
      <c r="D114" s="165">
        <f t="shared" si="8"/>
        <v>89.1</v>
      </c>
      <c r="E114" s="27">
        <f>IFERROR(100/'Skjema total MA'!C114*C114,0)</f>
        <v>34.525646751970925</v>
      </c>
      <c r="F114" s="234"/>
      <c r="G114" s="234"/>
      <c r="H114" s="165"/>
      <c r="I114" s="27"/>
      <c r="J114" s="290">
        <v>5604.4089999999997</v>
      </c>
      <c r="K114" s="44">
        <v>10600</v>
      </c>
      <c r="L114" s="259">
        <f t="shared" si="9"/>
        <v>89.1</v>
      </c>
      <c r="M114" s="27">
        <f>IFERROR(100/'Skjema total MA'!I114*K114,0)</f>
        <v>24.731886841116452</v>
      </c>
    </row>
    <row r="115" spans="1:14" ht="15.75" x14ac:dyDescent="0.2">
      <c r="A115" s="21" t="s">
        <v>322</v>
      </c>
      <c r="B115" s="234"/>
      <c r="C115" s="234"/>
      <c r="D115" s="165"/>
      <c r="E115" s="27"/>
      <c r="F115" s="234">
        <v>42463.885999999999</v>
      </c>
      <c r="G115" s="234">
        <v>113587</v>
      </c>
      <c r="H115" s="165">
        <f t="shared" si="10"/>
        <v>167.5</v>
      </c>
      <c r="I115" s="27">
        <f>IFERROR(100/'Skjema total MA'!F115*G115,0)</f>
        <v>10.278803624830292</v>
      </c>
      <c r="J115" s="290">
        <v>42463.885999999999</v>
      </c>
      <c r="K115" s="44">
        <v>113587</v>
      </c>
      <c r="L115" s="259">
        <f t="shared" si="9"/>
        <v>167.5</v>
      </c>
      <c r="M115" s="27">
        <f>IFERROR(100/'Skjema total MA'!I115*K115,0)</f>
        <v>10.278803624830292</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8662.3549999999996</v>
      </c>
      <c r="C117" s="158">
        <v>11106</v>
      </c>
      <c r="D117" s="170">
        <f t="shared" si="8"/>
        <v>28.2</v>
      </c>
      <c r="E117" s="11">
        <f>IFERROR(100/'Skjema total MA'!C117*C117,0)</f>
        <v>3.785786464860549</v>
      </c>
      <c r="F117" s="306">
        <v>225934.11900000001</v>
      </c>
      <c r="G117" s="158">
        <v>494945</v>
      </c>
      <c r="H117" s="170">
        <f t="shared" si="10"/>
        <v>119.1</v>
      </c>
      <c r="I117" s="11">
        <f>IFERROR(100/'Skjema total MA'!F117*G117,0)</f>
        <v>7.6771096847005866</v>
      </c>
      <c r="J117" s="307">
        <v>234596.47400000002</v>
      </c>
      <c r="K117" s="236">
        <v>506051</v>
      </c>
      <c r="L117" s="404">
        <f t="shared" si="9"/>
        <v>115.7</v>
      </c>
      <c r="M117" s="11">
        <f>IFERROR(100/'Skjema total MA'!I117*K117,0)</f>
        <v>7.5077483451633293</v>
      </c>
    </row>
    <row r="118" spans="1:14" x14ac:dyDescent="0.2">
      <c r="A118" s="21" t="s">
        <v>9</v>
      </c>
      <c r="B118" s="234">
        <v>8662.3549999999996</v>
      </c>
      <c r="C118" s="144">
        <v>11106</v>
      </c>
      <c r="D118" s="165">
        <f t="shared" si="8"/>
        <v>28.2</v>
      </c>
      <c r="E118" s="27">
        <f>IFERROR(100/'Skjema total MA'!C118*C118,0)</f>
        <v>4.2993457083626572</v>
      </c>
      <c r="F118" s="234"/>
      <c r="G118" s="144"/>
      <c r="H118" s="165"/>
      <c r="I118" s="27"/>
      <c r="J118" s="290">
        <v>8662.3549999999996</v>
      </c>
      <c r="K118" s="44">
        <v>11106</v>
      </c>
      <c r="L118" s="259">
        <f t="shared" si="9"/>
        <v>28.2</v>
      </c>
      <c r="M118" s="27">
        <f>IFERROR(100/'Skjema total MA'!I118*K118,0)</f>
        <v>4.2993457083626572</v>
      </c>
    </row>
    <row r="119" spans="1:14" x14ac:dyDescent="0.2">
      <c r="A119" s="21" t="s">
        <v>10</v>
      </c>
      <c r="B119" s="234"/>
      <c r="C119" s="144"/>
      <c r="D119" s="165"/>
      <c r="E119" s="27"/>
      <c r="F119" s="234">
        <v>225934.11900000001</v>
      </c>
      <c r="G119" s="144">
        <v>494945</v>
      </c>
      <c r="H119" s="165">
        <f t="shared" si="10"/>
        <v>119.1</v>
      </c>
      <c r="I119" s="27">
        <f>IFERROR(100/'Skjema total MA'!F119*G119,0)</f>
        <v>7.6771096847005866</v>
      </c>
      <c r="J119" s="290">
        <v>225934.11900000001</v>
      </c>
      <c r="K119" s="44">
        <v>494945</v>
      </c>
      <c r="L119" s="259">
        <f t="shared" si="9"/>
        <v>119.1</v>
      </c>
      <c r="M119" s="27">
        <f>IFERROR(100/'Skjema total MA'!I119*K119,0)</f>
        <v>7.6564314976383452</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v>7.0910000000000002</v>
      </c>
      <c r="C122" s="234"/>
      <c r="D122" s="165">
        <f t="shared" si="8"/>
        <v>-100</v>
      </c>
      <c r="E122" s="27">
        <f>IFERROR(100/'Skjema total MA'!C122*C122,0)</f>
        <v>0</v>
      </c>
      <c r="F122" s="234"/>
      <c r="G122" s="234"/>
      <c r="H122" s="165"/>
      <c r="I122" s="27"/>
      <c r="J122" s="290">
        <v>7.0910000000000002</v>
      </c>
      <c r="K122" s="44"/>
      <c r="L122" s="259">
        <f t="shared" si="9"/>
        <v>-100</v>
      </c>
      <c r="M122" s="27">
        <f>IFERROR(100/'Skjema total MA'!I122*K122,0)</f>
        <v>0</v>
      </c>
    </row>
    <row r="123" spans="1:14" ht="15.75" x14ac:dyDescent="0.2">
      <c r="A123" s="21" t="s">
        <v>320</v>
      </c>
      <c r="B123" s="234"/>
      <c r="C123" s="234"/>
      <c r="D123" s="165"/>
      <c r="E123" s="27"/>
      <c r="F123" s="234">
        <v>47690.652000000002</v>
      </c>
      <c r="G123" s="234">
        <v>129850</v>
      </c>
      <c r="H123" s="165">
        <f t="shared" si="10"/>
        <v>172.3</v>
      </c>
      <c r="I123" s="27">
        <f>IFERROR(100/'Skjema total MA'!F123*G123,0)</f>
        <v>13.781762570484664</v>
      </c>
      <c r="J123" s="290">
        <v>47690.652000000002</v>
      </c>
      <c r="K123" s="44">
        <v>129850</v>
      </c>
      <c r="L123" s="259">
        <f t="shared" si="9"/>
        <v>172.3</v>
      </c>
      <c r="M123" s="27">
        <f>IFERROR(100/'Skjema total MA'!I123*K123,0)</f>
        <v>13.737132771782518</v>
      </c>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311" priority="132">
      <formula>kvartal &lt; 4</formula>
    </cfRule>
  </conditionalFormatting>
  <conditionalFormatting sqref="B29">
    <cfRule type="expression" dxfId="1310" priority="130">
      <formula>kvartal &lt; 4</formula>
    </cfRule>
  </conditionalFormatting>
  <conditionalFormatting sqref="B30">
    <cfRule type="expression" dxfId="1309" priority="129">
      <formula>kvartal &lt; 4</formula>
    </cfRule>
  </conditionalFormatting>
  <conditionalFormatting sqref="B31">
    <cfRule type="expression" dxfId="1308" priority="128">
      <formula>kvartal &lt; 4</formula>
    </cfRule>
  </conditionalFormatting>
  <conditionalFormatting sqref="C29">
    <cfRule type="expression" dxfId="1307" priority="127">
      <formula>kvartal &lt; 4</formula>
    </cfRule>
  </conditionalFormatting>
  <conditionalFormatting sqref="C30">
    <cfRule type="expression" dxfId="1306" priority="126">
      <formula>kvartal &lt; 4</formula>
    </cfRule>
  </conditionalFormatting>
  <conditionalFormatting sqref="C31">
    <cfRule type="expression" dxfId="1305" priority="125">
      <formula>kvartal &lt; 4</formula>
    </cfRule>
  </conditionalFormatting>
  <conditionalFormatting sqref="B23:C25">
    <cfRule type="expression" dxfId="1304" priority="124">
      <formula>kvartal &lt; 4</formula>
    </cfRule>
  </conditionalFormatting>
  <conditionalFormatting sqref="F23:G25">
    <cfRule type="expression" dxfId="1303" priority="120">
      <formula>kvartal &lt; 4</formula>
    </cfRule>
  </conditionalFormatting>
  <conditionalFormatting sqref="F29">
    <cfRule type="expression" dxfId="1302" priority="113">
      <formula>kvartal &lt; 4</formula>
    </cfRule>
  </conditionalFormatting>
  <conditionalFormatting sqref="F30">
    <cfRule type="expression" dxfId="1301" priority="112">
      <formula>kvartal &lt; 4</formula>
    </cfRule>
  </conditionalFormatting>
  <conditionalFormatting sqref="F31">
    <cfRule type="expression" dxfId="1300" priority="111">
      <formula>kvartal &lt; 4</formula>
    </cfRule>
  </conditionalFormatting>
  <conditionalFormatting sqref="G29">
    <cfRule type="expression" dxfId="1299" priority="110">
      <formula>kvartal &lt; 4</formula>
    </cfRule>
  </conditionalFormatting>
  <conditionalFormatting sqref="G30">
    <cfRule type="expression" dxfId="1298" priority="109">
      <formula>kvartal &lt; 4</formula>
    </cfRule>
  </conditionalFormatting>
  <conditionalFormatting sqref="G31">
    <cfRule type="expression" dxfId="1297" priority="108">
      <formula>kvartal &lt; 4</formula>
    </cfRule>
  </conditionalFormatting>
  <conditionalFormatting sqref="B26">
    <cfRule type="expression" dxfId="1296" priority="107">
      <formula>kvartal &lt; 4</formula>
    </cfRule>
  </conditionalFormatting>
  <conditionalFormatting sqref="C26">
    <cfRule type="expression" dxfId="1295" priority="106">
      <formula>kvartal &lt; 4</formula>
    </cfRule>
  </conditionalFormatting>
  <conditionalFormatting sqref="F26">
    <cfRule type="expression" dxfId="1294" priority="105">
      <formula>kvartal &lt; 4</formula>
    </cfRule>
  </conditionalFormatting>
  <conditionalFormatting sqref="G26">
    <cfRule type="expression" dxfId="1293" priority="104">
      <formula>kvartal &lt; 4</formula>
    </cfRule>
  </conditionalFormatting>
  <conditionalFormatting sqref="J23:K26">
    <cfRule type="expression" dxfId="1292" priority="103">
      <formula>kvartal &lt; 4</formula>
    </cfRule>
  </conditionalFormatting>
  <conditionalFormatting sqref="J29:K31">
    <cfRule type="expression" dxfId="1291" priority="101">
      <formula>kvartal &lt; 4</formula>
    </cfRule>
  </conditionalFormatting>
  <conditionalFormatting sqref="B67">
    <cfRule type="expression" dxfId="1290" priority="100">
      <formula>kvartal &lt; 4</formula>
    </cfRule>
  </conditionalFormatting>
  <conditionalFormatting sqref="C67">
    <cfRule type="expression" dxfId="1289" priority="99">
      <formula>kvartal &lt; 4</formula>
    </cfRule>
  </conditionalFormatting>
  <conditionalFormatting sqref="B70">
    <cfRule type="expression" dxfId="1288" priority="98">
      <formula>kvartal &lt; 4</formula>
    </cfRule>
  </conditionalFormatting>
  <conditionalFormatting sqref="C70">
    <cfRule type="expression" dxfId="1287" priority="97">
      <formula>kvartal &lt; 4</formula>
    </cfRule>
  </conditionalFormatting>
  <conditionalFormatting sqref="B78">
    <cfRule type="expression" dxfId="1286" priority="96">
      <formula>kvartal &lt; 4</formula>
    </cfRule>
  </conditionalFormatting>
  <conditionalFormatting sqref="C78">
    <cfRule type="expression" dxfId="1285" priority="95">
      <formula>kvartal &lt; 4</formula>
    </cfRule>
  </conditionalFormatting>
  <conditionalFormatting sqref="B81">
    <cfRule type="expression" dxfId="1284" priority="94">
      <formula>kvartal &lt; 4</formula>
    </cfRule>
  </conditionalFormatting>
  <conditionalFormatting sqref="C81">
    <cfRule type="expression" dxfId="1283" priority="93">
      <formula>kvartal &lt; 4</formula>
    </cfRule>
  </conditionalFormatting>
  <conditionalFormatting sqref="B88">
    <cfRule type="expression" dxfId="1282" priority="84">
      <formula>kvartal &lt; 4</formula>
    </cfRule>
  </conditionalFormatting>
  <conditionalFormatting sqref="C88">
    <cfRule type="expression" dxfId="1281" priority="83">
      <formula>kvartal &lt; 4</formula>
    </cfRule>
  </conditionalFormatting>
  <conditionalFormatting sqref="B91">
    <cfRule type="expression" dxfId="1280" priority="82">
      <formula>kvartal &lt; 4</formula>
    </cfRule>
  </conditionalFormatting>
  <conditionalFormatting sqref="C91">
    <cfRule type="expression" dxfId="1279" priority="81">
      <formula>kvartal &lt; 4</formula>
    </cfRule>
  </conditionalFormatting>
  <conditionalFormatting sqref="B99">
    <cfRule type="expression" dxfId="1278" priority="80">
      <formula>kvartal &lt; 4</formula>
    </cfRule>
  </conditionalFormatting>
  <conditionalFormatting sqref="C99">
    <cfRule type="expression" dxfId="1277" priority="79">
      <formula>kvartal &lt; 4</formula>
    </cfRule>
  </conditionalFormatting>
  <conditionalFormatting sqref="B102">
    <cfRule type="expression" dxfId="1276" priority="78">
      <formula>kvartal &lt; 4</formula>
    </cfRule>
  </conditionalFormatting>
  <conditionalFormatting sqref="C102">
    <cfRule type="expression" dxfId="1275" priority="77">
      <formula>kvartal &lt; 4</formula>
    </cfRule>
  </conditionalFormatting>
  <conditionalFormatting sqref="B113">
    <cfRule type="expression" dxfId="1274" priority="76">
      <formula>kvartal &lt; 4</formula>
    </cfRule>
  </conditionalFormatting>
  <conditionalFormatting sqref="C113">
    <cfRule type="expression" dxfId="1273" priority="75">
      <formula>kvartal &lt; 4</formula>
    </cfRule>
  </conditionalFormatting>
  <conditionalFormatting sqref="B121">
    <cfRule type="expression" dxfId="1272" priority="74">
      <formula>kvartal &lt; 4</formula>
    </cfRule>
  </conditionalFormatting>
  <conditionalFormatting sqref="C121">
    <cfRule type="expression" dxfId="1271" priority="73">
      <formula>kvartal &lt; 4</formula>
    </cfRule>
  </conditionalFormatting>
  <conditionalFormatting sqref="F68">
    <cfRule type="expression" dxfId="1270" priority="72">
      <formula>kvartal &lt; 4</formula>
    </cfRule>
  </conditionalFormatting>
  <conditionalFormatting sqref="G68">
    <cfRule type="expression" dxfId="1269" priority="71">
      <formula>kvartal &lt; 4</formula>
    </cfRule>
  </conditionalFormatting>
  <conditionalFormatting sqref="F69:G69">
    <cfRule type="expression" dxfId="1268" priority="70">
      <formula>kvartal &lt; 4</formula>
    </cfRule>
  </conditionalFormatting>
  <conditionalFormatting sqref="F71:G72">
    <cfRule type="expression" dxfId="1267" priority="69">
      <formula>kvartal &lt; 4</formula>
    </cfRule>
  </conditionalFormatting>
  <conditionalFormatting sqref="F79:G80">
    <cfRule type="expression" dxfId="1266" priority="68">
      <formula>kvartal &lt; 4</formula>
    </cfRule>
  </conditionalFormatting>
  <conditionalFormatting sqref="F82:G83">
    <cfRule type="expression" dxfId="1265" priority="67">
      <formula>kvartal &lt; 4</formula>
    </cfRule>
  </conditionalFormatting>
  <conditionalFormatting sqref="F89:G90">
    <cfRule type="expression" dxfId="1264" priority="62">
      <formula>kvartal &lt; 4</formula>
    </cfRule>
  </conditionalFormatting>
  <conditionalFormatting sqref="F92:G93">
    <cfRule type="expression" dxfId="1263" priority="61">
      <formula>kvartal &lt; 4</formula>
    </cfRule>
  </conditionalFormatting>
  <conditionalFormatting sqref="F100:G101">
    <cfRule type="expression" dxfId="1262" priority="60">
      <formula>kvartal &lt; 4</formula>
    </cfRule>
  </conditionalFormatting>
  <conditionalFormatting sqref="F103:G104">
    <cfRule type="expression" dxfId="1261" priority="59">
      <formula>kvartal &lt; 4</formula>
    </cfRule>
  </conditionalFormatting>
  <conditionalFormatting sqref="F113">
    <cfRule type="expression" dxfId="1260" priority="58">
      <formula>kvartal &lt; 4</formula>
    </cfRule>
  </conditionalFormatting>
  <conditionalFormatting sqref="G113">
    <cfRule type="expression" dxfId="1259" priority="57">
      <formula>kvartal &lt; 4</formula>
    </cfRule>
  </conditionalFormatting>
  <conditionalFormatting sqref="F121:G121">
    <cfRule type="expression" dxfId="1258" priority="56">
      <formula>kvartal &lt; 4</formula>
    </cfRule>
  </conditionalFormatting>
  <conditionalFormatting sqref="F67:G67">
    <cfRule type="expression" dxfId="1257" priority="55">
      <formula>kvartal &lt; 4</formula>
    </cfRule>
  </conditionalFormatting>
  <conditionalFormatting sqref="F70:G70">
    <cfRule type="expression" dxfId="1256" priority="54">
      <formula>kvartal &lt; 4</formula>
    </cfRule>
  </conditionalFormatting>
  <conditionalFormatting sqref="F78:G78">
    <cfRule type="expression" dxfId="1255" priority="53">
      <formula>kvartal &lt; 4</formula>
    </cfRule>
  </conditionalFormatting>
  <conditionalFormatting sqref="F81:G81">
    <cfRule type="expression" dxfId="1254" priority="52">
      <formula>kvartal &lt; 4</formula>
    </cfRule>
  </conditionalFormatting>
  <conditionalFormatting sqref="F88:G88">
    <cfRule type="expression" dxfId="1253" priority="46">
      <formula>kvartal &lt; 4</formula>
    </cfRule>
  </conditionalFormatting>
  <conditionalFormatting sqref="F91">
    <cfRule type="expression" dxfId="1252" priority="45">
      <formula>kvartal &lt; 4</formula>
    </cfRule>
  </conditionalFormatting>
  <conditionalFormatting sqref="G91">
    <cfRule type="expression" dxfId="1251" priority="44">
      <formula>kvartal &lt; 4</formula>
    </cfRule>
  </conditionalFormatting>
  <conditionalFormatting sqref="F99">
    <cfRule type="expression" dxfId="1250" priority="43">
      <formula>kvartal &lt; 4</formula>
    </cfRule>
  </conditionalFormatting>
  <conditionalFormatting sqref="G99">
    <cfRule type="expression" dxfId="1249" priority="42">
      <formula>kvartal &lt; 4</formula>
    </cfRule>
  </conditionalFormatting>
  <conditionalFormatting sqref="G102">
    <cfRule type="expression" dxfId="1248" priority="41">
      <formula>kvartal &lt; 4</formula>
    </cfRule>
  </conditionalFormatting>
  <conditionalFormatting sqref="F102">
    <cfRule type="expression" dxfId="1247" priority="40">
      <formula>kvartal &lt; 4</formula>
    </cfRule>
  </conditionalFormatting>
  <conditionalFormatting sqref="J67:K71">
    <cfRule type="expression" dxfId="1246" priority="39">
      <formula>kvartal &lt; 4</formula>
    </cfRule>
  </conditionalFormatting>
  <conditionalFormatting sqref="J72:K72">
    <cfRule type="expression" dxfId="1245" priority="38">
      <formula>kvartal &lt; 4</formula>
    </cfRule>
  </conditionalFormatting>
  <conditionalFormatting sqref="J78:K83">
    <cfRule type="expression" dxfId="1244" priority="37">
      <formula>kvartal &lt; 4</formula>
    </cfRule>
  </conditionalFormatting>
  <conditionalFormatting sqref="J88:K93">
    <cfRule type="expression" dxfId="1243" priority="34">
      <formula>kvartal &lt; 4</formula>
    </cfRule>
  </conditionalFormatting>
  <conditionalFormatting sqref="J99:K104">
    <cfRule type="expression" dxfId="1242" priority="33">
      <formula>kvartal &lt; 4</formula>
    </cfRule>
  </conditionalFormatting>
  <conditionalFormatting sqref="J113:K113">
    <cfRule type="expression" dxfId="1241" priority="32">
      <formula>kvartal &lt; 4</formula>
    </cfRule>
  </conditionalFormatting>
  <conditionalFormatting sqref="J121:K121">
    <cfRule type="expression" dxfId="1240" priority="31">
      <formula>kvartal &lt; 4</formula>
    </cfRule>
  </conditionalFormatting>
  <conditionalFormatting sqref="A23:A25">
    <cfRule type="expression" dxfId="1239" priority="15">
      <formula>kvartal &lt; 4</formula>
    </cfRule>
  </conditionalFormatting>
  <conditionalFormatting sqref="A29:A31">
    <cfRule type="expression" dxfId="1238" priority="13">
      <formula>kvartal &lt; 4</formula>
    </cfRule>
  </conditionalFormatting>
  <conditionalFormatting sqref="A48:A50">
    <cfRule type="expression" dxfId="1237" priority="12">
      <formula>kvartal &lt; 4</formula>
    </cfRule>
  </conditionalFormatting>
  <conditionalFormatting sqref="A67:A72">
    <cfRule type="expression" dxfId="1236" priority="10">
      <formula>kvartal &lt; 4</formula>
    </cfRule>
  </conditionalFormatting>
  <conditionalFormatting sqref="A78:A83">
    <cfRule type="expression" dxfId="1235" priority="9">
      <formula>kvartal &lt; 4</formula>
    </cfRule>
  </conditionalFormatting>
  <conditionalFormatting sqref="A88:A93">
    <cfRule type="expression" dxfId="1234" priority="6">
      <formula>kvartal &lt; 4</formula>
    </cfRule>
  </conditionalFormatting>
  <conditionalFormatting sqref="A99:A104">
    <cfRule type="expression" dxfId="1233" priority="5">
      <formula>kvartal &lt; 4</formula>
    </cfRule>
  </conditionalFormatting>
  <conditionalFormatting sqref="A113">
    <cfRule type="expression" dxfId="1232" priority="4">
      <formula>kvartal &lt; 4</formula>
    </cfRule>
  </conditionalFormatting>
  <conditionalFormatting sqref="A121">
    <cfRule type="expression" dxfId="1231" priority="3">
      <formula>kvartal &lt; 4</formula>
    </cfRule>
  </conditionalFormatting>
  <conditionalFormatting sqref="A26">
    <cfRule type="expression" dxfId="1230" priority="2">
      <formula>kvartal &lt; 4</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101</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20492</v>
      </c>
      <c r="C7" s="305">
        <v>19797</v>
      </c>
      <c r="D7" s="344">
        <f>IF(B7=0, "    ---- ", IF(ABS(ROUND(100/B7*C7-100,1))&lt;999,ROUND(100/B7*C7-100,1),IF(ROUND(100/B7*C7-100,1)&gt;999,999,-999)))</f>
        <v>-3.4</v>
      </c>
      <c r="E7" s="11">
        <f>IFERROR(100/'Skjema total MA'!C7*C7,0)</f>
        <v>0.7270455196765897</v>
      </c>
      <c r="F7" s="304"/>
      <c r="G7" s="305"/>
      <c r="H7" s="344"/>
      <c r="I7" s="159"/>
      <c r="J7" s="306">
        <v>20492</v>
      </c>
      <c r="K7" s="307">
        <v>19797</v>
      </c>
      <c r="L7" s="403">
        <f>IF(J7=0, "    ---- ", IF(ABS(ROUND(100/J7*K7-100,1))&lt;999,ROUND(100/J7*K7-100,1),IF(ROUND(100/J7*K7-100,1)&gt;999,999,-999)))</f>
        <v>-3.4</v>
      </c>
      <c r="M7" s="11">
        <f>IFERROR(100/'Skjema total MA'!I7*K7,0)</f>
        <v>0.27248876976426234</v>
      </c>
    </row>
    <row r="8" spans="1:14" ht="15.75" x14ac:dyDescent="0.2">
      <c r="A8" s="21" t="s">
        <v>29</v>
      </c>
      <c r="B8" s="286">
        <v>11328.343338410499</v>
      </c>
      <c r="C8" s="287">
        <v>7420</v>
      </c>
      <c r="D8" s="165">
        <f t="shared" ref="D8:D10" si="0">IF(B8=0, "    ---- ", IF(ABS(ROUND(100/B8*C8-100,1))&lt;999,ROUND(100/B8*C8-100,1),IF(ROUND(100/B8*C8-100,1)&gt;999,999,-999)))</f>
        <v>-34.5</v>
      </c>
      <c r="E8" s="27">
        <f>IFERROR(100/'Skjema total MA'!C8*C8,0)</f>
        <v>0.49383103504080988</v>
      </c>
      <c r="F8" s="423"/>
      <c r="G8" s="424"/>
      <c r="H8" s="170"/>
      <c r="I8" s="175"/>
      <c r="J8" s="234">
        <v>11328.343338410499</v>
      </c>
      <c r="K8" s="290">
        <v>7420</v>
      </c>
      <c r="L8" s="165">
        <f t="shared" ref="L8:L9" si="1">IF(J8=0, "    ---- ", IF(ABS(ROUND(100/J8*K8-100,1))&lt;999,ROUND(100/J8*K8-100,1),IF(ROUND(100/J8*K8-100,1)&gt;999,999,-999)))</f>
        <v>-34.5</v>
      </c>
      <c r="M8" s="27">
        <f>IFERROR(100/'Skjema total MA'!I8*K8,0)</f>
        <v>0.49383103504080988</v>
      </c>
    </row>
    <row r="9" spans="1:14" ht="15.75" x14ac:dyDescent="0.2">
      <c r="A9" s="21" t="s">
        <v>28</v>
      </c>
      <c r="B9" s="286">
        <v>6624.4186004838302</v>
      </c>
      <c r="C9" s="287">
        <v>12075</v>
      </c>
      <c r="D9" s="165">
        <f t="shared" si="0"/>
        <v>82.3</v>
      </c>
      <c r="E9" s="27">
        <f>IFERROR(100/'Skjema total MA'!C9*C9,0)</f>
        <v>1.6679469666627607</v>
      </c>
      <c r="F9" s="423"/>
      <c r="G9" s="424"/>
      <c r="H9" s="170"/>
      <c r="I9" s="175"/>
      <c r="J9" s="234">
        <v>6624.4186004838302</v>
      </c>
      <c r="K9" s="290">
        <v>12075</v>
      </c>
      <c r="L9" s="165">
        <f t="shared" si="1"/>
        <v>82.3</v>
      </c>
      <c r="M9" s="27">
        <f>IFERROR(100/'Skjema total MA'!I9*K9,0)</f>
        <v>1.6679469666627607</v>
      </c>
    </row>
    <row r="10" spans="1:14" ht="15.75" x14ac:dyDescent="0.2">
      <c r="A10" s="13" t="s">
        <v>26</v>
      </c>
      <c r="B10" s="308">
        <v>25877</v>
      </c>
      <c r="C10" s="309">
        <v>24810</v>
      </c>
      <c r="D10" s="170">
        <f t="shared" si="0"/>
        <v>-4.0999999999999996</v>
      </c>
      <c r="E10" s="11">
        <f>IFERROR(100/'Skjema total MA'!C10*C10,0)</f>
        <v>0.1078254200772633</v>
      </c>
      <c r="F10" s="308"/>
      <c r="G10" s="309"/>
      <c r="H10" s="170"/>
      <c r="I10" s="159"/>
      <c r="J10" s="306">
        <v>25877</v>
      </c>
      <c r="K10" s="307">
        <v>24810</v>
      </c>
      <c r="L10" s="404">
        <f t="shared" ref="L10" si="2">IF(J10=0, "    ---- ", IF(ABS(ROUND(100/J10*K10-100,1))&lt;999,ROUND(100/J10*K10-100,1),IF(ROUND(100/J10*K10-100,1)&gt;999,999,-999)))</f>
        <v>-4.0999999999999996</v>
      </c>
      <c r="M10" s="11">
        <f>IFERROR(100/'Skjema total MA'!I10*K10,0)</f>
        <v>4.089179053617812E-2</v>
      </c>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v>123</v>
      </c>
      <c r="C22" s="315">
        <v>109</v>
      </c>
      <c r="D22" s="344">
        <f t="shared" ref="D22:D28" si="3">IF(B22=0, "    ---- ", IF(ABS(ROUND(100/B22*C22-100,1))&lt;999,ROUND(100/B22*C22-100,1),IF(ROUND(100/B22*C22-100,1)&gt;999,999,-999)))</f>
        <v>-11.4</v>
      </c>
      <c r="E22" s="11">
        <f>IFERROR(100/'Skjema total MA'!C22*C22,0)</f>
        <v>1.1367149502782659E-2</v>
      </c>
      <c r="F22" s="316"/>
      <c r="G22" s="315"/>
      <c r="H22" s="344"/>
      <c r="I22" s="11"/>
      <c r="J22" s="314">
        <v>123</v>
      </c>
      <c r="K22" s="314">
        <v>109</v>
      </c>
      <c r="L22" s="403">
        <f t="shared" ref="L22:L28" si="4">IF(J22=0, "    ---- ", IF(ABS(ROUND(100/J22*K22-100,1))&lt;999,ROUND(100/J22*K22-100,1),IF(ROUND(100/J22*K22-100,1)&gt;999,999,-999)))</f>
        <v>-11.4</v>
      </c>
      <c r="M22" s="24">
        <f>IFERROR(100/'Skjema total MA'!I22*K22,0)</f>
        <v>9.4105137425364409E-3</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123</v>
      </c>
      <c r="C27" s="290">
        <v>109</v>
      </c>
      <c r="D27" s="165">
        <f t="shared" si="3"/>
        <v>-11.4</v>
      </c>
      <c r="E27" s="27">
        <f>IFERROR(100/'Skjema total MA'!C27*C27,0)</f>
        <v>1.1020511622445179E-2</v>
      </c>
      <c r="F27" s="234"/>
      <c r="G27" s="290"/>
      <c r="H27" s="165"/>
      <c r="I27" s="27"/>
      <c r="J27" s="44">
        <v>123</v>
      </c>
      <c r="K27" s="44">
        <v>109</v>
      </c>
      <c r="L27" s="259">
        <f t="shared" si="4"/>
        <v>-11.4</v>
      </c>
      <c r="M27" s="23">
        <f>IFERROR(100/'Skjema total MA'!I27*K27,0)</f>
        <v>1.1020511622445179E-2</v>
      </c>
    </row>
    <row r="28" spans="1:14" s="3" customFormat="1" ht="15.75" x14ac:dyDescent="0.2">
      <c r="A28" s="13" t="s">
        <v>26</v>
      </c>
      <c r="B28" s="236">
        <v>2365</v>
      </c>
      <c r="C28" s="307">
        <v>2324</v>
      </c>
      <c r="D28" s="170">
        <f t="shared" si="3"/>
        <v>-1.7</v>
      </c>
      <c r="E28" s="11">
        <f>IFERROR(100/'Skjema total MA'!C28*C28,0)</f>
        <v>4.5611796102990225E-3</v>
      </c>
      <c r="F28" s="306"/>
      <c r="G28" s="307"/>
      <c r="H28" s="170"/>
      <c r="I28" s="11"/>
      <c r="J28" s="236">
        <v>2365</v>
      </c>
      <c r="K28" s="236">
        <v>2324</v>
      </c>
      <c r="L28" s="404">
        <f t="shared" si="4"/>
        <v>-1.7</v>
      </c>
      <c r="M28" s="24">
        <f>IFERROR(100/'Skjema total MA'!I28*K28,0)</f>
        <v>3.2923396577992465E-3</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c r="C45" s="309"/>
      <c r="D45" s="403"/>
      <c r="E45" s="11"/>
      <c r="F45" s="144"/>
      <c r="G45" s="33"/>
      <c r="H45" s="158"/>
      <c r="I45" s="158"/>
      <c r="J45" s="37"/>
      <c r="K45" s="37"/>
      <c r="L45" s="158"/>
      <c r="M45" s="158"/>
      <c r="N45" s="147"/>
    </row>
    <row r="46" spans="1:14" s="3" customFormat="1" ht="15.75" x14ac:dyDescent="0.2">
      <c r="A46" s="38" t="s">
        <v>312</v>
      </c>
      <c r="B46" s="286"/>
      <c r="C46" s="287"/>
      <c r="D46" s="259"/>
      <c r="E46" s="27"/>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229" priority="132">
      <formula>kvartal &lt; 4</formula>
    </cfRule>
  </conditionalFormatting>
  <conditionalFormatting sqref="B29">
    <cfRule type="expression" dxfId="1228" priority="130">
      <formula>kvartal &lt; 4</formula>
    </cfRule>
  </conditionalFormatting>
  <conditionalFormatting sqref="B30">
    <cfRule type="expression" dxfId="1227" priority="129">
      <formula>kvartal &lt; 4</formula>
    </cfRule>
  </conditionalFormatting>
  <conditionalFormatting sqref="B31">
    <cfRule type="expression" dxfId="1226" priority="128">
      <formula>kvartal &lt; 4</formula>
    </cfRule>
  </conditionalFormatting>
  <conditionalFormatting sqref="C29">
    <cfRule type="expression" dxfId="1225" priority="127">
      <formula>kvartal &lt; 4</formula>
    </cfRule>
  </conditionalFormatting>
  <conditionalFormatting sqref="C30">
    <cfRule type="expression" dxfId="1224" priority="126">
      <formula>kvartal &lt; 4</formula>
    </cfRule>
  </conditionalFormatting>
  <conditionalFormatting sqref="C31">
    <cfRule type="expression" dxfId="1223" priority="125">
      <formula>kvartal &lt; 4</formula>
    </cfRule>
  </conditionalFormatting>
  <conditionalFormatting sqref="B23:C25">
    <cfRule type="expression" dxfId="1222" priority="124">
      <formula>kvartal &lt; 4</formula>
    </cfRule>
  </conditionalFormatting>
  <conditionalFormatting sqref="F23:G25">
    <cfRule type="expression" dxfId="1221" priority="120">
      <formula>kvartal &lt; 4</formula>
    </cfRule>
  </conditionalFormatting>
  <conditionalFormatting sqref="F29">
    <cfRule type="expression" dxfId="1220" priority="113">
      <formula>kvartal &lt; 4</formula>
    </cfRule>
  </conditionalFormatting>
  <conditionalFormatting sqref="F30">
    <cfRule type="expression" dxfId="1219" priority="112">
      <formula>kvartal &lt; 4</formula>
    </cfRule>
  </conditionalFormatting>
  <conditionalFormatting sqref="F31">
    <cfRule type="expression" dxfId="1218" priority="111">
      <formula>kvartal &lt; 4</formula>
    </cfRule>
  </conditionalFormatting>
  <conditionalFormatting sqref="G29">
    <cfRule type="expression" dxfId="1217" priority="110">
      <formula>kvartal &lt; 4</formula>
    </cfRule>
  </conditionalFormatting>
  <conditionalFormatting sqref="G30">
    <cfRule type="expression" dxfId="1216" priority="109">
      <formula>kvartal &lt; 4</formula>
    </cfRule>
  </conditionalFormatting>
  <conditionalFormatting sqref="G31">
    <cfRule type="expression" dxfId="1215" priority="108">
      <formula>kvartal &lt; 4</formula>
    </cfRule>
  </conditionalFormatting>
  <conditionalFormatting sqref="B26">
    <cfRule type="expression" dxfId="1214" priority="107">
      <formula>kvartal &lt; 4</formula>
    </cfRule>
  </conditionalFormatting>
  <conditionalFormatting sqref="C26">
    <cfRule type="expression" dxfId="1213" priority="106">
      <formula>kvartal &lt; 4</formula>
    </cfRule>
  </conditionalFormatting>
  <conditionalFormatting sqref="F26">
    <cfRule type="expression" dxfId="1212" priority="105">
      <formula>kvartal &lt; 4</formula>
    </cfRule>
  </conditionalFormatting>
  <conditionalFormatting sqref="G26">
    <cfRule type="expression" dxfId="1211" priority="104">
      <formula>kvartal &lt; 4</formula>
    </cfRule>
  </conditionalFormatting>
  <conditionalFormatting sqref="J23:K26">
    <cfRule type="expression" dxfId="1210" priority="103">
      <formula>kvartal &lt; 4</formula>
    </cfRule>
  </conditionalFormatting>
  <conditionalFormatting sqref="J29:K31">
    <cfRule type="expression" dxfId="1209" priority="101">
      <formula>kvartal &lt; 4</formula>
    </cfRule>
  </conditionalFormatting>
  <conditionalFormatting sqref="B67">
    <cfRule type="expression" dxfId="1208" priority="100">
      <formula>kvartal &lt; 4</formula>
    </cfRule>
  </conditionalFormatting>
  <conditionalFormatting sqref="C67">
    <cfRule type="expression" dxfId="1207" priority="99">
      <formula>kvartal &lt; 4</formula>
    </cfRule>
  </conditionalFormatting>
  <conditionalFormatting sqref="B70">
    <cfRule type="expression" dxfId="1206" priority="98">
      <formula>kvartal &lt; 4</formula>
    </cfRule>
  </conditionalFormatting>
  <conditionalFormatting sqref="C70">
    <cfRule type="expression" dxfId="1205" priority="97">
      <formula>kvartal &lt; 4</formula>
    </cfRule>
  </conditionalFormatting>
  <conditionalFormatting sqref="B78">
    <cfRule type="expression" dxfId="1204" priority="96">
      <formula>kvartal &lt; 4</formula>
    </cfRule>
  </conditionalFormatting>
  <conditionalFormatting sqref="C78">
    <cfRule type="expression" dxfId="1203" priority="95">
      <formula>kvartal &lt; 4</formula>
    </cfRule>
  </conditionalFormatting>
  <conditionalFormatting sqref="B81">
    <cfRule type="expression" dxfId="1202" priority="94">
      <formula>kvartal &lt; 4</formula>
    </cfRule>
  </conditionalFormatting>
  <conditionalFormatting sqref="C81">
    <cfRule type="expression" dxfId="1201" priority="93">
      <formula>kvartal &lt; 4</formula>
    </cfRule>
  </conditionalFormatting>
  <conditionalFormatting sqref="B88">
    <cfRule type="expression" dxfId="1200" priority="84">
      <formula>kvartal &lt; 4</formula>
    </cfRule>
  </conditionalFormatting>
  <conditionalFormatting sqref="C88">
    <cfRule type="expression" dxfId="1199" priority="83">
      <formula>kvartal &lt; 4</formula>
    </cfRule>
  </conditionalFormatting>
  <conditionalFormatting sqref="B91">
    <cfRule type="expression" dxfId="1198" priority="82">
      <formula>kvartal &lt; 4</formula>
    </cfRule>
  </conditionalFormatting>
  <conditionalFormatting sqref="C91">
    <cfRule type="expression" dxfId="1197" priority="81">
      <formula>kvartal &lt; 4</formula>
    </cfRule>
  </conditionalFormatting>
  <conditionalFormatting sqref="B99">
    <cfRule type="expression" dxfId="1196" priority="80">
      <formula>kvartal &lt; 4</formula>
    </cfRule>
  </conditionalFormatting>
  <conditionalFormatting sqref="C99">
    <cfRule type="expression" dxfId="1195" priority="79">
      <formula>kvartal &lt; 4</formula>
    </cfRule>
  </conditionalFormatting>
  <conditionalFormatting sqref="B102">
    <cfRule type="expression" dxfId="1194" priority="78">
      <formula>kvartal &lt; 4</formula>
    </cfRule>
  </conditionalFormatting>
  <conditionalFormatting sqref="C102">
    <cfRule type="expression" dxfId="1193" priority="77">
      <formula>kvartal &lt; 4</formula>
    </cfRule>
  </conditionalFormatting>
  <conditionalFormatting sqref="B113">
    <cfRule type="expression" dxfId="1192" priority="76">
      <formula>kvartal &lt; 4</formula>
    </cfRule>
  </conditionalFormatting>
  <conditionalFormatting sqref="C113">
    <cfRule type="expression" dxfId="1191" priority="75">
      <formula>kvartal &lt; 4</formula>
    </cfRule>
  </conditionalFormatting>
  <conditionalFormatting sqref="B121">
    <cfRule type="expression" dxfId="1190" priority="74">
      <formula>kvartal &lt; 4</formula>
    </cfRule>
  </conditionalFormatting>
  <conditionalFormatting sqref="C121">
    <cfRule type="expression" dxfId="1189" priority="73">
      <formula>kvartal &lt; 4</formula>
    </cfRule>
  </conditionalFormatting>
  <conditionalFormatting sqref="F68">
    <cfRule type="expression" dxfId="1188" priority="72">
      <formula>kvartal &lt; 4</formula>
    </cfRule>
  </conditionalFormatting>
  <conditionalFormatting sqref="G68">
    <cfRule type="expression" dxfId="1187" priority="71">
      <formula>kvartal &lt; 4</formula>
    </cfRule>
  </conditionalFormatting>
  <conditionalFormatting sqref="F69:G69">
    <cfRule type="expression" dxfId="1186" priority="70">
      <formula>kvartal &lt; 4</formula>
    </cfRule>
  </conditionalFormatting>
  <conditionalFormatting sqref="F71:G72">
    <cfRule type="expression" dxfId="1185" priority="69">
      <formula>kvartal &lt; 4</formula>
    </cfRule>
  </conditionalFormatting>
  <conditionalFormatting sqref="F79:G80">
    <cfRule type="expression" dxfId="1184" priority="68">
      <formula>kvartal &lt; 4</formula>
    </cfRule>
  </conditionalFormatting>
  <conditionalFormatting sqref="F82:G83">
    <cfRule type="expression" dxfId="1183" priority="67">
      <formula>kvartal &lt; 4</formula>
    </cfRule>
  </conditionalFormatting>
  <conditionalFormatting sqref="F89:G90">
    <cfRule type="expression" dxfId="1182" priority="62">
      <formula>kvartal &lt; 4</formula>
    </cfRule>
  </conditionalFormatting>
  <conditionalFormatting sqref="F92:G93">
    <cfRule type="expression" dxfId="1181" priority="61">
      <formula>kvartal &lt; 4</formula>
    </cfRule>
  </conditionalFormatting>
  <conditionalFormatting sqref="F100:G101">
    <cfRule type="expression" dxfId="1180" priority="60">
      <formula>kvartal &lt; 4</formula>
    </cfRule>
  </conditionalFormatting>
  <conditionalFormatting sqref="F103:G104">
    <cfRule type="expression" dxfId="1179" priority="59">
      <formula>kvartal &lt; 4</formula>
    </cfRule>
  </conditionalFormatting>
  <conditionalFormatting sqref="F113">
    <cfRule type="expression" dxfId="1178" priority="58">
      <formula>kvartal &lt; 4</formula>
    </cfRule>
  </conditionalFormatting>
  <conditionalFormatting sqref="G113">
    <cfRule type="expression" dxfId="1177" priority="57">
      <formula>kvartal &lt; 4</formula>
    </cfRule>
  </conditionalFormatting>
  <conditionalFormatting sqref="F121:G121">
    <cfRule type="expression" dxfId="1176" priority="56">
      <formula>kvartal &lt; 4</formula>
    </cfRule>
  </conditionalFormatting>
  <conditionalFormatting sqref="F67:G67">
    <cfRule type="expression" dxfId="1175" priority="55">
      <formula>kvartal &lt; 4</formula>
    </cfRule>
  </conditionalFormatting>
  <conditionalFormatting sqref="F70:G70">
    <cfRule type="expression" dxfId="1174" priority="54">
      <formula>kvartal &lt; 4</formula>
    </cfRule>
  </conditionalFormatting>
  <conditionalFormatting sqref="F78:G78">
    <cfRule type="expression" dxfId="1173" priority="53">
      <formula>kvartal &lt; 4</formula>
    </cfRule>
  </conditionalFormatting>
  <conditionalFormatting sqref="F81:G81">
    <cfRule type="expression" dxfId="1172" priority="52">
      <formula>kvartal &lt; 4</formula>
    </cfRule>
  </conditionalFormatting>
  <conditionalFormatting sqref="F88:G88">
    <cfRule type="expression" dxfId="1171" priority="46">
      <formula>kvartal &lt; 4</formula>
    </cfRule>
  </conditionalFormatting>
  <conditionalFormatting sqref="F91">
    <cfRule type="expression" dxfId="1170" priority="45">
      <formula>kvartal &lt; 4</formula>
    </cfRule>
  </conditionalFormatting>
  <conditionalFormatting sqref="G91">
    <cfRule type="expression" dxfId="1169" priority="44">
      <formula>kvartal &lt; 4</formula>
    </cfRule>
  </conditionalFormatting>
  <conditionalFormatting sqref="F99">
    <cfRule type="expression" dxfId="1168" priority="43">
      <formula>kvartal &lt; 4</formula>
    </cfRule>
  </conditionalFormatting>
  <conditionalFormatting sqref="G99">
    <cfRule type="expression" dxfId="1167" priority="42">
      <formula>kvartal &lt; 4</formula>
    </cfRule>
  </conditionalFormatting>
  <conditionalFormatting sqref="G102">
    <cfRule type="expression" dxfId="1166" priority="41">
      <formula>kvartal &lt; 4</formula>
    </cfRule>
  </conditionalFormatting>
  <conditionalFormatting sqref="F102">
    <cfRule type="expression" dxfId="1165" priority="40">
      <formula>kvartal &lt; 4</formula>
    </cfRule>
  </conditionalFormatting>
  <conditionalFormatting sqref="J67:K71">
    <cfRule type="expression" dxfId="1164" priority="39">
      <formula>kvartal &lt; 4</formula>
    </cfRule>
  </conditionalFormatting>
  <conditionalFormatting sqref="J72:K72">
    <cfRule type="expression" dxfId="1163" priority="38">
      <formula>kvartal &lt; 4</formula>
    </cfRule>
  </conditionalFormatting>
  <conditionalFormatting sqref="J78:K83">
    <cfRule type="expression" dxfId="1162" priority="37">
      <formula>kvartal &lt; 4</formula>
    </cfRule>
  </conditionalFormatting>
  <conditionalFormatting sqref="J88:K93">
    <cfRule type="expression" dxfId="1161" priority="34">
      <formula>kvartal &lt; 4</formula>
    </cfRule>
  </conditionalFormatting>
  <conditionalFormatting sqref="J99:K104">
    <cfRule type="expression" dxfId="1160" priority="33">
      <formula>kvartal &lt; 4</formula>
    </cfRule>
  </conditionalFormatting>
  <conditionalFormatting sqref="J113:K113">
    <cfRule type="expression" dxfId="1159" priority="32">
      <formula>kvartal &lt; 4</formula>
    </cfRule>
  </conditionalFormatting>
  <conditionalFormatting sqref="J121:K121">
    <cfRule type="expression" dxfId="1158" priority="31">
      <formula>kvartal &lt; 4</formula>
    </cfRule>
  </conditionalFormatting>
  <conditionalFormatting sqref="A23:A25">
    <cfRule type="expression" dxfId="1157" priority="15">
      <formula>kvartal &lt; 4</formula>
    </cfRule>
  </conditionalFormatting>
  <conditionalFormatting sqref="A29:A31">
    <cfRule type="expression" dxfId="1156" priority="13">
      <formula>kvartal &lt; 4</formula>
    </cfRule>
  </conditionalFormatting>
  <conditionalFormatting sqref="A48:A50">
    <cfRule type="expression" dxfId="1155" priority="12">
      <formula>kvartal &lt; 4</formula>
    </cfRule>
  </conditionalFormatting>
  <conditionalFormatting sqref="A67:A72">
    <cfRule type="expression" dxfId="1154" priority="10">
      <formula>kvartal &lt; 4</formula>
    </cfRule>
  </conditionalFormatting>
  <conditionalFormatting sqref="A78:A83">
    <cfRule type="expression" dxfId="1153" priority="9">
      <formula>kvartal &lt; 4</formula>
    </cfRule>
  </conditionalFormatting>
  <conditionalFormatting sqref="A88:A93">
    <cfRule type="expression" dxfId="1152" priority="6">
      <formula>kvartal &lt; 4</formula>
    </cfRule>
  </conditionalFormatting>
  <conditionalFormatting sqref="A99:A104">
    <cfRule type="expression" dxfId="1151" priority="5">
      <formula>kvartal &lt; 4</formula>
    </cfRule>
  </conditionalFormatting>
  <conditionalFormatting sqref="A113">
    <cfRule type="expression" dxfId="1150" priority="4">
      <formula>kvartal &lt; 4</formula>
    </cfRule>
  </conditionalFormatting>
  <conditionalFormatting sqref="A121">
    <cfRule type="expression" dxfId="1149" priority="3">
      <formula>kvartal &lt; 4</formula>
    </cfRule>
  </conditionalFormatting>
  <conditionalFormatting sqref="A26">
    <cfRule type="expression" dxfId="1148" priority="2">
      <formula>kvartal &lt; 4</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145</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164190.26199999999</v>
      </c>
      <c r="C7" s="305">
        <v>180928.019</v>
      </c>
      <c r="D7" s="344">
        <f>IF(B7=0, "    ---- ", IF(ABS(ROUND(100/B7*C7-100,1))&lt;999,ROUND(100/B7*C7-100,1),IF(ROUND(100/B7*C7-100,1)&gt;999,999,-999)))</f>
        <v>10.199999999999999</v>
      </c>
      <c r="E7" s="11">
        <f>IFERROR(100/'Skjema total MA'!C7*C7,0)</f>
        <v>6.6445878465379051</v>
      </c>
      <c r="F7" s="304"/>
      <c r="G7" s="305"/>
      <c r="H7" s="344"/>
      <c r="I7" s="159"/>
      <c r="J7" s="306">
        <v>164190.26199999999</v>
      </c>
      <c r="K7" s="307">
        <v>180928.019</v>
      </c>
      <c r="L7" s="403">
        <f>IF(J7=0, "    ---- ", IF(ABS(ROUND(100/J7*K7-100,1))&lt;999,ROUND(100/J7*K7-100,1),IF(ROUND(100/J7*K7-100,1)&gt;999,999,-999)))</f>
        <v>10.199999999999999</v>
      </c>
      <c r="M7" s="11">
        <f>IFERROR(100/'Skjema total MA'!I7*K7,0)</f>
        <v>2.4903194076473754</v>
      </c>
    </row>
    <row r="8" spans="1:14" ht="15.75" x14ac:dyDescent="0.2">
      <c r="A8" s="21" t="s">
        <v>29</v>
      </c>
      <c r="B8" s="286">
        <v>97546.528999999995</v>
      </c>
      <c r="C8" s="287">
        <v>113442.439</v>
      </c>
      <c r="D8" s="165">
        <f t="shared" ref="D8:D9" si="0">IF(B8=0, "    ---- ", IF(ABS(ROUND(100/B8*C8-100,1))&lt;999,ROUND(100/B8*C8-100,1),IF(ROUND(100/B8*C8-100,1)&gt;999,999,-999)))</f>
        <v>16.3</v>
      </c>
      <c r="E8" s="27">
        <f>IFERROR(100/'Skjema total MA'!C8*C8,0)</f>
        <v>7.5500535133320668</v>
      </c>
      <c r="F8" s="423"/>
      <c r="G8" s="424"/>
      <c r="H8" s="170"/>
      <c r="I8" s="175"/>
      <c r="J8" s="234">
        <v>97546.528999999995</v>
      </c>
      <c r="K8" s="290">
        <v>113442.439</v>
      </c>
      <c r="L8" s="165">
        <f t="shared" ref="L8:L9" si="1">IF(J8=0, "    ---- ", IF(ABS(ROUND(100/J8*K8-100,1))&lt;999,ROUND(100/J8*K8-100,1),IF(ROUND(100/J8*K8-100,1)&gt;999,999,-999)))</f>
        <v>16.3</v>
      </c>
      <c r="M8" s="27">
        <f>IFERROR(100/'Skjema total MA'!I8*K8,0)</f>
        <v>7.5500535133320668</v>
      </c>
    </row>
    <row r="9" spans="1:14" ht="15.75" x14ac:dyDescent="0.2">
      <c r="A9" s="21" t="s">
        <v>28</v>
      </c>
      <c r="B9" s="286">
        <v>66643.732999999993</v>
      </c>
      <c r="C9" s="287">
        <v>67485.58</v>
      </c>
      <c r="D9" s="165">
        <f t="shared" si="0"/>
        <v>1.3</v>
      </c>
      <c r="E9" s="27">
        <f>IFERROR(100/'Skjema total MA'!C9*C9,0)</f>
        <v>9.3219352757330913</v>
      </c>
      <c r="F9" s="423"/>
      <c r="G9" s="424"/>
      <c r="H9" s="170"/>
      <c r="I9" s="175"/>
      <c r="J9" s="234">
        <v>66643.732999999993</v>
      </c>
      <c r="K9" s="290">
        <v>67485.58</v>
      </c>
      <c r="L9" s="165">
        <f t="shared" si="1"/>
        <v>1.3</v>
      </c>
      <c r="M9" s="27">
        <f>IFERROR(100/'Skjema total MA'!I9*K9,0)</f>
        <v>9.3219352757330913</v>
      </c>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53962.389000000003</v>
      </c>
      <c r="C27" s="290">
        <v>65514.394999999997</v>
      </c>
      <c r="D27" s="165">
        <f t="shared" ref="D27" si="2">IF(B27=0, "    ---- ", IF(ABS(ROUND(100/B27*C27-100,1))&lt;999,ROUND(100/B27*C27-100,1),IF(ROUND(100/B27*C27-100,1)&gt;999,999,-999)))</f>
        <v>21.4</v>
      </c>
      <c r="E27" s="27">
        <f>IFERROR(100/'Skjema total MA'!C27*C27,0)</f>
        <v>6.623872949862057</v>
      </c>
      <c r="F27" s="234"/>
      <c r="G27" s="290"/>
      <c r="H27" s="165"/>
      <c r="I27" s="27"/>
      <c r="J27" s="44">
        <v>53962.389000000003</v>
      </c>
      <c r="K27" s="44">
        <v>65514.394999999997</v>
      </c>
      <c r="L27" s="259">
        <f t="shared" ref="L27" si="3">IF(J27=0, "    ---- ", IF(ABS(ROUND(100/J27*K27-100,1))&lt;999,ROUND(100/J27*K27-100,1),IF(ROUND(100/J27*K27-100,1)&gt;999,999,-999)))</f>
        <v>21.4</v>
      </c>
      <c r="M27" s="23">
        <f>IFERROR(100/'Skjema total MA'!I27*K27,0)</f>
        <v>6.623872949862057</v>
      </c>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84269.861000000004</v>
      </c>
      <c r="C45" s="309">
        <v>106026</v>
      </c>
      <c r="D45" s="403">
        <f t="shared" ref="D45:D55" si="4">IF(B45=0, "    ---- ", IF(ABS(ROUND(100/B45*C45-100,1))&lt;999,ROUND(100/B45*C45-100,1),IF(ROUND(100/B45*C45-100,1)&gt;999,999,-999)))</f>
        <v>25.8</v>
      </c>
      <c r="E45" s="11">
        <f>IFERROR(100/'Skjema total MA'!C45*C45,0)</f>
        <v>3.8667423983464451</v>
      </c>
      <c r="F45" s="144"/>
      <c r="G45" s="33"/>
      <c r="H45" s="158"/>
      <c r="I45" s="158"/>
      <c r="J45" s="37"/>
      <c r="K45" s="37"/>
      <c r="L45" s="158"/>
      <c r="M45" s="158"/>
      <c r="N45" s="147"/>
    </row>
    <row r="46" spans="1:14" s="3" customFormat="1" ht="15.75" x14ac:dyDescent="0.2">
      <c r="A46" s="38" t="s">
        <v>312</v>
      </c>
      <c r="B46" s="286">
        <v>84269.861000000004</v>
      </c>
      <c r="C46" s="287">
        <v>106026</v>
      </c>
      <c r="D46" s="259">
        <f t="shared" si="4"/>
        <v>25.8</v>
      </c>
      <c r="E46" s="27">
        <f>IFERROR(100/'Skjema total MA'!C46*C46,0)</f>
        <v>7.2843557042710954</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v>14861.025</v>
      </c>
      <c r="C51" s="309">
        <v>6089.0619999999999</v>
      </c>
      <c r="D51" s="404">
        <f t="shared" si="4"/>
        <v>-59</v>
      </c>
      <c r="E51" s="11">
        <f>IFERROR(100/'Skjema total MA'!C51*C51,0)</f>
        <v>4.2981754794402161</v>
      </c>
      <c r="F51" s="144"/>
      <c r="G51" s="33"/>
      <c r="H51" s="144"/>
      <c r="I51" s="144"/>
      <c r="J51" s="33"/>
      <c r="K51" s="33"/>
      <c r="L51" s="158"/>
      <c r="M51" s="158"/>
      <c r="N51" s="147"/>
    </row>
    <row r="52" spans="1:14" s="3" customFormat="1" ht="15.75" x14ac:dyDescent="0.2">
      <c r="A52" s="38" t="s">
        <v>312</v>
      </c>
      <c r="B52" s="286">
        <v>14861.025</v>
      </c>
      <c r="C52" s="287">
        <v>6089.0619999999999</v>
      </c>
      <c r="D52" s="259">
        <f t="shared" si="4"/>
        <v>-59</v>
      </c>
      <c r="E52" s="27">
        <f>IFERROR(100/'Skjema total MA'!C52*C52,0)</f>
        <v>7.2216043247967745</v>
      </c>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v>5481.5609999999997</v>
      </c>
      <c r="C54" s="309">
        <v>761.95799999999997</v>
      </c>
      <c r="D54" s="404">
        <f t="shared" si="4"/>
        <v>-86.1</v>
      </c>
      <c r="E54" s="11">
        <f>IFERROR(100/'Skjema total MA'!C54*C54,0)</f>
        <v>0.88276975495625498</v>
      </c>
      <c r="F54" s="144"/>
      <c r="G54" s="33"/>
      <c r="H54" s="144"/>
      <c r="I54" s="144"/>
      <c r="J54" s="33"/>
      <c r="K54" s="33"/>
      <c r="L54" s="158"/>
      <c r="M54" s="158"/>
      <c r="N54" s="147"/>
    </row>
    <row r="55" spans="1:14" s="3" customFormat="1" ht="15.75" x14ac:dyDescent="0.2">
      <c r="A55" s="38" t="s">
        <v>312</v>
      </c>
      <c r="B55" s="286">
        <v>5481.5609999999997</v>
      </c>
      <c r="C55" s="287">
        <v>761.95799999999997</v>
      </c>
      <c r="D55" s="259">
        <f t="shared" si="4"/>
        <v>-86.1</v>
      </c>
      <c r="E55" s="27">
        <f>IFERROR(100/'Skjema total MA'!C55*C55,0)</f>
        <v>0.88276975495625498</v>
      </c>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147" priority="132">
      <formula>kvartal &lt; 4</formula>
    </cfRule>
  </conditionalFormatting>
  <conditionalFormatting sqref="B29">
    <cfRule type="expression" dxfId="1146" priority="130">
      <formula>kvartal &lt; 4</formula>
    </cfRule>
  </conditionalFormatting>
  <conditionalFormatting sqref="B30">
    <cfRule type="expression" dxfId="1145" priority="129">
      <formula>kvartal &lt; 4</formula>
    </cfRule>
  </conditionalFormatting>
  <conditionalFormatting sqref="B31">
    <cfRule type="expression" dxfId="1144" priority="128">
      <formula>kvartal &lt; 4</formula>
    </cfRule>
  </conditionalFormatting>
  <conditionalFormatting sqref="C29">
    <cfRule type="expression" dxfId="1143" priority="127">
      <formula>kvartal &lt; 4</formula>
    </cfRule>
  </conditionalFormatting>
  <conditionalFormatting sqref="C30">
    <cfRule type="expression" dxfId="1142" priority="126">
      <formula>kvartal &lt; 4</formula>
    </cfRule>
  </conditionalFormatting>
  <conditionalFormatting sqref="C31">
    <cfRule type="expression" dxfId="1141" priority="125">
      <formula>kvartal &lt; 4</formula>
    </cfRule>
  </conditionalFormatting>
  <conditionalFormatting sqref="B23:C25">
    <cfRule type="expression" dxfId="1140" priority="124">
      <formula>kvartal &lt; 4</formula>
    </cfRule>
  </conditionalFormatting>
  <conditionalFormatting sqref="F23:G25">
    <cfRule type="expression" dxfId="1139" priority="120">
      <formula>kvartal &lt; 4</formula>
    </cfRule>
  </conditionalFormatting>
  <conditionalFormatting sqref="F29">
    <cfRule type="expression" dxfId="1138" priority="113">
      <formula>kvartal &lt; 4</formula>
    </cfRule>
  </conditionalFormatting>
  <conditionalFormatting sqref="F30">
    <cfRule type="expression" dxfId="1137" priority="112">
      <formula>kvartal &lt; 4</formula>
    </cfRule>
  </conditionalFormatting>
  <conditionalFormatting sqref="F31">
    <cfRule type="expression" dxfId="1136" priority="111">
      <formula>kvartal &lt; 4</formula>
    </cfRule>
  </conditionalFormatting>
  <conditionalFormatting sqref="G29">
    <cfRule type="expression" dxfId="1135" priority="110">
      <formula>kvartal &lt; 4</formula>
    </cfRule>
  </conditionalFormatting>
  <conditionalFormatting sqref="G30">
    <cfRule type="expression" dxfId="1134" priority="109">
      <formula>kvartal &lt; 4</formula>
    </cfRule>
  </conditionalFormatting>
  <conditionalFormatting sqref="G31">
    <cfRule type="expression" dxfId="1133" priority="108">
      <formula>kvartal &lt; 4</formula>
    </cfRule>
  </conditionalFormatting>
  <conditionalFormatting sqref="B26">
    <cfRule type="expression" dxfId="1132" priority="107">
      <formula>kvartal &lt; 4</formula>
    </cfRule>
  </conditionalFormatting>
  <conditionalFormatting sqref="C26">
    <cfRule type="expression" dxfId="1131" priority="106">
      <formula>kvartal &lt; 4</formula>
    </cfRule>
  </conditionalFormatting>
  <conditionalFormatting sqref="F26">
    <cfRule type="expression" dxfId="1130" priority="105">
      <formula>kvartal &lt; 4</formula>
    </cfRule>
  </conditionalFormatting>
  <conditionalFormatting sqref="G26">
    <cfRule type="expression" dxfId="1129" priority="104">
      <formula>kvartal &lt; 4</formula>
    </cfRule>
  </conditionalFormatting>
  <conditionalFormatting sqref="J23:K26">
    <cfRule type="expression" dxfId="1128" priority="103">
      <formula>kvartal &lt; 4</formula>
    </cfRule>
  </conditionalFormatting>
  <conditionalFormatting sqref="J29:K31">
    <cfRule type="expression" dxfId="1127" priority="101">
      <formula>kvartal &lt; 4</formula>
    </cfRule>
  </conditionalFormatting>
  <conditionalFormatting sqref="B67">
    <cfRule type="expression" dxfId="1126" priority="100">
      <formula>kvartal &lt; 4</formula>
    </cfRule>
  </conditionalFormatting>
  <conditionalFormatting sqref="C67">
    <cfRule type="expression" dxfId="1125" priority="99">
      <formula>kvartal &lt; 4</formula>
    </cfRule>
  </conditionalFormatting>
  <conditionalFormatting sqref="B70">
    <cfRule type="expression" dxfId="1124" priority="98">
      <formula>kvartal &lt; 4</formula>
    </cfRule>
  </conditionalFormatting>
  <conditionalFormatting sqref="C70">
    <cfRule type="expression" dxfId="1123" priority="97">
      <formula>kvartal &lt; 4</formula>
    </cfRule>
  </conditionalFormatting>
  <conditionalFormatting sqref="B78">
    <cfRule type="expression" dxfId="1122" priority="96">
      <formula>kvartal &lt; 4</formula>
    </cfRule>
  </conditionalFormatting>
  <conditionalFormatting sqref="C78">
    <cfRule type="expression" dxfId="1121" priority="95">
      <formula>kvartal &lt; 4</formula>
    </cfRule>
  </conditionalFormatting>
  <conditionalFormatting sqref="B81">
    <cfRule type="expression" dxfId="1120" priority="94">
      <formula>kvartal &lt; 4</formula>
    </cfRule>
  </conditionalFormatting>
  <conditionalFormatting sqref="C81">
    <cfRule type="expression" dxfId="1119" priority="93">
      <formula>kvartal &lt; 4</formula>
    </cfRule>
  </conditionalFormatting>
  <conditionalFormatting sqref="B88">
    <cfRule type="expression" dxfId="1118" priority="84">
      <formula>kvartal &lt; 4</formula>
    </cfRule>
  </conditionalFormatting>
  <conditionalFormatting sqref="C88">
    <cfRule type="expression" dxfId="1117" priority="83">
      <formula>kvartal &lt; 4</formula>
    </cfRule>
  </conditionalFormatting>
  <conditionalFormatting sqref="B91">
    <cfRule type="expression" dxfId="1116" priority="82">
      <formula>kvartal &lt; 4</formula>
    </cfRule>
  </conditionalFormatting>
  <conditionalFormatting sqref="C91">
    <cfRule type="expression" dxfId="1115" priority="81">
      <formula>kvartal &lt; 4</formula>
    </cfRule>
  </conditionalFormatting>
  <conditionalFormatting sqref="B99">
    <cfRule type="expression" dxfId="1114" priority="80">
      <formula>kvartal &lt; 4</formula>
    </cfRule>
  </conditionalFormatting>
  <conditionalFormatting sqref="C99">
    <cfRule type="expression" dxfId="1113" priority="79">
      <formula>kvartal &lt; 4</formula>
    </cfRule>
  </conditionalFormatting>
  <conditionalFormatting sqref="B102">
    <cfRule type="expression" dxfId="1112" priority="78">
      <formula>kvartal &lt; 4</formula>
    </cfRule>
  </conditionalFormatting>
  <conditionalFormatting sqref="C102">
    <cfRule type="expression" dxfId="1111" priority="77">
      <formula>kvartal &lt; 4</formula>
    </cfRule>
  </conditionalFormatting>
  <conditionalFormatting sqref="B113">
    <cfRule type="expression" dxfId="1110" priority="76">
      <formula>kvartal &lt; 4</formula>
    </cfRule>
  </conditionalFormatting>
  <conditionalFormatting sqref="C113">
    <cfRule type="expression" dxfId="1109" priority="75">
      <formula>kvartal &lt; 4</formula>
    </cfRule>
  </conditionalFormatting>
  <conditionalFormatting sqref="B121">
    <cfRule type="expression" dxfId="1108" priority="74">
      <formula>kvartal &lt; 4</formula>
    </cfRule>
  </conditionalFormatting>
  <conditionalFormatting sqref="C121">
    <cfRule type="expression" dxfId="1107" priority="73">
      <formula>kvartal &lt; 4</formula>
    </cfRule>
  </conditionalFormatting>
  <conditionalFormatting sqref="F68">
    <cfRule type="expression" dxfId="1106" priority="72">
      <formula>kvartal &lt; 4</formula>
    </cfRule>
  </conditionalFormatting>
  <conditionalFormatting sqref="G68">
    <cfRule type="expression" dxfId="1105" priority="71">
      <formula>kvartal &lt; 4</formula>
    </cfRule>
  </conditionalFormatting>
  <conditionalFormatting sqref="F69:G69">
    <cfRule type="expression" dxfId="1104" priority="70">
      <formula>kvartal &lt; 4</formula>
    </cfRule>
  </conditionalFormatting>
  <conditionalFormatting sqref="F71:G72">
    <cfRule type="expression" dxfId="1103" priority="69">
      <formula>kvartal &lt; 4</formula>
    </cfRule>
  </conditionalFormatting>
  <conditionalFormatting sqref="F79:G80">
    <cfRule type="expression" dxfId="1102" priority="68">
      <formula>kvartal &lt; 4</formula>
    </cfRule>
  </conditionalFormatting>
  <conditionalFormatting sqref="F82:G83">
    <cfRule type="expression" dxfId="1101" priority="67">
      <formula>kvartal &lt; 4</formula>
    </cfRule>
  </conditionalFormatting>
  <conditionalFormatting sqref="F89:G90">
    <cfRule type="expression" dxfId="1100" priority="62">
      <formula>kvartal &lt; 4</formula>
    </cfRule>
  </conditionalFormatting>
  <conditionalFormatting sqref="F92:G93">
    <cfRule type="expression" dxfId="1099" priority="61">
      <formula>kvartal &lt; 4</formula>
    </cfRule>
  </conditionalFormatting>
  <conditionalFormatting sqref="F100:G101">
    <cfRule type="expression" dxfId="1098" priority="60">
      <formula>kvartal &lt; 4</formula>
    </cfRule>
  </conditionalFormatting>
  <conditionalFormatting sqref="F103:G104">
    <cfRule type="expression" dxfId="1097" priority="59">
      <formula>kvartal &lt; 4</formula>
    </cfRule>
  </conditionalFormatting>
  <conditionalFormatting sqref="F113">
    <cfRule type="expression" dxfId="1096" priority="58">
      <formula>kvartal &lt; 4</formula>
    </cfRule>
  </conditionalFormatting>
  <conditionalFormatting sqref="G113">
    <cfRule type="expression" dxfId="1095" priority="57">
      <formula>kvartal &lt; 4</formula>
    </cfRule>
  </conditionalFormatting>
  <conditionalFormatting sqref="F121:G121">
    <cfRule type="expression" dxfId="1094" priority="56">
      <formula>kvartal &lt; 4</formula>
    </cfRule>
  </conditionalFormatting>
  <conditionalFormatting sqref="F67:G67">
    <cfRule type="expression" dxfId="1093" priority="55">
      <formula>kvartal &lt; 4</formula>
    </cfRule>
  </conditionalFormatting>
  <conditionalFormatting sqref="F70:G70">
    <cfRule type="expression" dxfId="1092" priority="54">
      <formula>kvartal &lt; 4</formula>
    </cfRule>
  </conditionalFormatting>
  <conditionalFormatting sqref="F78:G78">
    <cfRule type="expression" dxfId="1091" priority="53">
      <formula>kvartal &lt; 4</formula>
    </cfRule>
  </conditionalFormatting>
  <conditionalFormatting sqref="F81:G81">
    <cfRule type="expression" dxfId="1090" priority="52">
      <formula>kvartal &lt; 4</formula>
    </cfRule>
  </conditionalFormatting>
  <conditionalFormatting sqref="F88:G88">
    <cfRule type="expression" dxfId="1089" priority="46">
      <formula>kvartal &lt; 4</formula>
    </cfRule>
  </conditionalFormatting>
  <conditionalFormatting sqref="F91">
    <cfRule type="expression" dxfId="1088" priority="45">
      <formula>kvartal &lt; 4</formula>
    </cfRule>
  </conditionalFormatting>
  <conditionalFormatting sqref="G91">
    <cfRule type="expression" dxfId="1087" priority="44">
      <formula>kvartal &lt; 4</formula>
    </cfRule>
  </conditionalFormatting>
  <conditionalFormatting sqref="F99">
    <cfRule type="expression" dxfId="1086" priority="43">
      <formula>kvartal &lt; 4</formula>
    </cfRule>
  </conditionalFormatting>
  <conditionalFormatting sqref="G99">
    <cfRule type="expression" dxfId="1085" priority="42">
      <formula>kvartal &lt; 4</formula>
    </cfRule>
  </conditionalFormatting>
  <conditionalFormatting sqref="G102">
    <cfRule type="expression" dxfId="1084" priority="41">
      <formula>kvartal &lt; 4</formula>
    </cfRule>
  </conditionalFormatting>
  <conditionalFormatting sqref="F102">
    <cfRule type="expression" dxfId="1083" priority="40">
      <formula>kvartal &lt; 4</formula>
    </cfRule>
  </conditionalFormatting>
  <conditionalFormatting sqref="J67:K71">
    <cfRule type="expression" dxfId="1082" priority="39">
      <formula>kvartal &lt; 4</formula>
    </cfRule>
  </conditionalFormatting>
  <conditionalFormatting sqref="J72:K72">
    <cfRule type="expression" dxfId="1081" priority="38">
      <formula>kvartal &lt; 4</formula>
    </cfRule>
  </conditionalFormatting>
  <conditionalFormatting sqref="J78:K83">
    <cfRule type="expression" dxfId="1080" priority="37">
      <formula>kvartal &lt; 4</formula>
    </cfRule>
  </conditionalFormatting>
  <conditionalFormatting sqref="J88:K93">
    <cfRule type="expression" dxfId="1079" priority="34">
      <formula>kvartal &lt; 4</formula>
    </cfRule>
  </conditionalFormatting>
  <conditionalFormatting sqref="J99:K104">
    <cfRule type="expression" dxfId="1078" priority="33">
      <formula>kvartal &lt; 4</formula>
    </cfRule>
  </conditionalFormatting>
  <conditionalFormatting sqref="J113:K113">
    <cfRule type="expression" dxfId="1077" priority="32">
      <formula>kvartal &lt; 4</formula>
    </cfRule>
  </conditionalFormatting>
  <conditionalFormatting sqref="J121:K121">
    <cfRule type="expression" dxfId="1076" priority="31">
      <formula>kvartal &lt; 4</formula>
    </cfRule>
  </conditionalFormatting>
  <conditionalFormatting sqref="A23:A25">
    <cfRule type="expression" dxfId="1075" priority="15">
      <formula>kvartal &lt; 4</formula>
    </cfRule>
  </conditionalFormatting>
  <conditionalFormatting sqref="A29:A31">
    <cfRule type="expression" dxfId="1074" priority="13">
      <formula>kvartal &lt; 4</formula>
    </cfRule>
  </conditionalFormatting>
  <conditionalFormatting sqref="A48:A50">
    <cfRule type="expression" dxfId="1073" priority="12">
      <formula>kvartal &lt; 4</formula>
    </cfRule>
  </conditionalFormatting>
  <conditionalFormatting sqref="A67:A72">
    <cfRule type="expression" dxfId="1072" priority="10">
      <formula>kvartal &lt; 4</formula>
    </cfRule>
  </conditionalFormatting>
  <conditionalFormatting sqref="A78:A83">
    <cfRule type="expression" dxfId="1071" priority="9">
      <formula>kvartal &lt; 4</formula>
    </cfRule>
  </conditionalFormatting>
  <conditionalFormatting sqref="A88:A93">
    <cfRule type="expression" dxfId="1070" priority="6">
      <formula>kvartal &lt; 4</formula>
    </cfRule>
  </conditionalFormatting>
  <conditionalFormatting sqref="A99:A104">
    <cfRule type="expression" dxfId="1069" priority="5">
      <formula>kvartal &lt; 4</formula>
    </cfRule>
  </conditionalFormatting>
  <conditionalFormatting sqref="A113">
    <cfRule type="expression" dxfId="1068" priority="4">
      <formula>kvartal &lt; 4</formula>
    </cfRule>
  </conditionalFormatting>
  <conditionalFormatting sqref="A121">
    <cfRule type="expression" dxfId="1067" priority="3">
      <formula>kvartal &lt; 4</formula>
    </cfRule>
  </conditionalFormatting>
  <conditionalFormatting sqref="A26">
    <cfRule type="expression" dxfId="1066" priority="2">
      <formula>kvartal &lt; 4</formula>
    </cfRule>
  </conditionalFormatting>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68</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3445.7845000000002</v>
      </c>
      <c r="C45" s="309">
        <v>3185.37707</v>
      </c>
      <c r="D45" s="403">
        <f t="shared" ref="D45:D46" si="0">IF(B45=0, "    ---- ", IF(ABS(ROUND(100/B45*C45-100,1))&lt;999,ROUND(100/B45*C45-100,1),IF(ROUND(100/B45*C45-100,1)&gt;999,999,-999)))</f>
        <v>-7.6</v>
      </c>
      <c r="E45" s="11">
        <f>IFERROR(100/'Skjema total MA'!C45*C45,0)</f>
        <v>0.11616992597371939</v>
      </c>
      <c r="F45" s="144"/>
      <c r="G45" s="33"/>
      <c r="H45" s="158"/>
      <c r="I45" s="158"/>
      <c r="J45" s="37"/>
      <c r="K45" s="37"/>
      <c r="L45" s="158"/>
      <c r="M45" s="158"/>
      <c r="N45" s="147"/>
    </row>
    <row r="46" spans="1:14" s="3" customFormat="1" ht="15.75" x14ac:dyDescent="0.2">
      <c r="A46" s="38" t="s">
        <v>312</v>
      </c>
      <c r="B46" s="286">
        <v>2971.0143200000002</v>
      </c>
      <c r="C46" s="287">
        <v>703.15611000000001</v>
      </c>
      <c r="D46" s="259">
        <f t="shared" si="0"/>
        <v>-76.3</v>
      </c>
      <c r="E46" s="27">
        <f>IFERROR(100/'Skjema total MA'!C46*C46,0)</f>
        <v>4.8309275280323451E-2</v>
      </c>
      <c r="F46" s="144"/>
      <c r="G46" s="33"/>
      <c r="H46" s="144"/>
      <c r="I46" s="144"/>
      <c r="J46" s="33"/>
      <c r="K46" s="33"/>
      <c r="L46" s="158"/>
      <c r="M46" s="158"/>
      <c r="N46" s="147"/>
    </row>
    <row r="47" spans="1:14" s="3" customFormat="1" ht="15.75" x14ac:dyDescent="0.2">
      <c r="A47" s="38" t="s">
        <v>313</v>
      </c>
      <c r="B47" s="44">
        <v>474.77017999999998</v>
      </c>
      <c r="C47" s="290">
        <v>2482.2209600000001</v>
      </c>
      <c r="D47" s="259">
        <f>IF(B47=0, "    ---- ", IF(ABS(ROUND(100/B47*C47-100,1))&lt;999,ROUND(100/B47*C47-100,1),IF(ROUND(100/B47*C47-100,1)&gt;999,999,-999)))</f>
        <v>422.8</v>
      </c>
      <c r="E47" s="27">
        <f>IFERROR(100/'Skjema total MA'!C47*C47,0)</f>
        <v>0.19294855237965172</v>
      </c>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v>17860299.0057</v>
      </c>
      <c r="C132" s="307">
        <v>14893584.00391</v>
      </c>
      <c r="D132" s="344">
        <f t="shared" ref="D132:D135" si="1">IF(B132=0, "    ---- ", IF(ABS(ROUND(100/B132*C132-100,1))&lt;999,ROUND(100/B132*C132-100,1),IF(ROUND(100/B132*C132-100,1)&gt;999,999,-999)))</f>
        <v>-16.600000000000001</v>
      </c>
      <c r="E132" s="11">
        <f>IFERROR(100/'Skjema total MA'!C132*C132,0)</f>
        <v>90.146315486542093</v>
      </c>
      <c r="F132" s="314">
        <v>76382.539000000004</v>
      </c>
      <c r="G132" s="315">
        <v>52296.226000000002</v>
      </c>
      <c r="H132" s="407">
        <f t="shared" ref="H132:H134" si="2">IF(F132=0, "    ---- ", IF(ABS(ROUND(100/F132*G132-100,1))&lt;999,ROUND(100/F132*G132-100,1),IF(ROUND(100/F132*G132-100,1)&gt;999,999,-999)))</f>
        <v>-31.5</v>
      </c>
      <c r="I132" s="24">
        <f>IFERROR(100/'Skjema total MA'!F132*G132,0)</f>
        <v>100</v>
      </c>
      <c r="J132" s="316">
        <v>17936681.5447</v>
      </c>
      <c r="K132" s="316">
        <v>14945880.229909999</v>
      </c>
      <c r="L132" s="403">
        <f t="shared" ref="L132:L135" si="3">IF(J132=0, "    ---- ", IF(ABS(ROUND(100/J132*K132-100,1))&lt;999,ROUND(100/J132*K132-100,1),IF(ROUND(100/J132*K132-100,1)&gt;999,999,-999)))</f>
        <v>-16.7</v>
      </c>
      <c r="M132" s="11">
        <f>IFERROR(100/'Skjema total MA'!I132*K132,0)</f>
        <v>90.177407242400221</v>
      </c>
      <c r="N132" s="147"/>
    </row>
    <row r="133" spans="1:14" s="3" customFormat="1" ht="15.75" x14ac:dyDescent="0.2">
      <c r="A133" s="13" t="s">
        <v>324</v>
      </c>
      <c r="B133" s="236">
        <v>408022300.04294997</v>
      </c>
      <c r="C133" s="307">
        <v>432230923.24921</v>
      </c>
      <c r="D133" s="170">
        <f t="shared" si="1"/>
        <v>5.9</v>
      </c>
      <c r="E133" s="11">
        <f>IFERROR(100/'Skjema total MA'!C133*C133,0)</f>
        <v>86.18280830980413</v>
      </c>
      <c r="F133" s="236">
        <v>2120218.96215</v>
      </c>
      <c r="G133" s="307">
        <v>2288839.25715</v>
      </c>
      <c r="H133" s="408">
        <f t="shared" si="2"/>
        <v>8</v>
      </c>
      <c r="I133" s="24">
        <f>IFERROR(100/'Skjema total MA'!F133*G133,0)</f>
        <v>100</v>
      </c>
      <c r="J133" s="306">
        <v>410142519.00509995</v>
      </c>
      <c r="K133" s="306">
        <v>434519762.50635999</v>
      </c>
      <c r="L133" s="404">
        <f t="shared" si="3"/>
        <v>5.9</v>
      </c>
      <c r="M133" s="11">
        <f>IFERROR(100/'Skjema total MA'!I133*K133,0)</f>
        <v>86.245579792789272</v>
      </c>
      <c r="N133" s="147"/>
    </row>
    <row r="134" spans="1:14" s="3" customFormat="1" ht="15.75" x14ac:dyDescent="0.2">
      <c r="A134" s="13" t="s">
        <v>325</v>
      </c>
      <c r="B134" s="236">
        <v>1738366.0020000001</v>
      </c>
      <c r="C134" s="307">
        <v>183490.30300000001</v>
      </c>
      <c r="D134" s="170">
        <f t="shared" si="1"/>
        <v>-89.4</v>
      </c>
      <c r="E134" s="11">
        <f>IFERROR(100/'Skjema total MA'!C134*C134,0)</f>
        <v>100</v>
      </c>
      <c r="F134" s="236"/>
      <c r="G134" s="307">
        <v>24988.125</v>
      </c>
      <c r="H134" s="408" t="str">
        <f t="shared" si="2"/>
        <v xml:space="preserve">    ---- </v>
      </c>
      <c r="I134" s="24">
        <f>IFERROR(100/'Skjema total MA'!F134*G134,0)</f>
        <v>100</v>
      </c>
      <c r="J134" s="306">
        <v>1738366.0020000001</v>
      </c>
      <c r="K134" s="306">
        <v>208478.42800000001</v>
      </c>
      <c r="L134" s="404">
        <f t="shared" si="3"/>
        <v>-88</v>
      </c>
      <c r="M134" s="11">
        <f>IFERROR(100/'Skjema total MA'!I134*K134,0)</f>
        <v>100</v>
      </c>
      <c r="N134" s="147"/>
    </row>
    <row r="135" spans="1:14" s="3" customFormat="1" ht="15.75" x14ac:dyDescent="0.2">
      <c r="A135" s="41" t="s">
        <v>326</v>
      </c>
      <c r="B135" s="281">
        <v>123887.451</v>
      </c>
      <c r="C135" s="313">
        <v>210536.73</v>
      </c>
      <c r="D135" s="168">
        <f t="shared" si="1"/>
        <v>69.900000000000006</v>
      </c>
      <c r="E135" s="9">
        <f>IFERROR(100/'Skjema total MA'!C135*C135,0)</f>
        <v>59.450435635805341</v>
      </c>
      <c r="F135" s="281"/>
      <c r="G135" s="313"/>
      <c r="H135" s="409"/>
      <c r="I135" s="36"/>
      <c r="J135" s="312">
        <v>123887.451</v>
      </c>
      <c r="K135" s="312">
        <v>210536.73</v>
      </c>
      <c r="L135" s="405">
        <f t="shared" si="3"/>
        <v>69.900000000000006</v>
      </c>
      <c r="M135" s="36">
        <f>IFERROR(100/'Skjema total MA'!I135*K135,0)</f>
        <v>59.450435635805341</v>
      </c>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065" priority="132">
      <formula>kvartal &lt; 4</formula>
    </cfRule>
  </conditionalFormatting>
  <conditionalFormatting sqref="B29">
    <cfRule type="expression" dxfId="1064" priority="130">
      <formula>kvartal &lt; 4</formula>
    </cfRule>
  </conditionalFormatting>
  <conditionalFormatting sqref="B30">
    <cfRule type="expression" dxfId="1063" priority="129">
      <formula>kvartal &lt; 4</formula>
    </cfRule>
  </conditionalFormatting>
  <conditionalFormatting sqref="B31">
    <cfRule type="expression" dxfId="1062" priority="128">
      <formula>kvartal &lt; 4</formula>
    </cfRule>
  </conditionalFormatting>
  <conditionalFormatting sqref="C29">
    <cfRule type="expression" dxfId="1061" priority="127">
      <formula>kvartal &lt; 4</formula>
    </cfRule>
  </conditionalFormatting>
  <conditionalFormatting sqref="C30">
    <cfRule type="expression" dxfId="1060" priority="126">
      <formula>kvartal &lt; 4</formula>
    </cfRule>
  </conditionalFormatting>
  <conditionalFormatting sqref="C31">
    <cfRule type="expression" dxfId="1059" priority="125">
      <formula>kvartal &lt; 4</formula>
    </cfRule>
  </conditionalFormatting>
  <conditionalFormatting sqref="B23:C25">
    <cfRule type="expression" dxfId="1058" priority="124">
      <formula>kvartal &lt; 4</formula>
    </cfRule>
  </conditionalFormatting>
  <conditionalFormatting sqref="F23:G25">
    <cfRule type="expression" dxfId="1057" priority="120">
      <formula>kvartal &lt; 4</formula>
    </cfRule>
  </conditionalFormatting>
  <conditionalFormatting sqref="F29">
    <cfRule type="expression" dxfId="1056" priority="113">
      <formula>kvartal &lt; 4</formula>
    </cfRule>
  </conditionalFormatting>
  <conditionalFormatting sqref="F30">
    <cfRule type="expression" dxfId="1055" priority="112">
      <formula>kvartal &lt; 4</formula>
    </cfRule>
  </conditionalFormatting>
  <conditionalFormatting sqref="F31">
    <cfRule type="expression" dxfId="1054" priority="111">
      <formula>kvartal &lt; 4</formula>
    </cfRule>
  </conditionalFormatting>
  <conditionalFormatting sqref="G29">
    <cfRule type="expression" dxfId="1053" priority="110">
      <formula>kvartal &lt; 4</formula>
    </cfRule>
  </conditionalFormatting>
  <conditionalFormatting sqref="G30">
    <cfRule type="expression" dxfId="1052" priority="109">
      <formula>kvartal &lt; 4</formula>
    </cfRule>
  </conditionalFormatting>
  <conditionalFormatting sqref="G31">
    <cfRule type="expression" dxfId="1051" priority="108">
      <formula>kvartal &lt; 4</formula>
    </cfRule>
  </conditionalFormatting>
  <conditionalFormatting sqref="B26">
    <cfRule type="expression" dxfId="1050" priority="107">
      <formula>kvartal &lt; 4</formula>
    </cfRule>
  </conditionalFormatting>
  <conditionalFormatting sqref="C26">
    <cfRule type="expression" dxfId="1049" priority="106">
      <formula>kvartal &lt; 4</formula>
    </cfRule>
  </conditionalFormatting>
  <conditionalFormatting sqref="F26">
    <cfRule type="expression" dxfId="1048" priority="105">
      <formula>kvartal &lt; 4</formula>
    </cfRule>
  </conditionalFormatting>
  <conditionalFormatting sqref="G26">
    <cfRule type="expression" dxfId="1047" priority="104">
      <formula>kvartal &lt; 4</formula>
    </cfRule>
  </conditionalFormatting>
  <conditionalFormatting sqref="J23:K26">
    <cfRule type="expression" dxfId="1046" priority="103">
      <formula>kvartal &lt; 4</formula>
    </cfRule>
  </conditionalFormatting>
  <conditionalFormatting sqref="J29:K31">
    <cfRule type="expression" dxfId="1045" priority="101">
      <formula>kvartal &lt; 4</formula>
    </cfRule>
  </conditionalFormatting>
  <conditionalFormatting sqref="B67">
    <cfRule type="expression" dxfId="1044" priority="100">
      <formula>kvartal &lt; 4</formula>
    </cfRule>
  </conditionalFormatting>
  <conditionalFormatting sqref="C67">
    <cfRule type="expression" dxfId="1043" priority="99">
      <formula>kvartal &lt; 4</formula>
    </cfRule>
  </conditionalFormatting>
  <conditionalFormatting sqref="B70">
    <cfRule type="expression" dxfId="1042" priority="98">
      <formula>kvartal &lt; 4</formula>
    </cfRule>
  </conditionalFormatting>
  <conditionalFormatting sqref="C70">
    <cfRule type="expression" dxfId="1041" priority="97">
      <formula>kvartal &lt; 4</formula>
    </cfRule>
  </conditionalFormatting>
  <conditionalFormatting sqref="B78">
    <cfRule type="expression" dxfId="1040" priority="96">
      <formula>kvartal &lt; 4</formula>
    </cfRule>
  </conditionalFormatting>
  <conditionalFormatting sqref="C78">
    <cfRule type="expression" dxfId="1039" priority="95">
      <formula>kvartal &lt; 4</formula>
    </cfRule>
  </conditionalFormatting>
  <conditionalFormatting sqref="B81">
    <cfRule type="expression" dxfId="1038" priority="94">
      <formula>kvartal &lt; 4</formula>
    </cfRule>
  </conditionalFormatting>
  <conditionalFormatting sqref="C81">
    <cfRule type="expression" dxfId="1037" priority="93">
      <formula>kvartal &lt; 4</formula>
    </cfRule>
  </conditionalFormatting>
  <conditionalFormatting sqref="B88">
    <cfRule type="expression" dxfId="1036" priority="84">
      <formula>kvartal &lt; 4</formula>
    </cfRule>
  </conditionalFormatting>
  <conditionalFormatting sqref="C88">
    <cfRule type="expression" dxfId="1035" priority="83">
      <formula>kvartal &lt; 4</formula>
    </cfRule>
  </conditionalFormatting>
  <conditionalFormatting sqref="B91">
    <cfRule type="expression" dxfId="1034" priority="82">
      <formula>kvartal &lt; 4</formula>
    </cfRule>
  </conditionalFormatting>
  <conditionalFormatting sqref="C91">
    <cfRule type="expression" dxfId="1033" priority="81">
      <formula>kvartal &lt; 4</formula>
    </cfRule>
  </conditionalFormatting>
  <conditionalFormatting sqref="B99">
    <cfRule type="expression" dxfId="1032" priority="80">
      <formula>kvartal &lt; 4</formula>
    </cfRule>
  </conditionalFormatting>
  <conditionalFormatting sqref="C99">
    <cfRule type="expression" dxfId="1031" priority="79">
      <formula>kvartal &lt; 4</formula>
    </cfRule>
  </conditionalFormatting>
  <conditionalFormatting sqref="B102">
    <cfRule type="expression" dxfId="1030" priority="78">
      <formula>kvartal &lt; 4</formula>
    </cfRule>
  </conditionalFormatting>
  <conditionalFormatting sqref="C102">
    <cfRule type="expression" dxfId="1029" priority="77">
      <formula>kvartal &lt; 4</formula>
    </cfRule>
  </conditionalFormatting>
  <conditionalFormatting sqref="B113">
    <cfRule type="expression" dxfId="1028" priority="76">
      <formula>kvartal &lt; 4</formula>
    </cfRule>
  </conditionalFormatting>
  <conditionalFormatting sqref="C113">
    <cfRule type="expression" dxfId="1027" priority="75">
      <formula>kvartal &lt; 4</formula>
    </cfRule>
  </conditionalFormatting>
  <conditionalFormatting sqref="B121">
    <cfRule type="expression" dxfId="1026" priority="74">
      <formula>kvartal &lt; 4</formula>
    </cfRule>
  </conditionalFormatting>
  <conditionalFormatting sqref="C121">
    <cfRule type="expression" dxfId="1025" priority="73">
      <formula>kvartal &lt; 4</formula>
    </cfRule>
  </conditionalFormatting>
  <conditionalFormatting sqref="F68">
    <cfRule type="expression" dxfId="1024" priority="72">
      <formula>kvartal &lt; 4</formula>
    </cfRule>
  </conditionalFormatting>
  <conditionalFormatting sqref="G68">
    <cfRule type="expression" dxfId="1023" priority="71">
      <formula>kvartal &lt; 4</formula>
    </cfRule>
  </conditionalFormatting>
  <conditionalFormatting sqref="F69:G69">
    <cfRule type="expression" dxfId="1022" priority="70">
      <formula>kvartal &lt; 4</formula>
    </cfRule>
  </conditionalFormatting>
  <conditionalFormatting sqref="F71:G72">
    <cfRule type="expression" dxfId="1021" priority="69">
      <formula>kvartal &lt; 4</formula>
    </cfRule>
  </conditionalFormatting>
  <conditionalFormatting sqref="F79:G80">
    <cfRule type="expression" dxfId="1020" priority="68">
      <formula>kvartal &lt; 4</formula>
    </cfRule>
  </conditionalFormatting>
  <conditionalFormatting sqref="F82:G83">
    <cfRule type="expression" dxfId="1019" priority="67">
      <formula>kvartal &lt; 4</formula>
    </cfRule>
  </conditionalFormatting>
  <conditionalFormatting sqref="F89:G90">
    <cfRule type="expression" dxfId="1018" priority="62">
      <formula>kvartal &lt; 4</formula>
    </cfRule>
  </conditionalFormatting>
  <conditionalFormatting sqref="F92:G93">
    <cfRule type="expression" dxfId="1017" priority="61">
      <formula>kvartal &lt; 4</formula>
    </cfRule>
  </conditionalFormatting>
  <conditionalFormatting sqref="F100:G101">
    <cfRule type="expression" dxfId="1016" priority="60">
      <formula>kvartal &lt; 4</formula>
    </cfRule>
  </conditionalFormatting>
  <conditionalFormatting sqref="F103:G104">
    <cfRule type="expression" dxfId="1015" priority="59">
      <formula>kvartal &lt; 4</formula>
    </cfRule>
  </conditionalFormatting>
  <conditionalFormatting sqref="F113">
    <cfRule type="expression" dxfId="1014" priority="58">
      <formula>kvartal &lt; 4</formula>
    </cfRule>
  </conditionalFormatting>
  <conditionalFormatting sqref="G113">
    <cfRule type="expression" dxfId="1013" priority="57">
      <formula>kvartal &lt; 4</formula>
    </cfRule>
  </conditionalFormatting>
  <conditionalFormatting sqref="F121:G121">
    <cfRule type="expression" dxfId="1012" priority="56">
      <formula>kvartal &lt; 4</formula>
    </cfRule>
  </conditionalFormatting>
  <conditionalFormatting sqref="F67:G67">
    <cfRule type="expression" dxfId="1011" priority="55">
      <formula>kvartal &lt; 4</formula>
    </cfRule>
  </conditionalFormatting>
  <conditionalFormatting sqref="F70:G70">
    <cfRule type="expression" dxfId="1010" priority="54">
      <formula>kvartal &lt; 4</formula>
    </cfRule>
  </conditionalFormatting>
  <conditionalFormatting sqref="F78:G78">
    <cfRule type="expression" dxfId="1009" priority="53">
      <formula>kvartal &lt; 4</formula>
    </cfRule>
  </conditionalFormatting>
  <conditionalFormatting sqref="F81:G81">
    <cfRule type="expression" dxfId="1008" priority="52">
      <formula>kvartal &lt; 4</formula>
    </cfRule>
  </conditionalFormatting>
  <conditionalFormatting sqref="F88:G88">
    <cfRule type="expression" dxfId="1007" priority="46">
      <formula>kvartal &lt; 4</formula>
    </cfRule>
  </conditionalFormatting>
  <conditionalFormatting sqref="F91">
    <cfRule type="expression" dxfId="1006" priority="45">
      <formula>kvartal &lt; 4</formula>
    </cfRule>
  </conditionalFormatting>
  <conditionalFormatting sqref="G91">
    <cfRule type="expression" dxfId="1005" priority="44">
      <formula>kvartal &lt; 4</formula>
    </cfRule>
  </conditionalFormatting>
  <conditionalFormatting sqref="F99">
    <cfRule type="expression" dxfId="1004" priority="43">
      <formula>kvartal &lt; 4</formula>
    </cfRule>
  </conditionalFormatting>
  <conditionalFormatting sqref="G99">
    <cfRule type="expression" dxfId="1003" priority="42">
      <formula>kvartal &lt; 4</formula>
    </cfRule>
  </conditionalFormatting>
  <conditionalFormatting sqref="G102">
    <cfRule type="expression" dxfId="1002" priority="41">
      <formula>kvartal &lt; 4</formula>
    </cfRule>
  </conditionalFormatting>
  <conditionalFormatting sqref="F102">
    <cfRule type="expression" dxfId="1001" priority="40">
      <formula>kvartal &lt; 4</formula>
    </cfRule>
  </conditionalFormatting>
  <conditionalFormatting sqref="J67:K71">
    <cfRule type="expression" dxfId="1000" priority="39">
      <formula>kvartal &lt; 4</formula>
    </cfRule>
  </conditionalFormatting>
  <conditionalFormatting sqref="J72:K72">
    <cfRule type="expression" dxfId="999" priority="38">
      <formula>kvartal &lt; 4</formula>
    </cfRule>
  </conditionalFormatting>
  <conditionalFormatting sqref="J78:K83">
    <cfRule type="expression" dxfId="998" priority="37">
      <formula>kvartal &lt; 4</formula>
    </cfRule>
  </conditionalFormatting>
  <conditionalFormatting sqref="J88:K93">
    <cfRule type="expression" dxfId="997" priority="34">
      <formula>kvartal &lt; 4</formula>
    </cfRule>
  </conditionalFormatting>
  <conditionalFormatting sqref="J99:K104">
    <cfRule type="expression" dxfId="996" priority="33">
      <formula>kvartal &lt; 4</formula>
    </cfRule>
  </conditionalFormatting>
  <conditionalFormatting sqref="J113:K113">
    <cfRule type="expression" dxfId="995" priority="32">
      <formula>kvartal &lt; 4</formula>
    </cfRule>
  </conditionalFormatting>
  <conditionalFormatting sqref="J121:K121">
    <cfRule type="expression" dxfId="994" priority="31">
      <formula>kvartal &lt; 4</formula>
    </cfRule>
  </conditionalFormatting>
  <conditionalFormatting sqref="A23:A25">
    <cfRule type="expression" dxfId="993" priority="15">
      <formula>kvartal &lt; 4</formula>
    </cfRule>
  </conditionalFormatting>
  <conditionalFormatting sqref="A29:A31">
    <cfRule type="expression" dxfId="992" priority="13">
      <formula>kvartal &lt; 4</formula>
    </cfRule>
  </conditionalFormatting>
  <conditionalFormatting sqref="A48:A50">
    <cfRule type="expression" dxfId="991" priority="12">
      <formula>kvartal &lt; 4</formula>
    </cfRule>
  </conditionalFormatting>
  <conditionalFormatting sqref="A67:A72">
    <cfRule type="expression" dxfId="990" priority="10">
      <formula>kvartal &lt; 4</formula>
    </cfRule>
  </conditionalFormatting>
  <conditionalFormatting sqref="A78:A83">
    <cfRule type="expression" dxfId="989" priority="9">
      <formula>kvartal &lt; 4</formula>
    </cfRule>
  </conditionalFormatting>
  <conditionalFormatting sqref="A88:A93">
    <cfRule type="expression" dxfId="988" priority="6">
      <formula>kvartal &lt; 4</formula>
    </cfRule>
  </conditionalFormatting>
  <conditionalFormatting sqref="A99:A104">
    <cfRule type="expression" dxfId="987" priority="5">
      <formula>kvartal &lt; 4</formula>
    </cfRule>
  </conditionalFormatting>
  <conditionalFormatting sqref="A113">
    <cfRule type="expression" dxfId="986" priority="4">
      <formula>kvartal &lt; 4</formula>
    </cfRule>
  </conditionalFormatting>
  <conditionalFormatting sqref="A121">
    <cfRule type="expression" dxfId="985" priority="3">
      <formula>kvartal &lt; 4</formula>
    </cfRule>
  </conditionalFormatting>
  <conditionalFormatting sqref="A26">
    <cfRule type="expression" dxfId="984" priority="2">
      <formula>kvartal &lt; 4</formula>
    </cfRule>
  </conditionalFormatting>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103</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c r="C45" s="309"/>
      <c r="D45" s="403"/>
      <c r="E45" s="11"/>
      <c r="F45" s="144"/>
      <c r="G45" s="33"/>
      <c r="H45" s="158"/>
      <c r="I45" s="158"/>
      <c r="J45" s="37"/>
      <c r="K45" s="37"/>
      <c r="L45" s="158"/>
      <c r="M45" s="158"/>
      <c r="N45" s="147"/>
    </row>
    <row r="46" spans="1:14" s="3" customFormat="1" ht="15.75" x14ac:dyDescent="0.2">
      <c r="A46" s="38" t="s">
        <v>312</v>
      </c>
      <c r="B46" s="286"/>
      <c r="C46" s="287"/>
      <c r="D46" s="259"/>
      <c r="E46" s="27"/>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52817</v>
      </c>
      <c r="C64" s="347">
        <v>42087</v>
      </c>
      <c r="D64" s="344">
        <f t="shared" ref="D64:D109" si="0">IF(B64=0, "    ---- ", IF(ABS(ROUND(100/B64*C64-100,1))&lt;999,ROUND(100/B64*C64-100,1),IF(ROUND(100/B64*C64-100,1)&gt;999,999,-999)))</f>
        <v>-20.3</v>
      </c>
      <c r="E64" s="11">
        <f>IFERROR(100/'Skjema total MA'!C64*C64,0)</f>
        <v>0.78355990063784475</v>
      </c>
      <c r="F64" s="346">
        <v>130945</v>
      </c>
      <c r="G64" s="346">
        <v>176194</v>
      </c>
      <c r="H64" s="344">
        <f t="shared" ref="H64:H109" si="1">IF(F64=0, "    ---- ", IF(ABS(ROUND(100/F64*G64-100,1))&lt;999,ROUND(100/F64*G64-100,1),IF(ROUND(100/F64*G64-100,1)&gt;999,999,-999)))</f>
        <v>34.6</v>
      </c>
      <c r="I64" s="11">
        <f>IFERROR(100/'Skjema total MA'!F64*G64,0)</f>
        <v>1.357076192487809</v>
      </c>
      <c r="J64" s="307">
        <v>183762</v>
      </c>
      <c r="K64" s="314">
        <v>218281</v>
      </c>
      <c r="L64" s="404">
        <f t="shared" ref="L64:L109" si="2">IF(J64=0, "    ---- ", IF(ABS(ROUND(100/J64*K64-100,1))&lt;999,ROUND(100/J64*K64-100,1),IF(ROUND(100/J64*K64-100,1)&gt;999,999,-999)))</f>
        <v>18.8</v>
      </c>
      <c r="M64" s="11">
        <f>IFERROR(100/'Skjema total MA'!I64*K64,0)</f>
        <v>1.1892435620995645</v>
      </c>
    </row>
    <row r="65" spans="1:14" x14ac:dyDescent="0.2">
      <c r="A65" s="395" t="s">
        <v>9</v>
      </c>
      <c r="B65" s="44">
        <v>52817</v>
      </c>
      <c r="C65" s="144">
        <v>42087</v>
      </c>
      <c r="D65" s="165">
        <f t="shared" si="0"/>
        <v>-20.3</v>
      </c>
      <c r="E65" s="27">
        <f>IFERROR(100/'Skjema total MA'!C65*C65,0)</f>
        <v>0.82013051863328068</v>
      </c>
      <c r="F65" s="234"/>
      <c r="G65" s="144"/>
      <c r="H65" s="165"/>
      <c r="I65" s="27"/>
      <c r="J65" s="290">
        <v>52817</v>
      </c>
      <c r="K65" s="44">
        <v>42087</v>
      </c>
      <c r="L65" s="259">
        <f t="shared" si="2"/>
        <v>-20.3</v>
      </c>
      <c r="M65" s="27">
        <f>IFERROR(100/'Skjema total MA'!I65*K65,0)</f>
        <v>0.82013051863328068</v>
      </c>
    </row>
    <row r="66" spans="1:14" x14ac:dyDescent="0.2">
      <c r="A66" s="21" t="s">
        <v>10</v>
      </c>
      <c r="B66" s="292"/>
      <c r="C66" s="293"/>
      <c r="D66" s="165"/>
      <c r="E66" s="27"/>
      <c r="F66" s="292">
        <v>130945</v>
      </c>
      <c r="G66" s="293">
        <v>176194</v>
      </c>
      <c r="H66" s="165">
        <f t="shared" si="1"/>
        <v>34.6</v>
      </c>
      <c r="I66" s="27">
        <f>IFERROR(100/'Skjema total MA'!F66*G66,0)</f>
        <v>1.3707212039731951</v>
      </c>
      <c r="J66" s="290">
        <v>130945</v>
      </c>
      <c r="K66" s="44">
        <v>176194</v>
      </c>
      <c r="L66" s="259">
        <f t="shared" si="2"/>
        <v>34.6</v>
      </c>
      <c r="M66" s="27">
        <f>IFERROR(100/'Skjema total MA'!I66*K66,0)</f>
        <v>1.3583076694045768</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v>52817</v>
      </c>
      <c r="C75" s="234">
        <v>42087</v>
      </c>
      <c r="D75" s="165">
        <f t="shared" si="0"/>
        <v>-20.3</v>
      </c>
      <c r="E75" s="27">
        <f>IFERROR(100/'Skjema total MA'!C75*C75,0)</f>
        <v>0.82454554604704355</v>
      </c>
      <c r="F75" s="234">
        <v>130945</v>
      </c>
      <c r="G75" s="144">
        <v>176194</v>
      </c>
      <c r="H75" s="165">
        <f t="shared" si="1"/>
        <v>34.6</v>
      </c>
      <c r="I75" s="27">
        <f>IFERROR(100/'Skjema total MA'!F75*G75,0)</f>
        <v>1.3716167170693856</v>
      </c>
      <c r="J75" s="290">
        <v>183762</v>
      </c>
      <c r="K75" s="44">
        <v>218281</v>
      </c>
      <c r="L75" s="259">
        <f t="shared" si="2"/>
        <v>18.8</v>
      </c>
      <c r="M75" s="27">
        <f>IFERROR(100/'Skjema total MA'!I75*K75,0)</f>
        <v>1.2160512831057972</v>
      </c>
    </row>
    <row r="76" spans="1:14" x14ac:dyDescent="0.2">
      <c r="A76" s="21" t="s">
        <v>9</v>
      </c>
      <c r="B76" s="234">
        <v>52817</v>
      </c>
      <c r="C76" s="144">
        <v>42087</v>
      </c>
      <c r="D76" s="165">
        <f t="shared" si="0"/>
        <v>-20.3</v>
      </c>
      <c r="E76" s="27">
        <f>IFERROR(100/'Skjema total MA'!C76*C76,0)</f>
        <v>0.84359375210593068</v>
      </c>
      <c r="F76" s="234"/>
      <c r="G76" s="144"/>
      <c r="H76" s="165"/>
      <c r="I76" s="27"/>
      <c r="J76" s="290">
        <v>52817</v>
      </c>
      <c r="K76" s="44">
        <v>42087</v>
      </c>
      <c r="L76" s="259">
        <f t="shared" si="2"/>
        <v>-20.3</v>
      </c>
      <c r="M76" s="27">
        <f>IFERROR(100/'Skjema total MA'!I76*K76,0)</f>
        <v>0.84359375210593068</v>
      </c>
    </row>
    <row r="77" spans="1:14" x14ac:dyDescent="0.2">
      <c r="A77" s="21" t="s">
        <v>10</v>
      </c>
      <c r="B77" s="292"/>
      <c r="C77" s="293"/>
      <c r="D77" s="165"/>
      <c r="E77" s="27"/>
      <c r="F77" s="292">
        <v>130945</v>
      </c>
      <c r="G77" s="293">
        <v>176194</v>
      </c>
      <c r="H77" s="165">
        <f t="shared" si="1"/>
        <v>34.6</v>
      </c>
      <c r="I77" s="27">
        <f>IFERROR(100/'Skjema total MA'!F77*G77,0)</f>
        <v>1.3716167170693856</v>
      </c>
      <c r="J77" s="290">
        <v>130945</v>
      </c>
      <c r="K77" s="44">
        <v>176194</v>
      </c>
      <c r="L77" s="259">
        <f t="shared" si="2"/>
        <v>34.6</v>
      </c>
      <c r="M77" s="27">
        <f>IFERROR(100/'Skjema total MA'!I77*K77,0)</f>
        <v>1.3594198216979523</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v>1444299</v>
      </c>
      <c r="C85" s="347">
        <v>1534741</v>
      </c>
      <c r="D85" s="170">
        <f t="shared" si="0"/>
        <v>6.3</v>
      </c>
      <c r="E85" s="11">
        <f>IFERROR(100/'Skjema total MA'!C85*C85,0)</f>
        <v>0.41056694732970789</v>
      </c>
      <c r="F85" s="346">
        <v>1361843</v>
      </c>
      <c r="G85" s="346">
        <v>2183015</v>
      </c>
      <c r="H85" s="170">
        <f t="shared" si="1"/>
        <v>60.3</v>
      </c>
      <c r="I85" s="11">
        <f>IFERROR(100/'Skjema total MA'!F85*G85,0)</f>
        <v>1.0976189207475935</v>
      </c>
      <c r="J85" s="307">
        <v>2806142</v>
      </c>
      <c r="K85" s="236">
        <v>3717756</v>
      </c>
      <c r="L85" s="404">
        <f t="shared" si="2"/>
        <v>32.5</v>
      </c>
      <c r="M85" s="11">
        <f>IFERROR(100/'Skjema total MA'!I85*K85,0)</f>
        <v>0.64916677646046117</v>
      </c>
    </row>
    <row r="86" spans="1:13" x14ac:dyDescent="0.2">
      <c r="A86" s="21" t="s">
        <v>9</v>
      </c>
      <c r="B86" s="234">
        <v>1444299</v>
      </c>
      <c r="C86" s="144">
        <v>1534741</v>
      </c>
      <c r="D86" s="165">
        <f t="shared" si="0"/>
        <v>6.3</v>
      </c>
      <c r="E86" s="27">
        <f>IFERROR(100/'Skjema total MA'!C86*C86,0)</f>
        <v>0.41360052061156594</v>
      </c>
      <c r="F86" s="234"/>
      <c r="G86" s="144"/>
      <c r="H86" s="165"/>
      <c r="I86" s="27"/>
      <c r="J86" s="290">
        <v>1444299</v>
      </c>
      <c r="K86" s="44">
        <v>1534741</v>
      </c>
      <c r="L86" s="259">
        <f t="shared" si="2"/>
        <v>6.3</v>
      </c>
      <c r="M86" s="27">
        <f>IFERROR(100/'Skjema total MA'!I86*K86,0)</f>
        <v>0.41360052061156594</v>
      </c>
    </row>
    <row r="87" spans="1:13" x14ac:dyDescent="0.2">
      <c r="A87" s="21" t="s">
        <v>10</v>
      </c>
      <c r="B87" s="234"/>
      <c r="C87" s="144"/>
      <c r="D87" s="165"/>
      <c r="E87" s="27"/>
      <c r="F87" s="234">
        <v>1361843</v>
      </c>
      <c r="G87" s="144">
        <v>2183015</v>
      </c>
      <c r="H87" s="165">
        <f t="shared" si="1"/>
        <v>60.3</v>
      </c>
      <c r="I87" s="27">
        <f>IFERROR(100/'Skjema total MA'!F87*G87,0)</f>
        <v>1.0996059667921763</v>
      </c>
      <c r="J87" s="290">
        <v>1361843</v>
      </c>
      <c r="K87" s="44">
        <v>2183015</v>
      </c>
      <c r="L87" s="259">
        <f t="shared" si="2"/>
        <v>60.3</v>
      </c>
      <c r="M87" s="27">
        <f>IFERROR(100/'Skjema total MA'!I87*K87,0)</f>
        <v>1.0859359788196212</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v>1444299</v>
      </c>
      <c r="C96" s="234">
        <v>1534741</v>
      </c>
      <c r="D96" s="165">
        <f t="shared" si="0"/>
        <v>6.3</v>
      </c>
      <c r="E96" s="27">
        <f>IFERROR(100/'Skjema total MA'!C96*C96,0)</f>
        <v>0.41630415647218827</v>
      </c>
      <c r="F96" s="292">
        <v>1361843</v>
      </c>
      <c r="G96" s="292">
        <v>2183015</v>
      </c>
      <c r="H96" s="165">
        <f t="shared" si="1"/>
        <v>60.3</v>
      </c>
      <c r="I96" s="27">
        <f>IFERROR(100/'Skjema total MA'!F96*G96,0)</f>
        <v>1.1025649284233054</v>
      </c>
      <c r="J96" s="290">
        <v>2806142</v>
      </c>
      <c r="K96" s="44">
        <v>3717756</v>
      </c>
      <c r="L96" s="259">
        <f t="shared" si="2"/>
        <v>32.5</v>
      </c>
      <c r="M96" s="27">
        <f>IFERROR(100/'Skjema total MA'!I96*K96,0)</f>
        <v>0.6560906230100334</v>
      </c>
    </row>
    <row r="97" spans="1:13" x14ac:dyDescent="0.2">
      <c r="A97" s="21" t="s">
        <v>9</v>
      </c>
      <c r="B97" s="292">
        <v>1444299</v>
      </c>
      <c r="C97" s="293">
        <v>1534741</v>
      </c>
      <c r="D97" s="165">
        <f t="shared" si="0"/>
        <v>6.3</v>
      </c>
      <c r="E97" s="27">
        <f>IFERROR(100/'Skjema total MA'!C97*C97,0)</f>
        <v>0.41914550169514747</v>
      </c>
      <c r="F97" s="234"/>
      <c r="G97" s="144"/>
      <c r="H97" s="165"/>
      <c r="I97" s="27"/>
      <c r="J97" s="290">
        <v>1444299</v>
      </c>
      <c r="K97" s="44">
        <v>1534741</v>
      </c>
      <c r="L97" s="259">
        <f t="shared" si="2"/>
        <v>6.3</v>
      </c>
      <c r="M97" s="27">
        <f>IFERROR(100/'Skjema total MA'!I97*K97,0)</f>
        <v>0.41914550169514747</v>
      </c>
    </row>
    <row r="98" spans="1:13" x14ac:dyDescent="0.2">
      <c r="A98" s="21" t="s">
        <v>10</v>
      </c>
      <c r="B98" s="292"/>
      <c r="C98" s="293"/>
      <c r="D98" s="165"/>
      <c r="E98" s="27"/>
      <c r="F98" s="234">
        <v>1361843</v>
      </c>
      <c r="G98" s="234">
        <v>2183015</v>
      </c>
      <c r="H98" s="165">
        <f t="shared" si="1"/>
        <v>60.3</v>
      </c>
      <c r="I98" s="27">
        <f>IFERROR(100/'Skjema total MA'!F98*G98,0)</f>
        <v>1.1025649284233054</v>
      </c>
      <c r="J98" s="290">
        <v>1361843</v>
      </c>
      <c r="K98" s="44">
        <v>2183015</v>
      </c>
      <c r="L98" s="259">
        <f t="shared" si="2"/>
        <v>60.3</v>
      </c>
      <c r="M98" s="27">
        <f>IFERROR(100/'Skjema total MA'!I98*K98,0)</f>
        <v>1.0888217312790158</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v>540647</v>
      </c>
      <c r="C106" s="234">
        <v>859691</v>
      </c>
      <c r="D106" s="165">
        <f t="shared" si="0"/>
        <v>59</v>
      </c>
      <c r="E106" s="27">
        <f>IFERROR(100/'Skjema total MA'!C106*C106,0)</f>
        <v>0.29377945176734072</v>
      </c>
      <c r="F106" s="234"/>
      <c r="G106" s="234"/>
      <c r="H106" s="165"/>
      <c r="I106" s="27"/>
      <c r="J106" s="290">
        <v>540647</v>
      </c>
      <c r="K106" s="44">
        <v>859691</v>
      </c>
      <c r="L106" s="259">
        <f t="shared" si="2"/>
        <v>59</v>
      </c>
      <c r="M106" s="27">
        <f>IFERROR(100/'Skjema total MA'!I106*K106,0)</f>
        <v>0.28738351170224485</v>
      </c>
    </row>
    <row r="107" spans="1:13" ht="15.75" x14ac:dyDescent="0.2">
      <c r="A107" s="21" t="s">
        <v>320</v>
      </c>
      <c r="B107" s="234"/>
      <c r="C107" s="234"/>
      <c r="D107" s="165"/>
      <c r="E107" s="27"/>
      <c r="F107" s="234">
        <v>350994</v>
      </c>
      <c r="G107" s="234">
        <v>828368</v>
      </c>
      <c r="H107" s="165">
        <f t="shared" si="1"/>
        <v>136</v>
      </c>
      <c r="I107" s="27">
        <f>IFERROR(100/'Skjema total MA'!F107*G107,0)</f>
        <v>1.3094691399465417</v>
      </c>
      <c r="J107" s="290">
        <v>350994</v>
      </c>
      <c r="K107" s="44">
        <v>828368</v>
      </c>
      <c r="L107" s="259">
        <f t="shared" si="2"/>
        <v>136</v>
      </c>
      <c r="M107" s="27">
        <f>IFERROR(100/'Skjema total MA'!I107*K107,0)</f>
        <v>1.2938377031114106</v>
      </c>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v>1845</v>
      </c>
      <c r="C109" s="158">
        <v>641</v>
      </c>
      <c r="D109" s="170">
        <f t="shared" si="0"/>
        <v>-65.3</v>
      </c>
      <c r="E109" s="11">
        <f>IFERROR(100/'Skjema total MA'!C109*C109,0)</f>
        <v>0.18410003263623995</v>
      </c>
      <c r="F109" s="306">
        <v>63477</v>
      </c>
      <c r="G109" s="158">
        <v>351001</v>
      </c>
      <c r="H109" s="170">
        <f t="shared" si="1"/>
        <v>453</v>
      </c>
      <c r="I109" s="11">
        <f>IFERROR(100/'Skjema total MA'!F109*G109,0)</f>
        <v>5.4244817525948985</v>
      </c>
      <c r="J109" s="307">
        <v>65322</v>
      </c>
      <c r="K109" s="236">
        <v>351642</v>
      </c>
      <c r="L109" s="404">
        <f t="shared" si="2"/>
        <v>438.3</v>
      </c>
      <c r="M109" s="11">
        <f>IFERROR(100/'Skjema total MA'!I109*K109,0)</f>
        <v>5.1569008425823428</v>
      </c>
    </row>
    <row r="110" spans="1:13" x14ac:dyDescent="0.2">
      <c r="A110" s="21" t="s">
        <v>9</v>
      </c>
      <c r="B110" s="234">
        <v>1845</v>
      </c>
      <c r="C110" s="144">
        <v>641</v>
      </c>
      <c r="D110" s="165">
        <f t="shared" ref="D110:D118" si="3">IF(B110=0, "    ---- ", IF(ABS(ROUND(100/B110*C110-100,1))&lt;999,ROUND(100/B110*C110-100,1),IF(ROUND(100/B110*C110-100,1)&gt;999,999,-999)))</f>
        <v>-65.3</v>
      </c>
      <c r="E110" s="27">
        <f>IFERROR(100/'Skjema total MA'!C110*C110,0)</f>
        <v>0.19665218780440569</v>
      </c>
      <c r="F110" s="234"/>
      <c r="G110" s="144"/>
      <c r="H110" s="165"/>
      <c r="I110" s="27"/>
      <c r="J110" s="290">
        <v>1845</v>
      </c>
      <c r="K110" s="44">
        <v>641</v>
      </c>
      <c r="L110" s="259">
        <f t="shared" ref="L110:L123" si="4">IF(J110=0, "    ---- ", IF(ABS(ROUND(100/J110*K110-100,1))&lt;999,ROUND(100/J110*K110-100,1),IF(ROUND(100/J110*K110-100,1)&gt;999,999,-999)))</f>
        <v>-65.3</v>
      </c>
      <c r="M110" s="27">
        <f>IFERROR(100/'Skjema total MA'!I110*K110,0)</f>
        <v>0.19665218780440569</v>
      </c>
    </row>
    <row r="111" spans="1:13" x14ac:dyDescent="0.2">
      <c r="A111" s="21" t="s">
        <v>10</v>
      </c>
      <c r="B111" s="234"/>
      <c r="C111" s="144"/>
      <c r="D111" s="165"/>
      <c r="E111" s="27"/>
      <c r="F111" s="234">
        <v>63477</v>
      </c>
      <c r="G111" s="144">
        <v>351001</v>
      </c>
      <c r="H111" s="165">
        <f t="shared" ref="H111:H123" si="5">IF(F111=0, "    ---- ", IF(ABS(ROUND(100/F111*G111-100,1))&lt;999,ROUND(100/F111*G111-100,1),IF(ROUND(100/F111*G111-100,1)&gt;999,999,-999)))</f>
        <v>453</v>
      </c>
      <c r="I111" s="27">
        <f>IFERROR(100/'Skjema total MA'!F111*G111,0)</f>
        <v>5.4244817525948985</v>
      </c>
      <c r="J111" s="290">
        <v>63477</v>
      </c>
      <c r="K111" s="44">
        <v>351001</v>
      </c>
      <c r="L111" s="259">
        <f t="shared" si="4"/>
        <v>453</v>
      </c>
      <c r="M111" s="27">
        <f>IFERROR(100/'Skjema total MA'!I111*K111,0)</f>
        <v>5.4223622817801065</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v>24641</v>
      </c>
      <c r="G115" s="234">
        <v>271731</v>
      </c>
      <c r="H115" s="165">
        <f t="shared" si="5"/>
        <v>999</v>
      </c>
      <c r="I115" s="27">
        <f>IFERROR(100/'Skjema total MA'!F115*G115,0)</f>
        <v>24.589694135585589</v>
      </c>
      <c r="J115" s="290">
        <v>24641</v>
      </c>
      <c r="K115" s="44">
        <v>271731</v>
      </c>
      <c r="L115" s="259">
        <f t="shared" si="4"/>
        <v>999</v>
      </c>
      <c r="M115" s="27">
        <f>IFERROR(100/'Skjema total MA'!I115*K115,0)</f>
        <v>24.589694135585589</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2665</v>
      </c>
      <c r="C117" s="158">
        <v>12774</v>
      </c>
      <c r="D117" s="170">
        <f t="shared" si="3"/>
        <v>379.3</v>
      </c>
      <c r="E117" s="11">
        <f>IFERROR(100/'Skjema total MA'!C117*C117,0)</f>
        <v>4.3543702775192372</v>
      </c>
      <c r="F117" s="306">
        <v>31195</v>
      </c>
      <c r="G117" s="158">
        <v>86580</v>
      </c>
      <c r="H117" s="170">
        <f t="shared" si="5"/>
        <v>177.5</v>
      </c>
      <c r="I117" s="11">
        <f>IFERROR(100/'Skjema total MA'!F117*G117,0)</f>
        <v>1.3429454919261268</v>
      </c>
      <c r="J117" s="307">
        <v>33860</v>
      </c>
      <c r="K117" s="236">
        <v>99354</v>
      </c>
      <c r="L117" s="404">
        <f t="shared" si="4"/>
        <v>193.4</v>
      </c>
      <c r="M117" s="11">
        <f>IFERROR(100/'Skjema total MA'!I117*K117,0)</f>
        <v>1.4740111749316915</v>
      </c>
    </row>
    <row r="118" spans="1:14" x14ac:dyDescent="0.2">
      <c r="A118" s="21" t="s">
        <v>9</v>
      </c>
      <c r="B118" s="234">
        <v>2665</v>
      </c>
      <c r="C118" s="144">
        <v>12774</v>
      </c>
      <c r="D118" s="165">
        <f t="shared" si="3"/>
        <v>379.3</v>
      </c>
      <c r="E118" s="27">
        <f>IFERROR(100/'Skjema total MA'!C118*C118,0)</f>
        <v>4.9450605149130729</v>
      </c>
      <c r="F118" s="234"/>
      <c r="G118" s="144"/>
      <c r="H118" s="165"/>
      <c r="I118" s="27"/>
      <c r="J118" s="290">
        <v>2665</v>
      </c>
      <c r="K118" s="44">
        <v>12774</v>
      </c>
      <c r="L118" s="259">
        <f t="shared" si="4"/>
        <v>379.3</v>
      </c>
      <c r="M118" s="27">
        <f>IFERROR(100/'Skjema total MA'!I118*K118,0)</f>
        <v>4.9450605149130729</v>
      </c>
    </row>
    <row r="119" spans="1:14" x14ac:dyDescent="0.2">
      <c r="A119" s="21" t="s">
        <v>10</v>
      </c>
      <c r="B119" s="234"/>
      <c r="C119" s="144"/>
      <c r="D119" s="165"/>
      <c r="E119" s="27"/>
      <c r="F119" s="234">
        <v>31195</v>
      </c>
      <c r="G119" s="144">
        <v>86580</v>
      </c>
      <c r="H119" s="165">
        <f t="shared" si="5"/>
        <v>177.5</v>
      </c>
      <c r="I119" s="27">
        <f>IFERROR(100/'Skjema total MA'!F119*G119,0)</f>
        <v>1.3429454919261268</v>
      </c>
      <c r="J119" s="290">
        <v>31195</v>
      </c>
      <c r="K119" s="44">
        <v>86580</v>
      </c>
      <c r="L119" s="259">
        <f t="shared" si="4"/>
        <v>177.5</v>
      </c>
      <c r="M119" s="27">
        <f>IFERROR(100/'Skjema total MA'!I119*K119,0)</f>
        <v>1.3393282871137762</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v>5501</v>
      </c>
      <c r="G123" s="234">
        <v>5203</v>
      </c>
      <c r="H123" s="165">
        <f t="shared" si="5"/>
        <v>-5.4</v>
      </c>
      <c r="I123" s="27">
        <f>IFERROR(100/'Skjema total MA'!F123*G123,0)</f>
        <v>0.55222572702527306</v>
      </c>
      <c r="J123" s="290">
        <v>5501</v>
      </c>
      <c r="K123" s="44">
        <v>5203</v>
      </c>
      <c r="L123" s="259">
        <f t="shared" si="4"/>
        <v>-5.4</v>
      </c>
      <c r="M123" s="27">
        <f>IFERROR(100/'Skjema total MA'!I123*K123,0)</f>
        <v>0.55043744175267184</v>
      </c>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983" priority="132">
      <formula>kvartal &lt; 4</formula>
    </cfRule>
  </conditionalFormatting>
  <conditionalFormatting sqref="B29">
    <cfRule type="expression" dxfId="982" priority="130">
      <formula>kvartal &lt; 4</formula>
    </cfRule>
  </conditionalFormatting>
  <conditionalFormatting sqref="B30">
    <cfRule type="expression" dxfId="981" priority="129">
      <formula>kvartal &lt; 4</formula>
    </cfRule>
  </conditionalFormatting>
  <conditionalFormatting sqref="B31">
    <cfRule type="expression" dxfId="980" priority="128">
      <formula>kvartal &lt; 4</formula>
    </cfRule>
  </conditionalFormatting>
  <conditionalFormatting sqref="C29">
    <cfRule type="expression" dxfId="979" priority="127">
      <formula>kvartal &lt; 4</formula>
    </cfRule>
  </conditionalFormatting>
  <conditionalFormatting sqref="C30">
    <cfRule type="expression" dxfId="978" priority="126">
      <formula>kvartal &lt; 4</formula>
    </cfRule>
  </conditionalFormatting>
  <conditionalFormatting sqref="C31">
    <cfRule type="expression" dxfId="977" priority="125">
      <formula>kvartal &lt; 4</formula>
    </cfRule>
  </conditionalFormatting>
  <conditionalFormatting sqref="B23:C25">
    <cfRule type="expression" dxfId="976" priority="124">
      <formula>kvartal &lt; 4</formula>
    </cfRule>
  </conditionalFormatting>
  <conditionalFormatting sqref="F23:G25">
    <cfRule type="expression" dxfId="975" priority="120">
      <formula>kvartal &lt; 4</formula>
    </cfRule>
  </conditionalFormatting>
  <conditionalFormatting sqref="F29">
    <cfRule type="expression" dxfId="974" priority="113">
      <formula>kvartal &lt; 4</formula>
    </cfRule>
  </conditionalFormatting>
  <conditionalFormatting sqref="F30">
    <cfRule type="expression" dxfId="973" priority="112">
      <formula>kvartal &lt; 4</formula>
    </cfRule>
  </conditionalFormatting>
  <conditionalFormatting sqref="F31">
    <cfRule type="expression" dxfId="972" priority="111">
      <formula>kvartal &lt; 4</formula>
    </cfRule>
  </conditionalFormatting>
  <conditionalFormatting sqref="G29">
    <cfRule type="expression" dxfId="971" priority="110">
      <formula>kvartal &lt; 4</formula>
    </cfRule>
  </conditionalFormatting>
  <conditionalFormatting sqref="G30">
    <cfRule type="expression" dxfId="970" priority="109">
      <formula>kvartal &lt; 4</formula>
    </cfRule>
  </conditionalFormatting>
  <conditionalFormatting sqref="G31">
    <cfRule type="expression" dxfId="969" priority="108">
      <formula>kvartal &lt; 4</formula>
    </cfRule>
  </conditionalFormatting>
  <conditionalFormatting sqref="B26">
    <cfRule type="expression" dxfId="968" priority="107">
      <formula>kvartal &lt; 4</formula>
    </cfRule>
  </conditionalFormatting>
  <conditionalFormatting sqref="C26">
    <cfRule type="expression" dxfId="967" priority="106">
      <formula>kvartal &lt; 4</formula>
    </cfRule>
  </conditionalFormatting>
  <conditionalFormatting sqref="F26">
    <cfRule type="expression" dxfId="966" priority="105">
      <formula>kvartal &lt; 4</formula>
    </cfRule>
  </conditionalFormatting>
  <conditionalFormatting sqref="G26">
    <cfRule type="expression" dxfId="965" priority="104">
      <formula>kvartal &lt; 4</formula>
    </cfRule>
  </conditionalFormatting>
  <conditionalFormatting sqref="J23:K26">
    <cfRule type="expression" dxfId="964" priority="103">
      <formula>kvartal &lt; 4</formula>
    </cfRule>
  </conditionalFormatting>
  <conditionalFormatting sqref="J29:K31">
    <cfRule type="expression" dxfId="963" priority="101">
      <formula>kvartal &lt; 4</formula>
    </cfRule>
  </conditionalFormatting>
  <conditionalFormatting sqref="B67">
    <cfRule type="expression" dxfId="962" priority="100">
      <formula>kvartal &lt; 4</formula>
    </cfRule>
  </conditionalFormatting>
  <conditionalFormatting sqref="C67">
    <cfRule type="expression" dxfId="961" priority="99">
      <formula>kvartal &lt; 4</formula>
    </cfRule>
  </conditionalFormatting>
  <conditionalFormatting sqref="B70">
    <cfRule type="expression" dxfId="960" priority="98">
      <formula>kvartal &lt; 4</formula>
    </cfRule>
  </conditionalFormatting>
  <conditionalFormatting sqref="C70">
    <cfRule type="expression" dxfId="959" priority="97">
      <formula>kvartal &lt; 4</formula>
    </cfRule>
  </conditionalFormatting>
  <conditionalFormatting sqref="B78">
    <cfRule type="expression" dxfId="958" priority="96">
      <formula>kvartal &lt; 4</formula>
    </cfRule>
  </conditionalFormatting>
  <conditionalFormatting sqref="C78">
    <cfRule type="expression" dxfId="957" priority="95">
      <formula>kvartal &lt; 4</formula>
    </cfRule>
  </conditionalFormatting>
  <conditionalFormatting sqref="B81">
    <cfRule type="expression" dxfId="956" priority="94">
      <formula>kvartal &lt; 4</formula>
    </cfRule>
  </conditionalFormatting>
  <conditionalFormatting sqref="C81">
    <cfRule type="expression" dxfId="955" priority="93">
      <formula>kvartal &lt; 4</formula>
    </cfRule>
  </conditionalFormatting>
  <conditionalFormatting sqref="B88">
    <cfRule type="expression" dxfId="954" priority="84">
      <formula>kvartal &lt; 4</formula>
    </cfRule>
  </conditionalFormatting>
  <conditionalFormatting sqref="C88">
    <cfRule type="expression" dxfId="953" priority="83">
      <formula>kvartal &lt; 4</formula>
    </cfRule>
  </conditionalFormatting>
  <conditionalFormatting sqref="B91">
    <cfRule type="expression" dxfId="952" priority="82">
      <formula>kvartal &lt; 4</formula>
    </cfRule>
  </conditionalFormatting>
  <conditionalFormatting sqref="C91">
    <cfRule type="expression" dxfId="951" priority="81">
      <formula>kvartal &lt; 4</formula>
    </cfRule>
  </conditionalFormatting>
  <conditionalFormatting sqref="B99">
    <cfRule type="expression" dxfId="950" priority="80">
      <formula>kvartal &lt; 4</formula>
    </cfRule>
  </conditionalFormatting>
  <conditionalFormatting sqref="C99">
    <cfRule type="expression" dxfId="949" priority="79">
      <formula>kvartal &lt; 4</formula>
    </cfRule>
  </conditionalFormatting>
  <conditionalFormatting sqref="B102">
    <cfRule type="expression" dxfId="948" priority="78">
      <formula>kvartal &lt; 4</formula>
    </cfRule>
  </conditionalFormatting>
  <conditionalFormatting sqref="C102">
    <cfRule type="expression" dxfId="947" priority="77">
      <formula>kvartal &lt; 4</formula>
    </cfRule>
  </conditionalFormatting>
  <conditionalFormatting sqref="B113">
    <cfRule type="expression" dxfId="946" priority="76">
      <formula>kvartal &lt; 4</formula>
    </cfRule>
  </conditionalFormatting>
  <conditionalFormatting sqref="C113">
    <cfRule type="expression" dxfId="945" priority="75">
      <formula>kvartal &lt; 4</formula>
    </cfRule>
  </conditionalFormatting>
  <conditionalFormatting sqref="B121">
    <cfRule type="expression" dxfId="944" priority="74">
      <formula>kvartal &lt; 4</formula>
    </cfRule>
  </conditionalFormatting>
  <conditionalFormatting sqref="C121">
    <cfRule type="expression" dxfId="943" priority="73">
      <formula>kvartal &lt; 4</formula>
    </cfRule>
  </conditionalFormatting>
  <conditionalFormatting sqref="F68">
    <cfRule type="expression" dxfId="942" priority="72">
      <formula>kvartal &lt; 4</formula>
    </cfRule>
  </conditionalFormatting>
  <conditionalFormatting sqref="G68">
    <cfRule type="expression" dxfId="941" priority="71">
      <formula>kvartal &lt; 4</formula>
    </cfRule>
  </conditionalFormatting>
  <conditionalFormatting sqref="F69:G69">
    <cfRule type="expression" dxfId="940" priority="70">
      <formula>kvartal &lt; 4</formula>
    </cfRule>
  </conditionalFormatting>
  <conditionalFormatting sqref="F71:G72">
    <cfRule type="expression" dxfId="939" priority="69">
      <formula>kvartal &lt; 4</formula>
    </cfRule>
  </conditionalFormatting>
  <conditionalFormatting sqref="F79:G80">
    <cfRule type="expression" dxfId="938" priority="68">
      <formula>kvartal &lt; 4</formula>
    </cfRule>
  </conditionalFormatting>
  <conditionalFormatting sqref="F82:G83">
    <cfRule type="expression" dxfId="937" priority="67">
      <formula>kvartal &lt; 4</formula>
    </cfRule>
  </conditionalFormatting>
  <conditionalFormatting sqref="F89:G90">
    <cfRule type="expression" dxfId="936" priority="62">
      <formula>kvartal &lt; 4</formula>
    </cfRule>
  </conditionalFormatting>
  <conditionalFormatting sqref="F92:G93">
    <cfRule type="expression" dxfId="935" priority="61">
      <formula>kvartal &lt; 4</formula>
    </cfRule>
  </conditionalFormatting>
  <conditionalFormatting sqref="F100:G101">
    <cfRule type="expression" dxfId="934" priority="60">
      <formula>kvartal &lt; 4</formula>
    </cfRule>
  </conditionalFormatting>
  <conditionalFormatting sqref="F103:G104">
    <cfRule type="expression" dxfId="933" priority="59">
      <formula>kvartal &lt; 4</formula>
    </cfRule>
  </conditionalFormatting>
  <conditionalFormatting sqref="F113">
    <cfRule type="expression" dxfId="932" priority="58">
      <formula>kvartal &lt; 4</formula>
    </cfRule>
  </conditionalFormatting>
  <conditionalFormatting sqref="G113">
    <cfRule type="expression" dxfId="931" priority="57">
      <formula>kvartal &lt; 4</formula>
    </cfRule>
  </conditionalFormatting>
  <conditionalFormatting sqref="F121:G121">
    <cfRule type="expression" dxfId="930" priority="56">
      <formula>kvartal &lt; 4</formula>
    </cfRule>
  </conditionalFormatting>
  <conditionalFormatting sqref="F67:G67">
    <cfRule type="expression" dxfId="929" priority="55">
      <formula>kvartal &lt; 4</formula>
    </cfRule>
  </conditionalFormatting>
  <conditionalFormatting sqref="F70:G70">
    <cfRule type="expression" dxfId="928" priority="54">
      <formula>kvartal &lt; 4</formula>
    </cfRule>
  </conditionalFormatting>
  <conditionalFormatting sqref="F78:G78">
    <cfRule type="expression" dxfId="927" priority="53">
      <formula>kvartal &lt; 4</formula>
    </cfRule>
  </conditionalFormatting>
  <conditionalFormatting sqref="F81:G81">
    <cfRule type="expression" dxfId="926" priority="52">
      <formula>kvartal &lt; 4</formula>
    </cfRule>
  </conditionalFormatting>
  <conditionalFormatting sqref="F88:G88">
    <cfRule type="expression" dxfId="925" priority="46">
      <formula>kvartal &lt; 4</formula>
    </cfRule>
  </conditionalFormatting>
  <conditionalFormatting sqref="F91">
    <cfRule type="expression" dxfId="924" priority="45">
      <formula>kvartal &lt; 4</formula>
    </cfRule>
  </conditionalFormatting>
  <conditionalFormatting sqref="G91">
    <cfRule type="expression" dxfId="923" priority="44">
      <formula>kvartal &lt; 4</formula>
    </cfRule>
  </conditionalFormatting>
  <conditionalFormatting sqref="F99">
    <cfRule type="expression" dxfId="922" priority="43">
      <formula>kvartal &lt; 4</formula>
    </cfRule>
  </conditionalFormatting>
  <conditionalFormatting sqref="G99">
    <cfRule type="expression" dxfId="921" priority="42">
      <formula>kvartal &lt; 4</formula>
    </cfRule>
  </conditionalFormatting>
  <conditionalFormatting sqref="G102">
    <cfRule type="expression" dxfId="920" priority="41">
      <formula>kvartal &lt; 4</formula>
    </cfRule>
  </conditionalFormatting>
  <conditionalFormatting sqref="F102">
    <cfRule type="expression" dxfId="919" priority="40">
      <formula>kvartal &lt; 4</formula>
    </cfRule>
  </conditionalFormatting>
  <conditionalFormatting sqref="J67:K71">
    <cfRule type="expression" dxfId="918" priority="39">
      <formula>kvartal &lt; 4</formula>
    </cfRule>
  </conditionalFormatting>
  <conditionalFormatting sqref="J72:K72">
    <cfRule type="expression" dxfId="917" priority="38">
      <formula>kvartal &lt; 4</formula>
    </cfRule>
  </conditionalFormatting>
  <conditionalFormatting sqref="J78:K83">
    <cfRule type="expression" dxfId="916" priority="37">
      <formula>kvartal &lt; 4</formula>
    </cfRule>
  </conditionalFormatting>
  <conditionalFormatting sqref="J88:K93">
    <cfRule type="expression" dxfId="915" priority="34">
      <formula>kvartal &lt; 4</formula>
    </cfRule>
  </conditionalFormatting>
  <conditionalFormatting sqref="J99:K104">
    <cfRule type="expression" dxfId="914" priority="33">
      <formula>kvartal &lt; 4</formula>
    </cfRule>
  </conditionalFormatting>
  <conditionalFormatting sqref="J113:K113">
    <cfRule type="expression" dxfId="913" priority="32">
      <formula>kvartal &lt; 4</formula>
    </cfRule>
  </conditionalFormatting>
  <conditionalFormatting sqref="J121:K121">
    <cfRule type="expression" dxfId="912" priority="31">
      <formula>kvartal &lt; 4</formula>
    </cfRule>
  </conditionalFormatting>
  <conditionalFormatting sqref="A23:A25">
    <cfRule type="expression" dxfId="911" priority="15">
      <formula>kvartal &lt; 4</formula>
    </cfRule>
  </conditionalFormatting>
  <conditionalFormatting sqref="A29:A31">
    <cfRule type="expression" dxfId="910" priority="13">
      <formula>kvartal &lt; 4</formula>
    </cfRule>
  </conditionalFormatting>
  <conditionalFormatting sqref="A48:A50">
    <cfRule type="expression" dxfId="909" priority="12">
      <formula>kvartal &lt; 4</formula>
    </cfRule>
  </conditionalFormatting>
  <conditionalFormatting sqref="A67:A72">
    <cfRule type="expression" dxfId="908" priority="10">
      <formula>kvartal &lt; 4</formula>
    </cfRule>
  </conditionalFormatting>
  <conditionalFormatting sqref="A78:A83">
    <cfRule type="expression" dxfId="907" priority="9">
      <formula>kvartal &lt; 4</formula>
    </cfRule>
  </conditionalFormatting>
  <conditionalFormatting sqref="A88:A93">
    <cfRule type="expression" dxfId="906" priority="6">
      <formula>kvartal &lt; 4</formula>
    </cfRule>
  </conditionalFormatting>
  <conditionalFormatting sqref="A99:A104">
    <cfRule type="expression" dxfId="905" priority="5">
      <formula>kvartal &lt; 4</formula>
    </cfRule>
  </conditionalFormatting>
  <conditionalFormatting sqref="A113">
    <cfRule type="expression" dxfId="904" priority="4">
      <formula>kvartal &lt; 4</formula>
    </cfRule>
  </conditionalFormatting>
  <conditionalFormatting sqref="A121">
    <cfRule type="expression" dxfId="903" priority="3">
      <formula>kvartal &lt; 4</formula>
    </cfRule>
  </conditionalFormatting>
  <conditionalFormatting sqref="A26">
    <cfRule type="expression" dxfId="902" priority="2">
      <formula>kvartal &lt; 4</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N58"/>
  <sheetViews>
    <sheetView showGridLines="0" tabSelected="1" zoomScale="70" zoomScaleNormal="70" workbookViewId="0">
      <selection activeCell="A5" sqref="A5"/>
    </sheetView>
  </sheetViews>
  <sheetFormatPr baseColWidth="10" defaultColWidth="11.42578125" defaultRowHeight="25.5" x14ac:dyDescent="0.35"/>
  <cols>
    <col min="1" max="1" width="11.42578125" style="67"/>
    <col min="2" max="2" width="25" style="67" customWidth="1"/>
    <col min="3" max="3" width="141.7109375" style="67" customWidth="1"/>
    <col min="4" max="16384" width="11.42578125" style="67"/>
  </cols>
  <sheetData>
    <row r="1" spans="1:14" ht="20.100000000000001" customHeight="1" x14ac:dyDescent="0.35">
      <c r="C1" s="68"/>
      <c r="D1" s="69"/>
      <c r="E1" s="69"/>
      <c r="F1" s="69"/>
      <c r="G1" s="69"/>
      <c r="H1" s="69"/>
      <c r="I1" s="69"/>
      <c r="J1" s="69"/>
      <c r="K1" s="69"/>
      <c r="L1" s="69"/>
      <c r="M1" s="69"/>
      <c r="N1" s="69"/>
    </row>
    <row r="2" spans="1:14" ht="20.100000000000001" customHeight="1" x14ac:dyDescent="0.35">
      <c r="C2" s="280" t="s">
        <v>35</v>
      </c>
      <c r="D2" s="69"/>
      <c r="E2" s="69"/>
      <c r="F2" s="69"/>
      <c r="G2" s="69"/>
      <c r="H2" s="69"/>
      <c r="I2" s="69"/>
      <c r="J2" s="69"/>
      <c r="K2" s="69"/>
      <c r="L2" s="69"/>
      <c r="M2" s="69"/>
      <c r="N2" s="69"/>
    </row>
    <row r="3" spans="1:14" ht="20.100000000000001" customHeight="1" x14ac:dyDescent="0.35">
      <c r="C3" s="70"/>
      <c r="D3" s="69"/>
      <c r="E3" s="69"/>
      <c r="F3" s="69"/>
      <c r="G3" s="69"/>
      <c r="H3" s="69"/>
      <c r="I3" s="69"/>
      <c r="J3" s="69"/>
      <c r="K3" s="69"/>
      <c r="L3" s="69"/>
      <c r="M3" s="69"/>
      <c r="N3" s="69"/>
    </row>
    <row r="4" spans="1:14" ht="20.100000000000001" customHeight="1" x14ac:dyDescent="0.35">
      <c r="C4" s="70"/>
      <c r="D4" s="69"/>
      <c r="E4" s="69"/>
      <c r="F4" s="69"/>
      <c r="G4" s="69"/>
      <c r="H4" s="69"/>
      <c r="I4" s="69"/>
      <c r="J4" s="69"/>
      <c r="K4" s="69"/>
      <c r="L4" s="69"/>
      <c r="M4" s="69"/>
      <c r="N4" s="69"/>
    </row>
    <row r="5" spans="1:14" ht="20.100000000000001" customHeight="1" x14ac:dyDescent="0.35">
      <c r="A5" s="70"/>
      <c r="B5" s="70"/>
      <c r="C5" s="70"/>
      <c r="D5" s="69"/>
      <c r="E5" s="69"/>
      <c r="F5" s="69"/>
      <c r="G5" s="69"/>
      <c r="H5" s="69"/>
      <c r="I5" s="69"/>
      <c r="J5" s="69"/>
      <c r="K5" s="69"/>
      <c r="L5" s="69"/>
      <c r="M5" s="69"/>
      <c r="N5" s="69"/>
    </row>
    <row r="6" spans="1:14" ht="20.100000000000001" customHeight="1" x14ac:dyDescent="0.35">
      <c r="A6" s="71" t="s">
        <v>36</v>
      </c>
      <c r="B6" s="71"/>
      <c r="C6" s="70"/>
      <c r="D6" s="69"/>
      <c r="E6" s="69"/>
      <c r="F6" s="69"/>
      <c r="G6" s="69"/>
      <c r="H6" s="69"/>
      <c r="I6" s="69"/>
      <c r="J6" s="69"/>
      <c r="K6" s="69"/>
      <c r="L6" s="69"/>
      <c r="M6" s="69"/>
      <c r="N6" s="69"/>
    </row>
    <row r="7" spans="1:14" ht="20.100000000000001" customHeight="1" x14ac:dyDescent="0.35">
      <c r="A7" s="70"/>
      <c r="B7" s="70" t="s">
        <v>37</v>
      </c>
      <c r="C7" s="70" t="s">
        <v>38</v>
      </c>
      <c r="D7" s="69"/>
      <c r="E7" s="69"/>
      <c r="F7" s="69"/>
      <c r="G7" s="69"/>
      <c r="H7" s="69"/>
      <c r="I7" s="69"/>
      <c r="J7" s="69"/>
      <c r="K7" s="69"/>
      <c r="L7" s="69"/>
      <c r="M7" s="69"/>
      <c r="N7" s="69"/>
    </row>
    <row r="8" spans="1:14" ht="20.100000000000001" customHeight="1" x14ac:dyDescent="0.35">
      <c r="A8" s="70"/>
      <c r="B8" s="70" t="s">
        <v>39</v>
      </c>
      <c r="C8" s="70" t="s">
        <v>40</v>
      </c>
      <c r="D8" s="69"/>
      <c r="E8" s="69"/>
      <c r="F8" s="69"/>
      <c r="G8" s="69"/>
      <c r="H8" s="69"/>
      <c r="I8" s="69"/>
      <c r="J8" s="69"/>
      <c r="K8" s="69"/>
      <c r="L8" s="69"/>
      <c r="M8" s="69"/>
      <c r="N8" s="69"/>
    </row>
    <row r="9" spans="1:14" ht="20.100000000000001" customHeight="1" x14ac:dyDescent="0.35">
      <c r="A9" s="70"/>
      <c r="B9" s="70" t="s">
        <v>41</v>
      </c>
      <c r="C9" s="70" t="s">
        <v>44</v>
      </c>
      <c r="D9" s="69"/>
      <c r="E9" s="69"/>
      <c r="F9" s="69"/>
      <c r="G9" s="69"/>
      <c r="H9" s="69"/>
      <c r="I9" s="69"/>
      <c r="J9" s="69"/>
      <c r="K9" s="69"/>
      <c r="L9" s="69"/>
      <c r="M9" s="69"/>
      <c r="N9" s="69"/>
    </row>
    <row r="10" spans="1:14" ht="20.100000000000001" customHeight="1" x14ac:dyDescent="0.35">
      <c r="A10" s="70"/>
      <c r="B10" s="70" t="s">
        <v>42</v>
      </c>
      <c r="C10" s="70" t="s">
        <v>46</v>
      </c>
      <c r="D10" s="69"/>
      <c r="E10" s="69"/>
      <c r="F10" s="69"/>
      <c r="G10" s="69"/>
      <c r="H10" s="69"/>
      <c r="I10" s="69"/>
      <c r="J10" s="69"/>
      <c r="K10" s="69"/>
      <c r="L10" s="69"/>
      <c r="M10" s="69"/>
      <c r="N10" s="69"/>
    </row>
    <row r="11" spans="1:14" ht="20.100000000000001" customHeight="1" x14ac:dyDescent="0.35">
      <c r="A11" s="70"/>
      <c r="B11" s="70" t="s">
        <v>43</v>
      </c>
      <c r="C11" s="70" t="s">
        <v>47</v>
      </c>
      <c r="D11" s="69"/>
      <c r="E11" s="69"/>
      <c r="F11" s="69"/>
      <c r="G11" s="69"/>
      <c r="H11" s="69"/>
      <c r="I11" s="69"/>
      <c r="J11" s="69"/>
      <c r="K11" s="69"/>
      <c r="L11" s="69"/>
      <c r="M11" s="69"/>
      <c r="N11" s="69"/>
    </row>
    <row r="12" spans="1:14" ht="20.100000000000001" customHeight="1" x14ac:dyDescent="0.35">
      <c r="A12" s="70"/>
      <c r="B12" s="70" t="s">
        <v>45</v>
      </c>
      <c r="C12" s="70" t="s">
        <v>48</v>
      </c>
      <c r="D12" s="69"/>
      <c r="E12" s="69"/>
      <c r="F12" s="69"/>
      <c r="G12" s="69"/>
      <c r="H12" s="69"/>
      <c r="I12" s="69"/>
      <c r="J12" s="69"/>
      <c r="K12" s="69"/>
      <c r="L12" s="69"/>
      <c r="M12" s="69"/>
      <c r="N12" s="69"/>
    </row>
    <row r="13" spans="1:14" ht="18.75" customHeight="1" x14ac:dyDescent="0.35">
      <c r="A13" s="70"/>
      <c r="B13" s="70"/>
      <c r="C13" s="70"/>
      <c r="D13" s="69"/>
      <c r="E13" s="69"/>
      <c r="F13" s="69"/>
      <c r="G13" s="69"/>
      <c r="H13" s="69"/>
      <c r="I13" s="69"/>
      <c r="J13" s="69"/>
      <c r="K13" s="69"/>
      <c r="L13" s="69"/>
      <c r="M13" s="69"/>
      <c r="N13" s="69"/>
    </row>
    <row r="14" spans="1:14" ht="20.100000000000001" customHeight="1" x14ac:dyDescent="0.35">
      <c r="A14" s="279" t="s">
        <v>49</v>
      </c>
      <c r="B14" s="71"/>
      <c r="C14" s="70"/>
      <c r="D14" s="69"/>
      <c r="E14" s="69"/>
      <c r="F14" s="69"/>
      <c r="G14" s="69"/>
      <c r="H14" s="69"/>
      <c r="I14" s="69"/>
      <c r="J14" s="69"/>
      <c r="K14" s="69"/>
      <c r="L14" s="69"/>
      <c r="M14" s="69"/>
      <c r="N14" s="69"/>
    </row>
    <row r="15" spans="1:14" ht="20.100000000000001" customHeight="1" x14ac:dyDescent="0.35">
      <c r="A15" s="70"/>
      <c r="B15" s="70" t="s">
        <v>50</v>
      </c>
      <c r="C15" s="70"/>
      <c r="D15" s="69"/>
      <c r="E15" s="69"/>
      <c r="F15" s="69"/>
      <c r="G15" s="69"/>
      <c r="H15" s="69"/>
      <c r="I15" s="69"/>
      <c r="J15" s="69"/>
      <c r="K15" s="69"/>
      <c r="L15" s="69"/>
      <c r="M15" s="69"/>
      <c r="N15" s="69"/>
    </row>
    <row r="16" spans="1:14" ht="20.100000000000001" customHeight="1" x14ac:dyDescent="0.35">
      <c r="A16" s="70"/>
      <c r="B16" s="71" t="s">
        <v>51</v>
      </c>
      <c r="C16" s="70" t="s">
        <v>52</v>
      </c>
      <c r="D16" s="69"/>
      <c r="E16" s="69"/>
      <c r="F16" s="69"/>
      <c r="G16" s="69"/>
      <c r="H16" s="69"/>
      <c r="I16" s="69"/>
      <c r="J16" s="69"/>
      <c r="K16" s="69"/>
      <c r="L16" s="69"/>
      <c r="M16" s="69"/>
      <c r="N16" s="69"/>
    </row>
    <row r="17" spans="1:14" ht="20.100000000000001" customHeight="1" x14ac:dyDescent="0.35">
      <c r="A17" s="70"/>
      <c r="B17" s="71" t="s">
        <v>53</v>
      </c>
      <c r="C17" s="70" t="s">
        <v>54</v>
      </c>
      <c r="D17" s="69"/>
      <c r="E17" s="69"/>
      <c r="F17" s="69"/>
      <c r="G17" s="69"/>
      <c r="H17" s="69"/>
      <c r="I17" s="69"/>
      <c r="J17" s="69"/>
      <c r="K17" s="69"/>
      <c r="L17" s="69"/>
      <c r="M17" s="69"/>
      <c r="N17" s="69"/>
    </row>
    <row r="18" spans="1:14" ht="20.100000000000001" customHeight="1" x14ac:dyDescent="0.35">
      <c r="A18" s="70"/>
      <c r="B18" s="71" t="s">
        <v>387</v>
      </c>
      <c r="C18" s="70" t="s">
        <v>388</v>
      </c>
      <c r="D18" s="69"/>
      <c r="E18" s="69"/>
      <c r="F18" s="69"/>
      <c r="G18" s="69"/>
      <c r="H18" s="69"/>
      <c r="I18" s="69"/>
      <c r="J18" s="69"/>
      <c r="K18" s="69"/>
      <c r="L18" s="69"/>
      <c r="M18" s="69"/>
      <c r="N18" s="69"/>
    </row>
    <row r="19" spans="1:14" ht="20.100000000000001" customHeight="1" x14ac:dyDescent="0.35">
      <c r="A19" s="70"/>
      <c r="B19" s="70" t="s">
        <v>389</v>
      </c>
      <c r="C19" s="70" t="s">
        <v>292</v>
      </c>
      <c r="D19" s="69"/>
      <c r="E19" s="69"/>
      <c r="F19" s="69"/>
      <c r="G19" s="69"/>
      <c r="H19" s="69"/>
      <c r="I19" s="69"/>
      <c r="J19" s="69"/>
      <c r="K19" s="69"/>
      <c r="L19" s="69"/>
      <c r="M19" s="69"/>
      <c r="N19" s="69"/>
    </row>
    <row r="20" spans="1:14" s="342" customFormat="1" ht="20.100000000000001" customHeight="1" x14ac:dyDescent="0.35">
      <c r="A20" s="340"/>
      <c r="B20" s="340" t="s">
        <v>391</v>
      </c>
      <c r="C20" s="340" t="s">
        <v>390</v>
      </c>
      <c r="D20" s="341"/>
      <c r="E20" s="341"/>
      <c r="F20" s="341"/>
      <c r="G20" s="341"/>
      <c r="H20" s="341"/>
      <c r="I20" s="341"/>
      <c r="J20" s="341"/>
      <c r="K20" s="341"/>
      <c r="L20" s="341"/>
      <c r="M20" s="341"/>
      <c r="N20" s="341"/>
    </row>
    <row r="21" spans="1:14" ht="20.100000000000001" customHeight="1" x14ac:dyDescent="0.35">
      <c r="A21" s="70"/>
      <c r="B21" s="70"/>
      <c r="C21" s="70"/>
    </row>
    <row r="22" spans="1:14" ht="18.75" customHeight="1" x14ac:dyDescent="0.35">
      <c r="A22" s="70"/>
      <c r="B22" s="340" t="s">
        <v>276</v>
      </c>
      <c r="C22" s="340"/>
    </row>
    <row r="23" spans="1:14" ht="20.100000000000001" customHeight="1" x14ac:dyDescent="0.35">
      <c r="A23" s="70"/>
      <c r="B23" s="343" t="s">
        <v>277</v>
      </c>
      <c r="C23" s="340" t="s">
        <v>278</v>
      </c>
    </row>
    <row r="24" spans="1:14" ht="20.100000000000001" hidden="1" customHeight="1" x14ac:dyDescent="0.35">
      <c r="A24" s="70"/>
      <c r="B24" s="343" t="s">
        <v>279</v>
      </c>
      <c r="C24" s="340" t="s">
        <v>280</v>
      </c>
    </row>
    <row r="25" spans="1:14" ht="20.100000000000001" hidden="1" customHeight="1" x14ac:dyDescent="0.35">
      <c r="A25" s="70"/>
      <c r="B25" s="343" t="s">
        <v>281</v>
      </c>
      <c r="C25" s="340" t="s">
        <v>282</v>
      </c>
    </row>
    <row r="26" spans="1:14" ht="20.100000000000001" hidden="1" customHeight="1" x14ac:dyDescent="0.35">
      <c r="A26" s="70"/>
      <c r="B26" s="343" t="s">
        <v>283</v>
      </c>
      <c r="C26" s="340" t="s">
        <v>284</v>
      </c>
    </row>
    <row r="27" spans="1:14" ht="20.100000000000001" customHeight="1" x14ac:dyDescent="0.35">
      <c r="A27" s="70"/>
      <c r="B27" s="343" t="s">
        <v>190</v>
      </c>
      <c r="C27" s="340" t="s">
        <v>285</v>
      </c>
    </row>
    <row r="28" spans="1:14" ht="20.100000000000001" hidden="1" customHeight="1" x14ac:dyDescent="0.35">
      <c r="A28" s="70"/>
      <c r="B28" s="337" t="s">
        <v>286</v>
      </c>
      <c r="C28" s="278" t="s">
        <v>287</v>
      </c>
    </row>
    <row r="29" spans="1:14" ht="20.100000000000001" hidden="1" customHeight="1" x14ac:dyDescent="0.35">
      <c r="A29" s="70"/>
      <c r="B29" s="337" t="s">
        <v>288</v>
      </c>
      <c r="C29" s="278" t="s">
        <v>289</v>
      </c>
    </row>
    <row r="30" spans="1:14" ht="18.75" customHeight="1" x14ac:dyDescent="0.35">
      <c r="A30" s="70"/>
      <c r="B30" s="343" t="s">
        <v>290</v>
      </c>
      <c r="C30" s="340" t="s">
        <v>291</v>
      </c>
    </row>
    <row r="31" spans="1:14" ht="18.75" customHeight="1" x14ac:dyDescent="0.35">
      <c r="A31" s="70"/>
      <c r="B31" s="343"/>
      <c r="C31" s="340"/>
    </row>
    <row r="32" spans="1:14" ht="20.100000000000001" customHeight="1" x14ac:dyDescent="0.35">
      <c r="A32" s="70"/>
      <c r="B32" s="70"/>
      <c r="C32" s="70"/>
    </row>
    <row r="33" spans="1:14" x14ac:dyDescent="0.35">
      <c r="A33" s="71" t="s">
        <v>55</v>
      </c>
      <c r="B33" s="70"/>
      <c r="C33" s="70"/>
    </row>
    <row r="34" spans="1:14" ht="26.25" hidden="1" customHeight="1" x14ac:dyDescent="0.4">
      <c r="C34" s="72"/>
    </row>
    <row r="35" spans="1:14" ht="26.25" hidden="1" customHeight="1" x14ac:dyDescent="0.4">
      <c r="C35" s="72"/>
    </row>
    <row r="36" spans="1:14" ht="18.75" customHeight="1" x14ac:dyDescent="0.4">
      <c r="C36" s="338"/>
      <c r="D36" s="339"/>
    </row>
    <row r="37" spans="1:14" ht="26.25" x14ac:dyDescent="0.4">
      <c r="C37" s="72"/>
    </row>
    <row r="38" spans="1:14" ht="26.25" x14ac:dyDescent="0.4">
      <c r="C38" s="72"/>
    </row>
    <row r="39" spans="1:14" ht="26.25" x14ac:dyDescent="0.4">
      <c r="C39" s="338"/>
      <c r="D39" s="342"/>
      <c r="E39" s="342"/>
      <c r="F39" s="342"/>
      <c r="G39" s="342"/>
      <c r="H39" s="342"/>
      <c r="I39" s="342"/>
      <c r="J39" s="342"/>
      <c r="K39" s="342"/>
      <c r="L39" s="342"/>
      <c r="M39" s="342"/>
      <c r="N39" s="342"/>
    </row>
    <row r="40" spans="1:14" ht="26.25" x14ac:dyDescent="0.4">
      <c r="C40" s="72"/>
    </row>
    <row r="41" spans="1:14" ht="26.25" x14ac:dyDescent="0.4">
      <c r="C41" s="72"/>
    </row>
    <row r="42" spans="1:14" ht="26.25" x14ac:dyDescent="0.4">
      <c r="C42" s="72"/>
    </row>
    <row r="43" spans="1:14" ht="26.25" x14ac:dyDescent="0.4">
      <c r="C43" s="72"/>
    </row>
    <row r="44" spans="1:14" ht="26.25" x14ac:dyDescent="0.4">
      <c r="C44" s="72"/>
    </row>
    <row r="45" spans="1:14" ht="26.25" x14ac:dyDescent="0.4">
      <c r="C45" s="72"/>
    </row>
    <row r="46" spans="1:14" ht="26.25" x14ac:dyDescent="0.4">
      <c r="C46" s="72"/>
    </row>
    <row r="47" spans="1:14" ht="26.25" x14ac:dyDescent="0.4">
      <c r="C47" s="72"/>
    </row>
    <row r="48" spans="1:14" ht="26.25" x14ac:dyDescent="0.4">
      <c r="C48" s="72"/>
    </row>
    <row r="49" spans="3:3" ht="26.25" x14ac:dyDescent="0.4">
      <c r="C49" s="72"/>
    </row>
    <row r="50" spans="3:3" ht="26.25" x14ac:dyDescent="0.4">
      <c r="C50" s="72"/>
    </row>
    <row r="51" spans="3:3" ht="26.25" x14ac:dyDescent="0.4">
      <c r="C51" s="72"/>
    </row>
    <row r="52" spans="3:3" ht="26.25" x14ac:dyDescent="0.4">
      <c r="C52" s="72"/>
    </row>
    <row r="53" spans="3:3" ht="26.25" x14ac:dyDescent="0.4">
      <c r="C53" s="72"/>
    </row>
    <row r="54" spans="3:3" ht="26.25" x14ac:dyDescent="0.4">
      <c r="C54" s="72"/>
    </row>
    <row r="55" spans="3:3" ht="26.25" x14ac:dyDescent="0.4">
      <c r="C55" s="72"/>
    </row>
    <row r="56" spans="3:3" ht="26.25" x14ac:dyDescent="0.4">
      <c r="C56" s="72"/>
    </row>
    <row r="57" spans="3:3" ht="26.25" x14ac:dyDescent="0.4">
      <c r="C57" s="72"/>
    </row>
    <row r="58" spans="3:3" ht="26.25" x14ac:dyDescent="0.4">
      <c r="C58" s="72"/>
    </row>
  </sheetData>
  <hyperlinks>
    <hyperlink ref="A6" location="Figurer!A1" display="FIGURER"/>
    <hyperlink ref="A14" location="'Tabel 1.1'!A1" display="TABELLER"/>
    <hyperlink ref="B16" location="'Tabell 1.1'!A1" display="Tabell 1.1"/>
    <hyperlink ref="B17" location="'Tabell 1.2'!A1" display="Tabell 1.2"/>
    <hyperlink ref="A33" location="'Noter og kommentarer'!A1" display="NOTER OG KOMMENTARER"/>
    <hyperlink ref="B23" location="'Tabell 4'!A1" display="Tabell 4"/>
    <hyperlink ref="B27" location="'Tabell 6'!A1" display="Tabell 6"/>
    <hyperlink ref="B30" location="'Tabell 8'!A1" display="Tabell 8"/>
    <hyperlink ref="B24" location="'Tabell 5.1'!A1" display="Tabell 5.1"/>
    <hyperlink ref="B25" location="'Tabell 5.2'!A1" display="Tabell 5.2"/>
    <hyperlink ref="B26" location="'Tabell 5.3'!A1" display="Tabell 5.3"/>
    <hyperlink ref="B28" location="'Tabell 7a'!A1" display="Tabell 7a"/>
    <hyperlink ref="B29" location="'Tabell 7b'!A1" display="Tabell 7b"/>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151</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v>1086.6659999999999</v>
      </c>
      <c r="D7" s="344" t="str">
        <f>IF(B7=0, "    ---- ", IF(ABS(ROUND(100/B7*C7-100,1))&lt;999,ROUND(100/B7*C7-100,1),IF(ROUND(100/B7*C7-100,1)&gt;999,999,-999)))</f>
        <v xml:space="preserve">    ---- </v>
      </c>
      <c r="E7" s="11">
        <f>IFERROR(100/'Skjema total MA'!C7*C7,0)</f>
        <v>3.9907846981102238E-2</v>
      </c>
      <c r="F7" s="304"/>
      <c r="G7" s="305"/>
      <c r="H7" s="344"/>
      <c r="I7" s="159"/>
      <c r="J7" s="306"/>
      <c r="K7" s="307">
        <v>1086.6659999999999</v>
      </c>
      <c r="L7" s="403" t="str">
        <f>IF(J7=0, "    ---- ", IF(ABS(ROUND(100/J7*K7-100,1))&lt;999,ROUND(100/J7*K7-100,1),IF(ROUND(100/J7*K7-100,1)&gt;999,999,-999)))</f>
        <v xml:space="preserve">    ---- </v>
      </c>
      <c r="M7" s="11">
        <f>IFERROR(100/'Skjema total MA'!I7*K7,0)</f>
        <v>1.4957027907493656E-2</v>
      </c>
    </row>
    <row r="8" spans="1:14" ht="15.75" x14ac:dyDescent="0.2">
      <c r="A8" s="21" t="s">
        <v>29</v>
      </c>
      <c r="B8" s="286"/>
      <c r="C8" s="287">
        <v>996.13099999999997</v>
      </c>
      <c r="D8" s="165" t="str">
        <f t="shared" ref="D8:D9" si="0">IF(B8=0, "    ---- ", IF(ABS(ROUND(100/B8*C8-100,1))&lt;999,ROUND(100/B8*C8-100,1),IF(ROUND(100/B8*C8-100,1)&gt;999,999,-999)))</f>
        <v xml:space="preserve">    ---- </v>
      </c>
      <c r="E8" s="27">
        <f>IFERROR(100/'Skjema total MA'!C8*C8,0)</f>
        <v>6.6296550238037322E-2</v>
      </c>
      <c r="F8" s="423"/>
      <c r="G8" s="424"/>
      <c r="H8" s="170"/>
      <c r="I8" s="175"/>
      <c r="J8" s="234"/>
      <c r="K8" s="290">
        <v>996.13099999999997</v>
      </c>
      <c r="L8" s="165" t="str">
        <f t="shared" ref="L8:L9" si="1">IF(J8=0, "    ---- ", IF(ABS(ROUND(100/J8*K8-100,1))&lt;999,ROUND(100/J8*K8-100,1),IF(ROUND(100/J8*K8-100,1)&gt;999,999,-999)))</f>
        <v xml:space="preserve">    ---- </v>
      </c>
      <c r="M8" s="27">
        <f>IFERROR(100/'Skjema total MA'!I8*K8,0)</f>
        <v>6.6296550238037322E-2</v>
      </c>
    </row>
    <row r="9" spans="1:14" ht="15.75" x14ac:dyDescent="0.2">
      <c r="A9" s="21" t="s">
        <v>28</v>
      </c>
      <c r="B9" s="286"/>
      <c r="C9" s="287">
        <v>90.534999999999997</v>
      </c>
      <c r="D9" s="165" t="str">
        <f t="shared" si="0"/>
        <v xml:space="preserve">    ---- </v>
      </c>
      <c r="E9" s="27">
        <f>IFERROR(100/'Skjema total MA'!C9*C9,0)</f>
        <v>1.2505803612986586E-2</v>
      </c>
      <c r="F9" s="423"/>
      <c r="G9" s="424"/>
      <c r="H9" s="170"/>
      <c r="I9" s="175"/>
      <c r="J9" s="234"/>
      <c r="K9" s="290">
        <v>90.534999999999997</v>
      </c>
      <c r="L9" s="165" t="str">
        <f t="shared" si="1"/>
        <v xml:space="preserve">    ---- </v>
      </c>
      <c r="M9" s="27">
        <f>IFERROR(100/'Skjema total MA'!I9*K9,0)</f>
        <v>1.2505803612986586E-2</v>
      </c>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v>985.26300000000003</v>
      </c>
      <c r="D22" s="344" t="str">
        <f t="shared" ref="D22:D27" si="2">IF(B22=0, "    ---- ", IF(ABS(ROUND(100/B22*C22-100,1))&lt;999,ROUND(100/B22*C22-100,1),IF(ROUND(100/B22*C22-100,1)&gt;999,999,-999)))</f>
        <v xml:space="preserve">    ---- </v>
      </c>
      <c r="E22" s="11">
        <f>IFERROR(100/'Skjema total MA'!C22*C22,0)</f>
        <v>0.10274891578495553</v>
      </c>
      <c r="F22" s="316"/>
      <c r="G22" s="315"/>
      <c r="H22" s="344"/>
      <c r="I22" s="11"/>
      <c r="J22" s="314"/>
      <c r="K22" s="314">
        <v>985.26300000000003</v>
      </c>
      <c r="L22" s="403" t="str">
        <f t="shared" ref="L22:L27" si="3">IF(J22=0, "    ---- ", IF(ABS(ROUND(100/J22*K22-100,1))&lt;999,ROUND(100/J22*K22-100,1),IF(ROUND(100/J22*K22-100,1)&gt;999,999,-999)))</f>
        <v xml:space="preserve">    ---- </v>
      </c>
      <c r="M22" s="24">
        <f>IFERROR(100/'Skjema total MA'!I22*K22,0)</f>
        <v>8.5062669738648455E-2</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v>985.26300000000003</v>
      </c>
      <c r="D27" s="165" t="str">
        <f t="shared" si="2"/>
        <v xml:space="preserve">    ---- </v>
      </c>
      <c r="E27" s="27">
        <f>IFERROR(100/'Skjema total MA'!C27*C27,0)</f>
        <v>9.9615617822616548E-2</v>
      </c>
      <c r="F27" s="234"/>
      <c r="G27" s="290"/>
      <c r="H27" s="165"/>
      <c r="I27" s="27"/>
      <c r="J27" s="44"/>
      <c r="K27" s="44">
        <v>985.26300000000003</v>
      </c>
      <c r="L27" s="259" t="str">
        <f t="shared" si="3"/>
        <v xml:space="preserve">    ---- </v>
      </c>
      <c r="M27" s="23">
        <f>IFERROR(100/'Skjema total MA'!I27*K27,0)</f>
        <v>9.9615617822616548E-2</v>
      </c>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118032.765</v>
      </c>
      <c r="C45" s="309">
        <v>126752.204</v>
      </c>
      <c r="D45" s="403">
        <f t="shared" ref="D45:D46" si="4">IF(B45=0, "    ---- ", IF(ABS(ROUND(100/B45*C45-100,1))&lt;999,ROUND(100/B45*C45-100,1),IF(ROUND(100/B45*C45-100,1)&gt;999,999,-999)))</f>
        <v>7.4</v>
      </c>
      <c r="E45" s="11">
        <f>IFERROR(100/'Skjema total MA'!C45*C45,0)</f>
        <v>4.6226220105507876</v>
      </c>
      <c r="F45" s="144"/>
      <c r="G45" s="33"/>
      <c r="H45" s="158"/>
      <c r="I45" s="158"/>
      <c r="J45" s="37"/>
      <c r="K45" s="37"/>
      <c r="L45" s="158"/>
      <c r="M45" s="158"/>
      <c r="N45" s="147"/>
    </row>
    <row r="46" spans="1:14" s="3" customFormat="1" ht="15.75" x14ac:dyDescent="0.2">
      <c r="A46" s="38" t="s">
        <v>312</v>
      </c>
      <c r="B46" s="286">
        <v>118032.765</v>
      </c>
      <c r="C46" s="287">
        <v>126752.204</v>
      </c>
      <c r="D46" s="259">
        <f t="shared" si="4"/>
        <v>7.4</v>
      </c>
      <c r="E46" s="27">
        <f>IFERROR(100/'Skjema total MA'!C46*C46,0)</f>
        <v>8.708318150607715</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901" priority="132">
      <formula>kvartal &lt; 4</formula>
    </cfRule>
  </conditionalFormatting>
  <conditionalFormatting sqref="B29">
    <cfRule type="expression" dxfId="900" priority="130">
      <formula>kvartal &lt; 4</formula>
    </cfRule>
  </conditionalFormatting>
  <conditionalFormatting sqref="B30">
    <cfRule type="expression" dxfId="899" priority="129">
      <formula>kvartal &lt; 4</formula>
    </cfRule>
  </conditionalFormatting>
  <conditionalFormatting sqref="B31">
    <cfRule type="expression" dxfId="898" priority="128">
      <formula>kvartal &lt; 4</formula>
    </cfRule>
  </conditionalFormatting>
  <conditionalFormatting sqref="C29">
    <cfRule type="expression" dxfId="897" priority="127">
      <formula>kvartal &lt; 4</formula>
    </cfRule>
  </conditionalFormatting>
  <conditionalFormatting sqref="C30">
    <cfRule type="expression" dxfId="896" priority="126">
      <formula>kvartal &lt; 4</formula>
    </cfRule>
  </conditionalFormatting>
  <conditionalFormatting sqref="C31">
    <cfRule type="expression" dxfId="895" priority="125">
      <formula>kvartal &lt; 4</formula>
    </cfRule>
  </conditionalFormatting>
  <conditionalFormatting sqref="B23:C25">
    <cfRule type="expression" dxfId="894" priority="124">
      <formula>kvartal &lt; 4</formula>
    </cfRule>
  </conditionalFormatting>
  <conditionalFormatting sqref="F23:G25">
    <cfRule type="expression" dxfId="893" priority="120">
      <formula>kvartal &lt; 4</formula>
    </cfRule>
  </conditionalFormatting>
  <conditionalFormatting sqref="F29">
    <cfRule type="expression" dxfId="892" priority="113">
      <formula>kvartal &lt; 4</formula>
    </cfRule>
  </conditionalFormatting>
  <conditionalFormatting sqref="F30">
    <cfRule type="expression" dxfId="891" priority="112">
      <formula>kvartal &lt; 4</formula>
    </cfRule>
  </conditionalFormatting>
  <conditionalFormatting sqref="F31">
    <cfRule type="expression" dxfId="890" priority="111">
      <formula>kvartal &lt; 4</formula>
    </cfRule>
  </conditionalFormatting>
  <conditionalFormatting sqref="G29">
    <cfRule type="expression" dxfId="889" priority="110">
      <formula>kvartal &lt; 4</formula>
    </cfRule>
  </conditionalFormatting>
  <conditionalFormatting sqref="G30">
    <cfRule type="expression" dxfId="888" priority="109">
      <formula>kvartal &lt; 4</formula>
    </cfRule>
  </conditionalFormatting>
  <conditionalFormatting sqref="G31">
    <cfRule type="expression" dxfId="887" priority="108">
      <formula>kvartal &lt; 4</formula>
    </cfRule>
  </conditionalFormatting>
  <conditionalFormatting sqref="B26">
    <cfRule type="expression" dxfId="886" priority="107">
      <formula>kvartal &lt; 4</formula>
    </cfRule>
  </conditionalFormatting>
  <conditionalFormatting sqref="C26">
    <cfRule type="expression" dxfId="885" priority="106">
      <formula>kvartal &lt; 4</formula>
    </cfRule>
  </conditionalFormatting>
  <conditionalFormatting sqref="F26">
    <cfRule type="expression" dxfId="884" priority="105">
      <formula>kvartal &lt; 4</formula>
    </cfRule>
  </conditionalFormatting>
  <conditionalFormatting sqref="G26">
    <cfRule type="expression" dxfId="883" priority="104">
      <formula>kvartal &lt; 4</formula>
    </cfRule>
  </conditionalFormatting>
  <conditionalFormatting sqref="J23:K26">
    <cfRule type="expression" dxfId="882" priority="103">
      <formula>kvartal &lt; 4</formula>
    </cfRule>
  </conditionalFormatting>
  <conditionalFormatting sqref="J29:K31">
    <cfRule type="expression" dxfId="881" priority="101">
      <formula>kvartal &lt; 4</formula>
    </cfRule>
  </conditionalFormatting>
  <conditionalFormatting sqref="B67">
    <cfRule type="expression" dxfId="880" priority="100">
      <formula>kvartal &lt; 4</formula>
    </cfRule>
  </conditionalFormatting>
  <conditionalFormatting sqref="C67">
    <cfRule type="expression" dxfId="879" priority="99">
      <formula>kvartal &lt; 4</formula>
    </cfRule>
  </conditionalFormatting>
  <conditionalFormatting sqref="B70">
    <cfRule type="expression" dxfId="878" priority="98">
      <formula>kvartal &lt; 4</formula>
    </cfRule>
  </conditionalFormatting>
  <conditionalFormatting sqref="C70">
    <cfRule type="expression" dxfId="877" priority="97">
      <formula>kvartal &lt; 4</formula>
    </cfRule>
  </conditionalFormatting>
  <conditionalFormatting sqref="B78">
    <cfRule type="expression" dxfId="876" priority="96">
      <formula>kvartal &lt; 4</formula>
    </cfRule>
  </conditionalFormatting>
  <conditionalFormatting sqref="C78">
    <cfRule type="expression" dxfId="875" priority="95">
      <formula>kvartal &lt; 4</formula>
    </cfRule>
  </conditionalFormatting>
  <conditionalFormatting sqref="B81">
    <cfRule type="expression" dxfId="874" priority="94">
      <formula>kvartal &lt; 4</formula>
    </cfRule>
  </conditionalFormatting>
  <conditionalFormatting sqref="C81">
    <cfRule type="expression" dxfId="873" priority="93">
      <formula>kvartal &lt; 4</formula>
    </cfRule>
  </conditionalFormatting>
  <conditionalFormatting sqref="B88">
    <cfRule type="expression" dxfId="872" priority="84">
      <formula>kvartal &lt; 4</formula>
    </cfRule>
  </conditionalFormatting>
  <conditionalFormatting sqref="C88">
    <cfRule type="expression" dxfId="871" priority="83">
      <formula>kvartal &lt; 4</formula>
    </cfRule>
  </conditionalFormatting>
  <conditionalFormatting sqref="B91">
    <cfRule type="expression" dxfId="870" priority="82">
      <formula>kvartal &lt; 4</formula>
    </cfRule>
  </conditionalFormatting>
  <conditionalFormatting sqref="C91">
    <cfRule type="expression" dxfId="869" priority="81">
      <formula>kvartal &lt; 4</formula>
    </cfRule>
  </conditionalFormatting>
  <conditionalFormatting sqref="B99">
    <cfRule type="expression" dxfId="868" priority="80">
      <formula>kvartal &lt; 4</formula>
    </cfRule>
  </conditionalFormatting>
  <conditionalFormatting sqref="C99">
    <cfRule type="expression" dxfId="867" priority="79">
      <formula>kvartal &lt; 4</formula>
    </cfRule>
  </conditionalFormatting>
  <conditionalFormatting sqref="B102">
    <cfRule type="expression" dxfId="866" priority="78">
      <formula>kvartal &lt; 4</formula>
    </cfRule>
  </conditionalFormatting>
  <conditionalFormatting sqref="C102">
    <cfRule type="expression" dxfId="865" priority="77">
      <formula>kvartal &lt; 4</formula>
    </cfRule>
  </conditionalFormatting>
  <conditionalFormatting sqref="B113">
    <cfRule type="expression" dxfId="864" priority="76">
      <formula>kvartal &lt; 4</formula>
    </cfRule>
  </conditionalFormatting>
  <conditionalFormatting sqref="C113">
    <cfRule type="expression" dxfId="863" priority="75">
      <formula>kvartal &lt; 4</formula>
    </cfRule>
  </conditionalFormatting>
  <conditionalFormatting sqref="B121">
    <cfRule type="expression" dxfId="862" priority="74">
      <formula>kvartal &lt; 4</formula>
    </cfRule>
  </conditionalFormatting>
  <conditionalFormatting sqref="C121">
    <cfRule type="expression" dxfId="861" priority="73">
      <formula>kvartal &lt; 4</formula>
    </cfRule>
  </conditionalFormatting>
  <conditionalFormatting sqref="F68">
    <cfRule type="expression" dxfId="860" priority="72">
      <formula>kvartal &lt; 4</formula>
    </cfRule>
  </conditionalFormatting>
  <conditionalFormatting sqref="G68">
    <cfRule type="expression" dxfId="859" priority="71">
      <formula>kvartal &lt; 4</formula>
    </cfRule>
  </conditionalFormatting>
  <conditionalFormatting sqref="F69:G69">
    <cfRule type="expression" dxfId="858" priority="70">
      <formula>kvartal &lt; 4</formula>
    </cfRule>
  </conditionalFormatting>
  <conditionalFormatting sqref="F71:G72">
    <cfRule type="expression" dxfId="857" priority="69">
      <formula>kvartal &lt; 4</formula>
    </cfRule>
  </conditionalFormatting>
  <conditionalFormatting sqref="F79:G80">
    <cfRule type="expression" dxfId="856" priority="68">
      <formula>kvartal &lt; 4</formula>
    </cfRule>
  </conditionalFormatting>
  <conditionalFormatting sqref="F82:G83">
    <cfRule type="expression" dxfId="855" priority="67">
      <formula>kvartal &lt; 4</formula>
    </cfRule>
  </conditionalFormatting>
  <conditionalFormatting sqref="F89:G90">
    <cfRule type="expression" dxfId="854" priority="62">
      <formula>kvartal &lt; 4</formula>
    </cfRule>
  </conditionalFormatting>
  <conditionalFormatting sqref="F92:G93">
    <cfRule type="expression" dxfId="853" priority="61">
      <formula>kvartal &lt; 4</formula>
    </cfRule>
  </conditionalFormatting>
  <conditionalFormatting sqref="F100:G101">
    <cfRule type="expression" dxfId="852" priority="60">
      <formula>kvartal &lt; 4</formula>
    </cfRule>
  </conditionalFormatting>
  <conditionalFormatting sqref="F103:G104">
    <cfRule type="expression" dxfId="851" priority="59">
      <formula>kvartal &lt; 4</formula>
    </cfRule>
  </conditionalFormatting>
  <conditionalFormatting sqref="F113">
    <cfRule type="expression" dxfId="850" priority="58">
      <formula>kvartal &lt; 4</formula>
    </cfRule>
  </conditionalFormatting>
  <conditionalFormatting sqref="G113">
    <cfRule type="expression" dxfId="849" priority="57">
      <formula>kvartal &lt; 4</formula>
    </cfRule>
  </conditionalFormatting>
  <conditionalFormatting sqref="F121:G121">
    <cfRule type="expression" dxfId="848" priority="56">
      <formula>kvartal &lt; 4</formula>
    </cfRule>
  </conditionalFormatting>
  <conditionalFormatting sqref="F67:G67">
    <cfRule type="expression" dxfId="847" priority="55">
      <formula>kvartal &lt; 4</formula>
    </cfRule>
  </conditionalFormatting>
  <conditionalFormatting sqref="F70:G70">
    <cfRule type="expression" dxfId="846" priority="54">
      <formula>kvartal &lt; 4</formula>
    </cfRule>
  </conditionalFormatting>
  <conditionalFormatting sqref="F78:G78">
    <cfRule type="expression" dxfId="845" priority="53">
      <formula>kvartal &lt; 4</formula>
    </cfRule>
  </conditionalFormatting>
  <conditionalFormatting sqref="F81:G81">
    <cfRule type="expression" dxfId="844" priority="52">
      <formula>kvartal &lt; 4</formula>
    </cfRule>
  </conditionalFormatting>
  <conditionalFormatting sqref="F88:G88">
    <cfRule type="expression" dxfId="843" priority="46">
      <formula>kvartal &lt; 4</formula>
    </cfRule>
  </conditionalFormatting>
  <conditionalFormatting sqref="F91">
    <cfRule type="expression" dxfId="842" priority="45">
      <formula>kvartal &lt; 4</formula>
    </cfRule>
  </conditionalFormatting>
  <conditionalFormatting sqref="G91">
    <cfRule type="expression" dxfId="841" priority="44">
      <formula>kvartal &lt; 4</formula>
    </cfRule>
  </conditionalFormatting>
  <conditionalFormatting sqref="F99">
    <cfRule type="expression" dxfId="840" priority="43">
      <formula>kvartal &lt; 4</formula>
    </cfRule>
  </conditionalFormatting>
  <conditionalFormatting sqref="G99">
    <cfRule type="expression" dxfId="839" priority="42">
      <formula>kvartal &lt; 4</formula>
    </cfRule>
  </conditionalFormatting>
  <conditionalFormatting sqref="G102">
    <cfRule type="expression" dxfId="838" priority="41">
      <formula>kvartal &lt; 4</formula>
    </cfRule>
  </conditionalFormatting>
  <conditionalFormatting sqref="F102">
    <cfRule type="expression" dxfId="837" priority="40">
      <formula>kvartal &lt; 4</formula>
    </cfRule>
  </conditionalFormatting>
  <conditionalFormatting sqref="J67:K71">
    <cfRule type="expression" dxfId="836" priority="39">
      <formula>kvartal &lt; 4</formula>
    </cfRule>
  </conditionalFormatting>
  <conditionalFormatting sqref="J72:K72">
    <cfRule type="expression" dxfId="835" priority="38">
      <formula>kvartal &lt; 4</formula>
    </cfRule>
  </conditionalFormatting>
  <conditionalFormatting sqref="J78:K83">
    <cfRule type="expression" dxfId="834" priority="37">
      <formula>kvartal &lt; 4</formula>
    </cfRule>
  </conditionalFormatting>
  <conditionalFormatting sqref="J88:K93">
    <cfRule type="expression" dxfId="833" priority="34">
      <formula>kvartal &lt; 4</formula>
    </cfRule>
  </conditionalFormatting>
  <conditionalFormatting sqref="J99:K104">
    <cfRule type="expression" dxfId="832" priority="33">
      <formula>kvartal &lt; 4</formula>
    </cfRule>
  </conditionalFormatting>
  <conditionalFormatting sqref="J113:K113">
    <cfRule type="expression" dxfId="831" priority="32">
      <formula>kvartal &lt; 4</formula>
    </cfRule>
  </conditionalFormatting>
  <conditionalFormatting sqref="J121:K121">
    <cfRule type="expression" dxfId="830" priority="31">
      <formula>kvartal &lt; 4</formula>
    </cfRule>
  </conditionalFormatting>
  <conditionalFormatting sqref="A23:A25">
    <cfRule type="expression" dxfId="829" priority="15">
      <formula>kvartal &lt; 4</formula>
    </cfRule>
  </conditionalFormatting>
  <conditionalFormatting sqref="A29:A31">
    <cfRule type="expression" dxfId="828" priority="13">
      <formula>kvartal &lt; 4</formula>
    </cfRule>
  </conditionalFormatting>
  <conditionalFormatting sqref="A48:A50">
    <cfRule type="expression" dxfId="827" priority="12">
      <formula>kvartal &lt; 4</formula>
    </cfRule>
  </conditionalFormatting>
  <conditionalFormatting sqref="A67:A72">
    <cfRule type="expression" dxfId="826" priority="10">
      <formula>kvartal &lt; 4</formula>
    </cfRule>
  </conditionalFormatting>
  <conditionalFormatting sqref="A78:A83">
    <cfRule type="expression" dxfId="825" priority="9">
      <formula>kvartal &lt; 4</formula>
    </cfRule>
  </conditionalFormatting>
  <conditionalFormatting sqref="A88:A93">
    <cfRule type="expression" dxfId="824" priority="6">
      <formula>kvartal &lt; 4</formula>
    </cfRule>
  </conditionalFormatting>
  <conditionalFormatting sqref="A99:A104">
    <cfRule type="expression" dxfId="823" priority="5">
      <formula>kvartal &lt; 4</formula>
    </cfRule>
  </conditionalFormatting>
  <conditionalFormatting sqref="A113">
    <cfRule type="expression" dxfId="822" priority="4">
      <formula>kvartal &lt; 4</formula>
    </cfRule>
  </conditionalFormatting>
  <conditionalFormatting sqref="A121">
    <cfRule type="expression" dxfId="821" priority="3">
      <formula>kvartal &lt; 4</formula>
    </cfRule>
  </conditionalFormatting>
  <conditionalFormatting sqref="A26">
    <cfRule type="expression" dxfId="820" priority="2">
      <formula>kvartal &lt; 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105</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17232</v>
      </c>
      <c r="C45" s="309">
        <v>24256</v>
      </c>
      <c r="D45" s="403">
        <f t="shared" ref="D45:D55" si="0">IF(B45=0, "    ---- ", IF(ABS(ROUND(100/B45*C45-100,1))&lt;999,ROUND(100/B45*C45-100,1),IF(ROUND(100/B45*C45-100,1)&gt;999,999,-999)))</f>
        <v>40.799999999999997</v>
      </c>
      <c r="E45" s="11">
        <f>IFERROR(100/'Skjema total MA'!C45*C45,0)</f>
        <v>0.88461041267511142</v>
      </c>
      <c r="F45" s="144"/>
      <c r="G45" s="33"/>
      <c r="H45" s="158"/>
      <c r="I45" s="158"/>
      <c r="J45" s="37"/>
      <c r="K45" s="37"/>
      <c r="L45" s="158"/>
      <c r="M45" s="158"/>
      <c r="N45" s="147"/>
    </row>
    <row r="46" spans="1:14" s="3" customFormat="1" ht="15.75" x14ac:dyDescent="0.2">
      <c r="A46" s="38" t="s">
        <v>312</v>
      </c>
      <c r="B46" s="286">
        <v>17232</v>
      </c>
      <c r="C46" s="287">
        <v>24256</v>
      </c>
      <c r="D46" s="259">
        <f t="shared" si="0"/>
        <v>40.799999999999997</v>
      </c>
      <c r="E46" s="27">
        <f>IFERROR(100/'Skjema total MA'!C46*C46,0)</f>
        <v>1.6664717329975638</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v>27596</v>
      </c>
      <c r="C54" s="309">
        <v>449</v>
      </c>
      <c r="D54" s="404">
        <f t="shared" si="0"/>
        <v>-98.4</v>
      </c>
      <c r="E54" s="11">
        <f>IFERROR(100/'Skjema total MA'!C54*C54,0)</f>
        <v>0.52019090287831937</v>
      </c>
      <c r="F54" s="144"/>
      <c r="G54" s="33"/>
      <c r="H54" s="144"/>
      <c r="I54" s="144"/>
      <c r="J54" s="33"/>
      <c r="K54" s="33"/>
      <c r="L54" s="158"/>
      <c r="M54" s="158"/>
      <c r="N54" s="147"/>
    </row>
    <row r="55" spans="1:14" s="3" customFormat="1" ht="15.75" x14ac:dyDescent="0.2">
      <c r="A55" s="38" t="s">
        <v>312</v>
      </c>
      <c r="B55" s="286">
        <v>27596</v>
      </c>
      <c r="C55" s="287">
        <v>449</v>
      </c>
      <c r="D55" s="259">
        <f t="shared" si="0"/>
        <v>-98.4</v>
      </c>
      <c r="E55" s="27">
        <f>IFERROR(100/'Skjema total MA'!C55*C55,0)</f>
        <v>0.52019090287831937</v>
      </c>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819" priority="132">
      <formula>kvartal &lt; 4</formula>
    </cfRule>
  </conditionalFormatting>
  <conditionalFormatting sqref="B29">
    <cfRule type="expression" dxfId="818" priority="130">
      <formula>kvartal &lt; 4</formula>
    </cfRule>
  </conditionalFormatting>
  <conditionalFormatting sqref="B30">
    <cfRule type="expression" dxfId="817" priority="129">
      <formula>kvartal &lt; 4</formula>
    </cfRule>
  </conditionalFormatting>
  <conditionalFormatting sqref="B31">
    <cfRule type="expression" dxfId="816" priority="128">
      <formula>kvartal &lt; 4</formula>
    </cfRule>
  </conditionalFormatting>
  <conditionalFormatting sqref="C29">
    <cfRule type="expression" dxfId="815" priority="127">
      <formula>kvartal &lt; 4</formula>
    </cfRule>
  </conditionalFormatting>
  <conditionalFormatting sqref="C30">
    <cfRule type="expression" dxfId="814" priority="126">
      <formula>kvartal &lt; 4</formula>
    </cfRule>
  </conditionalFormatting>
  <conditionalFormatting sqref="C31">
    <cfRule type="expression" dxfId="813" priority="125">
      <formula>kvartal &lt; 4</formula>
    </cfRule>
  </conditionalFormatting>
  <conditionalFormatting sqref="B23:C25">
    <cfRule type="expression" dxfId="812" priority="124">
      <formula>kvartal &lt; 4</formula>
    </cfRule>
  </conditionalFormatting>
  <conditionalFormatting sqref="F23:G25">
    <cfRule type="expression" dxfId="811" priority="120">
      <formula>kvartal &lt; 4</formula>
    </cfRule>
  </conditionalFormatting>
  <conditionalFormatting sqref="F29">
    <cfRule type="expression" dxfId="810" priority="113">
      <formula>kvartal &lt; 4</formula>
    </cfRule>
  </conditionalFormatting>
  <conditionalFormatting sqref="F30">
    <cfRule type="expression" dxfId="809" priority="112">
      <formula>kvartal &lt; 4</formula>
    </cfRule>
  </conditionalFormatting>
  <conditionalFormatting sqref="F31">
    <cfRule type="expression" dxfId="808" priority="111">
      <formula>kvartal &lt; 4</formula>
    </cfRule>
  </conditionalFormatting>
  <conditionalFormatting sqref="G29">
    <cfRule type="expression" dxfId="807" priority="110">
      <formula>kvartal &lt; 4</formula>
    </cfRule>
  </conditionalFormatting>
  <conditionalFormatting sqref="G30">
    <cfRule type="expression" dxfId="806" priority="109">
      <formula>kvartal &lt; 4</formula>
    </cfRule>
  </conditionalFormatting>
  <conditionalFormatting sqref="G31">
    <cfRule type="expression" dxfId="805" priority="108">
      <formula>kvartal &lt; 4</formula>
    </cfRule>
  </conditionalFormatting>
  <conditionalFormatting sqref="B26">
    <cfRule type="expression" dxfId="804" priority="107">
      <formula>kvartal &lt; 4</formula>
    </cfRule>
  </conditionalFormatting>
  <conditionalFormatting sqref="C26">
    <cfRule type="expression" dxfId="803" priority="106">
      <formula>kvartal &lt; 4</formula>
    </cfRule>
  </conditionalFormatting>
  <conditionalFormatting sqref="F26">
    <cfRule type="expression" dxfId="802" priority="105">
      <formula>kvartal &lt; 4</formula>
    </cfRule>
  </conditionalFormatting>
  <conditionalFormatting sqref="G26">
    <cfRule type="expression" dxfId="801" priority="104">
      <formula>kvartal &lt; 4</formula>
    </cfRule>
  </conditionalFormatting>
  <conditionalFormatting sqref="J23:K26">
    <cfRule type="expression" dxfId="800" priority="103">
      <formula>kvartal &lt; 4</formula>
    </cfRule>
  </conditionalFormatting>
  <conditionalFormatting sqref="J29:K31">
    <cfRule type="expression" dxfId="799" priority="101">
      <formula>kvartal &lt; 4</formula>
    </cfRule>
  </conditionalFormatting>
  <conditionalFormatting sqref="B67">
    <cfRule type="expression" dxfId="798" priority="100">
      <formula>kvartal &lt; 4</formula>
    </cfRule>
  </conditionalFormatting>
  <conditionalFormatting sqref="C67">
    <cfRule type="expression" dxfId="797" priority="99">
      <formula>kvartal &lt; 4</formula>
    </cfRule>
  </conditionalFormatting>
  <conditionalFormatting sqref="B70">
    <cfRule type="expression" dxfId="796" priority="98">
      <formula>kvartal &lt; 4</formula>
    </cfRule>
  </conditionalFormatting>
  <conditionalFormatting sqref="C70">
    <cfRule type="expression" dxfId="795" priority="97">
      <formula>kvartal &lt; 4</formula>
    </cfRule>
  </conditionalFormatting>
  <conditionalFormatting sqref="B78">
    <cfRule type="expression" dxfId="794" priority="96">
      <formula>kvartal &lt; 4</formula>
    </cfRule>
  </conditionalFormatting>
  <conditionalFormatting sqref="C78">
    <cfRule type="expression" dxfId="793" priority="95">
      <formula>kvartal &lt; 4</formula>
    </cfRule>
  </conditionalFormatting>
  <conditionalFormatting sqref="B81">
    <cfRule type="expression" dxfId="792" priority="94">
      <formula>kvartal &lt; 4</formula>
    </cfRule>
  </conditionalFormatting>
  <conditionalFormatting sqref="C81">
    <cfRule type="expression" dxfId="791" priority="93">
      <formula>kvartal &lt; 4</formula>
    </cfRule>
  </conditionalFormatting>
  <conditionalFormatting sqref="B88">
    <cfRule type="expression" dxfId="790" priority="84">
      <formula>kvartal &lt; 4</formula>
    </cfRule>
  </conditionalFormatting>
  <conditionalFormatting sqref="C88">
    <cfRule type="expression" dxfId="789" priority="83">
      <formula>kvartal &lt; 4</formula>
    </cfRule>
  </conditionalFormatting>
  <conditionalFormatting sqref="B91">
    <cfRule type="expression" dxfId="788" priority="82">
      <formula>kvartal &lt; 4</formula>
    </cfRule>
  </conditionalFormatting>
  <conditionalFormatting sqref="C91">
    <cfRule type="expression" dxfId="787" priority="81">
      <formula>kvartal &lt; 4</formula>
    </cfRule>
  </conditionalFormatting>
  <conditionalFormatting sqref="B99">
    <cfRule type="expression" dxfId="786" priority="80">
      <formula>kvartal &lt; 4</formula>
    </cfRule>
  </conditionalFormatting>
  <conditionalFormatting sqref="C99">
    <cfRule type="expression" dxfId="785" priority="79">
      <formula>kvartal &lt; 4</formula>
    </cfRule>
  </conditionalFormatting>
  <conditionalFormatting sqref="B102">
    <cfRule type="expression" dxfId="784" priority="78">
      <formula>kvartal &lt; 4</formula>
    </cfRule>
  </conditionalFormatting>
  <conditionalFormatting sqref="C102">
    <cfRule type="expression" dxfId="783" priority="77">
      <formula>kvartal &lt; 4</formula>
    </cfRule>
  </conditionalFormatting>
  <conditionalFormatting sqref="B113">
    <cfRule type="expression" dxfId="782" priority="76">
      <formula>kvartal &lt; 4</formula>
    </cfRule>
  </conditionalFormatting>
  <conditionalFormatting sqref="C113">
    <cfRule type="expression" dxfId="781" priority="75">
      <formula>kvartal &lt; 4</formula>
    </cfRule>
  </conditionalFormatting>
  <conditionalFormatting sqref="B121">
    <cfRule type="expression" dxfId="780" priority="74">
      <formula>kvartal &lt; 4</formula>
    </cfRule>
  </conditionalFormatting>
  <conditionalFormatting sqref="C121">
    <cfRule type="expression" dxfId="779" priority="73">
      <formula>kvartal &lt; 4</formula>
    </cfRule>
  </conditionalFormatting>
  <conditionalFormatting sqref="F68">
    <cfRule type="expression" dxfId="778" priority="72">
      <formula>kvartal &lt; 4</formula>
    </cfRule>
  </conditionalFormatting>
  <conditionalFormatting sqref="G68">
    <cfRule type="expression" dxfId="777" priority="71">
      <formula>kvartal &lt; 4</formula>
    </cfRule>
  </conditionalFormatting>
  <conditionalFormatting sqref="F69:G69">
    <cfRule type="expression" dxfId="776" priority="70">
      <formula>kvartal &lt; 4</formula>
    </cfRule>
  </conditionalFormatting>
  <conditionalFormatting sqref="F71:G72">
    <cfRule type="expression" dxfId="775" priority="69">
      <formula>kvartal &lt; 4</formula>
    </cfRule>
  </conditionalFormatting>
  <conditionalFormatting sqref="F79:G80">
    <cfRule type="expression" dxfId="774" priority="68">
      <formula>kvartal &lt; 4</formula>
    </cfRule>
  </conditionalFormatting>
  <conditionalFormatting sqref="F82:G83">
    <cfRule type="expression" dxfId="773" priority="67">
      <formula>kvartal &lt; 4</formula>
    </cfRule>
  </conditionalFormatting>
  <conditionalFormatting sqref="F89:G90">
    <cfRule type="expression" dxfId="772" priority="62">
      <formula>kvartal &lt; 4</formula>
    </cfRule>
  </conditionalFormatting>
  <conditionalFormatting sqref="F92:G93">
    <cfRule type="expression" dxfId="771" priority="61">
      <formula>kvartal &lt; 4</formula>
    </cfRule>
  </conditionalFormatting>
  <conditionalFormatting sqref="F100:G101">
    <cfRule type="expression" dxfId="770" priority="60">
      <formula>kvartal &lt; 4</formula>
    </cfRule>
  </conditionalFormatting>
  <conditionalFormatting sqref="F103:G104">
    <cfRule type="expression" dxfId="769" priority="59">
      <formula>kvartal &lt; 4</formula>
    </cfRule>
  </conditionalFormatting>
  <conditionalFormatting sqref="F113">
    <cfRule type="expression" dxfId="768" priority="58">
      <formula>kvartal &lt; 4</formula>
    </cfRule>
  </conditionalFormatting>
  <conditionalFormatting sqref="G113">
    <cfRule type="expression" dxfId="767" priority="57">
      <formula>kvartal &lt; 4</formula>
    </cfRule>
  </conditionalFormatting>
  <conditionalFormatting sqref="F121:G121">
    <cfRule type="expression" dxfId="766" priority="56">
      <formula>kvartal &lt; 4</formula>
    </cfRule>
  </conditionalFormatting>
  <conditionalFormatting sqref="F67:G67">
    <cfRule type="expression" dxfId="765" priority="55">
      <formula>kvartal &lt; 4</formula>
    </cfRule>
  </conditionalFormatting>
  <conditionalFormatting sqref="F70:G70">
    <cfRule type="expression" dxfId="764" priority="54">
      <formula>kvartal &lt; 4</formula>
    </cfRule>
  </conditionalFormatting>
  <conditionalFormatting sqref="F78:G78">
    <cfRule type="expression" dxfId="763" priority="53">
      <formula>kvartal &lt; 4</formula>
    </cfRule>
  </conditionalFormatting>
  <conditionalFormatting sqref="F81:G81">
    <cfRule type="expression" dxfId="762" priority="52">
      <formula>kvartal &lt; 4</formula>
    </cfRule>
  </conditionalFormatting>
  <conditionalFormatting sqref="F88:G88">
    <cfRule type="expression" dxfId="761" priority="46">
      <formula>kvartal &lt; 4</formula>
    </cfRule>
  </conditionalFormatting>
  <conditionalFormatting sqref="F91">
    <cfRule type="expression" dxfId="760" priority="45">
      <formula>kvartal &lt; 4</formula>
    </cfRule>
  </conditionalFormatting>
  <conditionalFormatting sqref="G91">
    <cfRule type="expression" dxfId="759" priority="44">
      <formula>kvartal &lt; 4</formula>
    </cfRule>
  </conditionalFormatting>
  <conditionalFormatting sqref="F99">
    <cfRule type="expression" dxfId="758" priority="43">
      <formula>kvartal &lt; 4</formula>
    </cfRule>
  </conditionalFormatting>
  <conditionalFormatting sqref="G99">
    <cfRule type="expression" dxfId="757" priority="42">
      <formula>kvartal &lt; 4</formula>
    </cfRule>
  </conditionalFormatting>
  <conditionalFormatting sqref="G102">
    <cfRule type="expression" dxfId="756" priority="41">
      <formula>kvartal &lt; 4</formula>
    </cfRule>
  </conditionalFormatting>
  <conditionalFormatting sqref="F102">
    <cfRule type="expression" dxfId="755" priority="40">
      <formula>kvartal &lt; 4</formula>
    </cfRule>
  </conditionalFormatting>
  <conditionalFormatting sqref="J67:K71">
    <cfRule type="expression" dxfId="754" priority="39">
      <formula>kvartal &lt; 4</formula>
    </cfRule>
  </conditionalFormatting>
  <conditionalFormatting sqref="J72:K72">
    <cfRule type="expression" dxfId="753" priority="38">
      <formula>kvartal &lt; 4</formula>
    </cfRule>
  </conditionalFormatting>
  <conditionalFormatting sqref="J78:K83">
    <cfRule type="expression" dxfId="752" priority="37">
      <formula>kvartal &lt; 4</formula>
    </cfRule>
  </conditionalFormatting>
  <conditionalFormatting sqref="J88:K93">
    <cfRule type="expression" dxfId="751" priority="34">
      <formula>kvartal &lt; 4</formula>
    </cfRule>
  </conditionalFormatting>
  <conditionalFormatting sqref="J99:K104">
    <cfRule type="expression" dxfId="750" priority="33">
      <formula>kvartal &lt; 4</formula>
    </cfRule>
  </conditionalFormatting>
  <conditionalFormatting sqref="J113:K113">
    <cfRule type="expression" dxfId="749" priority="32">
      <formula>kvartal &lt; 4</formula>
    </cfRule>
  </conditionalFormatting>
  <conditionalFormatting sqref="J121:K121">
    <cfRule type="expression" dxfId="748" priority="31">
      <formula>kvartal &lt; 4</formula>
    </cfRule>
  </conditionalFormatting>
  <conditionalFormatting sqref="A23:A25">
    <cfRule type="expression" dxfId="747" priority="15">
      <formula>kvartal &lt; 4</formula>
    </cfRule>
  </conditionalFormatting>
  <conditionalFormatting sqref="A29:A31">
    <cfRule type="expression" dxfId="746" priority="13">
      <formula>kvartal &lt; 4</formula>
    </cfRule>
  </conditionalFormatting>
  <conditionalFormatting sqref="A48:A50">
    <cfRule type="expression" dxfId="745" priority="12">
      <formula>kvartal &lt; 4</formula>
    </cfRule>
  </conditionalFormatting>
  <conditionalFormatting sqref="A67:A72">
    <cfRule type="expression" dxfId="744" priority="10">
      <formula>kvartal &lt; 4</formula>
    </cfRule>
  </conditionalFormatting>
  <conditionalFormatting sqref="A78:A83">
    <cfRule type="expression" dxfId="743" priority="9">
      <formula>kvartal &lt; 4</formula>
    </cfRule>
  </conditionalFormatting>
  <conditionalFormatting sqref="A88:A93">
    <cfRule type="expression" dxfId="742" priority="6">
      <formula>kvartal &lt; 4</formula>
    </cfRule>
  </conditionalFormatting>
  <conditionalFormatting sqref="A99:A104">
    <cfRule type="expression" dxfId="741" priority="5">
      <formula>kvartal &lt; 4</formula>
    </cfRule>
  </conditionalFormatting>
  <conditionalFormatting sqref="A113">
    <cfRule type="expression" dxfId="740" priority="4">
      <formula>kvartal &lt; 4</formula>
    </cfRule>
  </conditionalFormatting>
  <conditionalFormatting sqref="A121">
    <cfRule type="expression" dxfId="739" priority="3">
      <formula>kvartal &lt; 4</formula>
    </cfRule>
  </conditionalFormatting>
  <conditionalFormatting sqref="A26">
    <cfRule type="expression" dxfId="738" priority="2">
      <formula>kvartal &lt; 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146</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1481</v>
      </c>
      <c r="C45" s="309">
        <v>2011</v>
      </c>
      <c r="D45" s="403">
        <f t="shared" ref="D45:D55" si="0">IF(B45=0, "    ---- ", IF(ABS(ROUND(100/B45*C45-100,1))&lt;999,ROUND(100/B45*C45-100,1),IF(ROUND(100/B45*C45-100,1)&gt;999,999,-999)))</f>
        <v>35.799999999999997</v>
      </c>
      <c r="E45" s="11">
        <f>IFERROR(100/'Skjema total MA'!C45*C45,0)</f>
        <v>7.33406802395139E-2</v>
      </c>
      <c r="F45" s="144"/>
      <c r="G45" s="33"/>
      <c r="H45" s="158"/>
      <c r="I45" s="158"/>
      <c r="J45" s="37"/>
      <c r="K45" s="37"/>
      <c r="L45" s="158"/>
      <c r="M45" s="158"/>
      <c r="N45" s="147"/>
    </row>
    <row r="46" spans="1:14" s="3" customFormat="1" ht="15.75" x14ac:dyDescent="0.2">
      <c r="A46" s="38" t="s">
        <v>312</v>
      </c>
      <c r="B46" s="286">
        <v>1481</v>
      </c>
      <c r="C46" s="287">
        <v>2011</v>
      </c>
      <c r="D46" s="259">
        <f t="shared" si="0"/>
        <v>35.799999999999997</v>
      </c>
      <c r="E46" s="27">
        <f>IFERROR(100/'Skjema total MA'!C46*C46,0)</f>
        <v>0.13816270840444017</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v>2</v>
      </c>
      <c r="C51" s="309">
        <v>0.5</v>
      </c>
      <c r="D51" s="404">
        <f t="shared" si="0"/>
        <v>-75</v>
      </c>
      <c r="E51" s="11">
        <f>IFERROR(100/'Skjema total MA'!C51*C51,0)</f>
        <v>3.5294233163007835E-4</v>
      </c>
      <c r="F51" s="144"/>
      <c r="G51" s="33"/>
      <c r="H51" s="144"/>
      <c r="I51" s="144"/>
      <c r="J51" s="33"/>
      <c r="K51" s="33"/>
      <c r="L51" s="158"/>
      <c r="M51" s="158"/>
      <c r="N51" s="147"/>
    </row>
    <row r="52" spans="1:14" s="3" customFormat="1" ht="15.75" x14ac:dyDescent="0.2">
      <c r="A52" s="38" t="s">
        <v>312</v>
      </c>
      <c r="B52" s="286">
        <v>2</v>
      </c>
      <c r="C52" s="287">
        <v>0.5</v>
      </c>
      <c r="D52" s="259">
        <f t="shared" si="0"/>
        <v>-75</v>
      </c>
      <c r="E52" s="27">
        <f>IFERROR(100/'Skjema total MA'!C52*C52,0)</f>
        <v>5.9299809435318397E-4</v>
      </c>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v>10</v>
      </c>
      <c r="C54" s="309">
        <v>0.9</v>
      </c>
      <c r="D54" s="404">
        <f t="shared" si="0"/>
        <v>-91</v>
      </c>
      <c r="E54" s="11">
        <f>IFERROR(100/'Skjema total MA'!C54*C54,0)</f>
        <v>1.0426989144554288E-3</v>
      </c>
      <c r="F54" s="144"/>
      <c r="G54" s="33"/>
      <c r="H54" s="144"/>
      <c r="I54" s="144"/>
      <c r="J54" s="33"/>
      <c r="K54" s="33"/>
      <c r="L54" s="158"/>
      <c r="M54" s="158"/>
      <c r="N54" s="147"/>
    </row>
    <row r="55" spans="1:14" s="3" customFormat="1" ht="15.75" x14ac:dyDescent="0.2">
      <c r="A55" s="38" t="s">
        <v>312</v>
      </c>
      <c r="B55" s="286">
        <v>10</v>
      </c>
      <c r="C55" s="287">
        <v>0.9</v>
      </c>
      <c r="D55" s="259">
        <f t="shared" si="0"/>
        <v>-91</v>
      </c>
      <c r="E55" s="27">
        <f>IFERROR(100/'Skjema total MA'!C55*C55,0)</f>
        <v>1.0426989144554288E-3</v>
      </c>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737" priority="132">
      <formula>kvartal &lt; 4</formula>
    </cfRule>
  </conditionalFormatting>
  <conditionalFormatting sqref="B29">
    <cfRule type="expression" dxfId="736" priority="130">
      <formula>kvartal &lt; 4</formula>
    </cfRule>
  </conditionalFormatting>
  <conditionalFormatting sqref="B30">
    <cfRule type="expression" dxfId="735" priority="129">
      <formula>kvartal &lt; 4</formula>
    </cfRule>
  </conditionalFormatting>
  <conditionalFormatting sqref="B31">
    <cfRule type="expression" dxfId="734" priority="128">
      <formula>kvartal &lt; 4</formula>
    </cfRule>
  </conditionalFormatting>
  <conditionalFormatting sqref="C29">
    <cfRule type="expression" dxfId="733" priority="127">
      <formula>kvartal &lt; 4</formula>
    </cfRule>
  </conditionalFormatting>
  <conditionalFormatting sqref="C30">
    <cfRule type="expression" dxfId="732" priority="126">
      <formula>kvartal &lt; 4</formula>
    </cfRule>
  </conditionalFormatting>
  <conditionalFormatting sqref="C31">
    <cfRule type="expression" dxfId="731" priority="125">
      <formula>kvartal &lt; 4</formula>
    </cfRule>
  </conditionalFormatting>
  <conditionalFormatting sqref="B23:C25">
    <cfRule type="expression" dxfId="730" priority="124">
      <formula>kvartal &lt; 4</formula>
    </cfRule>
  </conditionalFormatting>
  <conditionalFormatting sqref="F23:G25">
    <cfRule type="expression" dxfId="729" priority="120">
      <formula>kvartal &lt; 4</formula>
    </cfRule>
  </conditionalFormatting>
  <conditionalFormatting sqref="F29">
    <cfRule type="expression" dxfId="728" priority="113">
      <formula>kvartal &lt; 4</formula>
    </cfRule>
  </conditionalFormatting>
  <conditionalFormatting sqref="F30">
    <cfRule type="expression" dxfId="727" priority="112">
      <formula>kvartal &lt; 4</formula>
    </cfRule>
  </conditionalFormatting>
  <conditionalFormatting sqref="F31">
    <cfRule type="expression" dxfId="726" priority="111">
      <formula>kvartal &lt; 4</formula>
    </cfRule>
  </conditionalFormatting>
  <conditionalFormatting sqref="G29">
    <cfRule type="expression" dxfId="725" priority="110">
      <formula>kvartal &lt; 4</formula>
    </cfRule>
  </conditionalFormatting>
  <conditionalFormatting sqref="G30">
    <cfRule type="expression" dxfId="724" priority="109">
      <formula>kvartal &lt; 4</formula>
    </cfRule>
  </conditionalFormatting>
  <conditionalFormatting sqref="G31">
    <cfRule type="expression" dxfId="723" priority="108">
      <formula>kvartal &lt; 4</formula>
    </cfRule>
  </conditionalFormatting>
  <conditionalFormatting sqref="B26">
    <cfRule type="expression" dxfId="722" priority="107">
      <formula>kvartal &lt; 4</formula>
    </cfRule>
  </conditionalFormatting>
  <conditionalFormatting sqref="C26">
    <cfRule type="expression" dxfId="721" priority="106">
      <formula>kvartal &lt; 4</formula>
    </cfRule>
  </conditionalFormatting>
  <conditionalFormatting sqref="F26">
    <cfRule type="expression" dxfId="720" priority="105">
      <formula>kvartal &lt; 4</formula>
    </cfRule>
  </conditionalFormatting>
  <conditionalFormatting sqref="G26">
    <cfRule type="expression" dxfId="719" priority="104">
      <formula>kvartal &lt; 4</formula>
    </cfRule>
  </conditionalFormatting>
  <conditionalFormatting sqref="J23:K26">
    <cfRule type="expression" dxfId="718" priority="103">
      <formula>kvartal &lt; 4</formula>
    </cfRule>
  </conditionalFormatting>
  <conditionalFormatting sqref="J29:K31">
    <cfRule type="expression" dxfId="717" priority="101">
      <formula>kvartal &lt; 4</formula>
    </cfRule>
  </conditionalFormatting>
  <conditionalFormatting sqref="B67">
    <cfRule type="expression" dxfId="716" priority="100">
      <formula>kvartal &lt; 4</formula>
    </cfRule>
  </conditionalFormatting>
  <conditionalFormatting sqref="C67">
    <cfRule type="expression" dxfId="715" priority="99">
      <formula>kvartal &lt; 4</formula>
    </cfRule>
  </conditionalFormatting>
  <conditionalFormatting sqref="B70">
    <cfRule type="expression" dxfId="714" priority="98">
      <formula>kvartal &lt; 4</formula>
    </cfRule>
  </conditionalFormatting>
  <conditionalFormatting sqref="C70">
    <cfRule type="expression" dxfId="713" priority="97">
      <formula>kvartal &lt; 4</formula>
    </cfRule>
  </conditionalFormatting>
  <conditionalFormatting sqref="B78">
    <cfRule type="expression" dxfId="712" priority="96">
      <formula>kvartal &lt; 4</formula>
    </cfRule>
  </conditionalFormatting>
  <conditionalFormatting sqref="C78">
    <cfRule type="expression" dxfId="711" priority="95">
      <formula>kvartal &lt; 4</formula>
    </cfRule>
  </conditionalFormatting>
  <conditionalFormatting sqref="B81">
    <cfRule type="expression" dxfId="710" priority="94">
      <formula>kvartal &lt; 4</formula>
    </cfRule>
  </conditionalFormatting>
  <conditionalFormatting sqref="C81">
    <cfRule type="expression" dxfId="709" priority="93">
      <formula>kvartal &lt; 4</formula>
    </cfRule>
  </conditionalFormatting>
  <conditionalFormatting sqref="B88">
    <cfRule type="expression" dxfId="708" priority="84">
      <formula>kvartal &lt; 4</formula>
    </cfRule>
  </conditionalFormatting>
  <conditionalFormatting sqref="C88">
    <cfRule type="expression" dxfId="707" priority="83">
      <formula>kvartal &lt; 4</formula>
    </cfRule>
  </conditionalFormatting>
  <conditionalFormatting sqref="B91">
    <cfRule type="expression" dxfId="706" priority="82">
      <formula>kvartal &lt; 4</formula>
    </cfRule>
  </conditionalFormatting>
  <conditionalFormatting sqref="C91">
    <cfRule type="expression" dxfId="705" priority="81">
      <formula>kvartal &lt; 4</formula>
    </cfRule>
  </conditionalFormatting>
  <conditionalFormatting sqref="B99">
    <cfRule type="expression" dxfId="704" priority="80">
      <formula>kvartal &lt; 4</formula>
    </cfRule>
  </conditionalFormatting>
  <conditionalFormatting sqref="C99">
    <cfRule type="expression" dxfId="703" priority="79">
      <formula>kvartal &lt; 4</formula>
    </cfRule>
  </conditionalFormatting>
  <conditionalFormatting sqref="B102">
    <cfRule type="expression" dxfId="702" priority="78">
      <formula>kvartal &lt; 4</formula>
    </cfRule>
  </conditionalFormatting>
  <conditionalFormatting sqref="C102">
    <cfRule type="expression" dxfId="701" priority="77">
      <formula>kvartal &lt; 4</formula>
    </cfRule>
  </conditionalFormatting>
  <conditionalFormatting sqref="B113">
    <cfRule type="expression" dxfId="700" priority="76">
      <formula>kvartal &lt; 4</formula>
    </cfRule>
  </conditionalFormatting>
  <conditionalFormatting sqref="C113">
    <cfRule type="expression" dxfId="699" priority="75">
      <formula>kvartal &lt; 4</formula>
    </cfRule>
  </conditionalFormatting>
  <conditionalFormatting sqref="B121">
    <cfRule type="expression" dxfId="698" priority="74">
      <formula>kvartal &lt; 4</formula>
    </cfRule>
  </conditionalFormatting>
  <conditionalFormatting sqref="C121">
    <cfRule type="expression" dxfId="697" priority="73">
      <formula>kvartal &lt; 4</formula>
    </cfRule>
  </conditionalFormatting>
  <conditionalFormatting sqref="F68">
    <cfRule type="expression" dxfId="696" priority="72">
      <formula>kvartal &lt; 4</formula>
    </cfRule>
  </conditionalFormatting>
  <conditionalFormatting sqref="G68">
    <cfRule type="expression" dxfId="695" priority="71">
      <formula>kvartal &lt; 4</formula>
    </cfRule>
  </conditionalFormatting>
  <conditionalFormatting sqref="F69:G69">
    <cfRule type="expression" dxfId="694" priority="70">
      <formula>kvartal &lt; 4</formula>
    </cfRule>
  </conditionalFormatting>
  <conditionalFormatting sqref="F71:G72">
    <cfRule type="expression" dxfId="693" priority="69">
      <formula>kvartal &lt; 4</formula>
    </cfRule>
  </conditionalFormatting>
  <conditionalFormatting sqref="F79:G80">
    <cfRule type="expression" dxfId="692" priority="68">
      <formula>kvartal &lt; 4</formula>
    </cfRule>
  </conditionalFormatting>
  <conditionalFormatting sqref="F82:G83">
    <cfRule type="expression" dxfId="691" priority="67">
      <formula>kvartal &lt; 4</formula>
    </cfRule>
  </conditionalFormatting>
  <conditionalFormatting sqref="F89:G90">
    <cfRule type="expression" dxfId="690" priority="62">
      <formula>kvartal &lt; 4</formula>
    </cfRule>
  </conditionalFormatting>
  <conditionalFormatting sqref="F92:G93">
    <cfRule type="expression" dxfId="689" priority="61">
      <formula>kvartal &lt; 4</formula>
    </cfRule>
  </conditionalFormatting>
  <conditionalFormatting sqref="F100:G101">
    <cfRule type="expression" dxfId="688" priority="60">
      <formula>kvartal &lt; 4</formula>
    </cfRule>
  </conditionalFormatting>
  <conditionalFormatting sqref="F103:G104">
    <cfRule type="expression" dxfId="687" priority="59">
      <formula>kvartal &lt; 4</formula>
    </cfRule>
  </conditionalFormatting>
  <conditionalFormatting sqref="F113">
    <cfRule type="expression" dxfId="686" priority="58">
      <formula>kvartal &lt; 4</formula>
    </cfRule>
  </conditionalFormatting>
  <conditionalFormatting sqref="G113">
    <cfRule type="expression" dxfId="685" priority="57">
      <formula>kvartal &lt; 4</formula>
    </cfRule>
  </conditionalFormatting>
  <conditionalFormatting sqref="F121:G121">
    <cfRule type="expression" dxfId="684" priority="56">
      <formula>kvartal &lt; 4</formula>
    </cfRule>
  </conditionalFormatting>
  <conditionalFormatting sqref="F67:G67">
    <cfRule type="expression" dxfId="683" priority="55">
      <formula>kvartal &lt; 4</formula>
    </cfRule>
  </conditionalFormatting>
  <conditionalFormatting sqref="F70:G70">
    <cfRule type="expression" dxfId="682" priority="54">
      <formula>kvartal &lt; 4</formula>
    </cfRule>
  </conditionalFormatting>
  <conditionalFormatting sqref="F78:G78">
    <cfRule type="expression" dxfId="681" priority="53">
      <formula>kvartal &lt; 4</formula>
    </cfRule>
  </conditionalFormatting>
  <conditionalFormatting sqref="F81:G81">
    <cfRule type="expression" dxfId="680" priority="52">
      <formula>kvartal &lt; 4</formula>
    </cfRule>
  </conditionalFormatting>
  <conditionalFormatting sqref="F88:G88">
    <cfRule type="expression" dxfId="679" priority="46">
      <formula>kvartal &lt; 4</formula>
    </cfRule>
  </conditionalFormatting>
  <conditionalFormatting sqref="F91">
    <cfRule type="expression" dxfId="678" priority="45">
      <formula>kvartal &lt; 4</formula>
    </cfRule>
  </conditionalFormatting>
  <conditionalFormatting sqref="G91">
    <cfRule type="expression" dxfId="677" priority="44">
      <formula>kvartal &lt; 4</formula>
    </cfRule>
  </conditionalFormatting>
  <conditionalFormatting sqref="F99">
    <cfRule type="expression" dxfId="676" priority="43">
      <formula>kvartal &lt; 4</formula>
    </cfRule>
  </conditionalFormatting>
  <conditionalFormatting sqref="G99">
    <cfRule type="expression" dxfId="675" priority="42">
      <formula>kvartal &lt; 4</formula>
    </cfRule>
  </conditionalFormatting>
  <conditionalFormatting sqref="G102">
    <cfRule type="expression" dxfId="674" priority="41">
      <formula>kvartal &lt; 4</formula>
    </cfRule>
  </conditionalFormatting>
  <conditionalFormatting sqref="F102">
    <cfRule type="expression" dxfId="673" priority="40">
      <formula>kvartal &lt; 4</formula>
    </cfRule>
  </conditionalFormatting>
  <conditionalFormatting sqref="J67:K71">
    <cfRule type="expression" dxfId="672" priority="39">
      <formula>kvartal &lt; 4</formula>
    </cfRule>
  </conditionalFormatting>
  <conditionalFormatting sqref="J72:K72">
    <cfRule type="expression" dxfId="671" priority="38">
      <formula>kvartal &lt; 4</formula>
    </cfRule>
  </conditionalFormatting>
  <conditionalFormatting sqref="J78:K83">
    <cfRule type="expression" dxfId="670" priority="37">
      <formula>kvartal &lt; 4</formula>
    </cfRule>
  </conditionalFormatting>
  <conditionalFormatting sqref="J88:K93">
    <cfRule type="expression" dxfId="669" priority="34">
      <formula>kvartal &lt; 4</formula>
    </cfRule>
  </conditionalFormatting>
  <conditionalFormatting sqref="J99:K104">
    <cfRule type="expression" dxfId="668" priority="33">
      <formula>kvartal &lt; 4</formula>
    </cfRule>
  </conditionalFormatting>
  <conditionalFormatting sqref="J113:K113">
    <cfRule type="expression" dxfId="667" priority="32">
      <formula>kvartal &lt; 4</formula>
    </cfRule>
  </conditionalFormatting>
  <conditionalFormatting sqref="J121:K121">
    <cfRule type="expression" dxfId="666" priority="31">
      <formula>kvartal &lt; 4</formula>
    </cfRule>
  </conditionalFormatting>
  <conditionalFormatting sqref="A23:A25">
    <cfRule type="expression" dxfId="665" priority="15">
      <formula>kvartal &lt; 4</formula>
    </cfRule>
  </conditionalFormatting>
  <conditionalFormatting sqref="A29:A31">
    <cfRule type="expression" dxfId="664" priority="13">
      <formula>kvartal &lt; 4</formula>
    </cfRule>
  </conditionalFormatting>
  <conditionalFormatting sqref="A48:A50">
    <cfRule type="expression" dxfId="663" priority="12">
      <formula>kvartal &lt; 4</formula>
    </cfRule>
  </conditionalFormatting>
  <conditionalFormatting sqref="A67:A72">
    <cfRule type="expression" dxfId="662" priority="10">
      <formula>kvartal &lt; 4</formula>
    </cfRule>
  </conditionalFormatting>
  <conditionalFormatting sqref="A78:A83">
    <cfRule type="expression" dxfId="661" priority="9">
      <formula>kvartal &lt; 4</formula>
    </cfRule>
  </conditionalFormatting>
  <conditionalFormatting sqref="A88:A93">
    <cfRule type="expression" dxfId="660" priority="6">
      <formula>kvartal &lt; 4</formula>
    </cfRule>
  </conditionalFormatting>
  <conditionalFormatting sqref="A99:A104">
    <cfRule type="expression" dxfId="659" priority="5">
      <formula>kvartal &lt; 4</formula>
    </cfRule>
  </conditionalFormatting>
  <conditionalFormatting sqref="A113">
    <cfRule type="expression" dxfId="658" priority="4">
      <formula>kvartal &lt; 4</formula>
    </cfRule>
  </conditionalFormatting>
  <conditionalFormatting sqref="A121">
    <cfRule type="expression" dxfId="657" priority="3">
      <formula>kvartal &lt; 4</formula>
    </cfRule>
  </conditionalFormatting>
  <conditionalFormatting sqref="A26">
    <cfRule type="expression" dxfId="656" priority="2">
      <formula>kvartal &lt; 4</formula>
    </cfRule>
  </conditionalFormatting>
  <pageMargins left="0.70866141732283472" right="0.70866141732283472" top="0.74803149606299213" bottom="0.74803149606299213" header="0.31496062992125984" footer="0.31496062992125984"/>
  <pageSetup paperSize="9" scale="5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73</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220527.626332841</v>
      </c>
      <c r="C7" s="305">
        <v>221963.25345590201</v>
      </c>
      <c r="D7" s="344">
        <f>IF(B7=0, "    ---- ", IF(ABS(ROUND(100/B7*C7-100,1))&lt;999,ROUND(100/B7*C7-100,1),IF(ROUND(100/B7*C7-100,1)&gt;999,999,-999)))</f>
        <v>0.7</v>
      </c>
      <c r="E7" s="11">
        <f>IFERROR(100/'Skjema total MA'!C7*C7,0)</f>
        <v>8.1516082718569933</v>
      </c>
      <c r="F7" s="304">
        <v>2828153.0401599999</v>
      </c>
      <c r="G7" s="305">
        <v>2736633.2136400002</v>
      </c>
      <c r="H7" s="344">
        <f>IF(F7=0, "    ---- ", IF(ABS(ROUND(100/F7*G7-100,1))&lt;999,ROUND(100/F7*G7-100,1),IF(ROUND(100/F7*G7-100,1)&gt;999,999,-999)))</f>
        <v>-3.2</v>
      </c>
      <c r="I7" s="159">
        <f>IFERROR(100/'Skjema total MA'!F7*G7,0)</f>
        <v>60.247538786477882</v>
      </c>
      <c r="J7" s="306">
        <v>3048680.6664928407</v>
      </c>
      <c r="K7" s="307">
        <v>2958596.4670959022</v>
      </c>
      <c r="L7" s="403">
        <f>IF(J7=0, "    ---- ", IF(ABS(ROUND(100/J7*K7-100,1))&lt;999,ROUND(100/J7*K7-100,1),IF(ROUND(100/J7*K7-100,1)&gt;999,999,-999)))</f>
        <v>-3</v>
      </c>
      <c r="M7" s="11">
        <f>IFERROR(100/'Skjema total MA'!I7*K7,0)</f>
        <v>40.722549454354464</v>
      </c>
    </row>
    <row r="8" spans="1:14" ht="15.75" x14ac:dyDescent="0.2">
      <c r="A8" s="21" t="s">
        <v>29</v>
      </c>
      <c r="B8" s="286">
        <v>170857.13908434601</v>
      </c>
      <c r="C8" s="287">
        <v>178057.77214884301</v>
      </c>
      <c r="D8" s="165">
        <f t="shared" ref="D8:D12" si="0">IF(B8=0, "    ---- ", IF(ABS(ROUND(100/B8*C8-100,1))&lt;999,ROUND(100/B8*C8-100,1),IF(ROUND(100/B8*C8-100,1)&gt;999,999,-999)))</f>
        <v>4.2</v>
      </c>
      <c r="E8" s="27">
        <f>IFERROR(100/'Skjema total MA'!C8*C8,0)</f>
        <v>11.85046548750995</v>
      </c>
      <c r="F8" s="423"/>
      <c r="G8" s="424"/>
      <c r="H8" s="170"/>
      <c r="I8" s="175"/>
      <c r="J8" s="234">
        <v>170857.13908434601</v>
      </c>
      <c r="K8" s="290">
        <v>178057.77214884301</v>
      </c>
      <c r="L8" s="165">
        <f t="shared" ref="L8:L9" si="1">IF(J8=0, "    ---- ", IF(ABS(ROUND(100/J8*K8-100,1))&lt;999,ROUND(100/J8*K8-100,1),IF(ROUND(100/J8*K8-100,1)&gt;999,999,-999)))</f>
        <v>4.2</v>
      </c>
      <c r="M8" s="27">
        <f>IFERROR(100/'Skjema total MA'!I8*K8,0)</f>
        <v>11.85046548750995</v>
      </c>
    </row>
    <row r="9" spans="1:14" ht="15.75" x14ac:dyDescent="0.2">
      <c r="A9" s="21" t="s">
        <v>28</v>
      </c>
      <c r="B9" s="286">
        <v>43647.050668867298</v>
      </c>
      <c r="C9" s="287">
        <v>42565.325791350202</v>
      </c>
      <c r="D9" s="165">
        <f t="shared" si="0"/>
        <v>-2.5</v>
      </c>
      <c r="E9" s="27">
        <f>IFERROR(100/'Skjema total MA'!C9*C9,0)</f>
        <v>5.8796443924384878</v>
      </c>
      <c r="F9" s="423"/>
      <c r="G9" s="424"/>
      <c r="H9" s="170"/>
      <c r="I9" s="175"/>
      <c r="J9" s="234">
        <v>43647.050668867298</v>
      </c>
      <c r="K9" s="290">
        <v>42565.325791350202</v>
      </c>
      <c r="L9" s="165">
        <f t="shared" si="1"/>
        <v>-2.5</v>
      </c>
      <c r="M9" s="27">
        <f>IFERROR(100/'Skjema total MA'!I9*K9,0)</f>
        <v>5.8796443924384878</v>
      </c>
    </row>
    <row r="10" spans="1:14" ht="15.75" x14ac:dyDescent="0.2">
      <c r="A10" s="13" t="s">
        <v>26</v>
      </c>
      <c r="B10" s="308">
        <v>820375.15817343898</v>
      </c>
      <c r="C10" s="309">
        <v>779563.87004552805</v>
      </c>
      <c r="D10" s="170">
        <f t="shared" si="0"/>
        <v>-5</v>
      </c>
      <c r="E10" s="11">
        <f>IFERROR(100/'Skjema total MA'!C10*C10,0)</f>
        <v>3.388021030419837</v>
      </c>
      <c r="F10" s="308">
        <v>15920062.8003016</v>
      </c>
      <c r="G10" s="309">
        <v>20778083.057719901</v>
      </c>
      <c r="H10" s="170">
        <f t="shared" ref="H10:H12" si="2">IF(F10=0, "    ---- ", IF(ABS(ROUND(100/F10*G10-100,1))&lt;999,ROUND(100/F10*G10-100,1),IF(ROUND(100/F10*G10-100,1)&gt;999,999,-999)))</f>
        <v>30.5</v>
      </c>
      <c r="I10" s="159">
        <f>IFERROR(100/'Skjema total MA'!F10*G10,0)</f>
        <v>55.168556961674874</v>
      </c>
      <c r="J10" s="306">
        <v>16740437.958475038</v>
      </c>
      <c r="K10" s="307">
        <v>21557646.927765429</v>
      </c>
      <c r="L10" s="404">
        <f t="shared" ref="L10:L12" si="3">IF(J10=0, "    ---- ", IF(ABS(ROUND(100/J10*K10-100,1))&lt;999,ROUND(100/J10*K10-100,1),IF(ROUND(100/J10*K10-100,1)&gt;999,999,-999)))</f>
        <v>28.8</v>
      </c>
      <c r="M10" s="11">
        <f>IFERROR(100/'Skjema total MA'!I10*K10,0)</f>
        <v>35.53126894893461</v>
      </c>
    </row>
    <row r="11" spans="1:14" s="43" customFormat="1" ht="15.75" x14ac:dyDescent="0.2">
      <c r="A11" s="13" t="s">
        <v>25</v>
      </c>
      <c r="B11" s="308"/>
      <c r="C11" s="309"/>
      <c r="D11" s="170"/>
      <c r="E11" s="11"/>
      <c r="F11" s="308">
        <v>109033.16688</v>
      </c>
      <c r="G11" s="309">
        <v>65290.403810000003</v>
      </c>
      <c r="H11" s="170">
        <f t="shared" si="2"/>
        <v>-40.1</v>
      </c>
      <c r="I11" s="159">
        <f>IFERROR(100/'Skjema total MA'!F11*G11,0)</f>
        <v>40.568757547484758</v>
      </c>
      <c r="J11" s="306">
        <v>109033.16688</v>
      </c>
      <c r="K11" s="307">
        <v>65290.403810000003</v>
      </c>
      <c r="L11" s="404">
        <f t="shared" si="3"/>
        <v>-40.1</v>
      </c>
      <c r="M11" s="11">
        <f>IFERROR(100/'Skjema total MA'!I11*K11,0)</f>
        <v>37.945716256355496</v>
      </c>
      <c r="N11" s="142"/>
    </row>
    <row r="12" spans="1:14" s="43" customFormat="1" ht="15.75" x14ac:dyDescent="0.2">
      <c r="A12" s="41" t="s">
        <v>24</v>
      </c>
      <c r="B12" s="310">
        <v>79.740440000000007</v>
      </c>
      <c r="C12" s="311"/>
      <c r="D12" s="168">
        <f t="shared" si="0"/>
        <v>-100</v>
      </c>
      <c r="E12" s="36">
        <f>IFERROR(100/'Skjema total MA'!C12*C12,0)</f>
        <v>0</v>
      </c>
      <c r="F12" s="310">
        <v>24031.303260000001</v>
      </c>
      <c r="G12" s="311">
        <v>18847.464019999999</v>
      </c>
      <c r="H12" s="168">
        <f t="shared" si="2"/>
        <v>-21.6</v>
      </c>
      <c r="I12" s="168">
        <f>IFERROR(100/'Skjema total MA'!F12*G12,0)</f>
        <v>25.607469878559769</v>
      </c>
      <c r="J12" s="312">
        <v>24111.043700000002</v>
      </c>
      <c r="K12" s="313">
        <v>18847.464019999999</v>
      </c>
      <c r="L12" s="405">
        <f t="shared" si="3"/>
        <v>-21.8</v>
      </c>
      <c r="M12" s="36">
        <f>IFERROR(100/'Skjema total MA'!I12*K12,0)</f>
        <v>25.360758596555243</v>
      </c>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v>69213.074710451707</v>
      </c>
      <c r="C22" s="315">
        <v>70308.110419601202</v>
      </c>
      <c r="D22" s="344">
        <f t="shared" ref="D22:D33" si="4">IF(B22=0, "    ---- ", IF(ABS(ROUND(100/B22*C22-100,1))&lt;999,ROUND(100/B22*C22-100,1),IF(ROUND(100/B22*C22-100,1)&gt;999,999,-999)))</f>
        <v>1.6</v>
      </c>
      <c r="E22" s="11">
        <f>IFERROR(100/'Skjema total MA'!C22*C22,0)</f>
        <v>7.332135801814295</v>
      </c>
      <c r="F22" s="316">
        <v>90291.274220000007</v>
      </c>
      <c r="G22" s="315">
        <v>76144.967350000006</v>
      </c>
      <c r="H22" s="344">
        <f t="shared" ref="H22:H33" si="5">IF(F22=0, "    ---- ", IF(ABS(ROUND(100/F22*G22-100,1))&lt;999,ROUND(100/F22*G22-100,1),IF(ROUND(100/F22*G22-100,1)&gt;999,999,-999)))</f>
        <v>-15.7</v>
      </c>
      <c r="I22" s="11">
        <f>IFERROR(100/'Skjema total MA'!F22*G22,0)</f>
        <v>38.191755860195663</v>
      </c>
      <c r="J22" s="314">
        <v>159504.34893045173</v>
      </c>
      <c r="K22" s="314">
        <v>146453.07776960119</v>
      </c>
      <c r="L22" s="403">
        <f t="shared" ref="L22:L33" si="6">IF(J22=0, "    ---- ", IF(ABS(ROUND(100/J22*K22-100,1))&lt;999,ROUND(100/J22*K22-100,1),IF(ROUND(100/J22*K22-100,1)&gt;999,999,-999)))</f>
        <v>-8.1999999999999993</v>
      </c>
      <c r="M22" s="24">
        <f>IFERROR(100/'Skjema total MA'!I22*K22,0)</f>
        <v>12.644024779702663</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70348.324607579096</v>
      </c>
      <c r="C27" s="290">
        <v>71512.303770810293</v>
      </c>
      <c r="D27" s="165">
        <f t="shared" si="4"/>
        <v>1.7</v>
      </c>
      <c r="E27" s="27">
        <f>IFERROR(100/'Skjema total MA'!C27*C27,0)</f>
        <v>7.2302951821472012</v>
      </c>
      <c r="F27" s="234"/>
      <c r="G27" s="290"/>
      <c r="H27" s="165"/>
      <c r="I27" s="27"/>
      <c r="J27" s="44">
        <v>70348.324607579096</v>
      </c>
      <c r="K27" s="44">
        <v>71512.303770810293</v>
      </c>
      <c r="L27" s="259">
        <f t="shared" si="6"/>
        <v>1.7</v>
      </c>
      <c r="M27" s="23">
        <f>IFERROR(100/'Skjema total MA'!I27*K27,0)</f>
        <v>7.2302951821472012</v>
      </c>
    </row>
    <row r="28" spans="1:14" s="3" customFormat="1" ht="15.75" x14ac:dyDescent="0.2">
      <c r="A28" s="13" t="s">
        <v>26</v>
      </c>
      <c r="B28" s="236">
        <v>4282880.0421406701</v>
      </c>
      <c r="C28" s="307">
        <v>4102222.71719978</v>
      </c>
      <c r="D28" s="170">
        <f t="shared" si="4"/>
        <v>-4.2</v>
      </c>
      <c r="E28" s="11">
        <f>IFERROR(100/'Skjema total MA'!C28*C28,0)</f>
        <v>8.0511938961261151</v>
      </c>
      <c r="F28" s="306">
        <v>3095924.75</v>
      </c>
      <c r="G28" s="307">
        <v>3414405.69</v>
      </c>
      <c r="H28" s="170">
        <f t="shared" si="5"/>
        <v>10.3</v>
      </c>
      <c r="I28" s="11">
        <f>IFERROR(100/'Skjema total MA'!F28*G28,0)</f>
        <v>17.388173314499351</v>
      </c>
      <c r="J28" s="236">
        <v>7378804.7921406701</v>
      </c>
      <c r="K28" s="236">
        <v>7516628.4071997795</v>
      </c>
      <c r="L28" s="404">
        <f t="shared" si="6"/>
        <v>1.9</v>
      </c>
      <c r="M28" s="24">
        <f>IFERROR(100/'Skjema total MA'!I28*K28,0)</f>
        <v>10.648577365733313</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v>903.05705</v>
      </c>
      <c r="C32" s="307"/>
      <c r="D32" s="170">
        <f t="shared" si="4"/>
        <v>-100</v>
      </c>
      <c r="E32" s="11">
        <f>IFERROR(100/'Skjema total MA'!C32*C32,0)</f>
        <v>0</v>
      </c>
      <c r="F32" s="306">
        <v>600.26247000000001</v>
      </c>
      <c r="G32" s="307">
        <v>7769.0938100000003</v>
      </c>
      <c r="H32" s="170">
        <f t="shared" si="5"/>
        <v>999</v>
      </c>
      <c r="I32" s="11">
        <f>IFERROR(100/'Skjema total MA'!F32*G32,0)</f>
        <v>41.474413638120701</v>
      </c>
      <c r="J32" s="236">
        <v>1503.31952</v>
      </c>
      <c r="K32" s="236">
        <v>7769.0938100000003</v>
      </c>
      <c r="L32" s="404">
        <f t="shared" si="6"/>
        <v>416.8</v>
      </c>
      <c r="M32" s="24">
        <f>IFERROR(100/'Skjema total MA'!I32*K32,0)</f>
        <v>18.405258633837516</v>
      </c>
    </row>
    <row r="33" spans="1:14" ht="15.75" x14ac:dyDescent="0.2">
      <c r="A33" s="13" t="s">
        <v>24</v>
      </c>
      <c r="B33" s="236">
        <v>179.84097999999901</v>
      </c>
      <c r="C33" s="307"/>
      <c r="D33" s="170">
        <f t="shared" si="4"/>
        <v>-100</v>
      </c>
      <c r="E33" s="11">
        <f>IFERROR(100/'Skjema total MA'!C33*C33,0)</f>
        <v>0</v>
      </c>
      <c r="F33" s="306">
        <v>3566.4381100000001</v>
      </c>
      <c r="G33" s="307">
        <v>8700.1270600000007</v>
      </c>
      <c r="H33" s="170">
        <f t="shared" si="5"/>
        <v>143.9</v>
      </c>
      <c r="I33" s="11">
        <f>IFERROR(100/'Skjema total MA'!F33*G33,0)</f>
        <v>13.285343265548715</v>
      </c>
      <c r="J33" s="236">
        <v>3746.2790899999991</v>
      </c>
      <c r="K33" s="236">
        <v>8700.1270600000007</v>
      </c>
      <c r="L33" s="404">
        <f t="shared" si="6"/>
        <v>132.19999999999999</v>
      </c>
      <c r="M33" s="24">
        <f>IFERROR(100/'Skjema total MA'!I33*K33,0)</f>
        <v>25.355604463282919</v>
      </c>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c r="C45" s="309"/>
      <c r="D45" s="403"/>
      <c r="E45" s="11"/>
      <c r="F45" s="144"/>
      <c r="G45" s="33"/>
      <c r="H45" s="158"/>
      <c r="I45" s="158"/>
      <c r="J45" s="37"/>
      <c r="K45" s="37"/>
      <c r="L45" s="158"/>
      <c r="M45" s="158"/>
      <c r="N45" s="147"/>
    </row>
    <row r="46" spans="1:14" s="3" customFormat="1" ht="15.75" x14ac:dyDescent="0.2">
      <c r="A46" s="38" t="s">
        <v>312</v>
      </c>
      <c r="B46" s="286"/>
      <c r="C46" s="287"/>
      <c r="D46" s="259"/>
      <c r="E46" s="27"/>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1024607</v>
      </c>
      <c r="C64" s="347">
        <v>635597.28078999999</v>
      </c>
      <c r="D64" s="344">
        <f t="shared" ref="D64:D109" si="7">IF(B64=0, "    ---- ", IF(ABS(ROUND(100/B64*C64-100,1))&lt;999,ROUND(100/B64*C64-100,1),IF(ROUND(100/B64*C64-100,1)&gt;999,999,-999)))</f>
        <v>-38</v>
      </c>
      <c r="E64" s="11">
        <f>IFERROR(100/'Skjema total MA'!C64*C64,0)</f>
        <v>11.833310575272572</v>
      </c>
      <c r="F64" s="346">
        <v>1533102.3060000001</v>
      </c>
      <c r="G64" s="346">
        <v>1796116.8829999999</v>
      </c>
      <c r="H64" s="344">
        <f t="shared" ref="H64:H109" si="8">IF(F64=0, "    ---- ", IF(ABS(ROUND(100/F64*G64-100,1))&lt;999,ROUND(100/F64*G64-100,1),IF(ROUND(100/F64*G64-100,1)&gt;999,999,-999)))</f>
        <v>17.2</v>
      </c>
      <c r="I64" s="11">
        <f>IFERROR(100/'Skjema total MA'!F64*G64,0)</f>
        <v>13.833998097805324</v>
      </c>
      <c r="J64" s="307">
        <v>2557709.3059999999</v>
      </c>
      <c r="K64" s="314">
        <v>2431714.1637899997</v>
      </c>
      <c r="L64" s="404">
        <f t="shared" ref="L64:L109" si="9">IF(J64=0, "    ---- ", IF(ABS(ROUND(100/J64*K64-100,1))&lt;999,ROUND(100/J64*K64-100,1),IF(ROUND(100/J64*K64-100,1)&gt;999,999,-999)))</f>
        <v>-4.9000000000000004</v>
      </c>
      <c r="M64" s="11">
        <f>IFERROR(100/'Skjema total MA'!I64*K64,0)</f>
        <v>13.248521008029023</v>
      </c>
    </row>
    <row r="65" spans="1:14" x14ac:dyDescent="0.2">
      <c r="A65" s="395" t="s">
        <v>9</v>
      </c>
      <c r="B65" s="44">
        <v>1001946</v>
      </c>
      <c r="C65" s="144">
        <v>620846.28078999999</v>
      </c>
      <c r="D65" s="165">
        <f t="shared" si="7"/>
        <v>-38</v>
      </c>
      <c r="E65" s="27">
        <f>IFERROR(100/'Skjema total MA'!C65*C65,0)</f>
        <v>12.098153402614729</v>
      </c>
      <c r="F65" s="234"/>
      <c r="G65" s="144"/>
      <c r="H65" s="165"/>
      <c r="I65" s="27"/>
      <c r="J65" s="290">
        <v>1001946</v>
      </c>
      <c r="K65" s="44">
        <v>620846.28078999999</v>
      </c>
      <c r="L65" s="259">
        <f t="shared" si="9"/>
        <v>-38</v>
      </c>
      <c r="M65" s="27">
        <f>IFERROR(100/'Skjema total MA'!I65*K65,0)</f>
        <v>12.098153402614729</v>
      </c>
    </row>
    <row r="66" spans="1:14" x14ac:dyDescent="0.2">
      <c r="A66" s="21" t="s">
        <v>10</v>
      </c>
      <c r="B66" s="292">
        <v>22661</v>
      </c>
      <c r="C66" s="293">
        <v>14751</v>
      </c>
      <c r="D66" s="165">
        <f t="shared" si="7"/>
        <v>-34.9</v>
      </c>
      <c r="E66" s="27">
        <f>IFERROR(100/'Skjema total MA'!C66*C66,0)</f>
        <v>12.556892428093461</v>
      </c>
      <c r="F66" s="292">
        <v>1533102.3060000001</v>
      </c>
      <c r="G66" s="293">
        <v>1796116.8829999999</v>
      </c>
      <c r="H66" s="165">
        <f t="shared" si="8"/>
        <v>17.2</v>
      </c>
      <c r="I66" s="27">
        <f>IFERROR(100/'Skjema total MA'!F66*G66,0)</f>
        <v>13.973094976800244</v>
      </c>
      <c r="J66" s="290">
        <v>1555763.3060000001</v>
      </c>
      <c r="K66" s="44">
        <v>1810867.8829999999</v>
      </c>
      <c r="L66" s="259">
        <f t="shared" si="9"/>
        <v>16.399999999999999</v>
      </c>
      <c r="M66" s="27">
        <f>IFERROR(100/'Skjema total MA'!I66*K66,0)</f>
        <v>13.960269553772147</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v>127962.71921</v>
      </c>
      <c r="D74" s="165" t="str">
        <f t="shared" ref="D74" si="10">IF(B74=0, "    ---- ", IF(ABS(ROUND(100/B74*C74-100,1))&lt;999,ROUND(100/B74*C74-100,1),IF(ROUND(100/B74*C74-100,1)&gt;999,999,-999)))</f>
        <v xml:space="preserve">    ---- </v>
      </c>
      <c r="E74" s="27">
        <f>IFERROR(100/'Skjema total MA'!C75*C74,0)</f>
        <v>2.5069757926360623</v>
      </c>
      <c r="F74" s="234"/>
      <c r="G74" s="144"/>
      <c r="H74" s="165"/>
      <c r="I74" s="27"/>
      <c r="J74" s="290"/>
      <c r="K74" s="44">
        <v>127962.71921</v>
      </c>
      <c r="L74" s="259" t="str">
        <f t="shared" ref="L74" si="11">IF(J74=0, "    ---- ", IF(ABS(ROUND(100/J74*K74-100,1))&lt;999,ROUND(100/J74*K74-100,1),IF(ROUND(100/J74*K74-100,1)&gt;999,999,-999)))</f>
        <v xml:space="preserve">    ---- </v>
      </c>
      <c r="M74" s="27">
        <f>IFERROR(100/'Skjema total MA'!I75*K74,0)</f>
        <v>0.71288490012885841</v>
      </c>
      <c r="N74" s="147"/>
    </row>
    <row r="75" spans="1:14" ht="15.75" x14ac:dyDescent="0.2">
      <c r="A75" s="21" t="s">
        <v>318</v>
      </c>
      <c r="B75" s="234">
        <v>1013919.846</v>
      </c>
      <c r="C75" s="234">
        <v>625948.95079000003</v>
      </c>
      <c r="D75" s="165">
        <f t="shared" si="7"/>
        <v>-38.299999999999997</v>
      </c>
      <c r="E75" s="27">
        <f>IFERROR(100/'Skjema total MA'!C75*C75,0)</f>
        <v>12.263250396243841</v>
      </c>
      <c r="F75" s="234">
        <v>1531021.679</v>
      </c>
      <c r="G75" s="144">
        <v>1793897.622</v>
      </c>
      <c r="H75" s="165">
        <f t="shared" si="8"/>
        <v>17.2</v>
      </c>
      <c r="I75" s="27">
        <f>IFERROR(100/'Skjema total MA'!F75*G75,0)</f>
        <v>13.964947541041225</v>
      </c>
      <c r="J75" s="290">
        <v>2544941.5249999999</v>
      </c>
      <c r="K75" s="44">
        <v>2419846.5727900001</v>
      </c>
      <c r="L75" s="259">
        <f t="shared" si="9"/>
        <v>-4.9000000000000004</v>
      </c>
      <c r="M75" s="27">
        <f>IFERROR(100/'Skjema total MA'!I75*K75,0)</f>
        <v>13.481052083142579</v>
      </c>
    </row>
    <row r="76" spans="1:14" x14ac:dyDescent="0.2">
      <c r="A76" s="21" t="s">
        <v>9</v>
      </c>
      <c r="B76" s="234">
        <v>993339.91200000001</v>
      </c>
      <c r="C76" s="144">
        <v>613417.80379000003</v>
      </c>
      <c r="D76" s="165">
        <f t="shared" si="7"/>
        <v>-38.200000000000003</v>
      </c>
      <c r="E76" s="27">
        <f>IFERROR(100/'Skjema total MA'!C76*C76,0)</f>
        <v>12.295374503000588</v>
      </c>
      <c r="F76" s="234"/>
      <c r="G76" s="144"/>
      <c r="H76" s="165"/>
      <c r="I76" s="27"/>
      <c r="J76" s="290">
        <v>993339.91200000001</v>
      </c>
      <c r="K76" s="44">
        <v>613417.80379000003</v>
      </c>
      <c r="L76" s="259">
        <f t="shared" si="9"/>
        <v>-38.200000000000003</v>
      </c>
      <c r="M76" s="27">
        <f>IFERROR(100/'Skjema total MA'!I76*K76,0)</f>
        <v>12.295374503000588</v>
      </c>
    </row>
    <row r="77" spans="1:14" x14ac:dyDescent="0.2">
      <c r="A77" s="21" t="s">
        <v>10</v>
      </c>
      <c r="B77" s="292">
        <v>20579.934000000001</v>
      </c>
      <c r="C77" s="293">
        <v>12531.147000000001</v>
      </c>
      <c r="D77" s="165">
        <f t="shared" si="7"/>
        <v>-39.1</v>
      </c>
      <c r="E77" s="27">
        <f>IFERROR(100/'Skjema total MA'!C77*C77,0)</f>
        <v>10.872684320618417</v>
      </c>
      <c r="F77" s="292">
        <v>1531021.679</v>
      </c>
      <c r="G77" s="293">
        <v>1793897.622</v>
      </c>
      <c r="H77" s="165">
        <f t="shared" si="8"/>
        <v>17.2</v>
      </c>
      <c r="I77" s="27">
        <f>IFERROR(100/'Skjema total MA'!F77*G77,0)</f>
        <v>13.964947541041225</v>
      </c>
      <c r="J77" s="290">
        <v>1551601.6129999999</v>
      </c>
      <c r="K77" s="44">
        <v>1806428.7690000001</v>
      </c>
      <c r="L77" s="259">
        <f t="shared" si="9"/>
        <v>16.399999999999999</v>
      </c>
      <c r="M77" s="27">
        <f>IFERROR(100/'Skjema total MA'!I77*K77,0)</f>
        <v>13.937450055416368</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v>10687.154</v>
      </c>
      <c r="C84" s="144">
        <v>9648.33</v>
      </c>
      <c r="D84" s="165">
        <f t="shared" si="7"/>
        <v>-9.6999999999999993</v>
      </c>
      <c r="E84" s="27">
        <f>IFERROR(100/'Skjema total MA'!C84*C84,0)</f>
        <v>6.6562587533742219</v>
      </c>
      <c r="F84" s="234">
        <v>2080.627</v>
      </c>
      <c r="G84" s="144">
        <v>2219.261</v>
      </c>
      <c r="H84" s="165">
        <f t="shared" si="8"/>
        <v>6.7</v>
      </c>
      <c r="I84" s="27">
        <f>IFERROR(100/'Skjema total MA'!F84*G84,0)</f>
        <v>26.444004671370891</v>
      </c>
      <c r="J84" s="290">
        <v>12767.781000000001</v>
      </c>
      <c r="K84" s="44">
        <v>11867.591</v>
      </c>
      <c r="L84" s="259">
        <f t="shared" si="9"/>
        <v>-7.1</v>
      </c>
      <c r="M84" s="27">
        <f>IFERROR(100/'Skjema total MA'!I84*K84,0)</f>
        <v>7.7392176434015356</v>
      </c>
    </row>
    <row r="85" spans="1:13" ht="15.75" x14ac:dyDescent="0.2">
      <c r="A85" s="13" t="s">
        <v>26</v>
      </c>
      <c r="B85" s="347">
        <v>42961509.82118576</v>
      </c>
      <c r="C85" s="347">
        <v>44444065.021754675</v>
      </c>
      <c r="D85" s="170">
        <f t="shared" si="7"/>
        <v>3.5</v>
      </c>
      <c r="E85" s="11">
        <f>IFERROR(100/'Skjema total MA'!C85*C85,0)</f>
        <v>11.889474577733223</v>
      </c>
      <c r="F85" s="346">
        <v>22990593.549698401</v>
      </c>
      <c r="G85" s="346">
        <v>28198131.252280101</v>
      </c>
      <c r="H85" s="170">
        <f t="shared" si="8"/>
        <v>22.7</v>
      </c>
      <c r="I85" s="11">
        <f>IFERROR(100/'Skjema total MA'!F85*G85,0)</f>
        <v>14.178007202069923</v>
      </c>
      <c r="J85" s="307">
        <v>65952103.370884165</v>
      </c>
      <c r="K85" s="236">
        <v>72642196.274034768</v>
      </c>
      <c r="L85" s="404">
        <f t="shared" si="9"/>
        <v>10.1</v>
      </c>
      <c r="M85" s="11">
        <f>IFERROR(100/'Skjema total MA'!I85*K85,0)</f>
        <v>12.684237585851054</v>
      </c>
    </row>
    <row r="86" spans="1:13" x14ac:dyDescent="0.2">
      <c r="A86" s="21" t="s">
        <v>9</v>
      </c>
      <c r="B86" s="234">
        <v>41832958.704135299</v>
      </c>
      <c r="C86" s="144">
        <v>43359888.438533798</v>
      </c>
      <c r="D86" s="165">
        <f t="shared" si="7"/>
        <v>3.7</v>
      </c>
      <c r="E86" s="27">
        <f>IFERROR(100/'Skjema total MA'!C86*C86,0)</f>
        <v>11.685145853168057</v>
      </c>
      <c r="F86" s="234"/>
      <c r="G86" s="144"/>
      <c r="H86" s="165"/>
      <c r="I86" s="27"/>
      <c r="J86" s="290">
        <v>41832958.704135299</v>
      </c>
      <c r="K86" s="44">
        <v>43359888.438533798</v>
      </c>
      <c r="L86" s="259">
        <f t="shared" si="9"/>
        <v>3.7</v>
      </c>
      <c r="M86" s="27">
        <f>IFERROR(100/'Skjema total MA'!I86*K86,0)</f>
        <v>11.685145853168057</v>
      </c>
    </row>
    <row r="87" spans="1:13" x14ac:dyDescent="0.2">
      <c r="A87" s="21" t="s">
        <v>10</v>
      </c>
      <c r="B87" s="234">
        <v>1128551.1170504601</v>
      </c>
      <c r="C87" s="144">
        <v>1084176.58322088</v>
      </c>
      <c r="D87" s="165">
        <f t="shared" si="7"/>
        <v>-3.9</v>
      </c>
      <c r="E87" s="27">
        <f>IFERROR(100/'Skjema total MA'!C87*C87,0)</f>
        <v>43.382690307302184</v>
      </c>
      <c r="F87" s="234">
        <v>22990593.549698401</v>
      </c>
      <c r="G87" s="144">
        <v>28198131.252280101</v>
      </c>
      <c r="H87" s="165">
        <f t="shared" si="8"/>
        <v>22.7</v>
      </c>
      <c r="I87" s="27">
        <f>IFERROR(100/'Skjema total MA'!F87*G87,0)</f>
        <v>14.203673990969435</v>
      </c>
      <c r="J87" s="290">
        <v>24119144.666748863</v>
      </c>
      <c r="K87" s="44">
        <v>29282307.835500982</v>
      </c>
      <c r="L87" s="259">
        <f t="shared" si="9"/>
        <v>21.4</v>
      </c>
      <c r="M87" s="27">
        <f>IFERROR(100/'Skjema total MA'!I87*K87,0)</f>
        <v>14.566419205292782</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v>1128.3910000000001</v>
      </c>
      <c r="D95" s="165" t="str">
        <f t="shared" ref="D95" si="12">IF(B95=0, "    ---- ", IF(ABS(ROUND(100/B95*C95-100,1))&lt;999,ROUND(100/B95*C95-100,1),IF(ROUND(100/B95*C95-100,1)&gt;999,999,-999)))</f>
        <v xml:space="preserve">    ---- </v>
      </c>
      <c r="E95" s="27">
        <f>IFERROR(100/'Skjema total MA'!C96*C95,0)</f>
        <v>3.0608022032760514E-4</v>
      </c>
      <c r="F95" s="234"/>
      <c r="G95" s="144"/>
      <c r="H95" s="165"/>
      <c r="I95" s="27"/>
      <c r="J95" s="290"/>
      <c r="K95" s="44">
        <v>1128.3910000000001</v>
      </c>
      <c r="L95" s="259" t="str">
        <f t="shared" ref="L95" si="13">IF(J95=0, "    ---- ", IF(ABS(ROUND(100/J95*K95-100,1))&lt;999,ROUND(100/J95*K95-100,1),IF(ROUND(100/J95*K95-100,1)&gt;999,999,-999)))</f>
        <v xml:space="preserve">    ---- </v>
      </c>
      <c r="M95" s="27">
        <f>IFERROR(100/'Skjema total MA'!I96*K95,0)</f>
        <v>1.9913269030805535E-4</v>
      </c>
    </row>
    <row r="96" spans="1:13" ht="15.75" x14ac:dyDescent="0.2">
      <c r="A96" s="21" t="s">
        <v>318</v>
      </c>
      <c r="B96" s="234">
        <v>42936376.809185758</v>
      </c>
      <c r="C96" s="234">
        <v>44419066.633754678</v>
      </c>
      <c r="D96" s="165">
        <f t="shared" si="7"/>
        <v>3.5</v>
      </c>
      <c r="E96" s="27">
        <f>IFERROR(100/'Skjema total MA'!C96*C96,0)</f>
        <v>12.04883564474212</v>
      </c>
      <c r="F96" s="292">
        <v>22976735.251698401</v>
      </c>
      <c r="G96" s="292">
        <v>28178991.197280101</v>
      </c>
      <c r="H96" s="165">
        <f t="shared" si="8"/>
        <v>22.6</v>
      </c>
      <c r="I96" s="27">
        <f>IFERROR(100/'Skjema total MA'!F96*G96,0)</f>
        <v>14.232228093929766</v>
      </c>
      <c r="J96" s="290">
        <v>65913112.060884163</v>
      </c>
      <c r="K96" s="44">
        <v>72598057.83103478</v>
      </c>
      <c r="L96" s="259">
        <f t="shared" si="9"/>
        <v>10.1</v>
      </c>
      <c r="M96" s="27">
        <f>IFERROR(100/'Skjema total MA'!I96*K96,0)</f>
        <v>12.811735087424253</v>
      </c>
    </row>
    <row r="97" spans="1:13" x14ac:dyDescent="0.2">
      <c r="A97" s="21" t="s">
        <v>9</v>
      </c>
      <c r="B97" s="292">
        <v>41807825.692135297</v>
      </c>
      <c r="C97" s="293">
        <v>43334890.050533801</v>
      </c>
      <c r="D97" s="165">
        <f t="shared" si="7"/>
        <v>3.7</v>
      </c>
      <c r="E97" s="27">
        <f>IFERROR(100/'Skjema total MA'!C97*C97,0)</f>
        <v>11.834976866542982</v>
      </c>
      <c r="F97" s="234"/>
      <c r="G97" s="144"/>
      <c r="H97" s="165"/>
      <c r="I97" s="27"/>
      <c r="J97" s="290">
        <v>41807825.692135297</v>
      </c>
      <c r="K97" s="44">
        <v>43334890.050533801</v>
      </c>
      <c r="L97" s="259">
        <f t="shared" si="9"/>
        <v>3.7</v>
      </c>
      <c r="M97" s="27">
        <f>IFERROR(100/'Skjema total MA'!I97*K97,0)</f>
        <v>11.834976866542982</v>
      </c>
    </row>
    <row r="98" spans="1:13" x14ac:dyDescent="0.2">
      <c r="A98" s="21" t="s">
        <v>10</v>
      </c>
      <c r="B98" s="292">
        <v>1128551.1170504601</v>
      </c>
      <c r="C98" s="293">
        <v>1084176.58322088</v>
      </c>
      <c r="D98" s="165">
        <f t="shared" si="7"/>
        <v>-3.9</v>
      </c>
      <c r="E98" s="27">
        <f>IFERROR(100/'Skjema total MA'!C98*C98,0)</f>
        <v>43.382690307302184</v>
      </c>
      <c r="F98" s="234">
        <v>22976735.251698401</v>
      </c>
      <c r="G98" s="234">
        <v>28178991.197280101</v>
      </c>
      <c r="H98" s="165">
        <f t="shared" si="8"/>
        <v>22.6</v>
      </c>
      <c r="I98" s="27">
        <f>IFERROR(100/'Skjema total MA'!F98*G98,0)</f>
        <v>14.232228093929766</v>
      </c>
      <c r="J98" s="290">
        <v>24105286.368748862</v>
      </c>
      <c r="K98" s="44">
        <v>29263167.780500982</v>
      </c>
      <c r="L98" s="259">
        <f t="shared" si="9"/>
        <v>21.4</v>
      </c>
      <c r="M98" s="27">
        <f>IFERROR(100/'Skjema total MA'!I98*K98,0)</f>
        <v>14.595581342992785</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v>25133.011999999999</v>
      </c>
      <c r="C105" s="144">
        <v>24998.387999999999</v>
      </c>
      <c r="D105" s="165">
        <f t="shared" si="7"/>
        <v>-0.5</v>
      </c>
      <c r="E105" s="27">
        <f>IFERROR(100/'Skjema total MA'!C105*C105,0)</f>
        <v>0.50924025465867717</v>
      </c>
      <c r="F105" s="234">
        <v>13858.298000000001</v>
      </c>
      <c r="G105" s="144">
        <v>19140.055</v>
      </c>
      <c r="H105" s="165">
        <f t="shared" si="8"/>
        <v>38.1</v>
      </c>
      <c r="I105" s="27">
        <f>IFERROR(100/'Skjema total MA'!F105*G105,0)</f>
        <v>3.5924306205725043</v>
      </c>
      <c r="J105" s="290">
        <v>38991.31</v>
      </c>
      <c r="K105" s="44">
        <v>44138.442999999999</v>
      </c>
      <c r="L105" s="259">
        <f t="shared" si="9"/>
        <v>13.2</v>
      </c>
      <c r="M105" s="27">
        <f>IFERROR(100/'Skjema total MA'!I105*K105,0)</f>
        <v>0.81110810724031634</v>
      </c>
    </row>
    <row r="106" spans="1:13" ht="15.75" x14ac:dyDescent="0.2">
      <c r="A106" s="21" t="s">
        <v>328</v>
      </c>
      <c r="B106" s="234">
        <v>27316095.845076401</v>
      </c>
      <c r="C106" s="234">
        <v>32591520.490515299</v>
      </c>
      <c r="D106" s="165">
        <f t="shared" si="7"/>
        <v>19.3</v>
      </c>
      <c r="E106" s="27">
        <f>IFERROR(100/'Skjema total MA'!C106*C106,0)</f>
        <v>11.137395903839444</v>
      </c>
      <c r="F106" s="234"/>
      <c r="G106" s="234"/>
      <c r="H106" s="165"/>
      <c r="I106" s="27"/>
      <c r="J106" s="290">
        <v>27316095.845076401</v>
      </c>
      <c r="K106" s="44">
        <v>32591520.490515299</v>
      </c>
      <c r="L106" s="259">
        <f t="shared" si="9"/>
        <v>19.3</v>
      </c>
      <c r="M106" s="27">
        <f>IFERROR(100/'Skjema total MA'!I106*K106,0)</f>
        <v>10.894921094067469</v>
      </c>
    </row>
    <row r="107" spans="1:13" ht="15.75" x14ac:dyDescent="0.2">
      <c r="A107" s="21" t="s">
        <v>320</v>
      </c>
      <c r="B107" s="234">
        <v>364288.64500000002</v>
      </c>
      <c r="C107" s="234">
        <v>387000.54399999999</v>
      </c>
      <c r="D107" s="165">
        <f t="shared" si="7"/>
        <v>6.2</v>
      </c>
      <c r="E107" s="27">
        <f>IFERROR(100/'Skjema total MA'!C107*C107,0)</f>
        <v>50.636587764165341</v>
      </c>
      <c r="F107" s="234">
        <v>8182597.3718019398</v>
      </c>
      <c r="G107" s="234">
        <v>11249709.821288001</v>
      </c>
      <c r="H107" s="165">
        <f t="shared" si="8"/>
        <v>37.5</v>
      </c>
      <c r="I107" s="27">
        <f>IFERROR(100/'Skjema total MA'!F107*G107,0)</f>
        <v>17.783337652263441</v>
      </c>
      <c r="J107" s="290">
        <v>8546886.0168019403</v>
      </c>
      <c r="K107" s="44">
        <v>11636710.365288001</v>
      </c>
      <c r="L107" s="259">
        <f t="shared" si="9"/>
        <v>36.200000000000003</v>
      </c>
      <c r="M107" s="27">
        <f>IFERROR(100/'Skjema total MA'!I107*K107,0)</f>
        <v>18.175514518664372</v>
      </c>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v>3379.8389999999999</v>
      </c>
      <c r="C109" s="158"/>
      <c r="D109" s="170">
        <f t="shared" si="7"/>
        <v>-100</v>
      </c>
      <c r="E109" s="11">
        <f>IFERROR(100/'Skjema total MA'!C109*C109,0)</f>
        <v>0</v>
      </c>
      <c r="F109" s="306">
        <v>472083.67460000003</v>
      </c>
      <c r="G109" s="158">
        <v>617767.728</v>
      </c>
      <c r="H109" s="170">
        <f t="shared" si="8"/>
        <v>30.9</v>
      </c>
      <c r="I109" s="11">
        <f>IFERROR(100/'Skjema total MA'!F109*G109,0)</f>
        <v>9.5471801159484126</v>
      </c>
      <c r="J109" s="307">
        <v>475463.51360000001</v>
      </c>
      <c r="K109" s="236">
        <v>617767.728</v>
      </c>
      <c r="L109" s="404">
        <f t="shared" si="9"/>
        <v>29.9</v>
      </c>
      <c r="M109" s="11">
        <f>IFERROR(100/'Skjema total MA'!I109*K109,0)</f>
        <v>9.0596883109622279</v>
      </c>
    </row>
    <row r="110" spans="1:13" x14ac:dyDescent="0.2">
      <c r="A110" s="21" t="s">
        <v>9</v>
      </c>
      <c r="B110" s="234">
        <v>3379.8389999999999</v>
      </c>
      <c r="C110" s="144"/>
      <c r="D110" s="165">
        <f t="shared" ref="D110:D123" si="14">IF(B110=0, "    ---- ", IF(ABS(ROUND(100/B110*C110-100,1))&lt;999,ROUND(100/B110*C110-100,1),IF(ROUND(100/B110*C110-100,1)&gt;999,999,-999)))</f>
        <v>-100</v>
      </c>
      <c r="E110" s="27">
        <f>IFERROR(100/'Skjema total MA'!C110*C110,0)</f>
        <v>0</v>
      </c>
      <c r="F110" s="234"/>
      <c r="G110" s="144"/>
      <c r="H110" s="165"/>
      <c r="I110" s="27"/>
      <c r="J110" s="290">
        <v>3379.8389999999999</v>
      </c>
      <c r="K110" s="44"/>
      <c r="L110" s="259">
        <f t="shared" ref="L110:L123" si="15">IF(J110=0, "    ---- ", IF(ABS(ROUND(100/J110*K110-100,1))&lt;999,ROUND(100/J110*K110-100,1),IF(ROUND(100/J110*K110-100,1)&gt;999,999,-999)))</f>
        <v>-100</v>
      </c>
      <c r="M110" s="27">
        <f>IFERROR(100/'Skjema total MA'!I110*K110,0)</f>
        <v>0</v>
      </c>
    </row>
    <row r="111" spans="1:13" x14ac:dyDescent="0.2">
      <c r="A111" s="21" t="s">
        <v>10</v>
      </c>
      <c r="B111" s="234"/>
      <c r="C111" s="144"/>
      <c r="D111" s="165"/>
      <c r="E111" s="27"/>
      <c r="F111" s="234">
        <v>472083.67460000003</v>
      </c>
      <c r="G111" s="144">
        <v>617767.728</v>
      </c>
      <c r="H111" s="165">
        <f t="shared" ref="H111:H123" si="16">IF(F111=0, "    ---- ", IF(ABS(ROUND(100/F111*G111-100,1))&lt;999,ROUND(100/F111*G111-100,1),IF(ROUND(100/F111*G111-100,1)&gt;999,999,-999)))</f>
        <v>30.9</v>
      </c>
      <c r="I111" s="27">
        <f>IFERROR(100/'Skjema total MA'!F111*G111,0)</f>
        <v>9.5471801159484126</v>
      </c>
      <c r="J111" s="290">
        <v>472083.67460000003</v>
      </c>
      <c r="K111" s="44">
        <v>617767.728</v>
      </c>
      <c r="L111" s="259">
        <f t="shared" si="15"/>
        <v>30.9</v>
      </c>
      <c r="M111" s="27">
        <f>IFERROR(100/'Skjema total MA'!I111*K111,0)</f>
        <v>9.5434498112774389</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v>438.46699999999998</v>
      </c>
      <c r="C114" s="234"/>
      <c r="D114" s="165">
        <f t="shared" si="14"/>
        <v>-100</v>
      </c>
      <c r="E114" s="27">
        <f>IFERROR(100/'Skjema total MA'!C114*C114,0)</f>
        <v>0</v>
      </c>
      <c r="F114" s="234"/>
      <c r="G114" s="234"/>
      <c r="H114" s="165"/>
      <c r="I114" s="27"/>
      <c r="J114" s="290">
        <v>438.46699999999998</v>
      </c>
      <c r="K114" s="44"/>
      <c r="L114" s="259">
        <f t="shared" si="15"/>
        <v>-100</v>
      </c>
      <c r="M114" s="27">
        <f>IFERROR(100/'Skjema total MA'!I114*K114,0)</f>
        <v>0</v>
      </c>
    </row>
    <row r="115" spans="1:14" ht="15.75" x14ac:dyDescent="0.2">
      <c r="A115" s="21" t="s">
        <v>322</v>
      </c>
      <c r="B115" s="234"/>
      <c r="C115" s="234"/>
      <c r="D115" s="165"/>
      <c r="E115" s="27"/>
      <c r="F115" s="234">
        <v>89424.589000000007</v>
      </c>
      <c r="G115" s="234">
        <v>162692.728</v>
      </c>
      <c r="H115" s="165">
        <f t="shared" si="16"/>
        <v>81.900000000000006</v>
      </c>
      <c r="I115" s="27">
        <f>IFERROR(100/'Skjema total MA'!F115*G115,0)</f>
        <v>14.72251756186825</v>
      </c>
      <c r="J115" s="290">
        <v>89424.589000000007</v>
      </c>
      <c r="K115" s="44">
        <v>162692.728</v>
      </c>
      <c r="L115" s="259">
        <f t="shared" si="15"/>
        <v>81.900000000000006</v>
      </c>
      <c r="M115" s="27">
        <f>IFERROR(100/'Skjema total MA'!I115*K115,0)</f>
        <v>14.72251756186825</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127539.40818</v>
      </c>
      <c r="C117" s="158">
        <v>56828.131709999798</v>
      </c>
      <c r="D117" s="170">
        <f t="shared" si="14"/>
        <v>-55.4</v>
      </c>
      <c r="E117" s="11">
        <f>IFERROR(100/'Skjema total MA'!C117*C117,0)</f>
        <v>19.37143632730324</v>
      </c>
      <c r="F117" s="306">
        <v>952649.59900000005</v>
      </c>
      <c r="G117" s="158">
        <v>1537598.8160000001</v>
      </c>
      <c r="H117" s="170">
        <f t="shared" si="16"/>
        <v>61.4</v>
      </c>
      <c r="I117" s="11">
        <f>IFERROR(100/'Skjema total MA'!F117*G117,0)</f>
        <v>23.849750500556137</v>
      </c>
      <c r="J117" s="307">
        <v>1080189.00718</v>
      </c>
      <c r="K117" s="236">
        <v>1594426.94771</v>
      </c>
      <c r="L117" s="404">
        <f t="shared" si="15"/>
        <v>47.6</v>
      </c>
      <c r="M117" s="11">
        <f>IFERROR(100/'Skjema total MA'!I117*K117,0)</f>
        <v>23.654841662507476</v>
      </c>
    </row>
    <row r="118" spans="1:14" x14ac:dyDescent="0.2">
      <c r="A118" s="21" t="s">
        <v>9</v>
      </c>
      <c r="B118" s="234">
        <v>126911.80018000001</v>
      </c>
      <c r="C118" s="144">
        <v>56828.131709999798</v>
      </c>
      <c r="D118" s="165">
        <f t="shared" si="14"/>
        <v>-55.2</v>
      </c>
      <c r="E118" s="27">
        <f>IFERROR(100/'Skjema total MA'!C118*C118,0)</f>
        <v>21.99926023605758</v>
      </c>
      <c r="F118" s="234"/>
      <c r="G118" s="144"/>
      <c r="H118" s="165"/>
      <c r="I118" s="27"/>
      <c r="J118" s="290">
        <v>126911.80018000001</v>
      </c>
      <c r="K118" s="44">
        <v>56828.131709999798</v>
      </c>
      <c r="L118" s="259">
        <f t="shared" si="15"/>
        <v>-55.2</v>
      </c>
      <c r="M118" s="27">
        <f>IFERROR(100/'Skjema total MA'!I118*K118,0)</f>
        <v>21.99926023605758</v>
      </c>
    </row>
    <row r="119" spans="1:14" x14ac:dyDescent="0.2">
      <c r="A119" s="21" t="s">
        <v>10</v>
      </c>
      <c r="B119" s="234">
        <v>627.60799999999995</v>
      </c>
      <c r="C119" s="144"/>
      <c r="D119" s="165">
        <f t="shared" si="14"/>
        <v>-100</v>
      </c>
      <c r="E119" s="27">
        <f>IFERROR(100/'Skjema total MA'!C119*C119,0)</f>
        <v>0</v>
      </c>
      <c r="F119" s="234">
        <v>952649.59900000005</v>
      </c>
      <c r="G119" s="144">
        <v>1537598.8160000001</v>
      </c>
      <c r="H119" s="165">
        <f t="shared" si="16"/>
        <v>61.4</v>
      </c>
      <c r="I119" s="27">
        <f>IFERROR(100/'Skjema total MA'!F119*G119,0)</f>
        <v>23.849750500556137</v>
      </c>
      <c r="J119" s="290">
        <v>953277.20700000005</v>
      </c>
      <c r="K119" s="44">
        <v>1537598.8160000001</v>
      </c>
      <c r="L119" s="259">
        <f t="shared" si="15"/>
        <v>61.3</v>
      </c>
      <c r="M119" s="27">
        <f>IFERROR(100/'Skjema total MA'!I119*K119,0)</f>
        <v>23.785511532703286</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v>3933.67</v>
      </c>
      <c r="C122" s="234"/>
      <c r="D122" s="165">
        <f t="shared" si="14"/>
        <v>-100</v>
      </c>
      <c r="E122" s="27">
        <f>IFERROR(100/'Skjema total MA'!C122*C122,0)</f>
        <v>0</v>
      </c>
      <c r="F122" s="234"/>
      <c r="G122" s="234"/>
      <c r="H122" s="165"/>
      <c r="I122" s="27"/>
      <c r="J122" s="290">
        <v>3933.67</v>
      </c>
      <c r="K122" s="44"/>
      <c r="L122" s="259">
        <f t="shared" si="15"/>
        <v>-100</v>
      </c>
      <c r="M122" s="27">
        <f>IFERROR(100/'Skjema total MA'!I122*K122,0)</f>
        <v>0</v>
      </c>
    </row>
    <row r="123" spans="1:14" ht="15.75" x14ac:dyDescent="0.2">
      <c r="A123" s="21" t="s">
        <v>320</v>
      </c>
      <c r="B123" s="234">
        <v>627.60799999999995</v>
      </c>
      <c r="C123" s="234"/>
      <c r="D123" s="165">
        <f t="shared" si="14"/>
        <v>-100</v>
      </c>
      <c r="E123" s="27">
        <f>IFERROR(100/'Skjema total MA'!C123*C123,0)</f>
        <v>0</v>
      </c>
      <c r="F123" s="234">
        <v>38146.695</v>
      </c>
      <c r="G123" s="234"/>
      <c r="H123" s="165">
        <f t="shared" si="16"/>
        <v>-100</v>
      </c>
      <c r="I123" s="27">
        <f>IFERROR(100/'Skjema total MA'!F123*G123,0)</f>
        <v>0</v>
      </c>
      <c r="J123" s="290">
        <v>38774.303</v>
      </c>
      <c r="K123" s="44"/>
      <c r="L123" s="259">
        <f t="shared" si="15"/>
        <v>-100</v>
      </c>
      <c r="M123" s="27">
        <f>IFERROR(100/'Skjema total MA'!I123*K123,0)</f>
        <v>0</v>
      </c>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655" priority="132">
      <formula>kvartal &lt; 4</formula>
    </cfRule>
  </conditionalFormatting>
  <conditionalFormatting sqref="B29">
    <cfRule type="expression" dxfId="654" priority="130">
      <formula>kvartal &lt; 4</formula>
    </cfRule>
  </conditionalFormatting>
  <conditionalFormatting sqref="B30">
    <cfRule type="expression" dxfId="653" priority="129">
      <formula>kvartal &lt; 4</formula>
    </cfRule>
  </conditionalFormatting>
  <conditionalFormatting sqref="B31">
    <cfRule type="expression" dxfId="652" priority="128">
      <formula>kvartal &lt; 4</formula>
    </cfRule>
  </conditionalFormatting>
  <conditionalFormatting sqref="C29">
    <cfRule type="expression" dxfId="651" priority="127">
      <formula>kvartal &lt; 4</formula>
    </cfRule>
  </conditionalFormatting>
  <conditionalFormatting sqref="C30">
    <cfRule type="expression" dxfId="650" priority="126">
      <formula>kvartal &lt; 4</formula>
    </cfRule>
  </conditionalFormatting>
  <conditionalFormatting sqref="C31">
    <cfRule type="expression" dxfId="649" priority="125">
      <formula>kvartal &lt; 4</formula>
    </cfRule>
  </conditionalFormatting>
  <conditionalFormatting sqref="B23:C25">
    <cfRule type="expression" dxfId="648" priority="124">
      <formula>kvartal &lt; 4</formula>
    </cfRule>
  </conditionalFormatting>
  <conditionalFormatting sqref="F23:G25">
    <cfRule type="expression" dxfId="647" priority="120">
      <formula>kvartal &lt; 4</formula>
    </cfRule>
  </conditionalFormatting>
  <conditionalFormatting sqref="F29">
    <cfRule type="expression" dxfId="646" priority="113">
      <formula>kvartal &lt; 4</formula>
    </cfRule>
  </conditionalFormatting>
  <conditionalFormatting sqref="F30">
    <cfRule type="expression" dxfId="645" priority="112">
      <formula>kvartal &lt; 4</formula>
    </cfRule>
  </conditionalFormatting>
  <conditionalFormatting sqref="F31">
    <cfRule type="expression" dxfId="644" priority="111">
      <formula>kvartal &lt; 4</formula>
    </cfRule>
  </conditionalFormatting>
  <conditionalFormatting sqref="G29">
    <cfRule type="expression" dxfId="643" priority="110">
      <formula>kvartal &lt; 4</formula>
    </cfRule>
  </conditionalFormatting>
  <conditionalFormatting sqref="G30">
    <cfRule type="expression" dxfId="642" priority="109">
      <formula>kvartal &lt; 4</formula>
    </cfRule>
  </conditionalFormatting>
  <conditionalFormatting sqref="G31">
    <cfRule type="expression" dxfId="641" priority="108">
      <formula>kvartal &lt; 4</formula>
    </cfRule>
  </conditionalFormatting>
  <conditionalFormatting sqref="B26">
    <cfRule type="expression" dxfId="640" priority="107">
      <formula>kvartal &lt; 4</formula>
    </cfRule>
  </conditionalFormatting>
  <conditionalFormatting sqref="C26">
    <cfRule type="expression" dxfId="639" priority="106">
      <formula>kvartal &lt; 4</formula>
    </cfRule>
  </conditionalFormatting>
  <conditionalFormatting sqref="F26">
    <cfRule type="expression" dxfId="638" priority="105">
      <formula>kvartal &lt; 4</formula>
    </cfRule>
  </conditionalFormatting>
  <conditionalFormatting sqref="G26">
    <cfRule type="expression" dxfId="637" priority="104">
      <formula>kvartal &lt; 4</formula>
    </cfRule>
  </conditionalFormatting>
  <conditionalFormatting sqref="J23:K26">
    <cfRule type="expression" dxfId="636" priority="103">
      <formula>kvartal &lt; 4</formula>
    </cfRule>
  </conditionalFormatting>
  <conditionalFormatting sqref="J29:K31">
    <cfRule type="expression" dxfId="635" priority="101">
      <formula>kvartal &lt; 4</formula>
    </cfRule>
  </conditionalFormatting>
  <conditionalFormatting sqref="B67">
    <cfRule type="expression" dxfId="634" priority="100">
      <formula>kvartal &lt; 4</formula>
    </cfRule>
  </conditionalFormatting>
  <conditionalFormatting sqref="C67">
    <cfRule type="expression" dxfId="633" priority="99">
      <formula>kvartal &lt; 4</formula>
    </cfRule>
  </conditionalFormatting>
  <conditionalFormatting sqref="B70">
    <cfRule type="expression" dxfId="632" priority="98">
      <formula>kvartal &lt; 4</formula>
    </cfRule>
  </conditionalFormatting>
  <conditionalFormatting sqref="C70">
    <cfRule type="expression" dxfId="631" priority="97">
      <formula>kvartal &lt; 4</formula>
    </cfRule>
  </conditionalFormatting>
  <conditionalFormatting sqref="B78">
    <cfRule type="expression" dxfId="630" priority="96">
      <formula>kvartal &lt; 4</formula>
    </cfRule>
  </conditionalFormatting>
  <conditionalFormatting sqref="C78">
    <cfRule type="expression" dxfId="629" priority="95">
      <formula>kvartal &lt; 4</formula>
    </cfRule>
  </conditionalFormatting>
  <conditionalFormatting sqref="B81">
    <cfRule type="expression" dxfId="628" priority="94">
      <formula>kvartal &lt; 4</formula>
    </cfRule>
  </conditionalFormatting>
  <conditionalFormatting sqref="C81">
    <cfRule type="expression" dxfId="627" priority="93">
      <formula>kvartal &lt; 4</formula>
    </cfRule>
  </conditionalFormatting>
  <conditionalFormatting sqref="B88">
    <cfRule type="expression" dxfId="626" priority="84">
      <formula>kvartal &lt; 4</formula>
    </cfRule>
  </conditionalFormatting>
  <conditionalFormatting sqref="C88">
    <cfRule type="expression" dxfId="625" priority="83">
      <formula>kvartal &lt; 4</formula>
    </cfRule>
  </conditionalFormatting>
  <conditionalFormatting sqref="B91">
    <cfRule type="expression" dxfId="624" priority="82">
      <formula>kvartal &lt; 4</formula>
    </cfRule>
  </conditionalFormatting>
  <conditionalFormatting sqref="C91">
    <cfRule type="expression" dxfId="623" priority="81">
      <formula>kvartal &lt; 4</formula>
    </cfRule>
  </conditionalFormatting>
  <conditionalFormatting sqref="B99">
    <cfRule type="expression" dxfId="622" priority="80">
      <formula>kvartal &lt; 4</formula>
    </cfRule>
  </conditionalFormatting>
  <conditionalFormatting sqref="C99">
    <cfRule type="expression" dxfId="621" priority="79">
      <formula>kvartal &lt; 4</formula>
    </cfRule>
  </conditionalFormatting>
  <conditionalFormatting sqref="B102">
    <cfRule type="expression" dxfId="620" priority="78">
      <formula>kvartal &lt; 4</formula>
    </cfRule>
  </conditionalFormatting>
  <conditionalFormatting sqref="C102">
    <cfRule type="expression" dxfId="619" priority="77">
      <formula>kvartal &lt; 4</formula>
    </cfRule>
  </conditionalFormatting>
  <conditionalFormatting sqref="B113">
    <cfRule type="expression" dxfId="618" priority="76">
      <formula>kvartal &lt; 4</formula>
    </cfRule>
  </conditionalFormatting>
  <conditionalFormatting sqref="C113">
    <cfRule type="expression" dxfId="617" priority="75">
      <formula>kvartal &lt; 4</formula>
    </cfRule>
  </conditionalFormatting>
  <conditionalFormatting sqref="B121">
    <cfRule type="expression" dxfId="616" priority="74">
      <formula>kvartal &lt; 4</formula>
    </cfRule>
  </conditionalFormatting>
  <conditionalFormatting sqref="C121">
    <cfRule type="expression" dxfId="615" priority="73">
      <formula>kvartal &lt; 4</formula>
    </cfRule>
  </conditionalFormatting>
  <conditionalFormatting sqref="F68">
    <cfRule type="expression" dxfId="614" priority="72">
      <formula>kvartal &lt; 4</formula>
    </cfRule>
  </conditionalFormatting>
  <conditionalFormatting sqref="G68">
    <cfRule type="expression" dxfId="613" priority="71">
      <formula>kvartal &lt; 4</formula>
    </cfRule>
  </conditionalFormatting>
  <conditionalFormatting sqref="F69:G69">
    <cfRule type="expression" dxfId="612" priority="70">
      <formula>kvartal &lt; 4</formula>
    </cfRule>
  </conditionalFormatting>
  <conditionalFormatting sqref="F71:G72">
    <cfRule type="expression" dxfId="611" priority="69">
      <formula>kvartal &lt; 4</formula>
    </cfRule>
  </conditionalFormatting>
  <conditionalFormatting sqref="F79:G80">
    <cfRule type="expression" dxfId="610" priority="68">
      <formula>kvartal &lt; 4</formula>
    </cfRule>
  </conditionalFormatting>
  <conditionalFormatting sqref="F82:G83">
    <cfRule type="expression" dxfId="609" priority="67">
      <formula>kvartal &lt; 4</formula>
    </cfRule>
  </conditionalFormatting>
  <conditionalFormatting sqref="F89:G90">
    <cfRule type="expression" dxfId="608" priority="62">
      <formula>kvartal &lt; 4</formula>
    </cfRule>
  </conditionalFormatting>
  <conditionalFormatting sqref="F92:G93">
    <cfRule type="expression" dxfId="607" priority="61">
      <formula>kvartal &lt; 4</formula>
    </cfRule>
  </conditionalFormatting>
  <conditionalFormatting sqref="F100:G101">
    <cfRule type="expression" dxfId="606" priority="60">
      <formula>kvartal &lt; 4</formula>
    </cfRule>
  </conditionalFormatting>
  <conditionalFormatting sqref="F103:G104">
    <cfRule type="expression" dxfId="605" priority="59">
      <formula>kvartal &lt; 4</formula>
    </cfRule>
  </conditionalFormatting>
  <conditionalFormatting sqref="F113">
    <cfRule type="expression" dxfId="604" priority="58">
      <formula>kvartal &lt; 4</formula>
    </cfRule>
  </conditionalFormatting>
  <conditionalFormatting sqref="G113">
    <cfRule type="expression" dxfId="603" priority="57">
      <formula>kvartal &lt; 4</formula>
    </cfRule>
  </conditionalFormatting>
  <conditionalFormatting sqref="F121:G121">
    <cfRule type="expression" dxfId="602" priority="56">
      <formula>kvartal &lt; 4</formula>
    </cfRule>
  </conditionalFormatting>
  <conditionalFormatting sqref="F67:G67">
    <cfRule type="expression" dxfId="601" priority="55">
      <formula>kvartal &lt; 4</formula>
    </cfRule>
  </conditionalFormatting>
  <conditionalFormatting sqref="F70:G70">
    <cfRule type="expression" dxfId="600" priority="54">
      <formula>kvartal &lt; 4</formula>
    </cfRule>
  </conditionalFormatting>
  <conditionalFormatting sqref="F78:G78">
    <cfRule type="expression" dxfId="599" priority="53">
      <formula>kvartal &lt; 4</formula>
    </cfRule>
  </conditionalFormatting>
  <conditionalFormatting sqref="F81:G81">
    <cfRule type="expression" dxfId="598" priority="52">
      <formula>kvartal &lt; 4</formula>
    </cfRule>
  </conditionalFormatting>
  <conditionalFormatting sqref="F88:G88">
    <cfRule type="expression" dxfId="597" priority="46">
      <formula>kvartal &lt; 4</formula>
    </cfRule>
  </conditionalFormatting>
  <conditionalFormatting sqref="F91">
    <cfRule type="expression" dxfId="596" priority="45">
      <formula>kvartal &lt; 4</formula>
    </cfRule>
  </conditionalFormatting>
  <conditionalFormatting sqref="G91">
    <cfRule type="expression" dxfId="595" priority="44">
      <formula>kvartal &lt; 4</formula>
    </cfRule>
  </conditionalFormatting>
  <conditionalFormatting sqref="F99">
    <cfRule type="expression" dxfId="594" priority="43">
      <formula>kvartal &lt; 4</formula>
    </cfRule>
  </conditionalFormatting>
  <conditionalFormatting sqref="G99">
    <cfRule type="expression" dxfId="593" priority="42">
      <formula>kvartal &lt; 4</formula>
    </cfRule>
  </conditionalFormatting>
  <conditionalFormatting sqref="G102">
    <cfRule type="expression" dxfId="592" priority="41">
      <formula>kvartal &lt; 4</formula>
    </cfRule>
  </conditionalFormatting>
  <conditionalFormatting sqref="F102">
    <cfRule type="expression" dxfId="591" priority="40">
      <formula>kvartal &lt; 4</formula>
    </cfRule>
  </conditionalFormatting>
  <conditionalFormatting sqref="J67:K71">
    <cfRule type="expression" dxfId="590" priority="39">
      <formula>kvartal &lt; 4</formula>
    </cfRule>
  </conditionalFormatting>
  <conditionalFormatting sqref="J72:K72">
    <cfRule type="expression" dxfId="589" priority="38">
      <formula>kvartal &lt; 4</formula>
    </cfRule>
  </conditionalFormatting>
  <conditionalFormatting sqref="J78:K83">
    <cfRule type="expression" dxfId="588" priority="37">
      <formula>kvartal &lt; 4</formula>
    </cfRule>
  </conditionalFormatting>
  <conditionalFormatting sqref="J88:K93">
    <cfRule type="expression" dxfId="587" priority="34">
      <formula>kvartal &lt; 4</formula>
    </cfRule>
  </conditionalFormatting>
  <conditionalFormatting sqref="J99:K104">
    <cfRule type="expression" dxfId="586" priority="33">
      <formula>kvartal &lt; 4</formula>
    </cfRule>
  </conditionalFormatting>
  <conditionalFormatting sqref="J113:K113">
    <cfRule type="expression" dxfId="585" priority="32">
      <formula>kvartal &lt; 4</formula>
    </cfRule>
  </conditionalFormatting>
  <conditionalFormatting sqref="J121:K121">
    <cfRule type="expression" dxfId="584" priority="31">
      <formula>kvartal &lt; 4</formula>
    </cfRule>
  </conditionalFormatting>
  <conditionalFormatting sqref="A23:A25">
    <cfRule type="expression" dxfId="583" priority="15">
      <formula>kvartal &lt; 4</formula>
    </cfRule>
  </conditionalFormatting>
  <conditionalFormatting sqref="A29:A31">
    <cfRule type="expression" dxfId="582" priority="13">
      <formula>kvartal &lt; 4</formula>
    </cfRule>
  </conditionalFormatting>
  <conditionalFormatting sqref="A48:A50">
    <cfRule type="expression" dxfId="581" priority="12">
      <formula>kvartal &lt; 4</formula>
    </cfRule>
  </conditionalFormatting>
  <conditionalFormatting sqref="A67:A72">
    <cfRule type="expression" dxfId="580" priority="10">
      <formula>kvartal &lt; 4</formula>
    </cfRule>
  </conditionalFormatting>
  <conditionalFormatting sqref="A78:A83">
    <cfRule type="expression" dxfId="579" priority="9">
      <formula>kvartal &lt; 4</formula>
    </cfRule>
  </conditionalFormatting>
  <conditionalFormatting sqref="A88:A93">
    <cfRule type="expression" dxfId="578" priority="6">
      <formula>kvartal &lt; 4</formula>
    </cfRule>
  </conditionalFormatting>
  <conditionalFormatting sqref="A99:A104">
    <cfRule type="expression" dxfId="577" priority="5">
      <formula>kvartal &lt; 4</formula>
    </cfRule>
  </conditionalFormatting>
  <conditionalFormatting sqref="A113">
    <cfRule type="expression" dxfId="576" priority="4">
      <formula>kvartal &lt; 4</formula>
    </cfRule>
  </conditionalFormatting>
  <conditionalFormatting sqref="A121">
    <cfRule type="expression" dxfId="575" priority="3">
      <formula>kvartal &lt; 4</formula>
    </cfRule>
  </conditionalFormatting>
  <conditionalFormatting sqref="A26">
    <cfRule type="expression" dxfId="574" priority="2">
      <formula>kvartal &lt; 4</formula>
    </cfRule>
  </conditionalFormatting>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108</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26</v>
      </c>
      <c r="C45" s="309">
        <v>16365</v>
      </c>
      <c r="D45" s="403">
        <f t="shared" ref="D45:D46" si="0">IF(B45=0, "    ---- ", IF(ABS(ROUND(100/B45*C45-100,1))&lt;999,ROUND(100/B45*C45-100,1),IF(ROUND(100/B45*C45-100,1)&gt;999,999,-999)))</f>
        <v>999</v>
      </c>
      <c r="E45" s="11">
        <f>IFERROR(100/'Skjema total MA'!C45*C45,0)</f>
        <v>0.59682756445531826</v>
      </c>
      <c r="F45" s="144"/>
      <c r="G45" s="33"/>
      <c r="H45" s="158"/>
      <c r="I45" s="158"/>
      <c r="J45" s="37"/>
      <c r="K45" s="37"/>
      <c r="L45" s="158"/>
      <c r="M45" s="158"/>
      <c r="N45" s="147"/>
    </row>
    <row r="46" spans="1:14" s="3" customFormat="1" ht="15.75" x14ac:dyDescent="0.2">
      <c r="A46" s="38" t="s">
        <v>312</v>
      </c>
      <c r="B46" s="286">
        <v>26</v>
      </c>
      <c r="C46" s="287">
        <v>16365</v>
      </c>
      <c r="D46" s="259">
        <f t="shared" si="0"/>
        <v>999</v>
      </c>
      <c r="E46" s="27">
        <f>IFERROR(100/'Skjema total MA'!C46*C46,0)</f>
        <v>1.1243325325900861</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v>1315411</v>
      </c>
      <c r="C132" s="307">
        <v>1508392</v>
      </c>
      <c r="D132" s="344">
        <f t="shared" ref="D132:D133" si="1">IF(B132=0, "    ---- ", IF(ABS(ROUND(100/B132*C132-100,1))&lt;999,ROUND(100/B132*C132-100,1),IF(ROUND(100/B132*C132-100,1)&gt;999,999,-999)))</f>
        <v>14.7</v>
      </c>
      <c r="E132" s="11">
        <f>IFERROR(100/'Skjema total MA'!C132*C132,0)</f>
        <v>9.1298361142407725</v>
      </c>
      <c r="F132" s="314"/>
      <c r="G132" s="315"/>
      <c r="H132" s="407"/>
      <c r="I132" s="24"/>
      <c r="J132" s="316">
        <v>1315411</v>
      </c>
      <c r="K132" s="316">
        <v>1508392</v>
      </c>
      <c r="L132" s="403">
        <f t="shared" ref="L132:L133" si="2">IF(J132=0, "    ---- ", IF(ABS(ROUND(100/J132*K132-100,1))&lt;999,ROUND(100/J132*K132-100,1),IF(ROUND(100/J132*K132-100,1)&gt;999,999,-999)))</f>
        <v>14.7</v>
      </c>
      <c r="M132" s="11">
        <f>IFERROR(100/'Skjema total MA'!I132*K132,0)</f>
        <v>9.1010283484653378</v>
      </c>
      <c r="N132" s="147"/>
    </row>
    <row r="133" spans="1:14" s="3" customFormat="1" ht="15.75" x14ac:dyDescent="0.2">
      <c r="A133" s="13" t="s">
        <v>324</v>
      </c>
      <c r="B133" s="236">
        <v>61571650</v>
      </c>
      <c r="C133" s="307">
        <v>66551653</v>
      </c>
      <c r="D133" s="170">
        <f t="shared" si="1"/>
        <v>8.1</v>
      </c>
      <c r="E133" s="11">
        <f>IFERROR(100/'Skjema total MA'!C133*C133,0)</f>
        <v>13.269777900394784</v>
      </c>
      <c r="F133" s="236"/>
      <c r="G133" s="307"/>
      <c r="H133" s="408"/>
      <c r="I133" s="24"/>
      <c r="J133" s="306">
        <v>61571650</v>
      </c>
      <c r="K133" s="306">
        <v>66551653</v>
      </c>
      <c r="L133" s="404">
        <f t="shared" si="2"/>
        <v>8.1</v>
      </c>
      <c r="M133" s="11">
        <f>IFERROR(100/'Skjema total MA'!I133*K133,0)</f>
        <v>13.209493317509375</v>
      </c>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573" priority="132">
      <formula>kvartal &lt; 4</formula>
    </cfRule>
  </conditionalFormatting>
  <conditionalFormatting sqref="B29">
    <cfRule type="expression" dxfId="572" priority="130">
      <formula>kvartal &lt; 4</formula>
    </cfRule>
  </conditionalFormatting>
  <conditionalFormatting sqref="B30">
    <cfRule type="expression" dxfId="571" priority="129">
      <formula>kvartal &lt; 4</formula>
    </cfRule>
  </conditionalFormatting>
  <conditionalFormatting sqref="B31">
    <cfRule type="expression" dxfId="570" priority="128">
      <formula>kvartal &lt; 4</formula>
    </cfRule>
  </conditionalFormatting>
  <conditionalFormatting sqref="C29">
    <cfRule type="expression" dxfId="569" priority="127">
      <formula>kvartal &lt; 4</formula>
    </cfRule>
  </conditionalFormatting>
  <conditionalFormatting sqref="C30">
    <cfRule type="expression" dxfId="568" priority="126">
      <formula>kvartal &lt; 4</formula>
    </cfRule>
  </conditionalFormatting>
  <conditionalFormatting sqref="C31">
    <cfRule type="expression" dxfId="567" priority="125">
      <formula>kvartal &lt; 4</formula>
    </cfRule>
  </conditionalFormatting>
  <conditionalFormatting sqref="B23:C25">
    <cfRule type="expression" dxfId="566" priority="124">
      <formula>kvartal &lt; 4</formula>
    </cfRule>
  </conditionalFormatting>
  <conditionalFormatting sqref="F23:G25">
    <cfRule type="expression" dxfId="565" priority="120">
      <formula>kvartal &lt; 4</formula>
    </cfRule>
  </conditionalFormatting>
  <conditionalFormatting sqref="F29">
    <cfRule type="expression" dxfId="564" priority="113">
      <formula>kvartal &lt; 4</formula>
    </cfRule>
  </conditionalFormatting>
  <conditionalFormatting sqref="F30">
    <cfRule type="expression" dxfId="563" priority="112">
      <formula>kvartal &lt; 4</formula>
    </cfRule>
  </conditionalFormatting>
  <conditionalFormatting sqref="F31">
    <cfRule type="expression" dxfId="562" priority="111">
      <formula>kvartal &lt; 4</formula>
    </cfRule>
  </conditionalFormatting>
  <conditionalFormatting sqref="G29">
    <cfRule type="expression" dxfId="561" priority="110">
      <formula>kvartal &lt; 4</formula>
    </cfRule>
  </conditionalFormatting>
  <conditionalFormatting sqref="G30">
    <cfRule type="expression" dxfId="560" priority="109">
      <formula>kvartal &lt; 4</formula>
    </cfRule>
  </conditionalFormatting>
  <conditionalFormatting sqref="G31">
    <cfRule type="expression" dxfId="559" priority="108">
      <formula>kvartal &lt; 4</formula>
    </cfRule>
  </conditionalFormatting>
  <conditionalFormatting sqref="B26">
    <cfRule type="expression" dxfId="558" priority="107">
      <formula>kvartal &lt; 4</formula>
    </cfRule>
  </conditionalFormatting>
  <conditionalFormatting sqref="C26">
    <cfRule type="expression" dxfId="557" priority="106">
      <formula>kvartal &lt; 4</formula>
    </cfRule>
  </conditionalFormatting>
  <conditionalFormatting sqref="F26">
    <cfRule type="expression" dxfId="556" priority="105">
      <formula>kvartal &lt; 4</formula>
    </cfRule>
  </conditionalFormatting>
  <conditionalFormatting sqref="G26">
    <cfRule type="expression" dxfId="555" priority="104">
      <formula>kvartal &lt; 4</formula>
    </cfRule>
  </conditionalFormatting>
  <conditionalFormatting sqref="J23:K26">
    <cfRule type="expression" dxfId="554" priority="103">
      <formula>kvartal &lt; 4</formula>
    </cfRule>
  </conditionalFormatting>
  <conditionalFormatting sqref="J29:K31">
    <cfRule type="expression" dxfId="553" priority="101">
      <formula>kvartal &lt; 4</formula>
    </cfRule>
  </conditionalFormatting>
  <conditionalFormatting sqref="B67">
    <cfRule type="expression" dxfId="552" priority="100">
      <formula>kvartal &lt; 4</formula>
    </cfRule>
  </conditionalFormatting>
  <conditionalFormatting sqref="C67">
    <cfRule type="expression" dxfId="551" priority="99">
      <formula>kvartal &lt; 4</formula>
    </cfRule>
  </conditionalFormatting>
  <conditionalFormatting sqref="B70">
    <cfRule type="expression" dxfId="550" priority="98">
      <formula>kvartal &lt; 4</formula>
    </cfRule>
  </conditionalFormatting>
  <conditionalFormatting sqref="C70">
    <cfRule type="expression" dxfId="549" priority="97">
      <formula>kvartal &lt; 4</formula>
    </cfRule>
  </conditionalFormatting>
  <conditionalFormatting sqref="B78">
    <cfRule type="expression" dxfId="548" priority="96">
      <formula>kvartal &lt; 4</formula>
    </cfRule>
  </conditionalFormatting>
  <conditionalFormatting sqref="C78">
    <cfRule type="expression" dxfId="547" priority="95">
      <formula>kvartal &lt; 4</formula>
    </cfRule>
  </conditionalFormatting>
  <conditionalFormatting sqref="B81">
    <cfRule type="expression" dxfId="546" priority="94">
      <formula>kvartal &lt; 4</formula>
    </cfRule>
  </conditionalFormatting>
  <conditionalFormatting sqref="C81">
    <cfRule type="expression" dxfId="545" priority="93">
      <formula>kvartal &lt; 4</formula>
    </cfRule>
  </conditionalFormatting>
  <conditionalFormatting sqref="B88">
    <cfRule type="expression" dxfId="544" priority="84">
      <formula>kvartal &lt; 4</formula>
    </cfRule>
  </conditionalFormatting>
  <conditionalFormatting sqref="C88">
    <cfRule type="expression" dxfId="543" priority="83">
      <formula>kvartal &lt; 4</formula>
    </cfRule>
  </conditionalFormatting>
  <conditionalFormatting sqref="B91">
    <cfRule type="expression" dxfId="542" priority="82">
      <formula>kvartal &lt; 4</formula>
    </cfRule>
  </conditionalFormatting>
  <conditionalFormatting sqref="C91">
    <cfRule type="expression" dxfId="541" priority="81">
      <formula>kvartal &lt; 4</formula>
    </cfRule>
  </conditionalFormatting>
  <conditionalFormatting sqref="B99">
    <cfRule type="expression" dxfId="540" priority="80">
      <formula>kvartal &lt; 4</formula>
    </cfRule>
  </conditionalFormatting>
  <conditionalFormatting sqref="C99">
    <cfRule type="expression" dxfId="539" priority="79">
      <formula>kvartal &lt; 4</formula>
    </cfRule>
  </conditionalFormatting>
  <conditionalFormatting sqref="B102">
    <cfRule type="expression" dxfId="538" priority="78">
      <formula>kvartal &lt; 4</formula>
    </cfRule>
  </conditionalFormatting>
  <conditionalFormatting sqref="C102">
    <cfRule type="expression" dxfId="537" priority="77">
      <formula>kvartal &lt; 4</formula>
    </cfRule>
  </conditionalFormatting>
  <conditionalFormatting sqref="B113">
    <cfRule type="expression" dxfId="536" priority="76">
      <formula>kvartal &lt; 4</formula>
    </cfRule>
  </conditionalFormatting>
  <conditionalFormatting sqref="C113">
    <cfRule type="expression" dxfId="535" priority="75">
      <formula>kvartal &lt; 4</formula>
    </cfRule>
  </conditionalFormatting>
  <conditionalFormatting sqref="B121">
    <cfRule type="expression" dxfId="534" priority="74">
      <formula>kvartal &lt; 4</formula>
    </cfRule>
  </conditionalFormatting>
  <conditionalFormatting sqref="C121">
    <cfRule type="expression" dxfId="533" priority="73">
      <formula>kvartal &lt; 4</formula>
    </cfRule>
  </conditionalFormatting>
  <conditionalFormatting sqref="F68">
    <cfRule type="expression" dxfId="532" priority="72">
      <formula>kvartal &lt; 4</formula>
    </cfRule>
  </conditionalFormatting>
  <conditionalFormatting sqref="G68">
    <cfRule type="expression" dxfId="531" priority="71">
      <formula>kvartal &lt; 4</formula>
    </cfRule>
  </conditionalFormatting>
  <conditionalFormatting sqref="F69:G69">
    <cfRule type="expression" dxfId="530" priority="70">
      <formula>kvartal &lt; 4</formula>
    </cfRule>
  </conditionalFormatting>
  <conditionalFormatting sqref="F71:G72">
    <cfRule type="expression" dxfId="529" priority="69">
      <formula>kvartal &lt; 4</formula>
    </cfRule>
  </conditionalFormatting>
  <conditionalFormatting sqref="F79:G80">
    <cfRule type="expression" dxfId="528" priority="68">
      <formula>kvartal &lt; 4</formula>
    </cfRule>
  </conditionalFormatting>
  <conditionalFormatting sqref="F82:G83">
    <cfRule type="expression" dxfId="527" priority="67">
      <formula>kvartal &lt; 4</formula>
    </cfRule>
  </conditionalFormatting>
  <conditionalFormatting sqref="F89:G90">
    <cfRule type="expression" dxfId="526" priority="62">
      <formula>kvartal &lt; 4</formula>
    </cfRule>
  </conditionalFormatting>
  <conditionalFormatting sqref="F92:G93">
    <cfRule type="expression" dxfId="525" priority="61">
      <formula>kvartal &lt; 4</formula>
    </cfRule>
  </conditionalFormatting>
  <conditionalFormatting sqref="F100:G101">
    <cfRule type="expression" dxfId="524" priority="60">
      <formula>kvartal &lt; 4</formula>
    </cfRule>
  </conditionalFormatting>
  <conditionalFormatting sqref="F103:G104">
    <cfRule type="expression" dxfId="523" priority="59">
      <formula>kvartal &lt; 4</formula>
    </cfRule>
  </conditionalFormatting>
  <conditionalFormatting sqref="F113">
    <cfRule type="expression" dxfId="522" priority="58">
      <formula>kvartal &lt; 4</formula>
    </cfRule>
  </conditionalFormatting>
  <conditionalFormatting sqref="G113">
    <cfRule type="expression" dxfId="521" priority="57">
      <formula>kvartal &lt; 4</formula>
    </cfRule>
  </conditionalFormatting>
  <conditionalFormatting sqref="F121:G121">
    <cfRule type="expression" dxfId="520" priority="56">
      <formula>kvartal &lt; 4</formula>
    </cfRule>
  </conditionalFormatting>
  <conditionalFormatting sqref="F67:G67">
    <cfRule type="expression" dxfId="519" priority="55">
      <formula>kvartal &lt; 4</formula>
    </cfRule>
  </conditionalFormatting>
  <conditionalFormatting sqref="F70:G70">
    <cfRule type="expression" dxfId="518" priority="54">
      <formula>kvartal &lt; 4</formula>
    </cfRule>
  </conditionalFormatting>
  <conditionalFormatting sqref="F78:G78">
    <cfRule type="expression" dxfId="517" priority="53">
      <formula>kvartal &lt; 4</formula>
    </cfRule>
  </conditionalFormatting>
  <conditionalFormatting sqref="F81:G81">
    <cfRule type="expression" dxfId="516" priority="52">
      <formula>kvartal &lt; 4</formula>
    </cfRule>
  </conditionalFormatting>
  <conditionalFormatting sqref="F88:G88">
    <cfRule type="expression" dxfId="515" priority="46">
      <formula>kvartal &lt; 4</formula>
    </cfRule>
  </conditionalFormatting>
  <conditionalFormatting sqref="F91">
    <cfRule type="expression" dxfId="514" priority="45">
      <formula>kvartal &lt; 4</formula>
    </cfRule>
  </conditionalFormatting>
  <conditionalFormatting sqref="G91">
    <cfRule type="expression" dxfId="513" priority="44">
      <formula>kvartal &lt; 4</formula>
    </cfRule>
  </conditionalFormatting>
  <conditionalFormatting sqref="F99">
    <cfRule type="expression" dxfId="512" priority="43">
      <formula>kvartal &lt; 4</formula>
    </cfRule>
  </conditionalFormatting>
  <conditionalFormatting sqref="G99">
    <cfRule type="expression" dxfId="511" priority="42">
      <formula>kvartal &lt; 4</formula>
    </cfRule>
  </conditionalFormatting>
  <conditionalFormatting sqref="G102">
    <cfRule type="expression" dxfId="510" priority="41">
      <formula>kvartal &lt; 4</formula>
    </cfRule>
  </conditionalFormatting>
  <conditionalFormatting sqref="F102">
    <cfRule type="expression" dxfId="509" priority="40">
      <formula>kvartal &lt; 4</formula>
    </cfRule>
  </conditionalFormatting>
  <conditionalFormatting sqref="J67:K71">
    <cfRule type="expression" dxfId="508" priority="39">
      <formula>kvartal &lt; 4</formula>
    </cfRule>
  </conditionalFormatting>
  <conditionalFormatting sqref="J72:K72">
    <cfRule type="expression" dxfId="507" priority="38">
      <formula>kvartal &lt; 4</formula>
    </cfRule>
  </conditionalFormatting>
  <conditionalFormatting sqref="J78:K83">
    <cfRule type="expression" dxfId="506" priority="37">
      <formula>kvartal &lt; 4</formula>
    </cfRule>
  </conditionalFormatting>
  <conditionalFormatting sqref="J88:K93">
    <cfRule type="expression" dxfId="505" priority="34">
      <formula>kvartal &lt; 4</formula>
    </cfRule>
  </conditionalFormatting>
  <conditionalFormatting sqref="J99:K104">
    <cfRule type="expression" dxfId="504" priority="33">
      <formula>kvartal &lt; 4</formula>
    </cfRule>
  </conditionalFormatting>
  <conditionalFormatting sqref="J113:K113">
    <cfRule type="expression" dxfId="503" priority="32">
      <formula>kvartal &lt; 4</formula>
    </cfRule>
  </conditionalFormatting>
  <conditionalFormatting sqref="J121:K121">
    <cfRule type="expression" dxfId="502" priority="31">
      <formula>kvartal &lt; 4</formula>
    </cfRule>
  </conditionalFormatting>
  <conditionalFormatting sqref="A23:A25">
    <cfRule type="expression" dxfId="501" priority="15">
      <formula>kvartal &lt; 4</formula>
    </cfRule>
  </conditionalFormatting>
  <conditionalFormatting sqref="A29:A31">
    <cfRule type="expression" dxfId="500" priority="13">
      <formula>kvartal &lt; 4</formula>
    </cfRule>
  </conditionalFormatting>
  <conditionalFormatting sqref="A48:A50">
    <cfRule type="expression" dxfId="499" priority="12">
      <formula>kvartal &lt; 4</formula>
    </cfRule>
  </conditionalFormatting>
  <conditionalFormatting sqref="A67:A72">
    <cfRule type="expression" dxfId="498" priority="10">
      <formula>kvartal &lt; 4</formula>
    </cfRule>
  </conditionalFormatting>
  <conditionalFormatting sqref="A78:A83">
    <cfRule type="expression" dxfId="497" priority="9">
      <formula>kvartal &lt; 4</formula>
    </cfRule>
  </conditionalFormatting>
  <conditionalFormatting sqref="A88:A93">
    <cfRule type="expression" dxfId="496" priority="6">
      <formula>kvartal &lt; 4</formula>
    </cfRule>
  </conditionalFormatting>
  <conditionalFormatting sqref="A99:A104">
    <cfRule type="expression" dxfId="495" priority="5">
      <formula>kvartal &lt; 4</formula>
    </cfRule>
  </conditionalFormatting>
  <conditionalFormatting sqref="A113">
    <cfRule type="expression" dxfId="494" priority="4">
      <formula>kvartal &lt; 4</formula>
    </cfRule>
  </conditionalFormatting>
  <conditionalFormatting sqref="A121">
    <cfRule type="expression" dxfId="493" priority="3">
      <formula>kvartal &lt; 4</formula>
    </cfRule>
  </conditionalFormatting>
  <conditionalFormatting sqref="A26">
    <cfRule type="expression" dxfId="492" priority="2">
      <formula>kvartal &lt; 4</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79</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v>63487</v>
      </c>
      <c r="G7" s="305">
        <v>59116</v>
      </c>
      <c r="H7" s="344">
        <f>IF(F7=0, "    ---- ", IF(ABS(ROUND(100/F7*G7-100,1))&lt;999,ROUND(100/F7*G7-100,1),IF(ROUND(100/F7*G7-100,1)&gt;999,999,-999)))</f>
        <v>-6.9</v>
      </c>
      <c r="I7" s="159">
        <f>IFERROR(100/'Skjema total MA'!F7*G7,0)</f>
        <v>1.3014508064689259</v>
      </c>
      <c r="J7" s="306">
        <v>63487</v>
      </c>
      <c r="K7" s="307">
        <v>59116</v>
      </c>
      <c r="L7" s="403">
        <f>IF(J7=0, "    ---- ", IF(ABS(ROUND(100/J7*K7-100,1))&lt;999,ROUND(100/J7*K7-100,1),IF(ROUND(100/J7*K7-100,1)&gt;999,999,-999)))</f>
        <v>-6.9</v>
      </c>
      <c r="M7" s="11">
        <f>IFERROR(100/'Skjema total MA'!I7*K7,0)</f>
        <v>0.81368116954003811</v>
      </c>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v>545232</v>
      </c>
      <c r="G10" s="309">
        <v>730663</v>
      </c>
      <c r="H10" s="170">
        <f t="shared" ref="H10:H12" si="0">IF(F10=0, "    ---- ", IF(ABS(ROUND(100/F10*G10-100,1))&lt;999,ROUND(100/F10*G10-100,1),IF(ROUND(100/F10*G10-100,1)&gt;999,999,-999)))</f>
        <v>34</v>
      </c>
      <c r="I10" s="159">
        <f>IFERROR(100/'Skjema total MA'!F10*G10,0)</f>
        <v>1.9400068439090961</v>
      </c>
      <c r="J10" s="306">
        <v>545232</v>
      </c>
      <c r="K10" s="307">
        <v>730663</v>
      </c>
      <c r="L10" s="404">
        <f t="shared" ref="L10:L12" si="1">IF(J10=0, "    ---- ", IF(ABS(ROUND(100/J10*K10-100,1))&lt;999,ROUND(100/J10*K10-100,1),IF(ROUND(100/J10*K10-100,1)&gt;999,999,-999)))</f>
        <v>34</v>
      </c>
      <c r="M10" s="11">
        <f>IFERROR(100/'Skjema total MA'!I10*K10,0)</f>
        <v>1.204277240972814</v>
      </c>
    </row>
    <row r="11" spans="1:14" s="43" customFormat="1" ht="15.75" x14ac:dyDescent="0.2">
      <c r="A11" s="13" t="s">
        <v>25</v>
      </c>
      <c r="B11" s="308"/>
      <c r="C11" s="309"/>
      <c r="D11" s="170"/>
      <c r="E11" s="11"/>
      <c r="F11" s="308">
        <v>4204</v>
      </c>
      <c r="G11" s="309">
        <v>1675</v>
      </c>
      <c r="H11" s="170">
        <f t="shared" si="0"/>
        <v>-60.2</v>
      </c>
      <c r="I11" s="159">
        <f>IFERROR(100/'Skjema total MA'!F11*G11,0)</f>
        <v>1.0407757484512479</v>
      </c>
      <c r="J11" s="306">
        <v>4204</v>
      </c>
      <c r="K11" s="307">
        <v>1675</v>
      </c>
      <c r="L11" s="404">
        <f t="shared" si="1"/>
        <v>-60.2</v>
      </c>
      <c r="M11" s="11">
        <f>IFERROR(100/'Skjema total MA'!I11*K11,0)</f>
        <v>0.97348264094608994</v>
      </c>
      <c r="N11" s="142"/>
    </row>
    <row r="12" spans="1:14" s="43" customFormat="1" ht="15.75" x14ac:dyDescent="0.2">
      <c r="A12" s="41" t="s">
        <v>24</v>
      </c>
      <c r="B12" s="310"/>
      <c r="C12" s="311"/>
      <c r="D12" s="168"/>
      <c r="E12" s="36"/>
      <c r="F12" s="310">
        <v>719</v>
      </c>
      <c r="G12" s="311">
        <v>2400</v>
      </c>
      <c r="H12" s="168">
        <f t="shared" si="0"/>
        <v>233.8</v>
      </c>
      <c r="I12" s="168">
        <f>IFERROR(100/'Skjema total MA'!F12*G12,0)</f>
        <v>3.2608062094363106</v>
      </c>
      <c r="J12" s="312">
        <v>719</v>
      </c>
      <c r="K12" s="313">
        <v>2400</v>
      </c>
      <c r="L12" s="405">
        <f t="shared" si="1"/>
        <v>233.8</v>
      </c>
      <c r="M12" s="36">
        <f>IFERROR(100/'Skjema total MA'!I12*K12,0)</f>
        <v>3.2293904669161204</v>
      </c>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v>825</v>
      </c>
      <c r="G22" s="315">
        <v>459</v>
      </c>
      <c r="H22" s="344">
        <f t="shared" ref="H22:H33" si="2">IF(F22=0, "    ---- ", IF(ABS(ROUND(100/F22*G22-100,1))&lt;999,ROUND(100/F22*G22-100,1),IF(ROUND(100/F22*G22-100,1)&gt;999,999,-999)))</f>
        <v>-44.4</v>
      </c>
      <c r="I22" s="11">
        <f>IFERROR(100/'Skjema total MA'!F22*G22,0)</f>
        <v>0.23021896981389678</v>
      </c>
      <c r="J22" s="314">
        <v>825</v>
      </c>
      <c r="K22" s="314">
        <v>459</v>
      </c>
      <c r="L22" s="403">
        <f t="shared" ref="L22:L33" si="3">IF(J22=0, "    ---- ", IF(ABS(ROUND(100/J22*K22-100,1))&lt;999,ROUND(100/J22*K22-100,1),IF(ROUND(100/J22*K22-100,1)&gt;999,999,-999)))</f>
        <v>-44.4</v>
      </c>
      <c r="M22" s="24">
        <f>IFERROR(100/'Skjema total MA'!I22*K22,0)</f>
        <v>3.9627759704809418E-2</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v>827947</v>
      </c>
      <c r="G28" s="307">
        <v>858066</v>
      </c>
      <c r="H28" s="170">
        <f t="shared" si="2"/>
        <v>3.6</v>
      </c>
      <c r="I28" s="11">
        <f>IFERROR(100/'Skjema total MA'!F28*G28,0)</f>
        <v>4.3697795979478933</v>
      </c>
      <c r="J28" s="236">
        <v>827947</v>
      </c>
      <c r="K28" s="236">
        <v>858066</v>
      </c>
      <c r="L28" s="404">
        <f t="shared" si="3"/>
        <v>3.6</v>
      </c>
      <c r="M28" s="24">
        <f>IFERROR(100/'Skjema total MA'!I28*K28,0)</f>
        <v>1.2155958351158211</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v>3874</v>
      </c>
      <c r="G32" s="307">
        <v>5284</v>
      </c>
      <c r="H32" s="170">
        <f t="shared" si="2"/>
        <v>36.4</v>
      </c>
      <c r="I32" s="11">
        <f>IFERROR(100/'Skjema total MA'!F32*G32,0)</f>
        <v>28.208026189843341</v>
      </c>
      <c r="J32" s="236">
        <v>3874</v>
      </c>
      <c r="K32" s="236">
        <v>5284</v>
      </c>
      <c r="L32" s="404">
        <f t="shared" si="3"/>
        <v>36.4</v>
      </c>
      <c r="M32" s="24">
        <f>IFERROR(100/'Skjema total MA'!I32*K32,0)</f>
        <v>12.517983306626776</v>
      </c>
    </row>
    <row r="33" spans="1:14" ht="15.75" x14ac:dyDescent="0.2">
      <c r="A33" s="13" t="s">
        <v>24</v>
      </c>
      <c r="B33" s="236"/>
      <c r="C33" s="307"/>
      <c r="D33" s="170"/>
      <c r="E33" s="11"/>
      <c r="F33" s="306">
        <v>1964</v>
      </c>
      <c r="G33" s="307">
        <v>15932</v>
      </c>
      <c r="H33" s="170">
        <f t="shared" si="2"/>
        <v>711.2</v>
      </c>
      <c r="I33" s="11">
        <f>IFERROR(100/'Skjema total MA'!F33*G33,0)</f>
        <v>24.328620426690886</v>
      </c>
      <c r="J33" s="236">
        <v>1964</v>
      </c>
      <c r="K33" s="236">
        <v>15932</v>
      </c>
      <c r="L33" s="404">
        <f t="shared" si="3"/>
        <v>711.2</v>
      </c>
      <c r="M33" s="24">
        <f>IFERROR(100/'Skjema total MA'!I33*K33,0)</f>
        <v>46.432136855369492</v>
      </c>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c r="C45" s="309"/>
      <c r="D45" s="403"/>
      <c r="E45" s="11"/>
      <c r="F45" s="144"/>
      <c r="G45" s="33"/>
      <c r="H45" s="158"/>
      <c r="I45" s="158"/>
      <c r="J45" s="37"/>
      <c r="K45" s="37"/>
      <c r="L45" s="158"/>
      <c r="M45" s="158"/>
      <c r="N45" s="147"/>
    </row>
    <row r="46" spans="1:14" s="3" customFormat="1" ht="15.75" x14ac:dyDescent="0.2">
      <c r="A46" s="38" t="s">
        <v>312</v>
      </c>
      <c r="B46" s="286"/>
      <c r="C46" s="287"/>
      <c r="D46" s="259"/>
      <c r="E46" s="27"/>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v>44</v>
      </c>
      <c r="G64" s="346">
        <v>40</v>
      </c>
      <c r="H64" s="344">
        <f t="shared" ref="H64:H109" si="4">IF(F64=0, "    ---- ", IF(ABS(ROUND(100/F64*G64-100,1))&lt;999,ROUND(100/F64*G64-100,1),IF(ROUND(100/F64*G64-100,1)&gt;999,999,-999)))</f>
        <v>-9.1</v>
      </c>
      <c r="I64" s="11">
        <f>IFERROR(100/'Skjema total MA'!F64*G64,0)</f>
        <v>3.0808681169343084E-4</v>
      </c>
      <c r="J64" s="307">
        <v>44</v>
      </c>
      <c r="K64" s="314">
        <v>40</v>
      </c>
      <c r="L64" s="404">
        <f t="shared" ref="L64:L109" si="5">IF(J64=0, "    ---- ", IF(ABS(ROUND(100/J64*K64-100,1))&lt;999,ROUND(100/J64*K64-100,1),IF(ROUND(100/J64*K64-100,1)&gt;999,999,-999)))</f>
        <v>-9.1</v>
      </c>
      <c r="M64" s="11">
        <f>IFERROR(100/'Skjema total MA'!I64*K64,0)</f>
        <v>2.1792891953025038E-4</v>
      </c>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v>44</v>
      </c>
      <c r="G66" s="293">
        <v>40</v>
      </c>
      <c r="H66" s="165">
        <f t="shared" si="4"/>
        <v>-9.1</v>
      </c>
      <c r="I66" s="27">
        <f>IFERROR(100/'Skjema total MA'!F66*G66,0)</f>
        <v>3.1118453613021894E-4</v>
      </c>
      <c r="J66" s="290">
        <v>44</v>
      </c>
      <c r="K66" s="44">
        <v>40</v>
      </c>
      <c r="L66" s="259">
        <f t="shared" si="5"/>
        <v>-9.1</v>
      </c>
      <c r="M66" s="27">
        <f>IFERROR(100/'Skjema total MA'!I66*K66,0)</f>
        <v>3.0836638464523805E-4</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v>44</v>
      </c>
      <c r="G84" s="144">
        <v>40</v>
      </c>
      <c r="H84" s="165">
        <f t="shared" si="4"/>
        <v>-9.1</v>
      </c>
      <c r="I84" s="27">
        <f>IFERROR(100/'Skjema total MA'!F84*G84,0)</f>
        <v>0.476627213678263</v>
      </c>
      <c r="J84" s="290">
        <v>44</v>
      </c>
      <c r="K84" s="44">
        <v>40</v>
      </c>
      <c r="L84" s="259">
        <f t="shared" si="5"/>
        <v>-9.1</v>
      </c>
      <c r="M84" s="27">
        <f>IFERROR(100/'Skjema total MA'!I84*K84,0)</f>
        <v>2.6085218620700814E-2</v>
      </c>
    </row>
    <row r="85" spans="1:13" ht="15.75" x14ac:dyDescent="0.2">
      <c r="A85" s="13" t="s">
        <v>26</v>
      </c>
      <c r="B85" s="347"/>
      <c r="C85" s="347"/>
      <c r="D85" s="170"/>
      <c r="E85" s="11"/>
      <c r="F85" s="346">
        <v>197845</v>
      </c>
      <c r="G85" s="346">
        <v>314881</v>
      </c>
      <c r="H85" s="170">
        <f t="shared" si="4"/>
        <v>59.2</v>
      </c>
      <c r="I85" s="11">
        <f>IFERROR(100/'Skjema total MA'!F85*G85,0)</f>
        <v>0.15832201949318855</v>
      </c>
      <c r="J85" s="307">
        <v>197845</v>
      </c>
      <c r="K85" s="236">
        <v>314881</v>
      </c>
      <c r="L85" s="404">
        <f t="shared" si="5"/>
        <v>59.2</v>
      </c>
      <c r="M85" s="11">
        <f>IFERROR(100/'Skjema total MA'!I85*K85,0)</f>
        <v>5.498216766744414E-2</v>
      </c>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v>197845</v>
      </c>
      <c r="G87" s="144">
        <v>314881</v>
      </c>
      <c r="H87" s="165">
        <f t="shared" si="4"/>
        <v>59.2</v>
      </c>
      <c r="I87" s="27">
        <f>IFERROR(100/'Skjema total MA'!F87*G87,0)</f>
        <v>0.15860863366925432</v>
      </c>
      <c r="J87" s="290">
        <v>197845</v>
      </c>
      <c r="K87" s="44">
        <v>314881</v>
      </c>
      <c r="L87" s="259">
        <f t="shared" si="5"/>
        <v>59.2</v>
      </c>
      <c r="M87" s="27">
        <f>IFERROR(100/'Skjema total MA'!I87*K87,0)</f>
        <v>0.1566368563416656</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v>197845</v>
      </c>
      <c r="G105" s="144">
        <v>314881</v>
      </c>
      <c r="H105" s="165">
        <f t="shared" si="4"/>
        <v>59.2</v>
      </c>
      <c r="I105" s="27">
        <f>IFERROR(100/'Skjema total MA'!F105*G105,0)</f>
        <v>59.100569263593584</v>
      </c>
      <c r="J105" s="290">
        <v>197845</v>
      </c>
      <c r="K105" s="44">
        <v>314881</v>
      </c>
      <c r="L105" s="259">
        <f t="shared" si="5"/>
        <v>59.2</v>
      </c>
      <c r="M105" s="27">
        <f>IFERROR(100/'Skjema total MA'!I105*K105,0)</f>
        <v>5.7863964960417391</v>
      </c>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v>197845</v>
      </c>
      <c r="G107" s="234">
        <v>143779</v>
      </c>
      <c r="H107" s="165">
        <f t="shared" si="4"/>
        <v>-27.3</v>
      </c>
      <c r="I107" s="27">
        <f>IFERROR(100/'Skjema total MA'!F107*G107,0)</f>
        <v>0.22728324062780528</v>
      </c>
      <c r="J107" s="290">
        <v>197845</v>
      </c>
      <c r="K107" s="44">
        <v>143779</v>
      </c>
      <c r="L107" s="259">
        <f t="shared" si="5"/>
        <v>-27.3</v>
      </c>
      <c r="M107" s="27">
        <f>IFERROR(100/'Skjema total MA'!I107*K107,0)</f>
        <v>0.22457010786951631</v>
      </c>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v>43462</v>
      </c>
      <c r="G109" s="158">
        <v>54128</v>
      </c>
      <c r="H109" s="170">
        <f t="shared" si="4"/>
        <v>24.5</v>
      </c>
      <c r="I109" s="11">
        <f>IFERROR(100/'Skjema total MA'!F109*G109,0)</f>
        <v>0.83651142960976366</v>
      </c>
      <c r="J109" s="307">
        <v>43462</v>
      </c>
      <c r="K109" s="236">
        <v>54128</v>
      </c>
      <c r="L109" s="404">
        <f t="shared" si="5"/>
        <v>24.5</v>
      </c>
      <c r="M109" s="11">
        <f>IFERROR(100/'Skjema total MA'!I109*K109,0)</f>
        <v>0.79379803552276762</v>
      </c>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v>43462</v>
      </c>
      <c r="G111" s="144">
        <v>54128</v>
      </c>
      <c r="H111" s="165">
        <f t="shared" ref="H111:H119" si="6">IF(F111=0, "    ---- ", IF(ABS(ROUND(100/F111*G111-100,1))&lt;999,ROUND(100/F111*G111-100,1),IF(ROUND(100/F111*G111-100,1)&gt;999,999,-999)))</f>
        <v>24.5</v>
      </c>
      <c r="I111" s="27">
        <f>IFERROR(100/'Skjema total MA'!F111*G111,0)</f>
        <v>0.83651142960976366</v>
      </c>
      <c r="J111" s="290">
        <v>43462</v>
      </c>
      <c r="K111" s="44">
        <v>54128</v>
      </c>
      <c r="L111" s="259">
        <f t="shared" ref="L111:L119" si="7">IF(J111=0, "    ---- ", IF(ABS(ROUND(100/J111*K111-100,1))&lt;999,ROUND(100/J111*K111-100,1),IF(ROUND(100/J111*K111-100,1)&gt;999,999,-999)))</f>
        <v>24.5</v>
      </c>
      <c r="M111" s="27">
        <f>IFERROR(100/'Skjema total MA'!I111*K111,0)</f>
        <v>0.83618458519546557</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v>43462</v>
      </c>
      <c r="G115" s="234">
        <v>54128</v>
      </c>
      <c r="H115" s="165">
        <f t="shared" si="6"/>
        <v>24.5</v>
      </c>
      <c r="I115" s="27">
        <f>IFERROR(100/'Skjema total MA'!F115*G115,0)</f>
        <v>4.8981933020927926</v>
      </c>
      <c r="J115" s="290">
        <v>43462</v>
      </c>
      <c r="K115" s="44">
        <v>54128</v>
      </c>
      <c r="L115" s="259">
        <f t="shared" si="7"/>
        <v>24.5</v>
      </c>
      <c r="M115" s="27">
        <f>IFERROR(100/'Skjema total MA'!I115*K115,0)</f>
        <v>4.8981933020927926</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v>695</v>
      </c>
      <c r="G117" s="158">
        <v>741</v>
      </c>
      <c r="H117" s="170">
        <f t="shared" si="6"/>
        <v>6.6</v>
      </c>
      <c r="I117" s="11">
        <f>IFERROR(100/'Skjema total MA'!F117*G117,0)</f>
        <v>1.1493677633601986E-2</v>
      </c>
      <c r="J117" s="307">
        <v>695</v>
      </c>
      <c r="K117" s="236">
        <v>741</v>
      </c>
      <c r="L117" s="404">
        <f t="shared" si="7"/>
        <v>6.6</v>
      </c>
      <c r="M117" s="11">
        <f>IFERROR(100/'Skjema total MA'!I117*K117,0)</f>
        <v>1.0993440431430877E-2</v>
      </c>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v>695</v>
      </c>
      <c r="G119" s="144">
        <v>741</v>
      </c>
      <c r="H119" s="165">
        <f t="shared" si="6"/>
        <v>6.6</v>
      </c>
      <c r="I119" s="27">
        <f>IFERROR(100/'Skjema total MA'!F119*G119,0)</f>
        <v>1.1493677633601986E-2</v>
      </c>
      <c r="J119" s="290">
        <v>695</v>
      </c>
      <c r="K119" s="44">
        <v>741</v>
      </c>
      <c r="L119" s="259">
        <f t="shared" si="7"/>
        <v>6.6</v>
      </c>
      <c r="M119" s="27">
        <f>IFERROR(100/'Skjema total MA'!I119*K119,0)</f>
        <v>1.1462719574397182E-2</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491" priority="132">
      <formula>kvartal &lt; 4</formula>
    </cfRule>
  </conditionalFormatting>
  <conditionalFormatting sqref="B29">
    <cfRule type="expression" dxfId="490" priority="130">
      <formula>kvartal &lt; 4</formula>
    </cfRule>
  </conditionalFormatting>
  <conditionalFormatting sqref="B30">
    <cfRule type="expression" dxfId="489" priority="129">
      <formula>kvartal &lt; 4</formula>
    </cfRule>
  </conditionalFormatting>
  <conditionalFormatting sqref="B31">
    <cfRule type="expression" dxfId="488" priority="128">
      <formula>kvartal &lt; 4</formula>
    </cfRule>
  </conditionalFormatting>
  <conditionalFormatting sqref="C29">
    <cfRule type="expression" dxfId="487" priority="127">
      <formula>kvartal &lt; 4</formula>
    </cfRule>
  </conditionalFormatting>
  <conditionalFormatting sqref="C30">
    <cfRule type="expression" dxfId="486" priority="126">
      <formula>kvartal &lt; 4</formula>
    </cfRule>
  </conditionalFormatting>
  <conditionalFormatting sqref="C31">
    <cfRule type="expression" dxfId="485" priority="125">
      <formula>kvartal &lt; 4</formula>
    </cfRule>
  </conditionalFormatting>
  <conditionalFormatting sqref="B23:C25">
    <cfRule type="expression" dxfId="484" priority="124">
      <formula>kvartal &lt; 4</formula>
    </cfRule>
  </conditionalFormatting>
  <conditionalFormatting sqref="F23:G25">
    <cfRule type="expression" dxfId="483" priority="120">
      <formula>kvartal &lt; 4</formula>
    </cfRule>
  </conditionalFormatting>
  <conditionalFormatting sqref="F29">
    <cfRule type="expression" dxfId="482" priority="113">
      <formula>kvartal &lt; 4</formula>
    </cfRule>
  </conditionalFormatting>
  <conditionalFormatting sqref="F30">
    <cfRule type="expression" dxfId="481" priority="112">
      <formula>kvartal &lt; 4</formula>
    </cfRule>
  </conditionalFormatting>
  <conditionalFormatting sqref="F31">
    <cfRule type="expression" dxfId="480" priority="111">
      <formula>kvartal &lt; 4</formula>
    </cfRule>
  </conditionalFormatting>
  <conditionalFormatting sqref="G29">
    <cfRule type="expression" dxfId="479" priority="110">
      <formula>kvartal &lt; 4</formula>
    </cfRule>
  </conditionalFormatting>
  <conditionalFormatting sqref="G30">
    <cfRule type="expression" dxfId="478" priority="109">
      <formula>kvartal &lt; 4</formula>
    </cfRule>
  </conditionalFormatting>
  <conditionalFormatting sqref="G31">
    <cfRule type="expression" dxfId="477" priority="108">
      <formula>kvartal &lt; 4</formula>
    </cfRule>
  </conditionalFormatting>
  <conditionalFormatting sqref="B26">
    <cfRule type="expression" dxfId="476" priority="107">
      <formula>kvartal &lt; 4</formula>
    </cfRule>
  </conditionalFormatting>
  <conditionalFormatting sqref="C26">
    <cfRule type="expression" dxfId="475" priority="106">
      <formula>kvartal &lt; 4</formula>
    </cfRule>
  </conditionalFormatting>
  <conditionalFormatting sqref="F26">
    <cfRule type="expression" dxfId="474" priority="105">
      <formula>kvartal &lt; 4</formula>
    </cfRule>
  </conditionalFormatting>
  <conditionalFormatting sqref="G26">
    <cfRule type="expression" dxfId="473" priority="104">
      <formula>kvartal &lt; 4</formula>
    </cfRule>
  </conditionalFormatting>
  <conditionalFormatting sqref="J23:K26">
    <cfRule type="expression" dxfId="472" priority="103">
      <formula>kvartal &lt; 4</formula>
    </cfRule>
  </conditionalFormatting>
  <conditionalFormatting sqref="J29:K31">
    <cfRule type="expression" dxfId="471" priority="101">
      <formula>kvartal &lt; 4</formula>
    </cfRule>
  </conditionalFormatting>
  <conditionalFormatting sqref="B67">
    <cfRule type="expression" dxfId="470" priority="100">
      <formula>kvartal &lt; 4</formula>
    </cfRule>
  </conditionalFormatting>
  <conditionalFormatting sqref="C67">
    <cfRule type="expression" dxfId="469" priority="99">
      <formula>kvartal &lt; 4</formula>
    </cfRule>
  </conditionalFormatting>
  <conditionalFormatting sqref="B70">
    <cfRule type="expression" dxfId="468" priority="98">
      <formula>kvartal &lt; 4</formula>
    </cfRule>
  </conditionalFormatting>
  <conditionalFormatting sqref="C70">
    <cfRule type="expression" dxfId="467" priority="97">
      <formula>kvartal &lt; 4</formula>
    </cfRule>
  </conditionalFormatting>
  <conditionalFormatting sqref="B78">
    <cfRule type="expression" dxfId="466" priority="96">
      <formula>kvartal &lt; 4</formula>
    </cfRule>
  </conditionalFormatting>
  <conditionalFormatting sqref="C78">
    <cfRule type="expression" dxfId="465" priority="95">
      <formula>kvartal &lt; 4</formula>
    </cfRule>
  </conditionalFormatting>
  <conditionalFormatting sqref="B81">
    <cfRule type="expression" dxfId="464" priority="94">
      <formula>kvartal &lt; 4</formula>
    </cfRule>
  </conditionalFormatting>
  <conditionalFormatting sqref="C81">
    <cfRule type="expression" dxfId="463" priority="93">
      <formula>kvartal &lt; 4</formula>
    </cfRule>
  </conditionalFormatting>
  <conditionalFormatting sqref="B88">
    <cfRule type="expression" dxfId="462" priority="84">
      <formula>kvartal &lt; 4</formula>
    </cfRule>
  </conditionalFormatting>
  <conditionalFormatting sqref="C88">
    <cfRule type="expression" dxfId="461" priority="83">
      <formula>kvartal &lt; 4</formula>
    </cfRule>
  </conditionalFormatting>
  <conditionalFormatting sqref="B91">
    <cfRule type="expression" dxfId="460" priority="82">
      <formula>kvartal &lt; 4</formula>
    </cfRule>
  </conditionalFormatting>
  <conditionalFormatting sqref="C91">
    <cfRule type="expression" dxfId="459" priority="81">
      <formula>kvartal &lt; 4</formula>
    </cfRule>
  </conditionalFormatting>
  <conditionalFormatting sqref="B99">
    <cfRule type="expression" dxfId="458" priority="80">
      <formula>kvartal &lt; 4</formula>
    </cfRule>
  </conditionalFormatting>
  <conditionalFormatting sqref="C99">
    <cfRule type="expression" dxfId="457" priority="79">
      <formula>kvartal &lt; 4</formula>
    </cfRule>
  </conditionalFormatting>
  <conditionalFormatting sqref="B102">
    <cfRule type="expression" dxfId="456" priority="78">
      <formula>kvartal &lt; 4</formula>
    </cfRule>
  </conditionalFormatting>
  <conditionalFormatting sqref="C102">
    <cfRule type="expression" dxfId="455" priority="77">
      <formula>kvartal &lt; 4</formula>
    </cfRule>
  </conditionalFormatting>
  <conditionalFormatting sqref="B113">
    <cfRule type="expression" dxfId="454" priority="76">
      <formula>kvartal &lt; 4</formula>
    </cfRule>
  </conditionalFormatting>
  <conditionalFormatting sqref="C113">
    <cfRule type="expression" dxfId="453" priority="75">
      <formula>kvartal &lt; 4</formula>
    </cfRule>
  </conditionalFormatting>
  <conditionalFormatting sqref="B121">
    <cfRule type="expression" dxfId="452" priority="74">
      <formula>kvartal &lt; 4</formula>
    </cfRule>
  </conditionalFormatting>
  <conditionalFormatting sqref="C121">
    <cfRule type="expression" dxfId="451" priority="73">
      <formula>kvartal &lt; 4</formula>
    </cfRule>
  </conditionalFormatting>
  <conditionalFormatting sqref="F68">
    <cfRule type="expression" dxfId="450" priority="72">
      <formula>kvartal &lt; 4</formula>
    </cfRule>
  </conditionalFormatting>
  <conditionalFormatting sqref="G68">
    <cfRule type="expression" dxfId="449" priority="71">
      <formula>kvartal &lt; 4</formula>
    </cfRule>
  </conditionalFormatting>
  <conditionalFormatting sqref="F69:G69">
    <cfRule type="expression" dxfId="448" priority="70">
      <formula>kvartal &lt; 4</formula>
    </cfRule>
  </conditionalFormatting>
  <conditionalFormatting sqref="F71:G72">
    <cfRule type="expression" dxfId="447" priority="69">
      <formula>kvartal &lt; 4</formula>
    </cfRule>
  </conditionalFormatting>
  <conditionalFormatting sqref="F79:G80">
    <cfRule type="expression" dxfId="446" priority="68">
      <formula>kvartal &lt; 4</formula>
    </cfRule>
  </conditionalFormatting>
  <conditionalFormatting sqref="F82:G83">
    <cfRule type="expression" dxfId="445" priority="67">
      <formula>kvartal &lt; 4</formula>
    </cfRule>
  </conditionalFormatting>
  <conditionalFormatting sqref="F89:G90">
    <cfRule type="expression" dxfId="444" priority="62">
      <formula>kvartal &lt; 4</formula>
    </cfRule>
  </conditionalFormatting>
  <conditionalFormatting sqref="F92:G93">
    <cfRule type="expression" dxfId="443" priority="61">
      <formula>kvartal &lt; 4</formula>
    </cfRule>
  </conditionalFormatting>
  <conditionalFormatting sqref="F100:G101">
    <cfRule type="expression" dxfId="442" priority="60">
      <formula>kvartal &lt; 4</formula>
    </cfRule>
  </conditionalFormatting>
  <conditionalFormatting sqref="F103:G104">
    <cfRule type="expression" dxfId="441" priority="59">
      <formula>kvartal &lt; 4</formula>
    </cfRule>
  </conditionalFormatting>
  <conditionalFormatting sqref="F113">
    <cfRule type="expression" dxfId="440" priority="58">
      <formula>kvartal &lt; 4</formula>
    </cfRule>
  </conditionalFormatting>
  <conditionalFormatting sqref="G113">
    <cfRule type="expression" dxfId="439" priority="57">
      <formula>kvartal &lt; 4</formula>
    </cfRule>
  </conditionalFormatting>
  <conditionalFormatting sqref="F121:G121">
    <cfRule type="expression" dxfId="438" priority="56">
      <formula>kvartal &lt; 4</formula>
    </cfRule>
  </conditionalFormatting>
  <conditionalFormatting sqref="F67:G67">
    <cfRule type="expression" dxfId="437" priority="55">
      <formula>kvartal &lt; 4</formula>
    </cfRule>
  </conditionalFormatting>
  <conditionalFormatting sqref="F70:G70">
    <cfRule type="expression" dxfId="436" priority="54">
      <formula>kvartal &lt; 4</formula>
    </cfRule>
  </conditionalFormatting>
  <conditionalFormatting sqref="F78:G78">
    <cfRule type="expression" dxfId="435" priority="53">
      <formula>kvartal &lt; 4</formula>
    </cfRule>
  </conditionalFormatting>
  <conditionalFormatting sqref="F81:G81">
    <cfRule type="expression" dxfId="434" priority="52">
      <formula>kvartal &lt; 4</formula>
    </cfRule>
  </conditionalFormatting>
  <conditionalFormatting sqref="F88:G88">
    <cfRule type="expression" dxfId="433" priority="46">
      <formula>kvartal &lt; 4</formula>
    </cfRule>
  </conditionalFormatting>
  <conditionalFormatting sqref="F91">
    <cfRule type="expression" dxfId="432" priority="45">
      <formula>kvartal &lt; 4</formula>
    </cfRule>
  </conditionalFormatting>
  <conditionalFormatting sqref="G91">
    <cfRule type="expression" dxfId="431" priority="44">
      <formula>kvartal &lt; 4</formula>
    </cfRule>
  </conditionalFormatting>
  <conditionalFormatting sqref="F99">
    <cfRule type="expression" dxfId="430" priority="43">
      <formula>kvartal &lt; 4</formula>
    </cfRule>
  </conditionalFormatting>
  <conditionalFormatting sqref="G99">
    <cfRule type="expression" dxfId="429" priority="42">
      <formula>kvartal &lt; 4</formula>
    </cfRule>
  </conditionalFormatting>
  <conditionalFormatting sqref="G102">
    <cfRule type="expression" dxfId="428" priority="41">
      <formula>kvartal &lt; 4</formula>
    </cfRule>
  </conditionalFormatting>
  <conditionalFormatting sqref="F102">
    <cfRule type="expression" dxfId="427" priority="40">
      <formula>kvartal &lt; 4</formula>
    </cfRule>
  </conditionalFormatting>
  <conditionalFormatting sqref="J67:K71">
    <cfRule type="expression" dxfId="426" priority="39">
      <formula>kvartal &lt; 4</formula>
    </cfRule>
  </conditionalFormatting>
  <conditionalFormatting sqref="J72:K72">
    <cfRule type="expression" dxfId="425" priority="38">
      <formula>kvartal &lt; 4</formula>
    </cfRule>
  </conditionalFormatting>
  <conditionalFormatting sqref="J78:K83">
    <cfRule type="expression" dxfId="424" priority="37">
      <formula>kvartal &lt; 4</formula>
    </cfRule>
  </conditionalFormatting>
  <conditionalFormatting sqref="J88:K93">
    <cfRule type="expression" dxfId="423" priority="34">
      <formula>kvartal &lt; 4</formula>
    </cfRule>
  </conditionalFormatting>
  <conditionalFormatting sqref="J99:K104">
    <cfRule type="expression" dxfId="422" priority="33">
      <formula>kvartal &lt; 4</formula>
    </cfRule>
  </conditionalFormatting>
  <conditionalFormatting sqref="J113:K113">
    <cfRule type="expression" dxfId="421" priority="32">
      <formula>kvartal &lt; 4</formula>
    </cfRule>
  </conditionalFormatting>
  <conditionalFormatting sqref="J121:K121">
    <cfRule type="expression" dxfId="420" priority="31">
      <formula>kvartal &lt; 4</formula>
    </cfRule>
  </conditionalFormatting>
  <conditionalFormatting sqref="A23:A25">
    <cfRule type="expression" dxfId="419" priority="15">
      <formula>kvartal &lt; 4</formula>
    </cfRule>
  </conditionalFormatting>
  <conditionalFormatting sqref="A29:A31">
    <cfRule type="expression" dxfId="418" priority="13">
      <formula>kvartal &lt; 4</formula>
    </cfRule>
  </conditionalFormatting>
  <conditionalFormatting sqref="A48:A50">
    <cfRule type="expression" dxfId="417" priority="12">
      <formula>kvartal &lt; 4</formula>
    </cfRule>
  </conditionalFormatting>
  <conditionalFormatting sqref="A67:A72">
    <cfRule type="expression" dxfId="416" priority="10">
      <formula>kvartal &lt; 4</formula>
    </cfRule>
  </conditionalFormatting>
  <conditionalFormatting sqref="A78:A83">
    <cfRule type="expression" dxfId="415" priority="9">
      <formula>kvartal &lt; 4</formula>
    </cfRule>
  </conditionalFormatting>
  <conditionalFormatting sqref="A88:A93">
    <cfRule type="expression" dxfId="414" priority="6">
      <formula>kvartal &lt; 4</formula>
    </cfRule>
  </conditionalFormatting>
  <conditionalFormatting sqref="A99:A104">
    <cfRule type="expression" dxfId="413" priority="5">
      <formula>kvartal &lt; 4</formula>
    </cfRule>
  </conditionalFormatting>
  <conditionalFormatting sqref="A113">
    <cfRule type="expression" dxfId="412" priority="4">
      <formula>kvartal &lt; 4</formula>
    </cfRule>
  </conditionalFormatting>
  <conditionalFormatting sqref="A121">
    <cfRule type="expression" dxfId="411" priority="3">
      <formula>kvartal &lt; 4</formula>
    </cfRule>
  </conditionalFormatting>
  <conditionalFormatting sqref="A26">
    <cfRule type="expression" dxfId="410" priority="2">
      <formula>kvartal &lt; 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147</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v>-0.69540974</v>
      </c>
      <c r="G22" s="315"/>
      <c r="H22" s="344">
        <f t="shared" ref="H22:H28" si="0">IF(F22=0, "    ---- ", IF(ABS(ROUND(100/F22*G22-100,1))&lt;999,ROUND(100/F22*G22-100,1),IF(ROUND(100/F22*G22-100,1)&gt;999,999,-999)))</f>
        <v>-100</v>
      </c>
      <c r="I22" s="11"/>
      <c r="J22" s="314">
        <v>-0.69540974</v>
      </c>
      <c r="K22" s="314"/>
      <c r="L22" s="403">
        <f t="shared" ref="L22:L28" si="1">IF(J22=0, "    ---- ", IF(ABS(ROUND(100/J22*K22-100,1))&lt;999,ROUND(100/J22*K22-100,1),IF(ROUND(100/J22*K22-100,1)&gt;999,999,-999)))</f>
        <v>-100</v>
      </c>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v>188876.91656000001</v>
      </c>
      <c r="G28" s="307"/>
      <c r="H28" s="170">
        <f t="shared" si="0"/>
        <v>-100</v>
      </c>
      <c r="I28" s="11"/>
      <c r="J28" s="236">
        <v>188876.91656000001</v>
      </c>
      <c r="K28" s="236"/>
      <c r="L28" s="404">
        <f t="shared" si="1"/>
        <v>-100</v>
      </c>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c r="C45" s="309"/>
      <c r="D45" s="403"/>
      <c r="E45" s="11"/>
      <c r="F45" s="144"/>
      <c r="G45" s="33"/>
      <c r="H45" s="158"/>
      <c r="I45" s="158"/>
      <c r="J45" s="37"/>
      <c r="K45" s="37"/>
      <c r="L45" s="158"/>
      <c r="M45" s="158"/>
      <c r="N45" s="147"/>
    </row>
    <row r="46" spans="1:14" s="3" customFormat="1" ht="15.75" x14ac:dyDescent="0.2">
      <c r="A46" s="38" t="s">
        <v>312</v>
      </c>
      <c r="B46" s="286"/>
      <c r="C46" s="287"/>
      <c r="D46" s="259"/>
      <c r="E46" s="27"/>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v>8612877.0735400002</v>
      </c>
      <c r="C85" s="347"/>
      <c r="D85" s="170">
        <f t="shared" ref="D85:D106" si="2">IF(B85=0, "    ---- ", IF(ABS(ROUND(100/B85*C85-100,1))&lt;999,ROUND(100/B85*C85-100,1),IF(ROUND(100/B85*C85-100,1)&gt;999,999,-999)))</f>
        <v>-100</v>
      </c>
      <c r="E85" s="11"/>
      <c r="F85" s="346">
        <v>326817.28668999998</v>
      </c>
      <c r="G85" s="346"/>
      <c r="H85" s="170">
        <f t="shared" ref="H85:H107" si="3">IF(F85=0, "    ---- ", IF(ABS(ROUND(100/F85*G85-100,1))&lt;999,ROUND(100/F85*G85-100,1),IF(ROUND(100/F85*G85-100,1)&gt;999,999,-999)))</f>
        <v>-100</v>
      </c>
      <c r="I85" s="11"/>
      <c r="J85" s="307">
        <v>8939694.3602300007</v>
      </c>
      <c r="K85" s="236"/>
      <c r="L85" s="404">
        <f t="shared" ref="L85:L107" si="4">IF(J85=0, "    ---- ", IF(ABS(ROUND(100/J85*K85-100,1))&lt;999,ROUND(100/J85*K85-100,1),IF(ROUND(100/J85*K85-100,1)&gt;999,999,-999)))</f>
        <v>-100</v>
      </c>
      <c r="M85" s="11"/>
    </row>
    <row r="86" spans="1:13" x14ac:dyDescent="0.2">
      <c r="A86" s="21" t="s">
        <v>9</v>
      </c>
      <c r="B86" s="234">
        <v>8612877.0735400002</v>
      </c>
      <c r="C86" s="144"/>
      <c r="D86" s="165">
        <f t="shared" si="2"/>
        <v>-100</v>
      </c>
      <c r="E86" s="27"/>
      <c r="F86" s="234"/>
      <c r="G86" s="144"/>
      <c r="H86" s="165" t="str">
        <f t="shared" si="3"/>
        <v xml:space="preserve">    ---- </v>
      </c>
      <c r="I86" s="27"/>
      <c r="J86" s="290">
        <v>8612877.0735400002</v>
      </c>
      <c r="K86" s="44"/>
      <c r="L86" s="259">
        <f t="shared" si="4"/>
        <v>-100</v>
      </c>
      <c r="M86" s="27"/>
    </row>
    <row r="87" spans="1:13" x14ac:dyDescent="0.2">
      <c r="A87" s="21" t="s">
        <v>10</v>
      </c>
      <c r="B87" s="234"/>
      <c r="C87" s="144"/>
      <c r="D87" s="165"/>
      <c r="E87" s="27"/>
      <c r="F87" s="234">
        <v>326817.28668999998</v>
      </c>
      <c r="G87" s="144"/>
      <c r="H87" s="165">
        <f t="shared" si="3"/>
        <v>-100</v>
      </c>
      <c r="I87" s="27"/>
      <c r="J87" s="290">
        <v>326817.28668999998</v>
      </c>
      <c r="K87" s="44"/>
      <c r="L87" s="259">
        <f t="shared" si="4"/>
        <v>-100</v>
      </c>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v>8612877.0735400002</v>
      </c>
      <c r="C96" s="234"/>
      <c r="D96" s="165">
        <f t="shared" si="2"/>
        <v>-100</v>
      </c>
      <c r="E96" s="27"/>
      <c r="F96" s="292">
        <v>326817.28668999998</v>
      </c>
      <c r="G96" s="292"/>
      <c r="H96" s="165">
        <f t="shared" si="3"/>
        <v>-100</v>
      </c>
      <c r="I96" s="27"/>
      <c r="J96" s="290">
        <v>8939694.3602300007</v>
      </c>
      <c r="K96" s="44"/>
      <c r="L96" s="259">
        <f t="shared" si="4"/>
        <v>-100</v>
      </c>
      <c r="M96" s="27"/>
    </row>
    <row r="97" spans="1:13" x14ac:dyDescent="0.2">
      <c r="A97" s="21" t="s">
        <v>9</v>
      </c>
      <c r="B97" s="292">
        <v>8612877.0735400002</v>
      </c>
      <c r="C97" s="293"/>
      <c r="D97" s="165">
        <f t="shared" si="2"/>
        <v>-100</v>
      </c>
      <c r="E97" s="27"/>
      <c r="F97" s="234"/>
      <c r="G97" s="144"/>
      <c r="H97" s="165"/>
      <c r="I97" s="27"/>
      <c r="J97" s="290">
        <v>8612877.0735400002</v>
      </c>
      <c r="K97" s="44"/>
      <c r="L97" s="259">
        <f t="shared" si="4"/>
        <v>-100</v>
      </c>
      <c r="M97" s="27"/>
    </row>
    <row r="98" spans="1:13" x14ac:dyDescent="0.2">
      <c r="A98" s="21" t="s">
        <v>10</v>
      </c>
      <c r="B98" s="292"/>
      <c r="C98" s="293"/>
      <c r="D98" s="165"/>
      <c r="E98" s="27"/>
      <c r="F98" s="234">
        <v>326817.28668999998</v>
      </c>
      <c r="G98" s="234"/>
      <c r="H98" s="165">
        <f t="shared" si="3"/>
        <v>-100</v>
      </c>
      <c r="I98" s="27"/>
      <c r="J98" s="290">
        <v>326817.28668999998</v>
      </c>
      <c r="K98" s="44"/>
      <c r="L98" s="259">
        <f t="shared" si="4"/>
        <v>-100</v>
      </c>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v>8612877.0735400002</v>
      </c>
      <c r="C106" s="234"/>
      <c r="D106" s="165">
        <f t="shared" si="2"/>
        <v>-100</v>
      </c>
      <c r="E106" s="27"/>
      <c r="F106" s="234"/>
      <c r="G106" s="234"/>
      <c r="H106" s="165"/>
      <c r="I106" s="27"/>
      <c r="J106" s="290">
        <v>8612877.0735400002</v>
      </c>
      <c r="K106" s="44"/>
      <c r="L106" s="259">
        <f t="shared" si="4"/>
        <v>-100</v>
      </c>
      <c r="M106" s="27"/>
    </row>
    <row r="107" spans="1:13" ht="15.75" x14ac:dyDescent="0.2">
      <c r="A107" s="21" t="s">
        <v>320</v>
      </c>
      <c r="B107" s="234"/>
      <c r="C107" s="234"/>
      <c r="D107" s="165"/>
      <c r="E107" s="27"/>
      <c r="F107" s="234">
        <v>326817.28668999998</v>
      </c>
      <c r="G107" s="234"/>
      <c r="H107" s="165">
        <f t="shared" si="3"/>
        <v>-100</v>
      </c>
      <c r="I107" s="27"/>
      <c r="J107" s="290">
        <v>326817.28668999998</v>
      </c>
      <c r="K107" s="44"/>
      <c r="L107" s="259">
        <f t="shared" si="4"/>
        <v>-100</v>
      </c>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6471.7848400000003</v>
      </c>
      <c r="C117" s="158"/>
      <c r="D117" s="170">
        <f t="shared" ref="D117:D122" si="5">IF(B117=0, "    ---- ", IF(ABS(ROUND(100/B117*C117-100,1))&lt;999,ROUND(100/B117*C117-100,1),IF(ROUND(100/B117*C117-100,1)&gt;999,999,-999)))</f>
        <v>-100</v>
      </c>
      <c r="E117" s="11"/>
      <c r="F117" s="306">
        <v>19388</v>
      </c>
      <c r="G117" s="158"/>
      <c r="H117" s="170">
        <f t="shared" ref="H117:H123" si="6">IF(F117=0, "    ---- ", IF(ABS(ROUND(100/F117*G117-100,1))&lt;999,ROUND(100/F117*G117-100,1),IF(ROUND(100/F117*G117-100,1)&gt;999,999,-999)))</f>
        <v>-100</v>
      </c>
      <c r="I117" s="11"/>
      <c r="J117" s="307">
        <v>25859.78484</v>
      </c>
      <c r="K117" s="236"/>
      <c r="L117" s="404">
        <f t="shared" ref="L117:L123" si="7">IF(J117=0, "    ---- ", IF(ABS(ROUND(100/J117*K117-100,1))&lt;999,ROUND(100/J117*K117-100,1),IF(ROUND(100/J117*K117-100,1)&gt;999,999,-999)))</f>
        <v>-100</v>
      </c>
      <c r="M117" s="11"/>
    </row>
    <row r="118" spans="1:14" x14ac:dyDescent="0.2">
      <c r="A118" s="21" t="s">
        <v>9</v>
      </c>
      <c r="B118" s="234">
        <v>6471.7848400000003</v>
      </c>
      <c r="C118" s="144"/>
      <c r="D118" s="165">
        <f t="shared" si="5"/>
        <v>-100</v>
      </c>
      <c r="E118" s="27"/>
      <c r="F118" s="234"/>
      <c r="G118" s="144"/>
      <c r="H118" s="165"/>
      <c r="I118" s="27"/>
      <c r="J118" s="290">
        <v>6471.7848400000003</v>
      </c>
      <c r="K118" s="44"/>
      <c r="L118" s="259">
        <f t="shared" si="7"/>
        <v>-100</v>
      </c>
      <c r="M118" s="27"/>
    </row>
    <row r="119" spans="1:14" x14ac:dyDescent="0.2">
      <c r="A119" s="21" t="s">
        <v>10</v>
      </c>
      <c r="B119" s="234"/>
      <c r="C119" s="144"/>
      <c r="D119" s="165"/>
      <c r="E119" s="27"/>
      <c r="F119" s="234">
        <v>19388</v>
      </c>
      <c r="G119" s="144"/>
      <c r="H119" s="165">
        <f t="shared" si="6"/>
        <v>-100</v>
      </c>
      <c r="I119" s="27"/>
      <c r="J119" s="290">
        <v>19388</v>
      </c>
      <c r="K119" s="44"/>
      <c r="L119" s="259">
        <f t="shared" si="7"/>
        <v>-100</v>
      </c>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v>6471.7848400000003</v>
      </c>
      <c r="C122" s="234"/>
      <c r="D122" s="165">
        <f t="shared" si="5"/>
        <v>-100</v>
      </c>
      <c r="E122" s="27"/>
      <c r="F122" s="234"/>
      <c r="G122" s="234"/>
      <c r="H122" s="165"/>
      <c r="I122" s="27"/>
      <c r="J122" s="290">
        <v>6471.7848400000003</v>
      </c>
      <c r="K122" s="44"/>
      <c r="L122" s="259">
        <f t="shared" si="7"/>
        <v>-100</v>
      </c>
      <c r="M122" s="27"/>
    </row>
    <row r="123" spans="1:14" ht="15.75" x14ac:dyDescent="0.2">
      <c r="A123" s="21" t="s">
        <v>320</v>
      </c>
      <c r="B123" s="234"/>
      <c r="C123" s="234"/>
      <c r="D123" s="165"/>
      <c r="E123" s="27"/>
      <c r="F123" s="234">
        <v>19388.474910000001</v>
      </c>
      <c r="G123" s="234"/>
      <c r="H123" s="165">
        <f t="shared" si="6"/>
        <v>-100</v>
      </c>
      <c r="I123" s="27"/>
      <c r="J123" s="290">
        <v>19388.474910000001</v>
      </c>
      <c r="K123" s="44"/>
      <c r="L123" s="259">
        <f t="shared" si="7"/>
        <v>-100</v>
      </c>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409" priority="132">
      <formula>kvartal &lt; 4</formula>
    </cfRule>
  </conditionalFormatting>
  <conditionalFormatting sqref="B29">
    <cfRule type="expression" dxfId="408" priority="130">
      <formula>kvartal &lt; 4</formula>
    </cfRule>
  </conditionalFormatting>
  <conditionalFormatting sqref="B30">
    <cfRule type="expression" dxfId="407" priority="129">
      <formula>kvartal &lt; 4</formula>
    </cfRule>
  </conditionalFormatting>
  <conditionalFormatting sqref="B31">
    <cfRule type="expression" dxfId="406" priority="128">
      <formula>kvartal &lt; 4</formula>
    </cfRule>
  </conditionalFormatting>
  <conditionalFormatting sqref="C29">
    <cfRule type="expression" dxfId="405" priority="127">
      <formula>kvartal &lt; 4</formula>
    </cfRule>
  </conditionalFormatting>
  <conditionalFormatting sqref="C30">
    <cfRule type="expression" dxfId="404" priority="126">
      <formula>kvartal &lt; 4</formula>
    </cfRule>
  </conditionalFormatting>
  <conditionalFormatting sqref="C31">
    <cfRule type="expression" dxfId="403" priority="125">
      <formula>kvartal &lt; 4</formula>
    </cfRule>
  </conditionalFormatting>
  <conditionalFormatting sqref="B23:C25">
    <cfRule type="expression" dxfId="402" priority="124">
      <formula>kvartal &lt; 4</formula>
    </cfRule>
  </conditionalFormatting>
  <conditionalFormatting sqref="F23:G25">
    <cfRule type="expression" dxfId="401" priority="120">
      <formula>kvartal &lt; 4</formula>
    </cfRule>
  </conditionalFormatting>
  <conditionalFormatting sqref="F29">
    <cfRule type="expression" dxfId="400" priority="113">
      <formula>kvartal &lt; 4</formula>
    </cfRule>
  </conditionalFormatting>
  <conditionalFormatting sqref="F30">
    <cfRule type="expression" dxfId="399" priority="112">
      <formula>kvartal &lt; 4</formula>
    </cfRule>
  </conditionalFormatting>
  <conditionalFormatting sqref="F31">
    <cfRule type="expression" dxfId="398" priority="111">
      <formula>kvartal &lt; 4</formula>
    </cfRule>
  </conditionalFormatting>
  <conditionalFormatting sqref="G29">
    <cfRule type="expression" dxfId="397" priority="110">
      <formula>kvartal &lt; 4</formula>
    </cfRule>
  </conditionalFormatting>
  <conditionalFormatting sqref="G30">
    <cfRule type="expression" dxfId="396" priority="109">
      <formula>kvartal &lt; 4</formula>
    </cfRule>
  </conditionalFormatting>
  <conditionalFormatting sqref="G31">
    <cfRule type="expression" dxfId="395" priority="108">
      <formula>kvartal &lt; 4</formula>
    </cfRule>
  </conditionalFormatting>
  <conditionalFormatting sqref="B26">
    <cfRule type="expression" dxfId="394" priority="107">
      <formula>kvartal &lt; 4</formula>
    </cfRule>
  </conditionalFormatting>
  <conditionalFormatting sqref="C26">
    <cfRule type="expression" dxfId="393" priority="106">
      <formula>kvartal &lt; 4</formula>
    </cfRule>
  </conditionalFormatting>
  <conditionalFormatting sqref="F26">
    <cfRule type="expression" dxfId="392" priority="105">
      <formula>kvartal &lt; 4</formula>
    </cfRule>
  </conditionalFormatting>
  <conditionalFormatting sqref="G26">
    <cfRule type="expression" dxfId="391" priority="104">
      <formula>kvartal &lt; 4</formula>
    </cfRule>
  </conditionalFormatting>
  <conditionalFormatting sqref="J23:K26">
    <cfRule type="expression" dxfId="390" priority="103">
      <formula>kvartal &lt; 4</formula>
    </cfRule>
  </conditionalFormatting>
  <conditionalFormatting sqref="J29:K31">
    <cfRule type="expression" dxfId="389" priority="101">
      <formula>kvartal &lt; 4</formula>
    </cfRule>
  </conditionalFormatting>
  <conditionalFormatting sqref="B67">
    <cfRule type="expression" dxfId="388" priority="100">
      <formula>kvartal &lt; 4</formula>
    </cfRule>
  </conditionalFormatting>
  <conditionalFormatting sqref="C67">
    <cfRule type="expression" dxfId="387" priority="99">
      <formula>kvartal &lt; 4</formula>
    </cfRule>
  </conditionalFormatting>
  <conditionalFormatting sqref="B70">
    <cfRule type="expression" dxfId="386" priority="98">
      <formula>kvartal &lt; 4</formula>
    </cfRule>
  </conditionalFormatting>
  <conditionalFormatting sqref="C70">
    <cfRule type="expression" dxfId="385" priority="97">
      <formula>kvartal &lt; 4</formula>
    </cfRule>
  </conditionalFormatting>
  <conditionalFormatting sqref="B78">
    <cfRule type="expression" dxfId="384" priority="96">
      <formula>kvartal &lt; 4</formula>
    </cfRule>
  </conditionalFormatting>
  <conditionalFormatting sqref="C78">
    <cfRule type="expression" dxfId="383" priority="95">
      <formula>kvartal &lt; 4</formula>
    </cfRule>
  </conditionalFormatting>
  <conditionalFormatting sqref="B81">
    <cfRule type="expression" dxfId="382" priority="94">
      <formula>kvartal &lt; 4</formula>
    </cfRule>
  </conditionalFormatting>
  <conditionalFormatting sqref="C81">
    <cfRule type="expression" dxfId="381" priority="93">
      <formula>kvartal &lt; 4</formula>
    </cfRule>
  </conditionalFormatting>
  <conditionalFormatting sqref="B88">
    <cfRule type="expression" dxfId="380" priority="84">
      <formula>kvartal &lt; 4</formula>
    </cfRule>
  </conditionalFormatting>
  <conditionalFormatting sqref="C88">
    <cfRule type="expression" dxfId="379" priority="83">
      <formula>kvartal &lt; 4</formula>
    </cfRule>
  </conditionalFormatting>
  <conditionalFormatting sqref="B91">
    <cfRule type="expression" dxfId="378" priority="82">
      <formula>kvartal &lt; 4</formula>
    </cfRule>
  </conditionalFormatting>
  <conditionalFormatting sqref="C91">
    <cfRule type="expression" dxfId="377" priority="81">
      <formula>kvartal &lt; 4</formula>
    </cfRule>
  </conditionalFormatting>
  <conditionalFormatting sqref="B99">
    <cfRule type="expression" dxfId="376" priority="80">
      <formula>kvartal &lt; 4</formula>
    </cfRule>
  </conditionalFormatting>
  <conditionalFormatting sqref="C99">
    <cfRule type="expression" dxfId="375" priority="79">
      <formula>kvartal &lt; 4</formula>
    </cfRule>
  </conditionalFormatting>
  <conditionalFormatting sqref="B102">
    <cfRule type="expression" dxfId="374" priority="78">
      <formula>kvartal &lt; 4</formula>
    </cfRule>
  </conditionalFormatting>
  <conditionalFormatting sqref="C102">
    <cfRule type="expression" dxfId="373" priority="77">
      <formula>kvartal &lt; 4</formula>
    </cfRule>
  </conditionalFormatting>
  <conditionalFormatting sqref="B113">
    <cfRule type="expression" dxfId="372" priority="76">
      <formula>kvartal &lt; 4</formula>
    </cfRule>
  </conditionalFormatting>
  <conditionalFormatting sqref="C113">
    <cfRule type="expression" dxfId="371" priority="75">
      <formula>kvartal &lt; 4</formula>
    </cfRule>
  </conditionalFormatting>
  <conditionalFormatting sqref="B121">
    <cfRule type="expression" dxfId="370" priority="74">
      <formula>kvartal &lt; 4</formula>
    </cfRule>
  </conditionalFormatting>
  <conditionalFormatting sqref="C121">
    <cfRule type="expression" dxfId="369" priority="73">
      <formula>kvartal &lt; 4</formula>
    </cfRule>
  </conditionalFormatting>
  <conditionalFormatting sqref="F68">
    <cfRule type="expression" dxfId="368" priority="72">
      <formula>kvartal &lt; 4</formula>
    </cfRule>
  </conditionalFormatting>
  <conditionalFormatting sqref="G68">
    <cfRule type="expression" dxfId="367" priority="71">
      <formula>kvartal &lt; 4</formula>
    </cfRule>
  </conditionalFormatting>
  <conditionalFormatting sqref="F69:G69">
    <cfRule type="expression" dxfId="366" priority="70">
      <formula>kvartal &lt; 4</formula>
    </cfRule>
  </conditionalFormatting>
  <conditionalFormatting sqref="F71:G72">
    <cfRule type="expression" dxfId="365" priority="69">
      <formula>kvartal &lt; 4</formula>
    </cfRule>
  </conditionalFormatting>
  <conditionalFormatting sqref="F79:G80">
    <cfRule type="expression" dxfId="364" priority="68">
      <formula>kvartal &lt; 4</formula>
    </cfRule>
  </conditionalFormatting>
  <conditionalFormatting sqref="F82:G83">
    <cfRule type="expression" dxfId="363" priority="67">
      <formula>kvartal &lt; 4</formula>
    </cfRule>
  </conditionalFormatting>
  <conditionalFormatting sqref="F89:G90">
    <cfRule type="expression" dxfId="362" priority="62">
      <formula>kvartal &lt; 4</formula>
    </cfRule>
  </conditionalFormatting>
  <conditionalFormatting sqref="F92:G93">
    <cfRule type="expression" dxfId="361" priority="61">
      <formula>kvartal &lt; 4</formula>
    </cfRule>
  </conditionalFormatting>
  <conditionalFormatting sqref="F100:G101">
    <cfRule type="expression" dxfId="360" priority="60">
      <formula>kvartal &lt; 4</formula>
    </cfRule>
  </conditionalFormatting>
  <conditionalFormatting sqref="F103:G104">
    <cfRule type="expression" dxfId="359" priority="59">
      <formula>kvartal &lt; 4</formula>
    </cfRule>
  </conditionalFormatting>
  <conditionalFormatting sqref="F113">
    <cfRule type="expression" dxfId="358" priority="58">
      <formula>kvartal &lt; 4</formula>
    </cfRule>
  </conditionalFormatting>
  <conditionalFormatting sqref="G113">
    <cfRule type="expression" dxfId="357" priority="57">
      <formula>kvartal &lt; 4</formula>
    </cfRule>
  </conditionalFormatting>
  <conditionalFormatting sqref="F121:G121">
    <cfRule type="expression" dxfId="356" priority="56">
      <formula>kvartal &lt; 4</formula>
    </cfRule>
  </conditionalFormatting>
  <conditionalFormatting sqref="F67:G67">
    <cfRule type="expression" dxfId="355" priority="55">
      <formula>kvartal &lt; 4</formula>
    </cfRule>
  </conditionalFormatting>
  <conditionalFormatting sqref="F70:G70">
    <cfRule type="expression" dxfId="354" priority="54">
      <formula>kvartal &lt; 4</formula>
    </cfRule>
  </conditionalFormatting>
  <conditionalFormatting sqref="F78:G78">
    <cfRule type="expression" dxfId="353" priority="53">
      <formula>kvartal &lt; 4</formula>
    </cfRule>
  </conditionalFormatting>
  <conditionalFormatting sqref="F81:G81">
    <cfRule type="expression" dxfId="352" priority="52">
      <formula>kvartal &lt; 4</formula>
    </cfRule>
  </conditionalFormatting>
  <conditionalFormatting sqref="F88:G88">
    <cfRule type="expression" dxfId="351" priority="46">
      <formula>kvartal &lt; 4</formula>
    </cfRule>
  </conditionalFormatting>
  <conditionalFormatting sqref="F91">
    <cfRule type="expression" dxfId="350" priority="45">
      <formula>kvartal &lt; 4</formula>
    </cfRule>
  </conditionalFormatting>
  <conditionalFormatting sqref="G91">
    <cfRule type="expression" dxfId="349" priority="44">
      <formula>kvartal &lt; 4</formula>
    </cfRule>
  </conditionalFormatting>
  <conditionalFormatting sqref="F99">
    <cfRule type="expression" dxfId="348" priority="43">
      <formula>kvartal &lt; 4</formula>
    </cfRule>
  </conditionalFormatting>
  <conditionalFormatting sqref="G99">
    <cfRule type="expression" dxfId="347" priority="42">
      <formula>kvartal &lt; 4</formula>
    </cfRule>
  </conditionalFormatting>
  <conditionalFormatting sqref="G102">
    <cfRule type="expression" dxfId="346" priority="41">
      <formula>kvartal &lt; 4</formula>
    </cfRule>
  </conditionalFormatting>
  <conditionalFormatting sqref="F102">
    <cfRule type="expression" dxfId="345" priority="40">
      <formula>kvartal &lt; 4</formula>
    </cfRule>
  </conditionalFormatting>
  <conditionalFormatting sqref="J67:K71">
    <cfRule type="expression" dxfId="344" priority="39">
      <formula>kvartal &lt; 4</formula>
    </cfRule>
  </conditionalFormatting>
  <conditionalFormatting sqref="J72:K72">
    <cfRule type="expression" dxfId="343" priority="38">
      <formula>kvartal &lt; 4</formula>
    </cfRule>
  </conditionalFormatting>
  <conditionalFormatting sqref="J78:K83">
    <cfRule type="expression" dxfId="342" priority="37">
      <formula>kvartal &lt; 4</formula>
    </cfRule>
  </conditionalFormatting>
  <conditionalFormatting sqref="J88:K93">
    <cfRule type="expression" dxfId="341" priority="34">
      <formula>kvartal &lt; 4</formula>
    </cfRule>
  </conditionalFormatting>
  <conditionalFormatting sqref="J99:K104">
    <cfRule type="expression" dxfId="340" priority="33">
      <formula>kvartal &lt; 4</formula>
    </cfRule>
  </conditionalFormatting>
  <conditionalFormatting sqref="J113:K113">
    <cfRule type="expression" dxfId="339" priority="32">
      <formula>kvartal &lt; 4</formula>
    </cfRule>
  </conditionalFormatting>
  <conditionalFormatting sqref="J121:K121">
    <cfRule type="expression" dxfId="338" priority="31">
      <formula>kvartal &lt; 4</formula>
    </cfRule>
  </conditionalFormatting>
  <conditionalFormatting sqref="A23:A25">
    <cfRule type="expression" dxfId="337" priority="15">
      <formula>kvartal &lt; 4</formula>
    </cfRule>
  </conditionalFormatting>
  <conditionalFormatting sqref="A29:A31">
    <cfRule type="expression" dxfId="336" priority="13">
      <formula>kvartal &lt; 4</formula>
    </cfRule>
  </conditionalFormatting>
  <conditionalFormatting sqref="A48:A50">
    <cfRule type="expression" dxfId="335" priority="12">
      <formula>kvartal &lt; 4</formula>
    </cfRule>
  </conditionalFormatting>
  <conditionalFormatting sqref="A67:A72">
    <cfRule type="expression" dxfId="334" priority="10">
      <formula>kvartal &lt; 4</formula>
    </cfRule>
  </conditionalFormatting>
  <conditionalFormatting sqref="A78:A83">
    <cfRule type="expression" dxfId="333" priority="9">
      <formula>kvartal &lt; 4</formula>
    </cfRule>
  </conditionalFormatting>
  <conditionalFormatting sqref="A88:A93">
    <cfRule type="expression" dxfId="332" priority="6">
      <formula>kvartal &lt; 4</formula>
    </cfRule>
  </conditionalFormatting>
  <conditionalFormatting sqref="A99:A104">
    <cfRule type="expression" dxfId="331" priority="5">
      <formula>kvartal &lt; 4</formula>
    </cfRule>
  </conditionalFormatting>
  <conditionalFormatting sqref="A113">
    <cfRule type="expression" dxfId="330" priority="4">
      <formula>kvartal &lt; 4</formula>
    </cfRule>
  </conditionalFormatting>
  <conditionalFormatting sqref="A121">
    <cfRule type="expression" dxfId="329" priority="3">
      <formula>kvartal &lt; 4</formula>
    </cfRule>
  </conditionalFormatting>
  <conditionalFormatting sqref="A26">
    <cfRule type="expression" dxfId="328" priority="2">
      <formula>kvartal &lt; 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149</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372442.24280000001</v>
      </c>
      <c r="C7" s="305">
        <v>391145.76286999998</v>
      </c>
      <c r="D7" s="344">
        <f>IF(B7=0, "    ---- ", IF(ABS(ROUND(100/B7*C7-100,1))&lt;999,ROUND(100/B7*C7-100,1),IF(ROUND(100/B7*C7-100,1)&gt;999,999,-999)))</f>
        <v>5</v>
      </c>
      <c r="E7" s="11">
        <f>IFERROR(100/'Skjema total MA'!C7*C7,0)</f>
        <v>14.364841866702797</v>
      </c>
      <c r="F7" s="304">
        <v>76819.623430000007</v>
      </c>
      <c r="G7" s="305">
        <v>127752.43618999999</v>
      </c>
      <c r="H7" s="344">
        <f>IF(F7=0, "    ---- ", IF(ABS(ROUND(100/F7*G7-100,1))&lt;999,ROUND(100/F7*G7-100,1),IF(ROUND(100/F7*G7-100,1)&gt;999,999,-999)))</f>
        <v>66.3</v>
      </c>
      <c r="I7" s="159">
        <f>IFERROR(100/'Skjema total MA'!F7*G7,0)</f>
        <v>2.8124959589255951</v>
      </c>
      <c r="J7" s="306">
        <v>449261.86623000004</v>
      </c>
      <c r="K7" s="307">
        <v>518898.19905999996</v>
      </c>
      <c r="L7" s="403">
        <f>IF(J7=0, "    ---- ", IF(ABS(ROUND(100/J7*K7-100,1))&lt;999,ROUND(100/J7*K7-100,1),IF(ROUND(100/J7*K7-100,1)&gt;999,999,-999)))</f>
        <v>15.5</v>
      </c>
      <c r="M7" s="11">
        <f>IFERROR(100/'Skjema total MA'!I7*K7,0)</f>
        <v>7.1421898214249993</v>
      </c>
    </row>
    <row r="8" spans="1:14" ht="15.75" x14ac:dyDescent="0.2">
      <c r="A8" s="21" t="s">
        <v>29</v>
      </c>
      <c r="B8" s="286">
        <v>325651</v>
      </c>
      <c r="C8" s="287">
        <v>345743</v>
      </c>
      <c r="D8" s="165">
        <f t="shared" ref="D8:D10" si="0">IF(B8=0, "    ---- ", IF(ABS(ROUND(100/B8*C8-100,1))&lt;999,ROUND(100/B8*C8-100,1),IF(ROUND(100/B8*C8-100,1)&gt;999,999,-999)))</f>
        <v>6.2</v>
      </c>
      <c r="E8" s="27">
        <f>IFERROR(100/'Skjema total MA'!C8*C8,0)</f>
        <v>23.010596165514116</v>
      </c>
      <c r="F8" s="423"/>
      <c r="G8" s="424"/>
      <c r="H8" s="170"/>
      <c r="I8" s="175"/>
      <c r="J8" s="234">
        <v>325651</v>
      </c>
      <c r="K8" s="290">
        <v>345743</v>
      </c>
      <c r="L8" s="165">
        <f t="shared" ref="L8:L9" si="1">IF(J8=0, "    ---- ", IF(ABS(ROUND(100/J8*K8-100,1))&lt;999,ROUND(100/J8*K8-100,1),IF(ROUND(100/J8*K8-100,1)&gt;999,999,-999)))</f>
        <v>6.2</v>
      </c>
      <c r="M8" s="27">
        <f>IFERROR(100/'Skjema total MA'!I8*K8,0)</f>
        <v>23.010596165514116</v>
      </c>
    </row>
    <row r="9" spans="1:14" ht="15.75" x14ac:dyDescent="0.2">
      <c r="A9" s="21" t="s">
        <v>28</v>
      </c>
      <c r="B9" s="286">
        <v>45137</v>
      </c>
      <c r="C9" s="287">
        <v>44363</v>
      </c>
      <c r="D9" s="165">
        <f t="shared" si="0"/>
        <v>-1.7</v>
      </c>
      <c r="E9" s="27">
        <f>IFERROR(100/'Skjema total MA'!C9*C9,0)</f>
        <v>6.1279611827793001</v>
      </c>
      <c r="F9" s="423"/>
      <c r="G9" s="424"/>
      <c r="H9" s="170"/>
      <c r="I9" s="175"/>
      <c r="J9" s="234">
        <v>45137</v>
      </c>
      <c r="K9" s="290">
        <v>44363</v>
      </c>
      <c r="L9" s="165">
        <f t="shared" si="1"/>
        <v>-1.7</v>
      </c>
      <c r="M9" s="27">
        <f>IFERROR(100/'Skjema total MA'!I9*K9,0)</f>
        <v>6.1279611827793001</v>
      </c>
    </row>
    <row r="10" spans="1:14" ht="15.75" x14ac:dyDescent="0.2">
      <c r="A10" s="13" t="s">
        <v>26</v>
      </c>
      <c r="B10" s="308">
        <v>950442.68417999998</v>
      </c>
      <c r="C10" s="309">
        <v>930639.25739000004</v>
      </c>
      <c r="D10" s="170">
        <f t="shared" si="0"/>
        <v>-2.1</v>
      </c>
      <c r="E10" s="11">
        <f>IFERROR(100/'Skjema total MA'!C10*C10,0)</f>
        <v>4.0446017278705808</v>
      </c>
      <c r="F10" s="308">
        <v>1626961.14488</v>
      </c>
      <c r="G10" s="309">
        <v>1952892.4646300001</v>
      </c>
      <c r="H10" s="170">
        <f t="shared" ref="H10:H12" si="2">IF(F10=0, "    ---- ", IF(ABS(ROUND(100/F10*G10-100,1))&lt;999,ROUND(100/F10*G10-100,1),IF(ROUND(100/F10*G10-100,1)&gt;999,999,-999)))</f>
        <v>20</v>
      </c>
      <c r="I10" s="159">
        <f>IFERROR(100/'Skjema total MA'!F10*G10,0)</f>
        <v>5.1851876265812047</v>
      </c>
      <c r="J10" s="306">
        <v>2577403.8290599999</v>
      </c>
      <c r="K10" s="307">
        <v>2883531.7220200002</v>
      </c>
      <c r="L10" s="404">
        <f t="shared" ref="L10:L12" si="3">IF(J10=0, "    ---- ", IF(ABS(ROUND(100/J10*K10-100,1))&lt;999,ROUND(100/J10*K10-100,1),IF(ROUND(100/J10*K10-100,1)&gt;999,999,-999)))</f>
        <v>11.9</v>
      </c>
      <c r="M10" s="11">
        <f>IFERROR(100/'Skjema total MA'!I10*K10,0)</f>
        <v>4.752631002872505</v>
      </c>
    </row>
    <row r="11" spans="1:14" s="43" customFormat="1" ht="15.75" x14ac:dyDescent="0.2">
      <c r="A11" s="13" t="s">
        <v>25</v>
      </c>
      <c r="B11" s="308"/>
      <c r="C11" s="309"/>
      <c r="D11" s="170"/>
      <c r="E11" s="11"/>
      <c r="F11" s="308">
        <v>10047.13644</v>
      </c>
      <c r="G11" s="309">
        <v>6754.9041800000005</v>
      </c>
      <c r="H11" s="170">
        <f t="shared" si="2"/>
        <v>-32.799999999999997</v>
      </c>
      <c r="I11" s="159">
        <f>IFERROR(100/'Skjema total MA'!F11*G11,0)</f>
        <v>4.197218181287143</v>
      </c>
      <c r="J11" s="306">
        <v>10047.13644</v>
      </c>
      <c r="K11" s="307">
        <v>6754.9041800000005</v>
      </c>
      <c r="L11" s="404">
        <f t="shared" si="3"/>
        <v>-32.799999999999997</v>
      </c>
      <c r="M11" s="11">
        <f>IFERROR(100/'Skjema total MA'!I11*K11,0)</f>
        <v>3.9258399764084668</v>
      </c>
      <c r="N11" s="142"/>
    </row>
    <row r="12" spans="1:14" s="43" customFormat="1" ht="15.75" x14ac:dyDescent="0.2">
      <c r="A12" s="41" t="s">
        <v>24</v>
      </c>
      <c r="B12" s="310"/>
      <c r="C12" s="311"/>
      <c r="D12" s="168"/>
      <c r="E12" s="36"/>
      <c r="F12" s="310">
        <v>1513.2310399999999</v>
      </c>
      <c r="G12" s="311">
        <v>3286.1419900000001</v>
      </c>
      <c r="H12" s="168">
        <f t="shared" si="2"/>
        <v>117.2</v>
      </c>
      <c r="I12" s="168">
        <f>IFERROR(100/'Skjema total MA'!F12*G12,0)</f>
        <v>4.4647800858672477</v>
      </c>
      <c r="J12" s="312">
        <v>1513.2310399999999</v>
      </c>
      <c r="K12" s="313">
        <v>3286.1419900000001</v>
      </c>
      <c r="L12" s="405">
        <f t="shared" si="3"/>
        <v>117.2</v>
      </c>
      <c r="M12" s="36">
        <f>IFERROR(100/'Skjema total MA'!I12*K12,0)</f>
        <v>4.421764839766154</v>
      </c>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v>216566.62027000001</v>
      </c>
      <c r="C22" s="315">
        <v>246656.84856000001</v>
      </c>
      <c r="D22" s="344">
        <f t="shared" ref="D22:D33" si="4">IF(B22=0, "    ---- ", IF(ABS(ROUND(100/B22*C22-100,1))&lt;999,ROUND(100/B22*C22-100,1),IF(ROUND(100/B22*C22-100,1)&gt;999,999,-999)))</f>
        <v>13.9</v>
      </c>
      <c r="E22" s="11">
        <f>IFERROR(100/'Skjema total MA'!C22*C22,0)</f>
        <v>25.722800674006805</v>
      </c>
      <c r="F22" s="316">
        <v>11788.92275</v>
      </c>
      <c r="G22" s="315">
        <v>20101.676149999999</v>
      </c>
      <c r="H22" s="344">
        <f t="shared" ref="H22:H33" si="5">IF(F22=0, "    ---- ", IF(ABS(ROUND(100/F22*G22-100,1))&lt;999,ROUND(100/F22*G22-100,1),IF(ROUND(100/F22*G22-100,1)&gt;999,999,-999)))</f>
        <v>70.5</v>
      </c>
      <c r="I22" s="11">
        <f>IFERROR(100/'Skjema total MA'!F22*G22,0)</f>
        <v>10.082324999532851</v>
      </c>
      <c r="J22" s="314">
        <v>228355.54302000001</v>
      </c>
      <c r="K22" s="314">
        <v>266758.52471000003</v>
      </c>
      <c r="L22" s="403">
        <f t="shared" ref="L22:L33" si="6">IF(J22=0, "    ---- ", IF(ABS(ROUND(100/J22*K22-100,1))&lt;999,ROUND(100/J22*K22-100,1),IF(ROUND(100/J22*K22-100,1)&gt;999,999,-999)))</f>
        <v>16.8</v>
      </c>
      <c r="M22" s="24">
        <f>IFERROR(100/'Skjema total MA'!I22*K22,0)</f>
        <v>23.030594153414697</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213800</v>
      </c>
      <c r="C27" s="290">
        <v>243320</v>
      </c>
      <c r="D27" s="165">
        <f t="shared" si="4"/>
        <v>13.8</v>
      </c>
      <c r="E27" s="27">
        <f>IFERROR(100/'Skjema total MA'!C27*C27,0)</f>
        <v>24.601017320856521</v>
      </c>
      <c r="F27" s="234"/>
      <c r="G27" s="290"/>
      <c r="H27" s="165"/>
      <c r="I27" s="27"/>
      <c r="J27" s="44">
        <v>213800</v>
      </c>
      <c r="K27" s="44">
        <v>243320</v>
      </c>
      <c r="L27" s="259">
        <f t="shared" si="6"/>
        <v>13.8</v>
      </c>
      <c r="M27" s="23">
        <f>IFERROR(100/'Skjema total MA'!I27*K27,0)</f>
        <v>24.601017320856521</v>
      </c>
    </row>
    <row r="28" spans="1:14" s="3" customFormat="1" ht="15.75" x14ac:dyDescent="0.2">
      <c r="A28" s="13" t="s">
        <v>26</v>
      </c>
      <c r="B28" s="236">
        <v>4862309.1922399998</v>
      </c>
      <c r="C28" s="307">
        <v>4974216.7379200002</v>
      </c>
      <c r="D28" s="170">
        <f t="shared" si="4"/>
        <v>2.2999999999999998</v>
      </c>
      <c r="E28" s="11">
        <f>IFERROR(100/'Skjema total MA'!C28*C28,0)</f>
        <v>9.762605835718082</v>
      </c>
      <c r="F28" s="306">
        <v>1869968.05849</v>
      </c>
      <c r="G28" s="307">
        <v>1998161.21854</v>
      </c>
      <c r="H28" s="170">
        <f t="shared" si="5"/>
        <v>6.9</v>
      </c>
      <c r="I28" s="11">
        <f>IFERROR(100/'Skjema total MA'!F28*G28,0)</f>
        <v>10.175818790380687</v>
      </c>
      <c r="J28" s="236">
        <v>6732277.2507299995</v>
      </c>
      <c r="K28" s="236">
        <v>6972377.95646</v>
      </c>
      <c r="L28" s="404">
        <f t="shared" si="6"/>
        <v>3.6</v>
      </c>
      <c r="M28" s="24">
        <f>IFERROR(100/'Skjema total MA'!I28*K28,0)</f>
        <v>9.8775544127446331</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v>4620.7482300000001</v>
      </c>
      <c r="C32" s="307"/>
      <c r="D32" s="170">
        <f t="shared" si="4"/>
        <v>-100</v>
      </c>
      <c r="E32" s="11">
        <f>IFERROR(100/'Skjema total MA'!C32*C32,0)</f>
        <v>0</v>
      </c>
      <c r="F32" s="306">
        <v>5049.6368899999998</v>
      </c>
      <c r="G32" s="307">
        <v>4319.3763300000001</v>
      </c>
      <c r="H32" s="170">
        <f t="shared" si="5"/>
        <v>-14.5</v>
      </c>
      <c r="I32" s="11">
        <f>IFERROR(100/'Skjema total MA'!F32*G32,0)</f>
        <v>23.058493686682329</v>
      </c>
      <c r="J32" s="236">
        <v>9670.385119999999</v>
      </c>
      <c r="K32" s="236">
        <v>4319.3763300000001</v>
      </c>
      <c r="L32" s="404">
        <f t="shared" si="6"/>
        <v>-55.3</v>
      </c>
      <c r="M32" s="24">
        <f>IFERROR(100/'Skjema total MA'!I32*K32,0)</f>
        <v>10.23275563852741</v>
      </c>
    </row>
    <row r="33" spans="1:14" ht="15.75" x14ac:dyDescent="0.2">
      <c r="A33" s="13" t="s">
        <v>24</v>
      </c>
      <c r="B33" s="236">
        <v>890.09646999999995</v>
      </c>
      <c r="C33" s="307">
        <v>266.93581</v>
      </c>
      <c r="D33" s="170">
        <f t="shared" si="4"/>
        <v>-70</v>
      </c>
      <c r="E33" s="11">
        <f>IFERROR(100/'Skjema total MA'!C33*C33,0)</f>
        <v>-0.85627117454536239</v>
      </c>
      <c r="F33" s="306">
        <v>1906.8378399999999</v>
      </c>
      <c r="G33" s="307">
        <v>2469.8940699999998</v>
      </c>
      <c r="H33" s="170">
        <f t="shared" si="5"/>
        <v>29.5</v>
      </c>
      <c r="I33" s="11">
        <f>IFERROR(100/'Skjema total MA'!F33*G33,0)</f>
        <v>3.7715990034625082</v>
      </c>
      <c r="J33" s="236">
        <v>2796.9343099999996</v>
      </c>
      <c r="K33" s="236">
        <v>2736.8298799999998</v>
      </c>
      <c r="L33" s="404">
        <f t="shared" si="6"/>
        <v>-2.1</v>
      </c>
      <c r="M33" s="24">
        <f>IFERROR(100/'Skjema total MA'!I33*K33,0)</f>
        <v>7.9762025821004556</v>
      </c>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413320.38151000004</v>
      </c>
      <c r="C45" s="309">
        <v>402036.60389999999</v>
      </c>
      <c r="D45" s="403">
        <f t="shared" ref="D45:D55" si="7">IF(B45=0, "    ---- ", IF(ABS(ROUND(100/B45*C45-100,1))&lt;999,ROUND(100/B45*C45-100,1),IF(ROUND(100/B45*C45-100,1)&gt;999,999,-999)))</f>
        <v>-2.7</v>
      </c>
      <c r="E45" s="11">
        <f>IFERROR(100/'Skjema total MA'!C45*C45,0)</f>
        <v>14.66217703192939</v>
      </c>
      <c r="F45" s="144"/>
      <c r="G45" s="33"/>
      <c r="H45" s="158"/>
      <c r="I45" s="158"/>
      <c r="J45" s="37"/>
      <c r="K45" s="37"/>
      <c r="L45" s="158"/>
      <c r="M45" s="158"/>
      <c r="N45" s="147"/>
    </row>
    <row r="46" spans="1:14" s="3" customFormat="1" ht="15.75" x14ac:dyDescent="0.2">
      <c r="A46" s="38" t="s">
        <v>312</v>
      </c>
      <c r="B46" s="286">
        <v>77085.780190000005</v>
      </c>
      <c r="C46" s="287">
        <v>72613.216</v>
      </c>
      <c r="D46" s="259">
        <f t="shared" si="7"/>
        <v>-5.8</v>
      </c>
      <c r="E46" s="27">
        <f>IFERROR(100/'Skjema total MA'!C46*C46,0)</f>
        <v>4.9887809987651064</v>
      </c>
      <c r="F46" s="144"/>
      <c r="G46" s="33"/>
      <c r="H46" s="144"/>
      <c r="I46" s="144"/>
      <c r="J46" s="33"/>
      <c r="K46" s="33"/>
      <c r="L46" s="158"/>
      <c r="M46" s="158"/>
      <c r="N46" s="147"/>
    </row>
    <row r="47" spans="1:14" s="3" customFormat="1" ht="15.75" x14ac:dyDescent="0.2">
      <c r="A47" s="38" t="s">
        <v>313</v>
      </c>
      <c r="B47" s="44">
        <v>336234.60132000002</v>
      </c>
      <c r="C47" s="290">
        <v>329423.38789999997</v>
      </c>
      <c r="D47" s="259">
        <f>IF(B47=0, "    ---- ", IF(ABS(ROUND(100/B47*C47-100,1))&lt;999,ROUND(100/B47*C47-100,1),IF(ROUND(100/B47*C47-100,1)&gt;999,999,-999)))</f>
        <v>-2</v>
      </c>
      <c r="E47" s="27">
        <f>IFERROR(100/'Skjema total MA'!C47*C47,0)</f>
        <v>25.606812141053499</v>
      </c>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v>5095</v>
      </c>
      <c r="C51" s="309"/>
      <c r="D51" s="404">
        <f t="shared" si="7"/>
        <v>-100</v>
      </c>
      <c r="E51" s="11">
        <f>IFERROR(100/'Skjema total MA'!C51*C51,0)</f>
        <v>0</v>
      </c>
      <c r="F51" s="144"/>
      <c r="G51" s="33"/>
      <c r="H51" s="144"/>
      <c r="I51" s="144"/>
      <c r="J51" s="33"/>
      <c r="K51" s="33"/>
      <c r="L51" s="158"/>
      <c r="M51" s="158"/>
      <c r="N51" s="147"/>
    </row>
    <row r="52" spans="1:14" s="3" customFormat="1" ht="15.75" x14ac:dyDescent="0.2">
      <c r="A52" s="38" t="s">
        <v>312</v>
      </c>
      <c r="B52" s="286">
        <v>1390</v>
      </c>
      <c r="C52" s="287"/>
      <c r="D52" s="259">
        <f t="shared" si="7"/>
        <v>-100</v>
      </c>
      <c r="E52" s="27">
        <f>IFERROR(100/'Skjema total MA'!C52*C52,0)</f>
        <v>0</v>
      </c>
      <c r="F52" s="144"/>
      <c r="G52" s="33"/>
      <c r="H52" s="144"/>
      <c r="I52" s="144"/>
      <c r="J52" s="33"/>
      <c r="K52" s="33"/>
      <c r="L52" s="158"/>
      <c r="M52" s="158"/>
      <c r="N52" s="147"/>
    </row>
    <row r="53" spans="1:14" s="3" customFormat="1" ht="15.75" x14ac:dyDescent="0.2">
      <c r="A53" s="38" t="s">
        <v>313</v>
      </c>
      <c r="B53" s="286">
        <v>3705</v>
      </c>
      <c r="C53" s="287"/>
      <c r="D53" s="259">
        <f t="shared" si="7"/>
        <v>-100</v>
      </c>
      <c r="E53" s="27">
        <f>IFERROR(100/'Skjema total MA'!C53*C53,0)</f>
        <v>0</v>
      </c>
      <c r="F53" s="144"/>
      <c r="G53" s="33"/>
      <c r="H53" s="144"/>
      <c r="I53" s="144"/>
      <c r="J53" s="33"/>
      <c r="K53" s="33"/>
      <c r="L53" s="158"/>
      <c r="M53" s="158"/>
      <c r="N53" s="147"/>
    </row>
    <row r="54" spans="1:14" s="3" customFormat="1" ht="15.75" x14ac:dyDescent="0.2">
      <c r="A54" s="39" t="s">
        <v>315</v>
      </c>
      <c r="B54" s="308">
        <v>1867</v>
      </c>
      <c r="C54" s="309"/>
      <c r="D54" s="404">
        <f t="shared" si="7"/>
        <v>-100</v>
      </c>
      <c r="E54" s="11">
        <f>IFERROR(100/'Skjema total MA'!C54*C54,0)</f>
        <v>0</v>
      </c>
      <c r="F54" s="144"/>
      <c r="G54" s="33"/>
      <c r="H54" s="144"/>
      <c r="I54" s="144"/>
      <c r="J54" s="33"/>
      <c r="K54" s="33"/>
      <c r="L54" s="158"/>
      <c r="M54" s="158"/>
      <c r="N54" s="147"/>
    </row>
    <row r="55" spans="1:14" s="3" customFormat="1" ht="15.75" x14ac:dyDescent="0.2">
      <c r="A55" s="38" t="s">
        <v>312</v>
      </c>
      <c r="B55" s="286">
        <v>1867</v>
      </c>
      <c r="C55" s="287"/>
      <c r="D55" s="259">
        <f t="shared" si="7"/>
        <v>-100</v>
      </c>
      <c r="E55" s="27">
        <f>IFERROR(100/'Skjema total MA'!C55*C55,0)</f>
        <v>0</v>
      </c>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345268.93091</v>
      </c>
      <c r="C64" s="347">
        <v>377095.79469000001</v>
      </c>
      <c r="D64" s="344">
        <f t="shared" ref="D64:D109" si="8">IF(B64=0, "    ---- ", IF(ABS(ROUND(100/B64*C64-100,1))&lt;999,ROUND(100/B64*C64-100,1),IF(ROUND(100/B64*C64-100,1)&gt;999,999,-999)))</f>
        <v>9.1999999999999993</v>
      </c>
      <c r="E64" s="11">
        <f>IFERROR(100/'Skjema total MA'!C64*C64,0)</f>
        <v>7.0206273532978241</v>
      </c>
      <c r="F64" s="346">
        <v>927548.5432999999</v>
      </c>
      <c r="G64" s="346">
        <v>1265793.2559999998</v>
      </c>
      <c r="H64" s="344">
        <f t="shared" ref="H64:H109" si="9">IF(F64=0, "    ---- ", IF(ABS(ROUND(100/F64*G64-100,1))&lt;999,ROUND(100/F64*G64-100,1),IF(ROUND(100/F64*G64-100,1)&gt;999,999,-999)))</f>
        <v>36.5</v>
      </c>
      <c r="I64" s="11">
        <f>IFERROR(100/'Skjema total MA'!F64*G64,0)</f>
        <v>9.7493552126021665</v>
      </c>
      <c r="J64" s="307">
        <v>1272817.4742099999</v>
      </c>
      <c r="K64" s="314">
        <v>1642889.0506899999</v>
      </c>
      <c r="L64" s="404">
        <f t="shared" ref="L64:L109" si="10">IF(J64=0, "    ---- ", IF(ABS(ROUND(100/J64*K64-100,1))&lt;999,ROUND(100/J64*K64-100,1),IF(ROUND(100/J64*K64-100,1)&gt;999,999,-999)))</f>
        <v>29.1</v>
      </c>
      <c r="M64" s="11">
        <f>IFERROR(100/'Skjema total MA'!I64*K64,0)</f>
        <v>8.9508258931237599</v>
      </c>
    </row>
    <row r="65" spans="1:14" x14ac:dyDescent="0.2">
      <c r="A65" s="395" t="s">
        <v>9</v>
      </c>
      <c r="B65" s="44">
        <v>225027.67981</v>
      </c>
      <c r="C65" s="144">
        <v>257228.25090000001</v>
      </c>
      <c r="D65" s="165">
        <f t="shared" si="8"/>
        <v>14.3</v>
      </c>
      <c r="E65" s="27">
        <f>IFERROR(100/'Skjema total MA'!C65*C65,0)</f>
        <v>5.0124917152030006</v>
      </c>
      <c r="F65" s="234"/>
      <c r="G65" s="144"/>
      <c r="H65" s="165"/>
      <c r="I65" s="27"/>
      <c r="J65" s="290">
        <v>225027.67981</v>
      </c>
      <c r="K65" s="44">
        <v>257228.25090000001</v>
      </c>
      <c r="L65" s="259">
        <f t="shared" si="10"/>
        <v>14.3</v>
      </c>
      <c r="M65" s="27">
        <f>IFERROR(100/'Skjema total MA'!I65*K65,0)</f>
        <v>5.0124917152030006</v>
      </c>
    </row>
    <row r="66" spans="1:14" x14ac:dyDescent="0.2">
      <c r="A66" s="21" t="s">
        <v>10</v>
      </c>
      <c r="B66" s="292">
        <v>29835.670699999999</v>
      </c>
      <c r="C66" s="293">
        <v>29755.332549999999</v>
      </c>
      <c r="D66" s="165">
        <f t="shared" si="8"/>
        <v>-0.3</v>
      </c>
      <c r="E66" s="27">
        <f>IFERROR(100/'Skjema total MA'!C66*C66,0)</f>
        <v>25.329435969934096</v>
      </c>
      <c r="F66" s="292">
        <v>864621.82129999995</v>
      </c>
      <c r="G66" s="293">
        <v>1185044.1468199999</v>
      </c>
      <c r="H66" s="165">
        <f t="shared" si="9"/>
        <v>37.1</v>
      </c>
      <c r="I66" s="27">
        <f>IFERROR(100/'Skjema total MA'!F66*G66,0)</f>
        <v>9.2191853280503189</v>
      </c>
      <c r="J66" s="290">
        <v>894457.49199999997</v>
      </c>
      <c r="K66" s="44">
        <v>1214799.4793699998</v>
      </c>
      <c r="L66" s="259">
        <f t="shared" si="10"/>
        <v>35.799999999999997</v>
      </c>
      <c r="M66" s="27">
        <f>IFERROR(100/'Skjema total MA'!I66*K66,0)</f>
        <v>9.3650830880561067</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v>90405.580400000006</v>
      </c>
      <c r="C73" s="144">
        <v>90112.211240000004</v>
      </c>
      <c r="D73" s="165">
        <f t="shared" si="8"/>
        <v>-0.3</v>
      </c>
      <c r="E73" s="27">
        <f>IFERROR(100/'Skjema total MA'!C73*C73,0)</f>
        <v>73.839793820348831</v>
      </c>
      <c r="F73" s="234">
        <v>62926.722000000002</v>
      </c>
      <c r="G73" s="144">
        <v>80749.109179999999</v>
      </c>
      <c r="H73" s="165">
        <f t="shared" si="9"/>
        <v>28.3</v>
      </c>
      <c r="I73" s="27">
        <f>IFERROR(100/'Skjema total MA'!F73*G73,0)</f>
        <v>62.477850829471578</v>
      </c>
      <c r="J73" s="290">
        <v>153332.30240000002</v>
      </c>
      <c r="K73" s="44">
        <v>170861.32042</v>
      </c>
      <c r="L73" s="259">
        <f t="shared" si="10"/>
        <v>11.4</v>
      </c>
      <c r="M73" s="27">
        <f>IFERROR(100/'Skjema total MA'!I73*K73,0)</f>
        <v>67.995888654117323</v>
      </c>
      <c r="N73" s="147"/>
    </row>
    <row r="74" spans="1:14" s="3" customFormat="1" x14ac:dyDescent="0.2">
      <c r="A74" s="21" t="s">
        <v>399</v>
      </c>
      <c r="B74" s="234"/>
      <c r="C74" s="144">
        <v>71409.29135</v>
      </c>
      <c r="D74" s="165" t="str">
        <f t="shared" ref="D74" si="11">IF(B74=0, "    ---- ", IF(ABS(ROUND(100/B74*C74-100,1))&lt;999,ROUND(100/B74*C74-100,1),IF(ROUND(100/B74*C74-100,1)&gt;999,999,-999)))</f>
        <v xml:space="preserve">    ---- </v>
      </c>
      <c r="E74" s="27">
        <f>IFERROR(100/'Skjema total MA'!C75*C74,0)</f>
        <v>1.3990118832185277</v>
      </c>
      <c r="F74" s="234"/>
      <c r="G74" s="144"/>
      <c r="H74" s="165"/>
      <c r="I74" s="27"/>
      <c r="J74" s="290"/>
      <c r="K74" s="44">
        <v>71409.29135</v>
      </c>
      <c r="L74" s="259" t="str">
        <f t="shared" ref="L74" si="12">IF(J74=0, "    ---- ", IF(ABS(ROUND(100/J74*K74-100,1))&lt;999,ROUND(100/J74*K74-100,1),IF(ROUND(100/J74*K74-100,1)&gt;999,999,-999)))</f>
        <v xml:space="preserve">    ---- </v>
      </c>
      <c r="M74" s="27">
        <f>IFERROR(100/'Skjema total MA'!I75*K74,0)</f>
        <v>0.39782372433626012</v>
      </c>
      <c r="N74" s="147"/>
    </row>
    <row r="75" spans="1:14" ht="15.75" x14ac:dyDescent="0.2">
      <c r="A75" s="21" t="s">
        <v>318</v>
      </c>
      <c r="B75" s="234">
        <v>254863.35050999999</v>
      </c>
      <c r="C75" s="234">
        <v>286983.58345000003</v>
      </c>
      <c r="D75" s="165">
        <f t="shared" si="8"/>
        <v>12.6</v>
      </c>
      <c r="E75" s="27">
        <f>IFERROR(100/'Skjema total MA'!C75*C75,0)</f>
        <v>5.6224258208548381</v>
      </c>
      <c r="F75" s="234">
        <v>859240.32724999997</v>
      </c>
      <c r="G75" s="144">
        <v>1178911.1048099999</v>
      </c>
      <c r="H75" s="165">
        <f t="shared" si="9"/>
        <v>37.200000000000003</v>
      </c>
      <c r="I75" s="27">
        <f>IFERROR(100/'Skjema total MA'!F75*G75,0)</f>
        <v>9.1774644953638287</v>
      </c>
      <c r="J75" s="290">
        <v>1114103.6777599999</v>
      </c>
      <c r="K75" s="44">
        <v>1465894.68826</v>
      </c>
      <c r="L75" s="259">
        <f t="shared" si="10"/>
        <v>31.6</v>
      </c>
      <c r="M75" s="27">
        <f>IFERROR(100/'Skjema total MA'!I75*K75,0)</f>
        <v>8.1665519058303087</v>
      </c>
    </row>
    <row r="76" spans="1:14" x14ac:dyDescent="0.2">
      <c r="A76" s="21" t="s">
        <v>9</v>
      </c>
      <c r="B76" s="234">
        <v>225027.67981</v>
      </c>
      <c r="C76" s="144">
        <v>257228.25090000001</v>
      </c>
      <c r="D76" s="165">
        <f t="shared" si="8"/>
        <v>14.3</v>
      </c>
      <c r="E76" s="27">
        <f>IFERROR(100/'Skjema total MA'!C76*C76,0)</f>
        <v>5.1558948208324837</v>
      </c>
      <c r="F76" s="234"/>
      <c r="G76" s="144"/>
      <c r="H76" s="165"/>
      <c r="I76" s="27"/>
      <c r="J76" s="290">
        <v>225027.67981</v>
      </c>
      <c r="K76" s="44">
        <v>257228.25090000001</v>
      </c>
      <c r="L76" s="259">
        <f t="shared" si="10"/>
        <v>14.3</v>
      </c>
      <c r="M76" s="27">
        <f>IFERROR(100/'Skjema total MA'!I76*K76,0)</f>
        <v>5.1558948208324837</v>
      </c>
    </row>
    <row r="77" spans="1:14" x14ac:dyDescent="0.2">
      <c r="A77" s="21" t="s">
        <v>10</v>
      </c>
      <c r="B77" s="292">
        <v>29835.670699999999</v>
      </c>
      <c r="C77" s="293">
        <v>29755.332549999999</v>
      </c>
      <c r="D77" s="165">
        <f t="shared" si="8"/>
        <v>-0.3</v>
      </c>
      <c r="E77" s="27">
        <f>IFERROR(100/'Skjema total MA'!C77*C77,0)</f>
        <v>25.817296506949585</v>
      </c>
      <c r="F77" s="292">
        <v>859240.32724999997</v>
      </c>
      <c r="G77" s="293">
        <v>1178911.1048099999</v>
      </c>
      <c r="H77" s="165">
        <f t="shared" si="9"/>
        <v>37.200000000000003</v>
      </c>
      <c r="I77" s="27">
        <f>IFERROR(100/'Skjema total MA'!F77*G77,0)</f>
        <v>9.1774644953638287</v>
      </c>
      <c r="J77" s="290">
        <v>889075.99794999999</v>
      </c>
      <c r="K77" s="44">
        <v>1208666.4373599999</v>
      </c>
      <c r="L77" s="259">
        <f t="shared" si="10"/>
        <v>35.9</v>
      </c>
      <c r="M77" s="27">
        <f>IFERROR(100/'Skjema total MA'!I77*K77,0)</f>
        <v>9.3254316989694903</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v>5381.4940500000002</v>
      </c>
      <c r="G84" s="144">
        <v>6133.0420100000001</v>
      </c>
      <c r="H84" s="165">
        <f t="shared" si="9"/>
        <v>14</v>
      </c>
      <c r="I84" s="27">
        <f>IFERROR(100/'Skjema total MA'!F84*G84,0)</f>
        <v>73.079368114950839</v>
      </c>
      <c r="J84" s="290">
        <v>5381.4940500000002</v>
      </c>
      <c r="K84" s="44">
        <v>6133.0420100000001</v>
      </c>
      <c r="L84" s="259">
        <f t="shared" si="10"/>
        <v>14</v>
      </c>
      <c r="M84" s="27">
        <f>IFERROR(100/'Skjema total MA'!I84*K84,0)</f>
        <v>3.999543541019809</v>
      </c>
    </row>
    <row r="85" spans="1:13" ht="15.75" x14ac:dyDescent="0.2">
      <c r="A85" s="13" t="s">
        <v>26</v>
      </c>
      <c r="B85" s="347">
        <v>11026841.511329999</v>
      </c>
      <c r="C85" s="347">
        <v>11346845.965299999</v>
      </c>
      <c r="D85" s="170">
        <f t="shared" si="8"/>
        <v>2.9</v>
      </c>
      <c r="E85" s="11">
        <f>IFERROR(100/'Skjema total MA'!C85*C85,0)</f>
        <v>3.0354567381686119</v>
      </c>
      <c r="F85" s="346">
        <v>13431955.05137</v>
      </c>
      <c r="G85" s="346">
        <v>17851513.436900001</v>
      </c>
      <c r="H85" s="170">
        <f t="shared" si="9"/>
        <v>32.9</v>
      </c>
      <c r="I85" s="11">
        <f>IFERROR(100/'Skjema total MA'!F85*G85,0)</f>
        <v>8.9757326048246782</v>
      </c>
      <c r="J85" s="307">
        <v>24458796.5627</v>
      </c>
      <c r="K85" s="236">
        <v>29198359.402199998</v>
      </c>
      <c r="L85" s="404">
        <f t="shared" si="10"/>
        <v>19.399999999999999</v>
      </c>
      <c r="M85" s="11">
        <f>IFERROR(100/'Skjema total MA'!I85*K85,0)</f>
        <v>5.0983993707656365</v>
      </c>
    </row>
    <row r="86" spans="1:13" x14ac:dyDescent="0.2">
      <c r="A86" s="21" t="s">
        <v>9</v>
      </c>
      <c r="B86" s="234">
        <v>10187380</v>
      </c>
      <c r="C86" s="144">
        <v>10066383.386609999</v>
      </c>
      <c r="D86" s="165">
        <f t="shared" si="8"/>
        <v>-1.2</v>
      </c>
      <c r="E86" s="27">
        <f>IFERROR(100/'Skjema total MA'!C86*C86,0)</f>
        <v>2.7128104412259226</v>
      </c>
      <c r="F86" s="234"/>
      <c r="G86" s="144"/>
      <c r="H86" s="165"/>
      <c r="I86" s="27"/>
      <c r="J86" s="290">
        <v>10187380</v>
      </c>
      <c r="K86" s="44">
        <v>10066383.386609999</v>
      </c>
      <c r="L86" s="259">
        <f t="shared" si="10"/>
        <v>-1.2</v>
      </c>
      <c r="M86" s="27">
        <f>IFERROR(100/'Skjema total MA'!I86*K86,0)</f>
        <v>2.7128104412259226</v>
      </c>
    </row>
    <row r="87" spans="1:13" x14ac:dyDescent="0.2">
      <c r="A87" s="21" t="s">
        <v>10</v>
      </c>
      <c r="B87" s="234">
        <v>789081.51133000001</v>
      </c>
      <c r="C87" s="144">
        <v>1077214.3108399999</v>
      </c>
      <c r="D87" s="165">
        <f t="shared" si="8"/>
        <v>36.5</v>
      </c>
      <c r="E87" s="27">
        <f>IFERROR(100/'Skjema total MA'!C87*C87,0)</f>
        <v>43.104099060074269</v>
      </c>
      <c r="F87" s="234">
        <v>13368873.64707</v>
      </c>
      <c r="G87" s="144">
        <v>17641359.916310001</v>
      </c>
      <c r="H87" s="165">
        <f t="shared" si="9"/>
        <v>32</v>
      </c>
      <c r="I87" s="27">
        <f>IFERROR(100/'Skjema total MA'!F87*G87,0)</f>
        <v>8.8861252104556332</v>
      </c>
      <c r="J87" s="290">
        <v>14157955.158399999</v>
      </c>
      <c r="K87" s="44">
        <v>18718574.227150001</v>
      </c>
      <c r="L87" s="259">
        <f t="shared" si="10"/>
        <v>32.200000000000003</v>
      </c>
      <c r="M87" s="27">
        <f>IFERROR(100/'Skjema total MA'!I87*K87,0)</f>
        <v>9.3115133086432618</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v>50380</v>
      </c>
      <c r="C94" s="144">
        <v>203248.26785</v>
      </c>
      <c r="D94" s="165">
        <f t="shared" si="8"/>
        <v>303.39999999999998</v>
      </c>
      <c r="E94" s="27">
        <f>IFERROR(100/'Skjema total MA'!C94*C94,0)</f>
        <v>83.768974030347195</v>
      </c>
      <c r="F94" s="234">
        <v>63081.404300000002</v>
      </c>
      <c r="G94" s="144">
        <v>210153.52059</v>
      </c>
      <c r="H94" s="165">
        <f t="shared" si="9"/>
        <v>233.1</v>
      </c>
      <c r="I94" s="27">
        <f>IFERROR(100/'Skjema total MA'!F94*G94,0)</f>
        <v>58.473715687043708</v>
      </c>
      <c r="J94" s="290">
        <v>113461.40429999999</v>
      </c>
      <c r="K94" s="44">
        <v>413401.78844000003</v>
      </c>
      <c r="L94" s="259">
        <f t="shared" si="10"/>
        <v>264.39999999999998</v>
      </c>
      <c r="M94" s="27">
        <f>IFERROR(100/'Skjema total MA'!I94*K94,0)</f>
        <v>68.668222777185505</v>
      </c>
    </row>
    <row r="95" spans="1:13" x14ac:dyDescent="0.2">
      <c r="A95" s="21" t="s">
        <v>397</v>
      </c>
      <c r="B95" s="234"/>
      <c r="C95" s="144">
        <v>750420.61404000001</v>
      </c>
      <c r="D95" s="165" t="str">
        <f t="shared" ref="D95" si="13">IF(B95=0, "    ---- ", IF(ABS(ROUND(100/B95*C95-100,1))&lt;999,ROUND(100/B95*C95-100,1),IF(ROUND(100/B95*C95-100,1)&gt;999,999,-999)))</f>
        <v xml:space="preserve">    ---- </v>
      </c>
      <c r="E95" s="27">
        <f>IFERROR(100/'Skjema total MA'!C96*C95,0)</f>
        <v>0.20355435915718925</v>
      </c>
      <c r="F95" s="234"/>
      <c r="G95" s="144"/>
      <c r="H95" s="165"/>
      <c r="I95" s="27"/>
      <c r="J95" s="290"/>
      <c r="K95" s="44">
        <v>750420.61404000001</v>
      </c>
      <c r="L95" s="259" t="str">
        <f t="shared" ref="L95" si="14">IF(J95=0, "    ---- ", IF(ABS(ROUND(100/J95*K95-100,1))&lt;999,ROUND(100/J95*K95-100,1),IF(ROUND(100/J95*K95-100,1)&gt;999,999,-999)))</f>
        <v xml:space="preserve">    ---- </v>
      </c>
      <c r="M95" s="27">
        <f>IFERROR(100/'Skjema total MA'!I96*K95,0)</f>
        <v>0.13243040376643206</v>
      </c>
    </row>
    <row r="96" spans="1:13" ht="15.75" x14ac:dyDescent="0.2">
      <c r="A96" s="21" t="s">
        <v>318</v>
      </c>
      <c r="B96" s="234">
        <v>10976461.511329999</v>
      </c>
      <c r="C96" s="234">
        <v>11143597.697449999</v>
      </c>
      <c r="D96" s="165">
        <f t="shared" si="8"/>
        <v>1.5</v>
      </c>
      <c r="E96" s="27">
        <f>IFERROR(100/'Skjema total MA'!C96*C96,0)</f>
        <v>3.0227419737286887</v>
      </c>
      <c r="F96" s="292">
        <v>13318320.948720001</v>
      </c>
      <c r="G96" s="292">
        <v>17588619.533020001</v>
      </c>
      <c r="H96" s="165">
        <f t="shared" si="9"/>
        <v>32.1</v>
      </c>
      <c r="I96" s="27">
        <f>IFERROR(100/'Skjema total MA'!F96*G96,0)</f>
        <v>8.8833998101199256</v>
      </c>
      <c r="J96" s="290">
        <v>24294782.460050002</v>
      </c>
      <c r="K96" s="44">
        <v>28732217.230470002</v>
      </c>
      <c r="L96" s="259">
        <f t="shared" si="10"/>
        <v>18.3</v>
      </c>
      <c r="M96" s="27">
        <f>IFERROR(100/'Skjema total MA'!I96*K96,0)</f>
        <v>5.0705151987378079</v>
      </c>
    </row>
    <row r="97" spans="1:13" x14ac:dyDescent="0.2">
      <c r="A97" s="21" t="s">
        <v>9</v>
      </c>
      <c r="B97" s="292">
        <v>10187380</v>
      </c>
      <c r="C97" s="293">
        <v>10066383.386609999</v>
      </c>
      <c r="D97" s="165">
        <f t="shared" si="8"/>
        <v>-1.2</v>
      </c>
      <c r="E97" s="27">
        <f>IFERROR(100/'Skjema total MA'!C97*C97,0)</f>
        <v>2.749180034179282</v>
      </c>
      <c r="F97" s="234"/>
      <c r="G97" s="144"/>
      <c r="H97" s="165"/>
      <c r="I97" s="27"/>
      <c r="J97" s="290">
        <v>10187380</v>
      </c>
      <c r="K97" s="44">
        <v>10066383.386609999</v>
      </c>
      <c r="L97" s="259">
        <f t="shared" si="10"/>
        <v>-1.2</v>
      </c>
      <c r="M97" s="27">
        <f>IFERROR(100/'Skjema total MA'!I97*K97,0)</f>
        <v>2.749180034179282</v>
      </c>
    </row>
    <row r="98" spans="1:13" x14ac:dyDescent="0.2">
      <c r="A98" s="21" t="s">
        <v>10</v>
      </c>
      <c r="B98" s="292">
        <v>789081.51133000001</v>
      </c>
      <c r="C98" s="293">
        <v>1077214.3108399999</v>
      </c>
      <c r="D98" s="165">
        <f t="shared" si="8"/>
        <v>36.5</v>
      </c>
      <c r="E98" s="27">
        <f>IFERROR(100/'Skjema total MA'!C98*C98,0)</f>
        <v>43.104099060074269</v>
      </c>
      <c r="F98" s="234">
        <v>13318320.948720001</v>
      </c>
      <c r="G98" s="234">
        <v>17588619.533020001</v>
      </c>
      <c r="H98" s="165">
        <f t="shared" si="9"/>
        <v>32.1</v>
      </c>
      <c r="I98" s="27">
        <f>IFERROR(100/'Skjema total MA'!F98*G98,0)</f>
        <v>8.8833998101199256</v>
      </c>
      <c r="J98" s="290">
        <v>14107402.46005</v>
      </c>
      <c r="K98" s="44">
        <v>18665833.84386</v>
      </c>
      <c r="L98" s="259">
        <f t="shared" si="10"/>
        <v>32.299999999999997</v>
      </c>
      <c r="M98" s="27">
        <f>IFERROR(100/'Skjema total MA'!I98*K98,0)</f>
        <v>9.3099523006658647</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v>50552.698349999999</v>
      </c>
      <c r="G105" s="144">
        <v>52740.383289999998</v>
      </c>
      <c r="H105" s="165">
        <f t="shared" si="9"/>
        <v>4.3</v>
      </c>
      <c r="I105" s="27">
        <f>IFERROR(100/'Skjema total MA'!F105*G105,0)</f>
        <v>9.8989353934315467</v>
      </c>
      <c r="J105" s="290">
        <v>50552.698349999999</v>
      </c>
      <c r="K105" s="44">
        <v>52740.383289999998</v>
      </c>
      <c r="L105" s="259">
        <f t="shared" si="10"/>
        <v>4.3</v>
      </c>
      <c r="M105" s="27">
        <f>IFERROR(100/'Skjema total MA'!I105*K105,0)</f>
        <v>0.9691812750504295</v>
      </c>
    </row>
    <row r="106" spans="1:13" ht="15.75" x14ac:dyDescent="0.2">
      <c r="A106" s="21" t="s">
        <v>328</v>
      </c>
      <c r="B106" s="234">
        <v>5206730.7872799998</v>
      </c>
      <c r="C106" s="234">
        <v>6866384.3662799997</v>
      </c>
      <c r="D106" s="165">
        <f t="shared" si="8"/>
        <v>31.9</v>
      </c>
      <c r="E106" s="27">
        <f>IFERROR(100/'Skjema total MA'!C106*C106,0)</f>
        <v>2.3464275358815869</v>
      </c>
      <c r="F106" s="234"/>
      <c r="G106" s="234"/>
      <c r="H106" s="165"/>
      <c r="I106" s="27"/>
      <c r="J106" s="290">
        <v>5206730.7872799998</v>
      </c>
      <c r="K106" s="44">
        <v>6866384.3662799997</v>
      </c>
      <c r="L106" s="259">
        <f t="shared" si="10"/>
        <v>31.9</v>
      </c>
      <c r="M106" s="27">
        <f>IFERROR(100/'Skjema total MA'!I106*K106,0)</f>
        <v>2.2953429219090804</v>
      </c>
    </row>
    <row r="107" spans="1:13" ht="15.75" x14ac:dyDescent="0.2">
      <c r="A107" s="21" t="s">
        <v>320</v>
      </c>
      <c r="B107" s="234">
        <v>261174.94648000001</v>
      </c>
      <c r="C107" s="234">
        <v>281094.03798000002</v>
      </c>
      <c r="D107" s="165">
        <f t="shared" si="8"/>
        <v>7.6</v>
      </c>
      <c r="E107" s="27">
        <f>IFERROR(100/'Skjema total MA'!C107*C107,0)</f>
        <v>36.77938738028724</v>
      </c>
      <c r="F107" s="234">
        <v>4195228.5492000002</v>
      </c>
      <c r="G107" s="234">
        <v>5558001.8070999999</v>
      </c>
      <c r="H107" s="165">
        <f t="shared" si="9"/>
        <v>32.5</v>
      </c>
      <c r="I107" s="27">
        <f>IFERROR(100/'Skjema total MA'!F107*G107,0)</f>
        <v>8.7859886501706494</v>
      </c>
      <c r="J107" s="290">
        <v>4456403.4956800006</v>
      </c>
      <c r="K107" s="44">
        <v>5839095.8450799994</v>
      </c>
      <c r="L107" s="259">
        <f t="shared" si="10"/>
        <v>31</v>
      </c>
      <c r="M107" s="27">
        <f>IFERROR(100/'Skjema total MA'!I107*K107,0)</f>
        <v>9.1201523434580842</v>
      </c>
    </row>
    <row r="108" spans="1:13" ht="15.75" x14ac:dyDescent="0.2">
      <c r="A108" s="21" t="s">
        <v>321</v>
      </c>
      <c r="B108" s="234"/>
      <c r="C108" s="234">
        <v>6080.3970099999997</v>
      </c>
      <c r="D108" s="165" t="str">
        <f t="shared" si="8"/>
        <v xml:space="preserve">    ---- </v>
      </c>
      <c r="E108" s="27">
        <f>IFERROR(100/'Skjema total MA'!C108*C108,0)</f>
        <v>99.999999999999986</v>
      </c>
      <c r="F108" s="234"/>
      <c r="G108" s="234"/>
      <c r="H108" s="165"/>
      <c r="I108" s="27"/>
      <c r="J108" s="290"/>
      <c r="K108" s="44">
        <v>6080.3970099999997</v>
      </c>
      <c r="L108" s="259" t="str">
        <f t="shared" si="10"/>
        <v xml:space="preserve">    ---- </v>
      </c>
      <c r="M108" s="27">
        <f>IFERROR(100/'Skjema total MA'!I108*K108,0)</f>
        <v>99.999999999999986</v>
      </c>
    </row>
    <row r="109" spans="1:13" ht="15.75" x14ac:dyDescent="0.2">
      <c r="A109" s="13" t="s">
        <v>25</v>
      </c>
      <c r="B109" s="306">
        <v>75041.879539999994</v>
      </c>
      <c r="C109" s="158">
        <v>36299.959049999998</v>
      </c>
      <c r="D109" s="170">
        <f t="shared" si="8"/>
        <v>-51.6</v>
      </c>
      <c r="E109" s="11">
        <f>IFERROR(100/'Skjema total MA'!C109*C109,0)</f>
        <v>10.425621912323203</v>
      </c>
      <c r="F109" s="306">
        <v>781914.56029000005</v>
      </c>
      <c r="G109" s="158">
        <v>843825.26705000002</v>
      </c>
      <c r="H109" s="170">
        <f t="shared" si="9"/>
        <v>7.9</v>
      </c>
      <c r="I109" s="11">
        <f>IFERROR(100/'Skjema total MA'!F109*G109,0)</f>
        <v>13.040745648847844</v>
      </c>
      <c r="J109" s="307">
        <v>856956.43983000005</v>
      </c>
      <c r="K109" s="236">
        <v>880125.22609999997</v>
      </c>
      <c r="L109" s="404">
        <f t="shared" si="10"/>
        <v>2.7</v>
      </c>
      <c r="M109" s="11">
        <f>IFERROR(100/'Skjema total MA'!I109*K109,0)</f>
        <v>12.907213927952476</v>
      </c>
    </row>
    <row r="110" spans="1:13" x14ac:dyDescent="0.2">
      <c r="A110" s="21" t="s">
        <v>9</v>
      </c>
      <c r="B110" s="234">
        <v>72369</v>
      </c>
      <c r="C110" s="144">
        <v>14379.33072</v>
      </c>
      <c r="D110" s="165">
        <f t="shared" ref="D110:D123" si="15">IF(B110=0, "    ---- ", IF(ABS(ROUND(100/B110*C110-100,1))&lt;999,ROUND(100/B110*C110-100,1),IF(ROUND(100/B110*C110-100,1)&gt;999,999,-999)))</f>
        <v>-80.099999999999994</v>
      </c>
      <c r="E110" s="27">
        <f>IFERROR(100/'Skjema total MA'!C110*C110,0)</f>
        <v>4.4114303358051483</v>
      </c>
      <c r="F110" s="234"/>
      <c r="G110" s="144"/>
      <c r="H110" s="165"/>
      <c r="I110" s="27"/>
      <c r="J110" s="290">
        <v>72369</v>
      </c>
      <c r="K110" s="44">
        <v>14379.33072</v>
      </c>
      <c r="L110" s="259">
        <f t="shared" ref="L110:L123" si="16">IF(J110=0, "    ---- ", IF(ABS(ROUND(100/J110*K110-100,1))&lt;999,ROUND(100/J110*K110-100,1),IF(ROUND(100/J110*K110-100,1)&gt;999,999,-999)))</f>
        <v>-80.099999999999994</v>
      </c>
      <c r="M110" s="27">
        <f>IFERROR(100/'Skjema total MA'!I110*K110,0)</f>
        <v>4.4114303358051483</v>
      </c>
    </row>
    <row r="111" spans="1:13" x14ac:dyDescent="0.2">
      <c r="A111" s="21" t="s">
        <v>10</v>
      </c>
      <c r="B111" s="234">
        <v>2672.8795399999999</v>
      </c>
      <c r="C111" s="144">
        <v>2225.788</v>
      </c>
      <c r="D111" s="165">
        <f t="shared" si="15"/>
        <v>-16.7</v>
      </c>
      <c r="E111" s="27">
        <f>IFERROR(100/'Skjema total MA'!C111*C111,0)</f>
        <v>88.002454498081235</v>
      </c>
      <c r="F111" s="234">
        <v>781914.56029000005</v>
      </c>
      <c r="G111" s="144">
        <v>843825.26705000002</v>
      </c>
      <c r="H111" s="165">
        <f t="shared" ref="H111:H123" si="17">IF(F111=0, "    ---- ", IF(ABS(ROUND(100/F111*G111-100,1))&lt;999,ROUND(100/F111*G111-100,1),IF(ROUND(100/F111*G111-100,1)&gt;999,999,-999)))</f>
        <v>7.9</v>
      </c>
      <c r="I111" s="27">
        <f>IFERROR(100/'Skjema total MA'!F111*G111,0)</f>
        <v>13.040745648847844</v>
      </c>
      <c r="J111" s="290">
        <v>784587.43983000005</v>
      </c>
      <c r="K111" s="44">
        <v>846051.05504999997</v>
      </c>
      <c r="L111" s="259">
        <f t="shared" si="16"/>
        <v>7.8</v>
      </c>
      <c r="M111" s="27">
        <f>IFERROR(100/'Skjema total MA'!I111*K111,0)</f>
        <v>13.070034926861702</v>
      </c>
    </row>
    <row r="112" spans="1:13" x14ac:dyDescent="0.2">
      <c r="A112" s="21" t="s">
        <v>30</v>
      </c>
      <c r="B112" s="234"/>
      <c r="C112" s="144">
        <v>19694.840329999999</v>
      </c>
      <c r="D112" s="165" t="str">
        <f t="shared" si="15"/>
        <v xml:space="preserve">    ---- </v>
      </c>
      <c r="E112" s="27">
        <f>IFERROR(100/'Skjema total MA'!C112*C112,0)</f>
        <v>100</v>
      </c>
      <c r="F112" s="234"/>
      <c r="G112" s="144"/>
      <c r="H112" s="165"/>
      <c r="I112" s="27"/>
      <c r="J112" s="290"/>
      <c r="K112" s="44">
        <v>19694.840329999999</v>
      </c>
      <c r="L112" s="259" t="str">
        <f t="shared" si="16"/>
        <v xml:space="preserve">    ---- </v>
      </c>
      <c r="M112" s="27">
        <f>IFERROR(100/'Skjema total MA'!I112*K112,0)</f>
        <v>100</v>
      </c>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v>32382.707729999998</v>
      </c>
      <c r="C114" s="234">
        <v>11038.75044</v>
      </c>
      <c r="D114" s="165">
        <f t="shared" si="15"/>
        <v>-65.900000000000006</v>
      </c>
      <c r="E114" s="27">
        <f>IFERROR(100/'Skjema total MA'!C114*C114,0)</f>
        <v>35.954716818358833</v>
      </c>
      <c r="F114" s="234"/>
      <c r="G114" s="234"/>
      <c r="H114" s="165"/>
      <c r="I114" s="27"/>
      <c r="J114" s="290">
        <v>32382.707729999998</v>
      </c>
      <c r="K114" s="44">
        <v>11038.75044</v>
      </c>
      <c r="L114" s="259">
        <f t="shared" si="16"/>
        <v>-65.900000000000006</v>
      </c>
      <c r="M114" s="27">
        <f>IFERROR(100/'Skjema total MA'!I114*K114,0)</f>
        <v>25.755577995226837</v>
      </c>
    </row>
    <row r="115" spans="1:14" ht="15.75" x14ac:dyDescent="0.2">
      <c r="A115" s="21" t="s">
        <v>322</v>
      </c>
      <c r="B115" s="234">
        <v>13.897</v>
      </c>
      <c r="C115" s="234"/>
      <c r="D115" s="165">
        <f t="shared" si="15"/>
        <v>-100</v>
      </c>
      <c r="E115" s="27">
        <f>IFERROR(100/'Skjema total MA'!C115*C115,0)</f>
        <v>0</v>
      </c>
      <c r="F115" s="234">
        <v>68002.985499999995</v>
      </c>
      <c r="G115" s="234">
        <v>85580.759349999993</v>
      </c>
      <c r="H115" s="165">
        <f t="shared" si="17"/>
        <v>25.8</v>
      </c>
      <c r="I115" s="27">
        <f>IFERROR(100/'Skjema total MA'!F115*G115,0)</f>
        <v>7.7444409960867775</v>
      </c>
      <c r="J115" s="290">
        <v>68016.882499999992</v>
      </c>
      <c r="K115" s="44">
        <v>85580.759349999993</v>
      </c>
      <c r="L115" s="259">
        <f t="shared" si="16"/>
        <v>25.8</v>
      </c>
      <c r="M115" s="27">
        <f>IFERROR(100/'Skjema total MA'!I115*K115,0)</f>
        <v>7.7444409960867775</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14572</v>
      </c>
      <c r="C117" s="158">
        <v>34308.940759999998</v>
      </c>
      <c r="D117" s="170">
        <f t="shared" si="15"/>
        <v>135.4</v>
      </c>
      <c r="E117" s="11">
        <f>IFERROR(100/'Skjema total MA'!C117*C117,0)</f>
        <v>11.695148888250531</v>
      </c>
      <c r="F117" s="306">
        <v>139243.05802999999</v>
      </c>
      <c r="G117" s="158">
        <v>435849.93689999997</v>
      </c>
      <c r="H117" s="170">
        <f t="shared" si="17"/>
        <v>213</v>
      </c>
      <c r="I117" s="11">
        <f>IFERROR(100/'Skjema total MA'!F117*G117,0)</f>
        <v>6.7604840369154742</v>
      </c>
      <c r="J117" s="307">
        <v>153815.05802999999</v>
      </c>
      <c r="K117" s="236">
        <v>470158.87766</v>
      </c>
      <c r="L117" s="404">
        <f t="shared" si="16"/>
        <v>205.7</v>
      </c>
      <c r="M117" s="11">
        <f>IFERROR(100/'Skjema total MA'!I117*K117,0)</f>
        <v>6.9752545409765281</v>
      </c>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v>14572</v>
      </c>
      <c r="C119" s="144">
        <v>16678.735519999998</v>
      </c>
      <c r="D119" s="165">
        <f t="shared" si="15"/>
        <v>14.5</v>
      </c>
      <c r="E119" s="27">
        <f>IFERROR(100/'Skjema total MA'!C119*C119,0)</f>
        <v>95.789491462772503</v>
      </c>
      <c r="F119" s="234">
        <v>139243.05802999999</v>
      </c>
      <c r="G119" s="144">
        <v>435849.93689999997</v>
      </c>
      <c r="H119" s="165">
        <f t="shared" si="17"/>
        <v>213</v>
      </c>
      <c r="I119" s="27">
        <f>IFERROR(100/'Skjema total MA'!F119*G119,0)</f>
        <v>6.7604840369154742</v>
      </c>
      <c r="J119" s="290">
        <v>153815.05802999999</v>
      </c>
      <c r="K119" s="44">
        <v>452528.67241999996</v>
      </c>
      <c r="L119" s="259">
        <f t="shared" si="16"/>
        <v>194.2</v>
      </c>
      <c r="M119" s="27">
        <f>IFERROR(100/'Skjema total MA'!I119*K119,0)</f>
        <v>7.0002824174422456</v>
      </c>
    </row>
    <row r="120" spans="1:14" x14ac:dyDescent="0.2">
      <c r="A120" s="21" t="s">
        <v>30</v>
      </c>
      <c r="B120" s="234"/>
      <c r="C120" s="144">
        <v>17630.205239999999</v>
      </c>
      <c r="D120" s="165" t="str">
        <f t="shared" si="15"/>
        <v xml:space="preserve">    ---- </v>
      </c>
      <c r="E120" s="27">
        <f>IFERROR(100/'Skjema total MA'!C120*C120,0)</f>
        <v>100</v>
      </c>
      <c r="F120" s="234"/>
      <c r="G120" s="144"/>
      <c r="H120" s="165"/>
      <c r="I120" s="27"/>
      <c r="J120" s="290"/>
      <c r="K120" s="44">
        <v>17630.205239999999</v>
      </c>
      <c r="L120" s="259" t="str">
        <f t="shared" si="16"/>
        <v xml:space="preserve">    ---- </v>
      </c>
      <c r="M120" s="27">
        <f>IFERROR(100/'Skjema total MA'!I120*K120,0)</f>
        <v>100</v>
      </c>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v>998.69550000000004</v>
      </c>
      <c r="C123" s="234">
        <v>3059.5249800000001</v>
      </c>
      <c r="D123" s="165">
        <f t="shared" si="15"/>
        <v>206.4</v>
      </c>
      <c r="E123" s="27">
        <f>IFERROR(100/'Skjema total MA'!C123*C123,0)</f>
        <v>99.951192723411339</v>
      </c>
      <c r="F123" s="234">
        <v>36830.452499999999</v>
      </c>
      <c r="G123" s="234">
        <v>106672.88615000001</v>
      </c>
      <c r="H123" s="165">
        <f t="shared" si="17"/>
        <v>189.6</v>
      </c>
      <c r="I123" s="27">
        <f>IFERROR(100/'Skjema total MA'!F123*G123,0)</f>
        <v>11.321835884694972</v>
      </c>
      <c r="J123" s="290">
        <v>37829.148000000001</v>
      </c>
      <c r="K123" s="44">
        <v>109732.41113000001</v>
      </c>
      <c r="L123" s="259">
        <f t="shared" si="16"/>
        <v>190.1</v>
      </c>
      <c r="M123" s="27">
        <f>IFERROR(100/'Skjema total MA'!I123*K123,0)</f>
        <v>11.608846369354145</v>
      </c>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327" priority="132">
      <formula>kvartal &lt; 4</formula>
    </cfRule>
  </conditionalFormatting>
  <conditionalFormatting sqref="B29">
    <cfRule type="expression" dxfId="326" priority="130">
      <formula>kvartal &lt; 4</formula>
    </cfRule>
  </conditionalFormatting>
  <conditionalFormatting sqref="B30">
    <cfRule type="expression" dxfId="325" priority="129">
      <formula>kvartal &lt; 4</formula>
    </cfRule>
  </conditionalFormatting>
  <conditionalFormatting sqref="B31">
    <cfRule type="expression" dxfId="324" priority="128">
      <formula>kvartal &lt; 4</formula>
    </cfRule>
  </conditionalFormatting>
  <conditionalFormatting sqref="C29">
    <cfRule type="expression" dxfId="323" priority="127">
      <formula>kvartal &lt; 4</formula>
    </cfRule>
  </conditionalFormatting>
  <conditionalFormatting sqref="C30">
    <cfRule type="expression" dxfId="322" priority="126">
      <formula>kvartal &lt; 4</formula>
    </cfRule>
  </conditionalFormatting>
  <conditionalFormatting sqref="C31">
    <cfRule type="expression" dxfId="321" priority="125">
      <formula>kvartal &lt; 4</formula>
    </cfRule>
  </conditionalFormatting>
  <conditionalFormatting sqref="B23:C25">
    <cfRule type="expression" dxfId="320" priority="124">
      <formula>kvartal &lt; 4</formula>
    </cfRule>
  </conditionalFormatting>
  <conditionalFormatting sqref="F23:G25">
    <cfRule type="expression" dxfId="319" priority="120">
      <formula>kvartal &lt; 4</formula>
    </cfRule>
  </conditionalFormatting>
  <conditionalFormatting sqref="F29">
    <cfRule type="expression" dxfId="318" priority="113">
      <formula>kvartal &lt; 4</formula>
    </cfRule>
  </conditionalFormatting>
  <conditionalFormatting sqref="F30">
    <cfRule type="expression" dxfId="317" priority="112">
      <formula>kvartal &lt; 4</formula>
    </cfRule>
  </conditionalFormatting>
  <conditionalFormatting sqref="F31">
    <cfRule type="expression" dxfId="316" priority="111">
      <formula>kvartal &lt; 4</formula>
    </cfRule>
  </conditionalFormatting>
  <conditionalFormatting sqref="G29">
    <cfRule type="expression" dxfId="315" priority="110">
      <formula>kvartal &lt; 4</formula>
    </cfRule>
  </conditionalFormatting>
  <conditionalFormatting sqref="G30">
    <cfRule type="expression" dxfId="314" priority="109">
      <formula>kvartal &lt; 4</formula>
    </cfRule>
  </conditionalFormatting>
  <conditionalFormatting sqref="G31">
    <cfRule type="expression" dxfId="313" priority="108">
      <formula>kvartal &lt; 4</formula>
    </cfRule>
  </conditionalFormatting>
  <conditionalFormatting sqref="B26">
    <cfRule type="expression" dxfId="312" priority="107">
      <formula>kvartal &lt; 4</formula>
    </cfRule>
  </conditionalFormatting>
  <conditionalFormatting sqref="C26">
    <cfRule type="expression" dxfId="311" priority="106">
      <formula>kvartal &lt; 4</formula>
    </cfRule>
  </conditionalFormatting>
  <conditionalFormatting sqref="F26">
    <cfRule type="expression" dxfId="310" priority="105">
      <formula>kvartal &lt; 4</formula>
    </cfRule>
  </conditionalFormatting>
  <conditionalFormatting sqref="G26">
    <cfRule type="expression" dxfId="309" priority="104">
      <formula>kvartal &lt; 4</formula>
    </cfRule>
  </conditionalFormatting>
  <conditionalFormatting sqref="J23:K26">
    <cfRule type="expression" dxfId="308" priority="103">
      <formula>kvartal &lt; 4</formula>
    </cfRule>
  </conditionalFormatting>
  <conditionalFormatting sqref="J29:K31">
    <cfRule type="expression" dxfId="307" priority="101">
      <formula>kvartal &lt; 4</formula>
    </cfRule>
  </conditionalFormatting>
  <conditionalFormatting sqref="B67">
    <cfRule type="expression" dxfId="306" priority="100">
      <formula>kvartal &lt; 4</formula>
    </cfRule>
  </conditionalFormatting>
  <conditionalFormatting sqref="C67">
    <cfRule type="expression" dxfId="305" priority="99">
      <formula>kvartal &lt; 4</formula>
    </cfRule>
  </conditionalFormatting>
  <conditionalFormatting sqref="B70">
    <cfRule type="expression" dxfId="304" priority="98">
      <formula>kvartal &lt; 4</formula>
    </cfRule>
  </conditionalFormatting>
  <conditionalFormatting sqref="C70">
    <cfRule type="expression" dxfId="303" priority="97">
      <formula>kvartal &lt; 4</formula>
    </cfRule>
  </conditionalFormatting>
  <conditionalFormatting sqref="B78">
    <cfRule type="expression" dxfId="302" priority="96">
      <formula>kvartal &lt; 4</formula>
    </cfRule>
  </conditionalFormatting>
  <conditionalFormatting sqref="C78">
    <cfRule type="expression" dxfId="301" priority="95">
      <formula>kvartal &lt; 4</formula>
    </cfRule>
  </conditionalFormatting>
  <conditionalFormatting sqref="B81">
    <cfRule type="expression" dxfId="300" priority="94">
      <formula>kvartal &lt; 4</formula>
    </cfRule>
  </conditionalFormatting>
  <conditionalFormatting sqref="C81">
    <cfRule type="expression" dxfId="299" priority="93">
      <formula>kvartal &lt; 4</formula>
    </cfRule>
  </conditionalFormatting>
  <conditionalFormatting sqref="B88">
    <cfRule type="expression" dxfId="298" priority="84">
      <formula>kvartal &lt; 4</formula>
    </cfRule>
  </conditionalFormatting>
  <conditionalFormatting sqref="C88">
    <cfRule type="expression" dxfId="297" priority="83">
      <formula>kvartal &lt; 4</formula>
    </cfRule>
  </conditionalFormatting>
  <conditionalFormatting sqref="B91">
    <cfRule type="expression" dxfId="296" priority="82">
      <formula>kvartal &lt; 4</formula>
    </cfRule>
  </conditionalFormatting>
  <conditionalFormatting sqref="C91">
    <cfRule type="expression" dxfId="295" priority="81">
      <formula>kvartal &lt; 4</formula>
    </cfRule>
  </conditionalFormatting>
  <conditionalFormatting sqref="B99">
    <cfRule type="expression" dxfId="294" priority="80">
      <formula>kvartal &lt; 4</formula>
    </cfRule>
  </conditionalFormatting>
  <conditionalFormatting sqref="C99">
    <cfRule type="expression" dxfId="293" priority="79">
      <formula>kvartal &lt; 4</formula>
    </cfRule>
  </conditionalFormatting>
  <conditionalFormatting sqref="B102">
    <cfRule type="expression" dxfId="292" priority="78">
      <formula>kvartal &lt; 4</formula>
    </cfRule>
  </conditionalFormatting>
  <conditionalFormatting sqref="C102">
    <cfRule type="expression" dxfId="291" priority="77">
      <formula>kvartal &lt; 4</formula>
    </cfRule>
  </conditionalFormatting>
  <conditionalFormatting sqref="B113">
    <cfRule type="expression" dxfId="290" priority="76">
      <formula>kvartal &lt; 4</formula>
    </cfRule>
  </conditionalFormatting>
  <conditionalFormatting sqref="C113">
    <cfRule type="expression" dxfId="289" priority="75">
      <formula>kvartal &lt; 4</formula>
    </cfRule>
  </conditionalFormatting>
  <conditionalFormatting sqref="B121">
    <cfRule type="expression" dxfId="288" priority="74">
      <formula>kvartal &lt; 4</formula>
    </cfRule>
  </conditionalFormatting>
  <conditionalFormatting sqref="C121">
    <cfRule type="expression" dxfId="287" priority="73">
      <formula>kvartal &lt; 4</formula>
    </cfRule>
  </conditionalFormatting>
  <conditionalFormatting sqref="F68">
    <cfRule type="expression" dxfId="286" priority="72">
      <formula>kvartal &lt; 4</formula>
    </cfRule>
  </conditionalFormatting>
  <conditionalFormatting sqref="G68">
    <cfRule type="expression" dxfId="285" priority="71">
      <formula>kvartal &lt; 4</formula>
    </cfRule>
  </conditionalFormatting>
  <conditionalFormatting sqref="F69:G69">
    <cfRule type="expression" dxfId="284" priority="70">
      <formula>kvartal &lt; 4</formula>
    </cfRule>
  </conditionalFormatting>
  <conditionalFormatting sqref="F71:G72">
    <cfRule type="expression" dxfId="283" priority="69">
      <formula>kvartal &lt; 4</formula>
    </cfRule>
  </conditionalFormatting>
  <conditionalFormatting sqref="F79:G80">
    <cfRule type="expression" dxfId="282" priority="68">
      <formula>kvartal &lt; 4</formula>
    </cfRule>
  </conditionalFormatting>
  <conditionalFormatting sqref="F82:G83">
    <cfRule type="expression" dxfId="281" priority="67">
      <formula>kvartal &lt; 4</formula>
    </cfRule>
  </conditionalFormatting>
  <conditionalFormatting sqref="F89:G90">
    <cfRule type="expression" dxfId="280" priority="62">
      <formula>kvartal &lt; 4</formula>
    </cfRule>
  </conditionalFormatting>
  <conditionalFormatting sqref="F92:G93">
    <cfRule type="expression" dxfId="279" priority="61">
      <formula>kvartal &lt; 4</formula>
    </cfRule>
  </conditionalFormatting>
  <conditionalFormatting sqref="F100:G101">
    <cfRule type="expression" dxfId="278" priority="60">
      <formula>kvartal &lt; 4</formula>
    </cfRule>
  </conditionalFormatting>
  <conditionalFormatting sqref="F103:G104">
    <cfRule type="expression" dxfId="277" priority="59">
      <formula>kvartal &lt; 4</formula>
    </cfRule>
  </conditionalFormatting>
  <conditionalFormatting sqref="F113">
    <cfRule type="expression" dxfId="276" priority="58">
      <formula>kvartal &lt; 4</formula>
    </cfRule>
  </conditionalFormatting>
  <conditionalFormatting sqref="G113">
    <cfRule type="expression" dxfId="275" priority="57">
      <formula>kvartal &lt; 4</formula>
    </cfRule>
  </conditionalFormatting>
  <conditionalFormatting sqref="F121:G121">
    <cfRule type="expression" dxfId="274" priority="56">
      <formula>kvartal &lt; 4</formula>
    </cfRule>
  </conditionalFormatting>
  <conditionalFormatting sqref="F67:G67">
    <cfRule type="expression" dxfId="273" priority="55">
      <formula>kvartal &lt; 4</formula>
    </cfRule>
  </conditionalFormatting>
  <conditionalFormatting sqref="F70:G70">
    <cfRule type="expression" dxfId="272" priority="54">
      <formula>kvartal &lt; 4</formula>
    </cfRule>
  </conditionalFormatting>
  <conditionalFormatting sqref="F78:G78">
    <cfRule type="expression" dxfId="271" priority="53">
      <formula>kvartal &lt; 4</formula>
    </cfRule>
  </conditionalFormatting>
  <conditionalFormatting sqref="F81:G81">
    <cfRule type="expression" dxfId="270" priority="52">
      <formula>kvartal &lt; 4</formula>
    </cfRule>
  </conditionalFormatting>
  <conditionalFormatting sqref="F88:G88">
    <cfRule type="expression" dxfId="269" priority="46">
      <formula>kvartal &lt; 4</formula>
    </cfRule>
  </conditionalFormatting>
  <conditionalFormatting sqref="F91">
    <cfRule type="expression" dxfId="268" priority="45">
      <formula>kvartal &lt; 4</formula>
    </cfRule>
  </conditionalFormatting>
  <conditionalFormatting sqref="G91">
    <cfRule type="expression" dxfId="267" priority="44">
      <formula>kvartal &lt; 4</formula>
    </cfRule>
  </conditionalFormatting>
  <conditionalFormatting sqref="F99">
    <cfRule type="expression" dxfId="266" priority="43">
      <formula>kvartal &lt; 4</formula>
    </cfRule>
  </conditionalFormatting>
  <conditionalFormatting sqref="G99">
    <cfRule type="expression" dxfId="265" priority="42">
      <formula>kvartal &lt; 4</formula>
    </cfRule>
  </conditionalFormatting>
  <conditionalFormatting sqref="G102">
    <cfRule type="expression" dxfId="264" priority="41">
      <formula>kvartal &lt; 4</formula>
    </cfRule>
  </conditionalFormatting>
  <conditionalFormatting sqref="F102">
    <cfRule type="expression" dxfId="263" priority="40">
      <formula>kvartal &lt; 4</formula>
    </cfRule>
  </conditionalFormatting>
  <conditionalFormatting sqref="J67:K71">
    <cfRule type="expression" dxfId="262" priority="39">
      <formula>kvartal &lt; 4</formula>
    </cfRule>
  </conditionalFormatting>
  <conditionalFormatting sqref="J72:K72">
    <cfRule type="expression" dxfId="261" priority="38">
      <formula>kvartal &lt; 4</formula>
    </cfRule>
  </conditionalFormatting>
  <conditionalFormatting sqref="J78:K83">
    <cfRule type="expression" dxfId="260" priority="37">
      <formula>kvartal &lt; 4</formula>
    </cfRule>
  </conditionalFormatting>
  <conditionalFormatting sqref="J88:K93">
    <cfRule type="expression" dxfId="259" priority="34">
      <formula>kvartal &lt; 4</formula>
    </cfRule>
  </conditionalFormatting>
  <conditionalFormatting sqref="J99:K104">
    <cfRule type="expression" dxfId="258" priority="33">
      <formula>kvartal &lt; 4</formula>
    </cfRule>
  </conditionalFormatting>
  <conditionalFormatting sqref="J113:K113">
    <cfRule type="expression" dxfId="257" priority="32">
      <formula>kvartal &lt; 4</formula>
    </cfRule>
  </conditionalFormatting>
  <conditionalFormatting sqref="J121:K121">
    <cfRule type="expression" dxfId="256" priority="31">
      <formula>kvartal &lt; 4</formula>
    </cfRule>
  </conditionalFormatting>
  <conditionalFormatting sqref="A23:A25">
    <cfRule type="expression" dxfId="255" priority="15">
      <formula>kvartal &lt; 4</formula>
    </cfRule>
  </conditionalFormatting>
  <conditionalFormatting sqref="A29:A31">
    <cfRule type="expression" dxfId="254" priority="13">
      <formula>kvartal &lt; 4</formula>
    </cfRule>
  </conditionalFormatting>
  <conditionalFormatting sqref="A48:A50">
    <cfRule type="expression" dxfId="253" priority="12">
      <formula>kvartal &lt; 4</formula>
    </cfRule>
  </conditionalFormatting>
  <conditionalFormatting sqref="A67:A72">
    <cfRule type="expression" dxfId="252" priority="10">
      <formula>kvartal &lt; 4</formula>
    </cfRule>
  </conditionalFormatting>
  <conditionalFormatting sqref="A78:A83">
    <cfRule type="expression" dxfId="251" priority="9">
      <formula>kvartal &lt; 4</formula>
    </cfRule>
  </conditionalFormatting>
  <conditionalFormatting sqref="A88:A93">
    <cfRule type="expression" dxfId="250" priority="6">
      <formula>kvartal &lt; 4</formula>
    </cfRule>
  </conditionalFormatting>
  <conditionalFormatting sqref="A99:A104">
    <cfRule type="expression" dxfId="249" priority="5">
      <formula>kvartal &lt; 4</formula>
    </cfRule>
  </conditionalFormatting>
  <conditionalFormatting sqref="A113">
    <cfRule type="expression" dxfId="248" priority="4">
      <formula>kvartal &lt; 4</formula>
    </cfRule>
  </conditionalFormatting>
  <conditionalFormatting sqref="A121">
    <cfRule type="expression" dxfId="247" priority="3">
      <formula>kvartal &lt; 4</formula>
    </cfRule>
  </conditionalFormatting>
  <conditionalFormatting sqref="A26">
    <cfRule type="expression" dxfId="246" priority="2">
      <formula>kvartal &lt; 4</formula>
    </cfRule>
  </conditionalFormatting>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1.28515625" style="148" bestFit="1" customWidth="1"/>
    <col min="3" max="3" width="11" style="148" customWidth="1"/>
    <col min="4" max="5" width="8.7109375" style="148" customWidth="1"/>
    <col min="6" max="7" width="10.85546875" style="148" customWidth="1"/>
    <col min="8" max="9" width="8.7109375" style="148" customWidth="1"/>
    <col min="10" max="11" width="11.28515625" style="148" bestFit="1" customWidth="1"/>
    <col min="12" max="13" width="8.7109375" style="148" customWidth="1"/>
    <col min="14" max="14" width="11.42578125" style="148"/>
    <col min="15" max="16384" width="11.42578125" style="1"/>
  </cols>
  <sheetData>
    <row r="1" spans="1:14" x14ac:dyDescent="0.2">
      <c r="A1" s="171" t="s">
        <v>152</v>
      </c>
      <c r="B1" s="434"/>
      <c r="C1" s="250" t="s">
        <v>150</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341433.00599999999</v>
      </c>
      <c r="C7" s="305">
        <v>344131.87199999997</v>
      </c>
      <c r="D7" s="344">
        <f>IF(B7=0, "    ---- ", IF(ABS(ROUND(100/B7*C7-100,1))&lt;999,ROUND(100/B7*C7-100,1),IF(ROUND(100/B7*C7-100,1)&gt;999,999,-999)))</f>
        <v>0.8</v>
      </c>
      <c r="E7" s="11">
        <f>IFERROR(100/'Skjema total MA'!C7*C7,0)</f>
        <v>12.638255074784949</v>
      </c>
      <c r="F7" s="304">
        <v>968567.69200000004</v>
      </c>
      <c r="G7" s="305">
        <v>900010.77099999995</v>
      </c>
      <c r="H7" s="344">
        <f>IF(F7=0, "    ---- ", IF(ABS(ROUND(100/F7*G7-100,1))&lt;999,ROUND(100/F7*G7-100,1),IF(ROUND(100/F7*G7-100,1)&gt;999,999,-999)))</f>
        <v>-7.1</v>
      </c>
      <c r="I7" s="159">
        <f>IFERROR(100/'Skjema total MA'!F7*G7,0)</f>
        <v>19.813920829363788</v>
      </c>
      <c r="J7" s="306">
        <v>1310000.6980000001</v>
      </c>
      <c r="K7" s="307">
        <v>1244142.6429999999</v>
      </c>
      <c r="L7" s="403">
        <f>IF(J7=0, "    ---- ", IF(ABS(ROUND(100/J7*K7-100,1))&lt;999,ROUND(100/J7*K7-100,1),IF(ROUND(100/J7*K7-100,1)&gt;999,999,-999)))</f>
        <v>-5</v>
      </c>
      <c r="M7" s="11">
        <f>IFERROR(100/'Skjema total MA'!I7*K7,0)</f>
        <v>17.124559185852799</v>
      </c>
    </row>
    <row r="8" spans="1:14" ht="15.75" x14ac:dyDescent="0.2">
      <c r="A8" s="21" t="s">
        <v>29</v>
      </c>
      <c r="B8" s="286">
        <v>120909</v>
      </c>
      <c r="C8" s="287">
        <v>129031.757</v>
      </c>
      <c r="D8" s="165">
        <f t="shared" ref="D8:D10" si="0">IF(B8=0, "    ---- ", IF(ABS(ROUND(100/B8*C8-100,1))&lt;999,ROUND(100/B8*C8-100,1),IF(ROUND(100/B8*C8-100,1)&gt;999,999,-999)))</f>
        <v>6.7</v>
      </c>
      <c r="E8" s="27">
        <f>IFERROR(100/'Skjema total MA'!C8*C8,0)</f>
        <v>8.5875857294399278</v>
      </c>
      <c r="F8" s="423"/>
      <c r="G8" s="424"/>
      <c r="H8" s="170"/>
      <c r="I8" s="175"/>
      <c r="J8" s="234">
        <f>B8</f>
        <v>120909</v>
      </c>
      <c r="K8" s="290">
        <f>C8</f>
        <v>129031.757</v>
      </c>
      <c r="L8" s="165">
        <f t="shared" ref="L8:L9" si="1">IF(J8=0, "    ---- ", IF(ABS(ROUND(100/J8*K8-100,1))&lt;999,ROUND(100/J8*K8-100,1),IF(ROUND(100/J8*K8-100,1)&gt;999,999,-999)))</f>
        <v>6.7</v>
      </c>
      <c r="M8" s="27">
        <f>IFERROR(100/'Skjema total MA'!I8*K8,0)</f>
        <v>8.5875857294399278</v>
      </c>
    </row>
    <row r="9" spans="1:14" ht="15.75" x14ac:dyDescent="0.2">
      <c r="A9" s="21" t="s">
        <v>28</v>
      </c>
      <c r="B9" s="286">
        <v>39412</v>
      </c>
      <c r="C9" s="287">
        <v>37007.317000000003</v>
      </c>
      <c r="D9" s="165">
        <f t="shared" si="0"/>
        <v>-6.1</v>
      </c>
      <c r="E9" s="27">
        <f>IFERROR(100/'Skjema total MA'!C9*C9,0)</f>
        <v>5.1119041105157121</v>
      </c>
      <c r="F9" s="423"/>
      <c r="G9" s="424"/>
      <c r="H9" s="170"/>
      <c r="I9" s="175"/>
      <c r="J9" s="234">
        <f>B9</f>
        <v>39412</v>
      </c>
      <c r="K9" s="290">
        <f>C9</f>
        <v>37007.317000000003</v>
      </c>
      <c r="L9" s="165">
        <f t="shared" si="1"/>
        <v>-6.1</v>
      </c>
      <c r="M9" s="27">
        <f>IFERROR(100/'Skjema total MA'!I9*K9,0)</f>
        <v>5.1119041105157121</v>
      </c>
    </row>
    <row r="10" spans="1:14" ht="15.75" x14ac:dyDescent="0.2">
      <c r="A10" s="13" t="s">
        <v>26</v>
      </c>
      <c r="B10" s="308">
        <v>4039563.3640000001</v>
      </c>
      <c r="C10" s="309">
        <v>4090756.0920000002</v>
      </c>
      <c r="D10" s="170">
        <f t="shared" si="0"/>
        <v>1.3</v>
      </c>
      <c r="E10" s="11">
        <f>IFERROR(100/'Skjema total MA'!C10*C10,0)</f>
        <v>17.778617253265779</v>
      </c>
      <c r="F10" s="308">
        <v>4366641.7850000001</v>
      </c>
      <c r="G10" s="309">
        <v>5811564.5640000002</v>
      </c>
      <c r="H10" s="170">
        <f t="shared" ref="H10:H12" si="2">IF(F10=0, "    ---- ", IF(ABS(ROUND(100/F10*G10-100,1))&lt;999,ROUND(100/F10*G10-100,1),IF(ROUND(100/F10*G10-100,1)&gt;999,999,-999)))</f>
        <v>33.1</v>
      </c>
      <c r="I10" s="159">
        <f>IFERROR(100/'Skjema total MA'!F10*G10,0)</f>
        <v>15.430472089019949</v>
      </c>
      <c r="J10" s="306">
        <v>8406205.1490000002</v>
      </c>
      <c r="K10" s="307">
        <v>9902320.6559999995</v>
      </c>
      <c r="L10" s="404">
        <f t="shared" ref="L10:L12" si="3">IF(J10=0, "    ---- ", IF(ABS(ROUND(100/J10*K10-100,1))&lt;999,ROUND(100/J10*K10-100,1),IF(ROUND(100/J10*K10-100,1)&gt;999,999,-999)))</f>
        <v>17.8</v>
      </c>
      <c r="M10" s="11">
        <f>IFERROR(100/'Skjema total MA'!I10*K10,0)</f>
        <v>16.320984364660294</v>
      </c>
    </row>
    <row r="11" spans="1:14" s="43" customFormat="1" ht="15.75" x14ac:dyDescent="0.2">
      <c r="A11" s="13" t="s">
        <v>25</v>
      </c>
      <c r="B11" s="308"/>
      <c r="C11" s="309"/>
      <c r="D11" s="170"/>
      <c r="E11" s="11"/>
      <c r="F11" s="308">
        <v>428.94499999999999</v>
      </c>
      <c r="G11" s="309">
        <v>2796.28</v>
      </c>
      <c r="H11" s="170">
        <f t="shared" si="2"/>
        <v>551.9</v>
      </c>
      <c r="I11" s="159">
        <f>IFERROR(100/'Skjema total MA'!F11*G11,0)</f>
        <v>1.7374927820174662</v>
      </c>
      <c r="J11" s="306">
        <v>428.94499999999999</v>
      </c>
      <c r="K11" s="307">
        <v>2796.28</v>
      </c>
      <c r="L11" s="404">
        <f t="shared" si="3"/>
        <v>551.9</v>
      </c>
      <c r="M11" s="11">
        <f>IFERROR(100/'Skjema total MA'!I11*K11,0)</f>
        <v>1.6251522622237209</v>
      </c>
      <c r="N11" s="142"/>
    </row>
    <row r="12" spans="1:14" s="43" customFormat="1" ht="15.75" x14ac:dyDescent="0.2">
      <c r="A12" s="41" t="s">
        <v>24</v>
      </c>
      <c r="B12" s="310"/>
      <c r="C12" s="311"/>
      <c r="D12" s="168"/>
      <c r="E12" s="36"/>
      <c r="F12" s="310">
        <v>15608.132</v>
      </c>
      <c r="G12" s="311">
        <v>22590.572</v>
      </c>
      <c r="H12" s="168">
        <f t="shared" si="2"/>
        <v>44.7</v>
      </c>
      <c r="I12" s="168">
        <f>IFERROR(100/'Skjema total MA'!F12*G12,0)</f>
        <v>30.693115605132522</v>
      </c>
      <c r="J12" s="312">
        <v>15608.132</v>
      </c>
      <c r="K12" s="313">
        <v>22590.572</v>
      </c>
      <c r="L12" s="405">
        <f t="shared" si="3"/>
        <v>44.7</v>
      </c>
      <c r="M12" s="36">
        <f>IFERROR(100/'Skjema total MA'!I12*K12,0)</f>
        <v>30.397407441242599</v>
      </c>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v>7501.4809999999998</v>
      </c>
      <c r="C22" s="315">
        <v>5877.9229999999998</v>
      </c>
      <c r="D22" s="344">
        <f t="shared" ref="D22:D35" si="4">IF(B22=0, "    ---- ", IF(ABS(ROUND(100/B22*C22-100,1))&lt;999,ROUND(100/B22*C22-100,1),IF(ROUND(100/B22*C22-100,1)&gt;999,999,-999)))</f>
        <v>-21.6</v>
      </c>
      <c r="E22" s="11">
        <f>IFERROR(100/'Skjema total MA'!C22*C22,0)</f>
        <v>0.61298375694352991</v>
      </c>
      <c r="F22" s="316">
        <v>25666.264999999999</v>
      </c>
      <c r="G22" s="315">
        <v>7378.9629999999997</v>
      </c>
      <c r="H22" s="344">
        <f t="shared" ref="H22:H33" si="5">IF(F22=0, "    ---- ", IF(ABS(ROUND(100/F22*G22-100,1))&lt;999,ROUND(100/F22*G22-100,1),IF(ROUND(100/F22*G22-100,1)&gt;999,999,-999)))</f>
        <v>-71.3</v>
      </c>
      <c r="I22" s="11">
        <f>IFERROR(100/'Skjema total MA'!F22*G22,0)</f>
        <v>3.7010397824724643</v>
      </c>
      <c r="J22" s="314">
        <v>33167.745999999999</v>
      </c>
      <c r="K22" s="314">
        <v>13256.885999999999</v>
      </c>
      <c r="L22" s="403">
        <f t="shared" ref="L22:L33" si="6">IF(J22=0, "    ---- ", IF(ABS(ROUND(100/J22*K22-100,1))&lt;999,ROUND(100/J22*K22-100,1),IF(ROUND(100/J22*K22-100,1)&gt;999,999,-999)))</f>
        <v>-60</v>
      </c>
      <c r="M22" s="24">
        <f>IFERROR(100/'Skjema total MA'!I22*K22,0)</f>
        <v>1.1445330998737517</v>
      </c>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v>102118</v>
      </c>
      <c r="C27" s="290">
        <v>106407.423</v>
      </c>
      <c r="D27" s="165">
        <f t="shared" si="4"/>
        <v>4.2</v>
      </c>
      <c r="E27" s="27">
        <f>IFERROR(100/'Skjema total MA'!C27*C27,0)</f>
        <v>10.758387540237985</v>
      </c>
      <c r="F27" s="234"/>
      <c r="G27" s="290"/>
      <c r="H27" s="165"/>
      <c r="I27" s="27"/>
      <c r="J27" s="234">
        <f>B27</f>
        <v>102118</v>
      </c>
      <c r="K27" s="290">
        <f>C27</f>
        <v>106407.423</v>
      </c>
      <c r="L27" s="259">
        <f t="shared" si="6"/>
        <v>4.2</v>
      </c>
      <c r="M27" s="23">
        <f>IFERROR(100/'Skjema total MA'!I27*K27,0)</f>
        <v>10.758387540237985</v>
      </c>
    </row>
    <row r="28" spans="1:14" s="3" customFormat="1" ht="15.75" x14ac:dyDescent="0.2">
      <c r="A28" s="13" t="s">
        <v>26</v>
      </c>
      <c r="B28" s="236">
        <v>11967873.384</v>
      </c>
      <c r="C28" s="307">
        <v>11602897.105</v>
      </c>
      <c r="D28" s="170">
        <f t="shared" si="4"/>
        <v>-3</v>
      </c>
      <c r="E28" s="11">
        <f>IFERROR(100/'Skjema total MA'!C28*C28,0)</f>
        <v>22.772331194373304</v>
      </c>
      <c r="F28" s="306">
        <v>3428296.0959999999</v>
      </c>
      <c r="G28" s="307">
        <v>3685909.298</v>
      </c>
      <c r="H28" s="170">
        <f t="shared" si="5"/>
        <v>7.5</v>
      </c>
      <c r="I28" s="11">
        <f>IFERROR(100/'Skjema total MA'!F28*G28,0)</f>
        <v>18.770830274462387</v>
      </c>
      <c r="J28" s="236">
        <v>15396169.48</v>
      </c>
      <c r="K28" s="236">
        <v>15288806.403000001</v>
      </c>
      <c r="L28" s="404">
        <f t="shared" si="6"/>
        <v>-0.7</v>
      </c>
      <c r="M28" s="24">
        <f>IFERROR(100/'Skjema total MA'!I28*K28,0)</f>
        <v>21.659184010762459</v>
      </c>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v>3396.3510000000001</v>
      </c>
      <c r="C32" s="307">
        <v>4560.0150000000003</v>
      </c>
      <c r="D32" s="170">
        <f t="shared" si="4"/>
        <v>34.299999999999997</v>
      </c>
      <c r="E32" s="11">
        <f>IFERROR(100/'Skjema total MA'!C32*C32,0)</f>
        <v>19.421662280125467</v>
      </c>
      <c r="F32" s="306">
        <v>10265.127</v>
      </c>
      <c r="G32" s="307">
        <v>6251.0060000000003</v>
      </c>
      <c r="H32" s="170">
        <f t="shared" si="5"/>
        <v>-39.1</v>
      </c>
      <c r="I32" s="11">
        <f>IFERROR(100/'Skjema total MA'!F32*G32,0)</f>
        <v>33.370276487673706</v>
      </c>
      <c r="J32" s="236">
        <v>13661.478000000001</v>
      </c>
      <c r="K32" s="236">
        <v>10811.021000000001</v>
      </c>
      <c r="L32" s="404">
        <f t="shared" si="6"/>
        <v>-20.9</v>
      </c>
      <c r="M32" s="24">
        <f>IFERROR(100/'Skjema total MA'!I32*K32,0)</f>
        <v>25.611691976834127</v>
      </c>
    </row>
    <row r="33" spans="1:14" ht="15.75" x14ac:dyDescent="0.2">
      <c r="A33" s="13" t="s">
        <v>24</v>
      </c>
      <c r="B33" s="236">
        <v>1795.55</v>
      </c>
      <c r="C33" s="307">
        <v>2769.85</v>
      </c>
      <c r="D33" s="170">
        <f t="shared" si="4"/>
        <v>54.3</v>
      </c>
      <c r="E33" s="11">
        <f>IFERROR(100/'Skjema total MA'!C33*C33,0)</f>
        <v>-8.8850675854036663</v>
      </c>
      <c r="F33" s="306">
        <v>4609.6490000000003</v>
      </c>
      <c r="G33" s="307">
        <v>8931.8680000000004</v>
      </c>
      <c r="H33" s="170">
        <f t="shared" si="5"/>
        <v>93.8</v>
      </c>
      <c r="I33" s="11">
        <f>IFERROR(100/'Skjema total MA'!F33*G33,0)</f>
        <v>13.639218319941417</v>
      </c>
      <c r="J33" s="236">
        <v>6405.1990000000005</v>
      </c>
      <c r="K33" s="236">
        <v>11701.718000000001</v>
      </c>
      <c r="L33" s="404">
        <f t="shared" si="6"/>
        <v>82.7</v>
      </c>
      <c r="M33" s="24">
        <f>IFERROR(100/'Skjema total MA'!I33*K33,0)</f>
        <v>34.103425283639254</v>
      </c>
    </row>
    <row r="34" spans="1:14" ht="15.75" x14ac:dyDescent="0.2">
      <c r="A34" s="12" t="s">
        <v>308</v>
      </c>
      <c r="B34" s="236">
        <v>82.652000000000001</v>
      </c>
      <c r="C34" s="307">
        <v>32.338000000000001</v>
      </c>
      <c r="D34" s="170">
        <f t="shared" si="4"/>
        <v>-60.9</v>
      </c>
      <c r="E34" s="11">
        <f>100/'Skjema total MA'!C34*C34</f>
        <v>1.3865057294440171</v>
      </c>
      <c r="F34" s="425"/>
      <c r="G34" s="426"/>
      <c r="H34" s="170"/>
      <c r="I34" s="410">
        <f>IFERROR(100/'Skjema total MA'!F34*G34,0)</f>
        <v>0</v>
      </c>
      <c r="J34" s="236">
        <v>82.652000000000001</v>
      </c>
      <c r="K34" s="236">
        <v>32.338000000000001</v>
      </c>
      <c r="L34" s="404"/>
      <c r="M34" s="24">
        <f>IFERROR(100/'Skjema total MA'!I34*K34,0)</f>
        <v>1.3865057294440171</v>
      </c>
    </row>
    <row r="35" spans="1:14" ht="15.75" x14ac:dyDescent="0.2">
      <c r="A35" s="12" t="s">
        <v>309</v>
      </c>
      <c r="B35" s="236">
        <v>495472.85600000003</v>
      </c>
      <c r="C35" s="307">
        <v>490174.47100000002</v>
      </c>
      <c r="D35" s="170">
        <f t="shared" si="4"/>
        <v>-1.1000000000000001</v>
      </c>
      <c r="E35" s="11">
        <f>100/'Skjema total MA'!C35*C35</f>
        <v>12.058541696497295</v>
      </c>
      <c r="F35" s="425"/>
      <c r="G35" s="427"/>
      <c r="H35" s="170"/>
      <c r="I35" s="410">
        <f>IFERROR(100/'Skjema total MA'!F35*G35,0)</f>
        <v>0</v>
      </c>
      <c r="J35" s="236">
        <v>495472.85600000003</v>
      </c>
      <c r="K35" s="236">
        <v>490174.47100000002</v>
      </c>
      <c r="L35" s="404"/>
      <c r="M35" s="24">
        <f>IFERROR(100/'Skjema total MA'!I35*K35,0)</f>
        <v>12.058541696497295</v>
      </c>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491642.09499999997</v>
      </c>
      <c r="C45" s="309">
        <v>478030.76</v>
      </c>
      <c r="D45" s="403">
        <f t="shared" ref="D45:D55" si="7">IF(B45=0, "    ---- ", IF(ABS(ROUND(100/B45*C45-100,1))&lt;999,ROUND(100/B45*C45-100,1),IF(ROUND(100/B45*C45-100,1)&gt;999,999,-999)))</f>
        <v>-2.8</v>
      </c>
      <c r="E45" s="11">
        <f>IFERROR(100/'Skjema total MA'!C45*C45,0)</f>
        <v>17.433665397221191</v>
      </c>
      <c r="F45" s="144"/>
      <c r="G45" s="33"/>
      <c r="H45" s="158"/>
      <c r="I45" s="158"/>
      <c r="J45" s="37"/>
      <c r="K45" s="37"/>
      <c r="L45" s="158"/>
      <c r="M45" s="158"/>
      <c r="N45" s="147"/>
    </row>
    <row r="46" spans="1:14" s="3" customFormat="1" ht="15.75" x14ac:dyDescent="0.2">
      <c r="A46" s="38" t="s">
        <v>312</v>
      </c>
      <c r="B46" s="286">
        <v>242984.984</v>
      </c>
      <c r="C46" s="287">
        <v>211590.495</v>
      </c>
      <c r="D46" s="259">
        <f t="shared" si="7"/>
        <v>-12.9</v>
      </c>
      <c r="E46" s="27">
        <f>IFERROR(100/'Skjema total MA'!C46*C46,0)</f>
        <v>14.53700440668133</v>
      </c>
      <c r="F46" s="144"/>
      <c r="G46" s="33"/>
      <c r="H46" s="144"/>
      <c r="I46" s="144"/>
      <c r="J46" s="33"/>
      <c r="K46" s="33"/>
      <c r="L46" s="158"/>
      <c r="M46" s="158"/>
      <c r="N46" s="147"/>
    </row>
    <row r="47" spans="1:14" s="3" customFormat="1" ht="15.75" x14ac:dyDescent="0.2">
      <c r="A47" s="38" t="s">
        <v>313</v>
      </c>
      <c r="B47" s="44">
        <v>248657.111</v>
      </c>
      <c r="C47" s="290">
        <v>266440.26500000001</v>
      </c>
      <c r="D47" s="259">
        <f>IF(B47=0, "    ---- ", IF(ABS(ROUND(100/B47*C47-100,1))&lt;999,ROUND(100/B47*C47-100,1),IF(ROUND(100/B47*C47-100,1)&gt;999,999,-999)))</f>
        <v>7.2</v>
      </c>
      <c r="E47" s="27">
        <f>IFERROR(100/'Skjema total MA'!C47*C47,0)</f>
        <v>20.710994007318664</v>
      </c>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v>27950.678</v>
      </c>
      <c r="C51" s="309">
        <v>6421.1890000000003</v>
      </c>
      <c r="D51" s="404">
        <f t="shared" si="7"/>
        <v>-77</v>
      </c>
      <c r="E51" s="11">
        <f>IFERROR(100/'Skjema total MA'!C51*C51,0)</f>
        <v>4.5326188349948229</v>
      </c>
      <c r="F51" s="144"/>
      <c r="G51" s="33"/>
      <c r="H51" s="144"/>
      <c r="I51" s="144"/>
      <c r="J51" s="33"/>
      <c r="K51" s="33"/>
      <c r="L51" s="158"/>
      <c r="M51" s="158"/>
      <c r="N51" s="147"/>
    </row>
    <row r="52" spans="1:14" s="3" customFormat="1" ht="15.75" x14ac:dyDescent="0.2">
      <c r="A52" s="38" t="s">
        <v>312</v>
      </c>
      <c r="B52" s="286">
        <v>3896.6869999999999</v>
      </c>
      <c r="C52" s="287">
        <v>6421.1890000000003</v>
      </c>
      <c r="D52" s="259">
        <f t="shared" si="7"/>
        <v>64.8</v>
      </c>
      <c r="E52" s="27">
        <f>IFERROR(100/'Skjema total MA'!C52*C52,0)</f>
        <v>7.6155056809632544</v>
      </c>
      <c r="F52" s="144"/>
      <c r="G52" s="33"/>
      <c r="H52" s="144"/>
      <c r="I52" s="144"/>
      <c r="J52" s="33"/>
      <c r="K52" s="33"/>
      <c r="L52" s="158"/>
      <c r="M52" s="158"/>
      <c r="N52" s="147"/>
    </row>
    <row r="53" spans="1:14" s="3" customFormat="1" ht="15.75" x14ac:dyDescent="0.2">
      <c r="A53" s="38" t="s">
        <v>313</v>
      </c>
      <c r="B53" s="286">
        <v>24053.991000000002</v>
      </c>
      <c r="C53" s="287"/>
      <c r="D53" s="259">
        <f t="shared" si="7"/>
        <v>-100</v>
      </c>
      <c r="E53" s="27">
        <f>IFERROR(100/'Skjema total MA'!C53*C53,0)</f>
        <v>0</v>
      </c>
      <c r="F53" s="144"/>
      <c r="G53" s="33"/>
      <c r="H53" s="144"/>
      <c r="I53" s="144"/>
      <c r="J53" s="33"/>
      <c r="K53" s="33"/>
      <c r="L53" s="158"/>
      <c r="M53" s="158"/>
      <c r="N53" s="147"/>
    </row>
    <row r="54" spans="1:14" s="3" customFormat="1" ht="15.75" x14ac:dyDescent="0.2">
      <c r="A54" s="39" t="s">
        <v>315</v>
      </c>
      <c r="B54" s="308">
        <v>1978.086</v>
      </c>
      <c r="C54" s="309">
        <v>25.61</v>
      </c>
      <c r="D54" s="404">
        <f t="shared" si="7"/>
        <v>-98.7</v>
      </c>
      <c r="E54" s="11">
        <f>IFERROR(100/'Skjema total MA'!C54*C54,0)</f>
        <v>2.9670576888003921E-2</v>
      </c>
      <c r="F54" s="144"/>
      <c r="G54" s="33"/>
      <c r="H54" s="144"/>
      <c r="I54" s="144"/>
      <c r="J54" s="33"/>
      <c r="K54" s="33"/>
      <c r="L54" s="158"/>
      <c r="M54" s="158"/>
      <c r="N54" s="147"/>
    </row>
    <row r="55" spans="1:14" s="3" customFormat="1" ht="15.75" x14ac:dyDescent="0.2">
      <c r="A55" s="38" t="s">
        <v>312</v>
      </c>
      <c r="B55" s="286">
        <v>1978.086</v>
      </c>
      <c r="C55" s="287">
        <v>25.61</v>
      </c>
      <c r="D55" s="259">
        <f t="shared" si="7"/>
        <v>-98.7</v>
      </c>
      <c r="E55" s="27">
        <f>IFERROR(100/'Skjema total MA'!C55*C55,0)</f>
        <v>2.9670576888003921E-2</v>
      </c>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3406678.986</v>
      </c>
      <c r="C64" s="347">
        <v>2213370.8319999999</v>
      </c>
      <c r="D64" s="344">
        <f t="shared" ref="D64:D109" si="8">IF(B64=0, "    ---- ", IF(ABS(ROUND(100/B64*C64-100,1))&lt;999,ROUND(100/B64*C64-100,1),IF(ROUND(100/B64*C64-100,1)&gt;999,999,-999)))</f>
        <v>-35</v>
      </c>
      <c r="E64" s="11">
        <f>IFERROR(100/'Skjema total MA'!C64*C64,0)</f>
        <v>41.207703784936534</v>
      </c>
      <c r="F64" s="346">
        <v>3904652.0170000005</v>
      </c>
      <c r="G64" s="346">
        <v>4147127.5660000001</v>
      </c>
      <c r="H64" s="344">
        <f t="shared" ref="H64:H109" si="9">IF(F64=0, "    ---- ", IF(ABS(ROUND(100/F64*G64-100,1))&lt;999,ROUND(100/F64*G64-100,1),IF(ROUND(100/F64*G64-100,1)&gt;999,999,-999)))</f>
        <v>6.2</v>
      </c>
      <c r="I64" s="11">
        <f>IFERROR(100/'Skjema total MA'!F64*G64,0)</f>
        <v>31.941882737371959</v>
      </c>
      <c r="J64" s="307">
        <v>7311331.0030000005</v>
      </c>
      <c r="K64" s="314">
        <v>6360498.398</v>
      </c>
      <c r="L64" s="404">
        <f t="shared" ref="L64:L109" si="10">IF(J64=0, "    ---- ", IF(ABS(ROUND(100/J64*K64-100,1))&lt;999,ROUND(100/J64*K64-100,1),IF(ROUND(100/J64*K64-100,1)&gt;999,999,-999)))</f>
        <v>-13</v>
      </c>
      <c r="M64" s="11">
        <f>IFERROR(100/'Skjema total MA'!I64*K64,0)</f>
        <v>34.653413588750709</v>
      </c>
    </row>
    <row r="65" spans="1:14" x14ac:dyDescent="0.2">
      <c r="A65" s="395" t="s">
        <v>9</v>
      </c>
      <c r="B65" s="44">
        <v>3388532.048</v>
      </c>
      <c r="C65" s="144">
        <v>2181445.58</v>
      </c>
      <c r="D65" s="165">
        <f t="shared" si="8"/>
        <v>-35.6</v>
      </c>
      <c r="E65" s="27">
        <f>IFERROR(100/'Skjema total MA'!C65*C65,0)</f>
        <v>42.508852968747547</v>
      </c>
      <c r="F65" s="234"/>
      <c r="G65" s="144"/>
      <c r="H65" s="165"/>
      <c r="I65" s="27"/>
      <c r="J65" s="290">
        <v>3388532.048</v>
      </c>
      <c r="K65" s="44">
        <v>2181445.58</v>
      </c>
      <c r="L65" s="259">
        <f t="shared" si="10"/>
        <v>-35.6</v>
      </c>
      <c r="M65" s="27">
        <f>IFERROR(100/'Skjema total MA'!I65*K65,0)</f>
        <v>42.508852968747547</v>
      </c>
    </row>
    <row r="66" spans="1:14" x14ac:dyDescent="0.2">
      <c r="A66" s="21" t="s">
        <v>10</v>
      </c>
      <c r="B66" s="292"/>
      <c r="C66" s="293"/>
      <c r="D66" s="165"/>
      <c r="E66" s="27"/>
      <c r="F66" s="292">
        <v>3885684.1690000002</v>
      </c>
      <c r="G66" s="293">
        <v>4098632.298</v>
      </c>
      <c r="H66" s="165">
        <f t="shared" si="9"/>
        <v>5.5</v>
      </c>
      <c r="I66" s="27">
        <f>IFERROR(100/'Skjema total MA'!F66*G66,0)</f>
        <v>31.885774760536584</v>
      </c>
      <c r="J66" s="290">
        <v>3885684.1690000002</v>
      </c>
      <c r="K66" s="44">
        <v>4098632.298</v>
      </c>
      <c r="L66" s="259">
        <f t="shared" si="10"/>
        <v>5.5</v>
      </c>
      <c r="M66" s="27">
        <f>IFERROR(100/'Skjema total MA'!I66*K66,0)</f>
        <v>31.597010593111598</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v>18146.937999999998</v>
      </c>
      <c r="C73" s="144">
        <v>31925.252</v>
      </c>
      <c r="D73" s="165">
        <f t="shared" si="8"/>
        <v>75.900000000000006</v>
      </c>
      <c r="E73" s="27">
        <f>IFERROR(100/'Skjema total MA'!C73*C73,0)</f>
        <v>26.160206179651162</v>
      </c>
      <c r="F73" s="234">
        <v>18967.848000000002</v>
      </c>
      <c r="G73" s="144">
        <v>48495.267999999996</v>
      </c>
      <c r="H73" s="165">
        <f t="shared" si="9"/>
        <v>155.69999999999999</v>
      </c>
      <c r="I73" s="27">
        <f>IFERROR(100/'Skjema total MA'!F73*G73,0)</f>
        <v>37.522149170528422</v>
      </c>
      <c r="J73" s="290">
        <v>37114.786</v>
      </c>
      <c r="K73" s="44">
        <v>80420.51999999999</v>
      </c>
      <c r="L73" s="259">
        <f t="shared" si="10"/>
        <v>116.7</v>
      </c>
      <c r="M73" s="27">
        <f>IFERROR(100/'Skjema total MA'!I73*K73,0)</f>
        <v>32.004111345882663</v>
      </c>
      <c r="N73" s="147"/>
    </row>
    <row r="74" spans="1:14" s="3" customFormat="1" x14ac:dyDescent="0.2">
      <c r="A74" s="21" t="s">
        <v>399</v>
      </c>
      <c r="B74" s="234"/>
      <c r="C74" s="144">
        <v>523429.59100000001</v>
      </c>
      <c r="D74" s="165" t="str">
        <f t="shared" ref="D74" si="11">IF(B74=0, "    ---- ", IF(ABS(ROUND(100/B74*C74-100,1))&lt;999,ROUND(100/B74*C74-100,1),IF(ROUND(100/B74*C74-100,1)&gt;999,999,-999)))</f>
        <v xml:space="preserve">    ---- </v>
      </c>
      <c r="E74" s="27">
        <f>IFERROR(100/'Skjema total MA'!C75*C74,0)</f>
        <v>10.254747022317478</v>
      </c>
      <c r="F74" s="234"/>
      <c r="G74" s="144"/>
      <c r="H74" s="165"/>
      <c r="I74" s="27"/>
      <c r="J74" s="290"/>
      <c r="K74" s="44">
        <v>523429.59100000001</v>
      </c>
      <c r="L74" s="259" t="str">
        <f t="shared" ref="L74" si="12">IF(J74=0, "    ---- ", IF(ABS(ROUND(100/J74*K74-100,1))&lt;999,ROUND(100/J74*K74-100,1),IF(ROUND(100/J74*K74-100,1)&gt;999,999,-999)))</f>
        <v xml:space="preserve">    ---- </v>
      </c>
      <c r="M74" s="27">
        <f>IFERROR(100/'Skjema total MA'!I75*K74,0)</f>
        <v>2.9160450325547922</v>
      </c>
      <c r="N74" s="147"/>
    </row>
    <row r="75" spans="1:14" ht="15.75" x14ac:dyDescent="0.2">
      <c r="A75" s="21" t="s">
        <v>318</v>
      </c>
      <c r="B75" s="234">
        <v>3189129.31</v>
      </c>
      <c r="C75" s="234">
        <v>2066645.4939999999</v>
      </c>
      <c r="D75" s="165">
        <f t="shared" si="8"/>
        <v>-35.200000000000003</v>
      </c>
      <c r="E75" s="27">
        <f>IFERROR(100/'Skjema total MA'!C75*C75,0)</f>
        <v>40.488591188155297</v>
      </c>
      <c r="F75" s="234">
        <v>3885684.1690000002</v>
      </c>
      <c r="G75" s="144">
        <v>4098632.298</v>
      </c>
      <c r="H75" s="165">
        <f t="shared" si="9"/>
        <v>5.5</v>
      </c>
      <c r="I75" s="27">
        <f>IFERROR(100/'Skjema total MA'!F75*G75,0)</f>
        <v>31.906606224146742</v>
      </c>
      <c r="J75" s="290">
        <v>7074813.4790000003</v>
      </c>
      <c r="K75" s="44">
        <v>6165277.7919999994</v>
      </c>
      <c r="L75" s="259">
        <f t="shared" si="10"/>
        <v>-12.9</v>
      </c>
      <c r="M75" s="27">
        <f>IFERROR(100/'Skjema total MA'!I75*K75,0)</f>
        <v>34.346983794582556</v>
      </c>
    </row>
    <row r="76" spans="1:14" x14ac:dyDescent="0.2">
      <c r="A76" s="21" t="s">
        <v>9</v>
      </c>
      <c r="B76" s="234">
        <v>3189129.31</v>
      </c>
      <c r="C76" s="144">
        <v>2066645.4939999999</v>
      </c>
      <c r="D76" s="165">
        <f t="shared" si="8"/>
        <v>-35.200000000000003</v>
      </c>
      <c r="E76" s="27">
        <f>IFERROR(100/'Skjema total MA'!C76*C76,0)</f>
        <v>41.423936763282597</v>
      </c>
      <c r="F76" s="234"/>
      <c r="G76" s="144"/>
      <c r="H76" s="165"/>
      <c r="I76" s="27"/>
      <c r="J76" s="290">
        <v>3189129.31</v>
      </c>
      <c r="K76" s="44">
        <v>2066645.4939999999</v>
      </c>
      <c r="L76" s="259">
        <f t="shared" si="10"/>
        <v>-35.200000000000003</v>
      </c>
      <c r="M76" s="27">
        <f>IFERROR(100/'Skjema total MA'!I76*K76,0)</f>
        <v>41.423936763282597</v>
      </c>
    </row>
    <row r="77" spans="1:14" x14ac:dyDescent="0.2">
      <c r="A77" s="21" t="s">
        <v>10</v>
      </c>
      <c r="B77" s="292"/>
      <c r="C77" s="293"/>
      <c r="D77" s="165"/>
      <c r="E77" s="27"/>
      <c r="F77" s="292">
        <v>3885684.1690000002</v>
      </c>
      <c r="G77" s="293">
        <v>4098632.298</v>
      </c>
      <c r="H77" s="165">
        <f t="shared" si="9"/>
        <v>5.5</v>
      </c>
      <c r="I77" s="27">
        <f>IFERROR(100/'Skjema total MA'!F77*G77,0)</f>
        <v>31.906606224146742</v>
      </c>
      <c r="J77" s="290">
        <v>3885684.1690000002</v>
      </c>
      <c r="K77" s="44">
        <v>4098632.298</v>
      </c>
      <c r="L77" s="259">
        <f t="shared" si="10"/>
        <v>5.5</v>
      </c>
      <c r="M77" s="27">
        <f>IFERROR(100/'Skjema total MA'!I77*K77,0)</f>
        <v>31.622881526911407</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v>199402.73800000001</v>
      </c>
      <c r="C84" s="144">
        <v>114800.086</v>
      </c>
      <c r="D84" s="165">
        <f t="shared" si="8"/>
        <v>-42.4</v>
      </c>
      <c r="E84" s="27">
        <f>IFERROR(100/'Skjema total MA'!C84*C84,0)</f>
        <v>79.199102572736777</v>
      </c>
      <c r="F84" s="234"/>
      <c r="G84" s="144"/>
      <c r="H84" s="165"/>
      <c r="I84" s="27"/>
      <c r="J84" s="290">
        <v>199402.73800000001</v>
      </c>
      <c r="K84" s="44">
        <v>114800.086</v>
      </c>
      <c r="L84" s="259">
        <f t="shared" si="10"/>
        <v>-42.4</v>
      </c>
      <c r="M84" s="27">
        <f>IFERROR(100/'Skjema total MA'!I84*K84,0)</f>
        <v>74.864633524631373</v>
      </c>
    </row>
    <row r="85" spans="1:13" ht="15.75" x14ac:dyDescent="0.2">
      <c r="A85" s="13" t="s">
        <v>26</v>
      </c>
      <c r="B85" s="347">
        <v>154756981.00300002</v>
      </c>
      <c r="C85" s="347">
        <v>157022750.36099997</v>
      </c>
      <c r="D85" s="170">
        <f t="shared" si="8"/>
        <v>1.5</v>
      </c>
      <c r="E85" s="11">
        <f>IFERROR(100/'Skjema total MA'!C85*C85,0)</f>
        <v>42.006013572994107</v>
      </c>
      <c r="F85" s="346">
        <v>50231591.722000003</v>
      </c>
      <c r="G85" s="346">
        <v>61763965.375</v>
      </c>
      <c r="H85" s="170">
        <f t="shared" si="9"/>
        <v>23</v>
      </c>
      <c r="I85" s="11">
        <f>IFERROR(100/'Skjema total MA'!F85*G85,0)</f>
        <v>31.054892896292163</v>
      </c>
      <c r="J85" s="307">
        <v>204988572.72500002</v>
      </c>
      <c r="K85" s="236">
        <v>218786715.73599997</v>
      </c>
      <c r="L85" s="404">
        <f t="shared" si="10"/>
        <v>6.7</v>
      </c>
      <c r="M85" s="11">
        <f>IFERROR(100/'Skjema total MA'!I85*K85,0)</f>
        <v>38.202901693040197</v>
      </c>
    </row>
    <row r="86" spans="1:13" x14ac:dyDescent="0.2">
      <c r="A86" s="21" t="s">
        <v>9</v>
      </c>
      <c r="B86" s="234">
        <v>154663430.73969001</v>
      </c>
      <c r="C86" s="144">
        <v>156928925.52379999</v>
      </c>
      <c r="D86" s="165">
        <f t="shared" si="8"/>
        <v>1.5</v>
      </c>
      <c r="E86" s="27">
        <f>IFERROR(100/'Skjema total MA'!C86*C86,0)</f>
        <v>42.291100124162533</v>
      </c>
      <c r="F86" s="234"/>
      <c r="G86" s="144"/>
      <c r="H86" s="165"/>
      <c r="I86" s="27"/>
      <c r="J86" s="290">
        <v>154663430.73969001</v>
      </c>
      <c r="K86" s="44">
        <v>156928925.52379999</v>
      </c>
      <c r="L86" s="259">
        <f t="shared" si="10"/>
        <v>1.5</v>
      </c>
      <c r="M86" s="27">
        <f>IFERROR(100/'Skjema total MA'!I86*K86,0)</f>
        <v>42.291100124162533</v>
      </c>
    </row>
    <row r="87" spans="1:13" x14ac:dyDescent="0.2">
      <c r="A87" s="21" t="s">
        <v>10</v>
      </c>
      <c r="B87" s="234">
        <v>47796.199310000004</v>
      </c>
      <c r="C87" s="144">
        <v>54443.575199999999</v>
      </c>
      <c r="D87" s="165">
        <f t="shared" si="8"/>
        <v>13.9</v>
      </c>
      <c r="E87" s="27">
        <f>IFERROR(100/'Skjema total MA'!C87*C87,0)</f>
        <v>2.1785277404785308</v>
      </c>
      <c r="F87" s="234">
        <v>50231591.722000003</v>
      </c>
      <c r="G87" s="144">
        <v>61614720.629000001</v>
      </c>
      <c r="H87" s="165">
        <f t="shared" si="9"/>
        <v>22.7</v>
      </c>
      <c r="I87" s="27">
        <f>IFERROR(100/'Skjema total MA'!F87*G87,0)</f>
        <v>31.035936283480137</v>
      </c>
      <c r="J87" s="290">
        <v>50279387.92131</v>
      </c>
      <c r="K87" s="44">
        <v>61669164.2042</v>
      </c>
      <c r="L87" s="259">
        <f t="shared" si="10"/>
        <v>22.7</v>
      </c>
      <c r="M87" s="27">
        <f>IFERROR(100/'Skjema total MA'!I87*K87,0)</f>
        <v>30.6771892053311</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v>45754.063999999998</v>
      </c>
      <c r="C94" s="144">
        <v>39381.262000000002</v>
      </c>
      <c r="D94" s="165">
        <f t="shared" si="8"/>
        <v>-13.9</v>
      </c>
      <c r="E94" s="27">
        <f>IFERROR(100/'Skjema total MA'!C94*C94,0)</f>
        <v>16.231025969652805</v>
      </c>
      <c r="F94" s="234"/>
      <c r="G94" s="144">
        <v>149244.74600000001</v>
      </c>
      <c r="H94" s="165" t="str">
        <f t="shared" si="9"/>
        <v xml:space="preserve">    ---- </v>
      </c>
      <c r="I94" s="27">
        <f>IFERROR(100/'Skjema total MA'!F94*G94,0)</f>
        <v>41.526284312956292</v>
      </c>
      <c r="J94" s="290">
        <v>45754.063999999998</v>
      </c>
      <c r="K94" s="44">
        <v>188626.00800000003</v>
      </c>
      <c r="L94" s="259">
        <f t="shared" si="10"/>
        <v>312.3</v>
      </c>
      <c r="M94" s="27">
        <f>IFERROR(100/'Skjema total MA'!I94*K94,0)</f>
        <v>31.331777222814512</v>
      </c>
    </row>
    <row r="95" spans="1:13" x14ac:dyDescent="0.2">
      <c r="A95" s="21" t="s">
        <v>397</v>
      </c>
      <c r="B95" s="234"/>
      <c r="C95" s="144">
        <v>3594560.1889999998</v>
      </c>
      <c r="D95" s="165" t="str">
        <f t="shared" ref="D95" si="13">IF(B95=0, "    ---- ", IF(ABS(ROUND(100/B95*C95-100,1))&lt;999,ROUND(100/B95*C95-100,1),IF(ROUND(100/B95*C95-100,1)&gt;999,999,-999)))</f>
        <v xml:space="preserve">    ---- </v>
      </c>
      <c r="E95" s="27">
        <f>IFERROR(100/'Skjema total MA'!C96*C95,0)</f>
        <v>0.97503770823230407</v>
      </c>
      <c r="F95" s="234"/>
      <c r="G95" s="144"/>
      <c r="H95" s="165"/>
      <c r="I95" s="27"/>
      <c r="J95" s="290"/>
      <c r="K95" s="44">
        <v>3594560.1889999998</v>
      </c>
      <c r="L95" s="259" t="str">
        <f t="shared" ref="L95" si="14">IF(J95=0, "    ---- ", IF(ABS(ROUND(100/J95*K95-100,1))&lt;999,ROUND(100/J95*K95-100,1),IF(ROUND(100/J95*K95-100,1)&gt;999,999,-999)))</f>
        <v xml:space="preserve">    ---- </v>
      </c>
      <c r="M95" s="27">
        <f>IFERROR(100/'Skjema total MA'!I96*K95,0)</f>
        <v>0.63434965442812097</v>
      </c>
    </row>
    <row r="96" spans="1:13" ht="15.75" x14ac:dyDescent="0.2">
      <c r="A96" s="21" t="s">
        <v>318</v>
      </c>
      <c r="B96" s="234">
        <v>151129748.41800001</v>
      </c>
      <c r="C96" s="234">
        <v>153448328.92299998</v>
      </c>
      <c r="D96" s="165">
        <f t="shared" si="8"/>
        <v>1.5</v>
      </c>
      <c r="E96" s="27">
        <f>IFERROR(100/'Skjema total MA'!C96*C96,0)</f>
        <v>41.623425147537205</v>
      </c>
      <c r="F96" s="292">
        <v>50231591.722000003</v>
      </c>
      <c r="G96" s="292">
        <v>61614720.629000001</v>
      </c>
      <c r="H96" s="165">
        <f t="shared" si="9"/>
        <v>22.7</v>
      </c>
      <c r="I96" s="27">
        <f>IFERROR(100/'Skjema total MA'!F96*G96,0)</f>
        <v>31.119451785780374</v>
      </c>
      <c r="J96" s="290">
        <v>201361340.14000002</v>
      </c>
      <c r="K96" s="44">
        <v>215063049.55199999</v>
      </c>
      <c r="L96" s="259">
        <f t="shared" si="10"/>
        <v>6.8</v>
      </c>
      <c r="M96" s="27">
        <f>IFERROR(100/'Skjema total MA'!I96*K96,0)</f>
        <v>37.95323043443662</v>
      </c>
    </row>
    <row r="97" spans="1:13" x14ac:dyDescent="0.2">
      <c r="A97" s="21" t="s">
        <v>9</v>
      </c>
      <c r="B97" s="292">
        <v>151081952.21869001</v>
      </c>
      <c r="C97" s="293">
        <v>153393885.34779999</v>
      </c>
      <c r="D97" s="165">
        <f t="shared" si="8"/>
        <v>1.5</v>
      </c>
      <c r="E97" s="27">
        <f>IFERROR(100/'Skjema total MA'!C97*C97,0)</f>
        <v>41.892643143743179</v>
      </c>
      <c r="F97" s="234"/>
      <c r="G97" s="144"/>
      <c r="H97" s="165"/>
      <c r="I97" s="27"/>
      <c r="J97" s="290">
        <v>151081952.21869001</v>
      </c>
      <c r="K97" s="44">
        <v>153393885.34779999</v>
      </c>
      <c r="L97" s="259">
        <f t="shared" si="10"/>
        <v>1.5</v>
      </c>
      <c r="M97" s="27">
        <f>IFERROR(100/'Skjema total MA'!I97*K97,0)</f>
        <v>41.892643143743179</v>
      </c>
    </row>
    <row r="98" spans="1:13" x14ac:dyDescent="0.2">
      <c r="A98" s="21" t="s">
        <v>10</v>
      </c>
      <c r="B98" s="292">
        <v>47796.199310000004</v>
      </c>
      <c r="C98" s="293">
        <v>54443.575199999999</v>
      </c>
      <c r="D98" s="165">
        <f t="shared" si="8"/>
        <v>13.9</v>
      </c>
      <c r="E98" s="27">
        <f>IFERROR(100/'Skjema total MA'!C98*C98,0)</f>
        <v>2.1785277404785308</v>
      </c>
      <c r="F98" s="234">
        <v>50231591.722000003</v>
      </c>
      <c r="G98" s="234">
        <v>61614720.629000001</v>
      </c>
      <c r="H98" s="165">
        <f t="shared" si="9"/>
        <v>22.7</v>
      </c>
      <c r="I98" s="27">
        <f>IFERROR(100/'Skjema total MA'!F98*G98,0)</f>
        <v>31.119451785780374</v>
      </c>
      <c r="J98" s="290">
        <v>50279387.92131</v>
      </c>
      <c r="K98" s="44">
        <v>61669164.2042</v>
      </c>
      <c r="L98" s="259">
        <f t="shared" si="10"/>
        <v>22.7</v>
      </c>
      <c r="M98" s="27">
        <f>IFERROR(100/'Skjema total MA'!I98*K98,0)</f>
        <v>30.758710377778879</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v>3581478.5210000002</v>
      </c>
      <c r="C105" s="144">
        <v>3535040.176</v>
      </c>
      <c r="D105" s="165">
        <f t="shared" si="8"/>
        <v>-1.3</v>
      </c>
      <c r="E105" s="27">
        <f>IFERROR(100/'Skjema total MA'!C105*C105,0)</f>
        <v>72.0120337141297</v>
      </c>
      <c r="F105" s="234"/>
      <c r="G105" s="144"/>
      <c r="H105" s="165"/>
      <c r="I105" s="27"/>
      <c r="J105" s="290">
        <v>3581478.5210000002</v>
      </c>
      <c r="K105" s="44">
        <v>3535040.176</v>
      </c>
      <c r="L105" s="259">
        <f t="shared" si="10"/>
        <v>-1.3</v>
      </c>
      <c r="M105" s="27">
        <f>IFERROR(100/'Skjema total MA'!I105*K105,0)</f>
        <v>64.961506371528216</v>
      </c>
    </row>
    <row r="106" spans="1:13" ht="15.75" x14ac:dyDescent="0.2">
      <c r="A106" s="21" t="s">
        <v>328</v>
      </c>
      <c r="B106" s="234">
        <v>108797213.82099999</v>
      </c>
      <c r="C106" s="234">
        <v>123299019.758</v>
      </c>
      <c r="D106" s="165">
        <f t="shared" si="8"/>
        <v>13.3</v>
      </c>
      <c r="E106" s="27">
        <f>IFERROR(100/'Skjema total MA'!C106*C106,0)</f>
        <v>42.134579084759231</v>
      </c>
      <c r="F106" s="234">
        <v>4922110.7939999998</v>
      </c>
      <c r="G106" s="234">
        <v>6087680.8080000002</v>
      </c>
      <c r="H106" s="165">
        <f t="shared" si="9"/>
        <v>23.7</v>
      </c>
      <c r="I106" s="27">
        <f>IFERROR(100/'Skjema total MA'!F106*G106,0)</f>
        <v>93.473471250903089</v>
      </c>
      <c r="J106" s="290">
        <v>113719324.61499999</v>
      </c>
      <c r="K106" s="44">
        <v>129386700.566</v>
      </c>
      <c r="L106" s="259">
        <f t="shared" si="10"/>
        <v>13.8</v>
      </c>
      <c r="M106" s="27">
        <f>IFERROR(100/'Skjema total MA'!I106*K106,0)</f>
        <v>43.252289923035029</v>
      </c>
    </row>
    <row r="107" spans="1:13" ht="15.75" x14ac:dyDescent="0.2">
      <c r="A107" s="21" t="s">
        <v>320</v>
      </c>
      <c r="B107" s="234"/>
      <c r="C107" s="234"/>
      <c r="D107" s="165"/>
      <c r="E107" s="27"/>
      <c r="F107" s="234">
        <v>14616839.267000001</v>
      </c>
      <c r="G107" s="234">
        <v>19098773.004999999</v>
      </c>
      <c r="H107" s="165">
        <f t="shared" si="9"/>
        <v>30.7</v>
      </c>
      <c r="I107" s="27">
        <f>IFERROR(100/'Skjema total MA'!F107*G107,0)</f>
        <v>30.190994655625971</v>
      </c>
      <c r="J107" s="290">
        <v>14616839.267000001</v>
      </c>
      <c r="K107" s="44">
        <v>19098773.004999999</v>
      </c>
      <c r="L107" s="259">
        <f t="shared" si="10"/>
        <v>30.7</v>
      </c>
      <c r="M107" s="27">
        <f>IFERROR(100/'Skjema total MA'!I107*K107,0)</f>
        <v>29.830597750076549</v>
      </c>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v>22790.098999999998</v>
      </c>
      <c r="C109" s="158">
        <v>11386.565000000001</v>
      </c>
      <c r="D109" s="170">
        <f t="shared" si="8"/>
        <v>-50</v>
      </c>
      <c r="E109" s="11">
        <f>IFERROR(100/'Skjema total MA'!C109*C109,0)</f>
        <v>3.2703073137514314</v>
      </c>
      <c r="F109" s="306">
        <v>153027.06899999999</v>
      </c>
      <c r="G109" s="158">
        <v>365281.33799999999</v>
      </c>
      <c r="H109" s="170">
        <f t="shared" si="9"/>
        <v>138.69999999999999</v>
      </c>
      <c r="I109" s="11">
        <f>IFERROR(100/'Skjema total MA'!F109*G109,0)</f>
        <v>5.6451746648711811</v>
      </c>
      <c r="J109" s="307">
        <v>175817.16799999998</v>
      </c>
      <c r="K109" s="236">
        <v>376667.90299999999</v>
      </c>
      <c r="L109" s="404">
        <f t="shared" si="10"/>
        <v>114.2</v>
      </c>
      <c r="M109" s="11">
        <f>IFERROR(100/'Skjema total MA'!I109*K109,0)</f>
        <v>5.5239107568334394</v>
      </c>
    </row>
    <row r="110" spans="1:13" x14ac:dyDescent="0.2">
      <c r="A110" s="21" t="s">
        <v>9</v>
      </c>
      <c r="B110" s="234">
        <v>22790.098999999998</v>
      </c>
      <c r="C110" s="144">
        <v>11386.565000000001</v>
      </c>
      <c r="D110" s="165">
        <f t="shared" ref="D110:D123" si="15">IF(B110=0, "    ---- ", IF(ABS(ROUND(100/B110*C110-100,1))&lt;999,ROUND(100/B110*C110-100,1),IF(ROUND(100/B110*C110-100,1)&gt;999,999,-999)))</f>
        <v>-50</v>
      </c>
      <c r="E110" s="27">
        <f>IFERROR(100/'Skjema total MA'!C110*C110,0)</f>
        <v>3.4932806845976176</v>
      </c>
      <c r="F110" s="234"/>
      <c r="G110" s="144"/>
      <c r="H110" s="165"/>
      <c r="I110" s="27"/>
      <c r="J110" s="290">
        <v>22790.098999999998</v>
      </c>
      <c r="K110" s="44">
        <v>11386.565000000001</v>
      </c>
      <c r="L110" s="259">
        <f t="shared" ref="L110:L123" si="16">IF(J110=0, "    ---- ", IF(ABS(ROUND(100/J110*K110-100,1))&lt;999,ROUND(100/J110*K110-100,1),IF(ROUND(100/J110*K110-100,1)&gt;999,999,-999)))</f>
        <v>-50</v>
      </c>
      <c r="M110" s="27">
        <f>IFERROR(100/'Skjema total MA'!I110*K110,0)</f>
        <v>3.4932806845976176</v>
      </c>
    </row>
    <row r="111" spans="1:13" x14ac:dyDescent="0.2">
      <c r="A111" s="21" t="s">
        <v>10</v>
      </c>
      <c r="B111" s="234"/>
      <c r="C111" s="144"/>
      <c r="D111" s="165"/>
      <c r="E111" s="27"/>
      <c r="F111" s="234">
        <v>153027.06899999999</v>
      </c>
      <c r="G111" s="144">
        <v>365281.33799999999</v>
      </c>
      <c r="H111" s="165">
        <f t="shared" ref="H111:H123" si="17">IF(F111=0, "    ---- ", IF(ABS(ROUND(100/F111*G111-100,1))&lt;999,ROUND(100/F111*G111-100,1),IF(ROUND(100/F111*G111-100,1)&gt;999,999,-999)))</f>
        <v>138.69999999999999</v>
      </c>
      <c r="I111" s="27">
        <f>IFERROR(100/'Skjema total MA'!F111*G111,0)</f>
        <v>5.6451746648711811</v>
      </c>
      <c r="J111" s="290">
        <v>153027.06899999999</v>
      </c>
      <c r="K111" s="44">
        <v>365281.33799999999</v>
      </c>
      <c r="L111" s="259">
        <f t="shared" si="16"/>
        <v>138.69999999999999</v>
      </c>
      <c r="M111" s="27">
        <f>IFERROR(100/'Skjema total MA'!I111*K111,0)</f>
        <v>5.6429689642176815</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v>4061.7159999999999</v>
      </c>
      <c r="C114" s="234">
        <v>3858.91</v>
      </c>
      <c r="D114" s="165">
        <f t="shared" si="15"/>
        <v>-5</v>
      </c>
      <c r="E114" s="27">
        <f>IFERROR(100/'Skjema total MA'!C114*C114,0)</f>
        <v>12.568996557325294</v>
      </c>
      <c r="F114" s="234"/>
      <c r="G114" s="234"/>
      <c r="H114" s="165"/>
      <c r="I114" s="27"/>
      <c r="J114" s="290">
        <v>4061.7159999999999</v>
      </c>
      <c r="K114" s="44">
        <v>3858.91</v>
      </c>
      <c r="L114" s="259">
        <f t="shared" si="16"/>
        <v>-5</v>
      </c>
      <c r="M114" s="27">
        <f>IFERROR(100/'Skjema total MA'!I114*K114,0)</f>
        <v>9.0035967405710089</v>
      </c>
    </row>
    <row r="115" spans="1:14" ht="15.75" x14ac:dyDescent="0.2">
      <c r="A115" s="21" t="s">
        <v>322</v>
      </c>
      <c r="B115" s="234"/>
      <c r="C115" s="234"/>
      <c r="D115" s="165"/>
      <c r="E115" s="27"/>
      <c r="F115" s="234">
        <v>119852.542</v>
      </c>
      <c r="G115" s="234">
        <v>210998.99400000001</v>
      </c>
      <c r="H115" s="165">
        <f t="shared" si="17"/>
        <v>76</v>
      </c>
      <c r="I115" s="27">
        <f>IFERROR(100/'Skjema total MA'!F115*G115,0)</f>
        <v>19.09388595845251</v>
      </c>
      <c r="J115" s="290">
        <v>119852.542</v>
      </c>
      <c r="K115" s="44">
        <v>210998.99400000001</v>
      </c>
      <c r="L115" s="259">
        <f t="shared" si="16"/>
        <v>76</v>
      </c>
      <c r="M115" s="27">
        <f>IFERROR(100/'Skjema total MA'!I115*K115,0)</f>
        <v>19.09388595845251</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149959.397</v>
      </c>
      <c r="C117" s="158">
        <v>126763.27899999999</v>
      </c>
      <c r="D117" s="170">
        <f t="shared" si="15"/>
        <v>-15.5</v>
      </c>
      <c r="E117" s="11">
        <f>IFERROR(100/'Skjema total MA'!C117*C117,0)</f>
        <v>43.210760478979061</v>
      </c>
      <c r="F117" s="306">
        <v>666925.21799999999</v>
      </c>
      <c r="G117" s="158">
        <v>2509838.0019999999</v>
      </c>
      <c r="H117" s="170">
        <f t="shared" si="17"/>
        <v>276.3</v>
      </c>
      <c r="I117" s="11">
        <f>IFERROR(100/'Skjema total MA'!F117*G117,0)</f>
        <v>38.930187459583934</v>
      </c>
      <c r="J117" s="307">
        <v>816884.61499999999</v>
      </c>
      <c r="K117" s="236">
        <v>2636601.281</v>
      </c>
      <c r="L117" s="404">
        <f t="shared" si="16"/>
        <v>222.8</v>
      </c>
      <c r="M117" s="11">
        <f>IFERROR(100/'Skjema total MA'!I117*K117,0)</f>
        <v>39.116490046029476</v>
      </c>
    </row>
    <row r="118" spans="1:14" x14ac:dyDescent="0.2">
      <c r="A118" s="21" t="s">
        <v>9</v>
      </c>
      <c r="B118" s="234">
        <v>149959.397</v>
      </c>
      <c r="C118" s="44">
        <v>126763.27899999999</v>
      </c>
      <c r="D118" s="165">
        <f t="shared" si="15"/>
        <v>-15.5</v>
      </c>
      <c r="E118" s="27">
        <f>IFERROR(100/'Skjema total MA'!C118*C118,0)</f>
        <v>49.072497708142279</v>
      </c>
      <c r="F118" s="234"/>
      <c r="G118" s="144"/>
      <c r="H118" s="165"/>
      <c r="I118" s="27"/>
      <c r="J118" s="290">
        <v>149959.397</v>
      </c>
      <c r="K118" s="44">
        <v>126763.27899999999</v>
      </c>
      <c r="L118" s="259">
        <f t="shared" si="16"/>
        <v>-15.5</v>
      </c>
      <c r="M118" s="393">
        <f>IFERROR(100/'Skjema total MA'!I118*K118,0)</f>
        <v>49.072497708142279</v>
      </c>
      <c r="N118" s="290"/>
    </row>
    <row r="119" spans="1:14" x14ac:dyDescent="0.2">
      <c r="A119" s="21" t="s">
        <v>10</v>
      </c>
      <c r="B119" s="234"/>
      <c r="C119" s="144"/>
      <c r="D119" s="165"/>
      <c r="E119" s="27"/>
      <c r="F119" s="234">
        <v>666925.21799999999</v>
      </c>
      <c r="G119" s="144">
        <v>2509838.0019999999</v>
      </c>
      <c r="H119" s="165">
        <f t="shared" si="17"/>
        <v>276.3</v>
      </c>
      <c r="I119" s="27">
        <f>IFERROR(100/'Skjema total MA'!F119*G119,0)</f>
        <v>38.930187459583934</v>
      </c>
      <c r="J119" s="290">
        <v>666925.21799999999</v>
      </c>
      <c r="K119" s="44">
        <v>2509838.0019999999</v>
      </c>
      <c r="L119" s="259">
        <f t="shared" si="16"/>
        <v>276.3</v>
      </c>
      <c r="M119" s="27">
        <f>IFERROR(100/'Skjema total MA'!I119*K119,0)</f>
        <v>38.825329546681935</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v>14105.578</v>
      </c>
      <c r="C122" s="234">
        <v>3263.4479999999999</v>
      </c>
      <c r="D122" s="165">
        <f t="shared" si="15"/>
        <v>-76.900000000000006</v>
      </c>
      <c r="E122" s="27">
        <f>IFERROR(100/'Skjema total MA'!C122*C122,0)</f>
        <v>55.112330632642546</v>
      </c>
      <c r="F122" s="234">
        <v>21433.298999999999</v>
      </c>
      <c r="G122" s="234">
        <v>9802.9210000000003</v>
      </c>
      <c r="H122" s="165">
        <f t="shared" si="17"/>
        <v>-54.3</v>
      </c>
      <c r="I122" s="27">
        <f>IFERROR(100/'Skjema total MA'!F122*G122,0)</f>
        <v>100</v>
      </c>
      <c r="J122" s="290">
        <v>35538.877</v>
      </c>
      <c r="K122" s="44">
        <v>13066.369000000001</v>
      </c>
      <c r="L122" s="259">
        <f t="shared" si="16"/>
        <v>-63.2</v>
      </c>
      <c r="M122" s="27">
        <f>IFERROR(100/'Skjema total MA'!I122*K122,0)</f>
        <v>83.09630103440081</v>
      </c>
    </row>
    <row r="123" spans="1:14" ht="15.75" x14ac:dyDescent="0.2">
      <c r="A123" s="21" t="s">
        <v>320</v>
      </c>
      <c r="B123" s="234">
        <v>0.11700000000000001</v>
      </c>
      <c r="C123" s="234">
        <v>1.494</v>
      </c>
      <c r="D123" s="165">
        <f t="shared" si="15"/>
        <v>999</v>
      </c>
      <c r="E123" s="27">
        <f>IFERROR(100/'Skjema total MA'!C123*C123,0)</f>
        <v>4.8807276588660679E-2</v>
      </c>
      <c r="F123" s="234">
        <v>116559.923</v>
      </c>
      <c r="G123" s="234">
        <v>292166.35800000001</v>
      </c>
      <c r="H123" s="165">
        <f t="shared" si="17"/>
        <v>150.69999999999999</v>
      </c>
      <c r="I123" s="27">
        <f>IFERROR(100/'Skjema total MA'!F123*G123,0)</f>
        <v>31.009375256366752</v>
      </c>
      <c r="J123" s="290">
        <v>116560.04</v>
      </c>
      <c r="K123" s="44">
        <v>292167.85200000001</v>
      </c>
      <c r="L123" s="259">
        <f t="shared" si="16"/>
        <v>150.69999999999999</v>
      </c>
      <c r="M123" s="27">
        <f>IFERROR(100/'Skjema total MA'!I123*K123,0)</f>
        <v>30.909114937008123</v>
      </c>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v>136541.38500000001</v>
      </c>
      <c r="C132" s="307">
        <v>119591.099</v>
      </c>
      <c r="D132" s="344">
        <f t="shared" ref="D132:D135" si="18">IF(B132=0, "    ---- ", IF(ABS(ROUND(100/B132*C132-100,1))&lt;999,ROUND(100/B132*C132-100,1),IF(ROUND(100/B132*C132-100,1)&gt;999,999,-999)))</f>
        <v>-12.4</v>
      </c>
      <c r="E132" s="11">
        <f>IFERROR(100/'Skjema total MA'!C132*C132,0)</f>
        <v>0.72384839921714217</v>
      </c>
      <c r="F132" s="314"/>
      <c r="G132" s="315"/>
      <c r="H132" s="407"/>
      <c r="I132" s="24"/>
      <c r="J132" s="316">
        <v>136541.38500000001</v>
      </c>
      <c r="K132" s="316">
        <v>119591.099</v>
      </c>
      <c r="L132" s="403">
        <f t="shared" ref="L132:L135" si="19">IF(J132=0, "    ---- ", IF(ABS(ROUND(100/J132*K132-100,1))&lt;999,ROUND(100/J132*K132-100,1),IF(ROUND(100/J132*K132-100,1)&gt;999,999,-999)))</f>
        <v>-12.4</v>
      </c>
      <c r="M132" s="11">
        <f>IFERROR(100/'Skjema total MA'!I132*K132,0)</f>
        <v>0.72156440913444564</v>
      </c>
      <c r="N132" s="147"/>
    </row>
    <row r="133" spans="1:14" s="3" customFormat="1" ht="15.75" x14ac:dyDescent="0.2">
      <c r="A133" s="13" t="s">
        <v>324</v>
      </c>
      <c r="B133" s="236">
        <v>2706336.3629999999</v>
      </c>
      <c r="C133" s="307">
        <v>2745433.4849999999</v>
      </c>
      <c r="D133" s="170">
        <f t="shared" si="18"/>
        <v>1.4</v>
      </c>
      <c r="E133" s="11">
        <f>IFERROR(100/'Skjema total MA'!C133*C133,0)</f>
        <v>0.54741378980108624</v>
      </c>
      <c r="F133" s="236"/>
      <c r="G133" s="307"/>
      <c r="H133" s="408"/>
      <c r="I133" s="24"/>
      <c r="J133" s="306">
        <v>2706336.3629999999</v>
      </c>
      <c r="K133" s="306">
        <v>2745433.4849999999</v>
      </c>
      <c r="L133" s="404">
        <f t="shared" si="19"/>
        <v>1.4</v>
      </c>
      <c r="M133" s="11">
        <f>IFERROR(100/'Skjema total MA'!I133*K133,0)</f>
        <v>0.54492688970135683</v>
      </c>
      <c r="N133" s="147"/>
    </row>
    <row r="134" spans="1:14" s="3" customFormat="1" ht="15.75" x14ac:dyDescent="0.2">
      <c r="A134" s="13" t="s">
        <v>325</v>
      </c>
      <c r="B134" s="236">
        <v>102.541</v>
      </c>
      <c r="C134" s="307"/>
      <c r="D134" s="170">
        <f t="shared" si="18"/>
        <v>-100</v>
      </c>
      <c r="E134" s="11">
        <f>IFERROR(100/'Skjema total MA'!C134*C134,0)</f>
        <v>0</v>
      </c>
      <c r="F134" s="236"/>
      <c r="G134" s="307"/>
      <c r="H134" s="408"/>
      <c r="I134" s="24"/>
      <c r="J134" s="306">
        <v>102.541</v>
      </c>
      <c r="K134" s="306"/>
      <c r="L134" s="404">
        <f t="shared" si="19"/>
        <v>-100</v>
      </c>
      <c r="M134" s="11">
        <f>IFERROR(100/'Skjema total MA'!I134*K134,0)</f>
        <v>0</v>
      </c>
      <c r="N134" s="147"/>
    </row>
    <row r="135" spans="1:14" s="3" customFormat="1" ht="15.75" x14ac:dyDescent="0.2">
      <c r="A135" s="41" t="s">
        <v>326</v>
      </c>
      <c r="B135" s="281">
        <v>1800285.328</v>
      </c>
      <c r="C135" s="313">
        <v>143601.516</v>
      </c>
      <c r="D135" s="168">
        <f t="shared" si="18"/>
        <v>-92</v>
      </c>
      <c r="E135" s="9">
        <f>IFERROR(100/'Skjema total MA'!C135*C135,0)</f>
        <v>40.549564364194651</v>
      </c>
      <c r="F135" s="281"/>
      <c r="G135" s="313"/>
      <c r="H135" s="409"/>
      <c r="I135" s="36"/>
      <c r="J135" s="312">
        <v>1800285.328</v>
      </c>
      <c r="K135" s="312">
        <v>143601.516</v>
      </c>
      <c r="L135" s="405">
        <f t="shared" si="19"/>
        <v>-92</v>
      </c>
      <c r="M135" s="36">
        <f>IFERROR(100/'Skjema total MA'!I135*K135,0)</f>
        <v>40.549564364194651</v>
      </c>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245" priority="132">
      <formula>kvartal &lt; 4</formula>
    </cfRule>
  </conditionalFormatting>
  <conditionalFormatting sqref="B29">
    <cfRule type="expression" dxfId="244" priority="130">
      <formula>kvartal &lt; 4</formula>
    </cfRule>
  </conditionalFormatting>
  <conditionalFormatting sqref="B30">
    <cfRule type="expression" dxfId="243" priority="129">
      <formula>kvartal &lt; 4</formula>
    </cfRule>
  </conditionalFormatting>
  <conditionalFormatting sqref="B31">
    <cfRule type="expression" dxfId="242" priority="128">
      <formula>kvartal &lt; 4</formula>
    </cfRule>
  </conditionalFormatting>
  <conditionalFormatting sqref="C29">
    <cfRule type="expression" dxfId="241" priority="127">
      <formula>kvartal &lt; 4</formula>
    </cfRule>
  </conditionalFormatting>
  <conditionalFormatting sqref="C30">
    <cfRule type="expression" dxfId="240" priority="126">
      <formula>kvartal &lt; 4</formula>
    </cfRule>
  </conditionalFormatting>
  <conditionalFormatting sqref="C31">
    <cfRule type="expression" dxfId="239" priority="125">
      <formula>kvartal &lt; 4</formula>
    </cfRule>
  </conditionalFormatting>
  <conditionalFormatting sqref="B23:C25">
    <cfRule type="expression" dxfId="238" priority="124">
      <formula>kvartal &lt; 4</formula>
    </cfRule>
  </conditionalFormatting>
  <conditionalFormatting sqref="F23:G25">
    <cfRule type="expression" dxfId="237" priority="120">
      <formula>kvartal &lt; 4</formula>
    </cfRule>
  </conditionalFormatting>
  <conditionalFormatting sqref="F29">
    <cfRule type="expression" dxfId="236" priority="113">
      <formula>kvartal &lt; 4</formula>
    </cfRule>
  </conditionalFormatting>
  <conditionalFormatting sqref="F30">
    <cfRule type="expression" dxfId="235" priority="112">
      <formula>kvartal &lt; 4</formula>
    </cfRule>
  </conditionalFormatting>
  <conditionalFormatting sqref="F31">
    <cfRule type="expression" dxfId="234" priority="111">
      <formula>kvartal &lt; 4</formula>
    </cfRule>
  </conditionalFormatting>
  <conditionalFormatting sqref="G29">
    <cfRule type="expression" dxfId="233" priority="110">
      <formula>kvartal &lt; 4</formula>
    </cfRule>
  </conditionalFormatting>
  <conditionalFormatting sqref="G30">
    <cfRule type="expression" dxfId="232" priority="109">
      <formula>kvartal &lt; 4</formula>
    </cfRule>
  </conditionalFormatting>
  <conditionalFormatting sqref="G31">
    <cfRule type="expression" dxfId="231" priority="108">
      <formula>kvartal &lt; 4</formula>
    </cfRule>
  </conditionalFormatting>
  <conditionalFormatting sqref="B26">
    <cfRule type="expression" dxfId="230" priority="107">
      <formula>kvartal &lt; 4</formula>
    </cfRule>
  </conditionalFormatting>
  <conditionalFormatting sqref="C26">
    <cfRule type="expression" dxfId="229" priority="106">
      <formula>kvartal &lt; 4</formula>
    </cfRule>
  </conditionalFormatting>
  <conditionalFormatting sqref="F26">
    <cfRule type="expression" dxfId="228" priority="105">
      <formula>kvartal &lt; 4</formula>
    </cfRule>
  </conditionalFormatting>
  <conditionalFormatting sqref="G26">
    <cfRule type="expression" dxfId="227" priority="104">
      <formula>kvartal &lt; 4</formula>
    </cfRule>
  </conditionalFormatting>
  <conditionalFormatting sqref="J23:K26">
    <cfRule type="expression" dxfId="226" priority="103">
      <formula>kvartal &lt; 4</formula>
    </cfRule>
  </conditionalFormatting>
  <conditionalFormatting sqref="J29:K31">
    <cfRule type="expression" dxfId="225" priority="101">
      <formula>kvartal &lt; 4</formula>
    </cfRule>
  </conditionalFormatting>
  <conditionalFormatting sqref="B67">
    <cfRule type="expression" dxfId="224" priority="100">
      <formula>kvartal &lt; 4</formula>
    </cfRule>
  </conditionalFormatting>
  <conditionalFormatting sqref="C67">
    <cfRule type="expression" dxfId="223" priority="99">
      <formula>kvartal &lt; 4</formula>
    </cfRule>
  </conditionalFormatting>
  <conditionalFormatting sqref="B70">
    <cfRule type="expression" dxfId="222" priority="98">
      <formula>kvartal &lt; 4</formula>
    </cfRule>
  </conditionalFormatting>
  <conditionalFormatting sqref="C70">
    <cfRule type="expression" dxfId="221" priority="97">
      <formula>kvartal &lt; 4</formula>
    </cfRule>
  </conditionalFormatting>
  <conditionalFormatting sqref="B78">
    <cfRule type="expression" dxfId="220" priority="96">
      <formula>kvartal &lt; 4</formula>
    </cfRule>
  </conditionalFormatting>
  <conditionalFormatting sqref="C78">
    <cfRule type="expression" dxfId="219" priority="95">
      <formula>kvartal &lt; 4</formula>
    </cfRule>
  </conditionalFormatting>
  <conditionalFormatting sqref="B81">
    <cfRule type="expression" dxfId="218" priority="94">
      <formula>kvartal &lt; 4</formula>
    </cfRule>
  </conditionalFormatting>
  <conditionalFormatting sqref="C81">
    <cfRule type="expression" dxfId="217" priority="93">
      <formula>kvartal &lt; 4</formula>
    </cfRule>
  </conditionalFormatting>
  <conditionalFormatting sqref="B88">
    <cfRule type="expression" dxfId="216" priority="84">
      <formula>kvartal &lt; 4</formula>
    </cfRule>
  </conditionalFormatting>
  <conditionalFormatting sqref="C88">
    <cfRule type="expression" dxfId="215" priority="83">
      <formula>kvartal &lt; 4</formula>
    </cfRule>
  </conditionalFormatting>
  <conditionalFormatting sqref="B91">
    <cfRule type="expression" dxfId="214" priority="82">
      <formula>kvartal &lt; 4</formula>
    </cfRule>
  </conditionalFormatting>
  <conditionalFormatting sqref="C91">
    <cfRule type="expression" dxfId="213" priority="81">
      <formula>kvartal &lt; 4</formula>
    </cfRule>
  </conditionalFormatting>
  <conditionalFormatting sqref="B99">
    <cfRule type="expression" dxfId="212" priority="80">
      <formula>kvartal &lt; 4</formula>
    </cfRule>
  </conditionalFormatting>
  <conditionalFormatting sqref="C99">
    <cfRule type="expression" dxfId="211" priority="79">
      <formula>kvartal &lt; 4</formula>
    </cfRule>
  </conditionalFormatting>
  <conditionalFormatting sqref="B102">
    <cfRule type="expression" dxfId="210" priority="78">
      <formula>kvartal &lt; 4</formula>
    </cfRule>
  </conditionalFormatting>
  <conditionalFormatting sqref="C102">
    <cfRule type="expression" dxfId="209" priority="77">
      <formula>kvartal &lt; 4</formula>
    </cfRule>
  </conditionalFormatting>
  <conditionalFormatting sqref="B113">
    <cfRule type="expression" dxfId="208" priority="76">
      <formula>kvartal &lt; 4</formula>
    </cfRule>
  </conditionalFormatting>
  <conditionalFormatting sqref="C113">
    <cfRule type="expression" dxfId="207" priority="75">
      <formula>kvartal &lt; 4</formula>
    </cfRule>
  </conditionalFormatting>
  <conditionalFormatting sqref="B121">
    <cfRule type="expression" dxfId="206" priority="74">
      <formula>kvartal &lt; 4</formula>
    </cfRule>
  </conditionalFormatting>
  <conditionalFormatting sqref="C121">
    <cfRule type="expression" dxfId="205" priority="73">
      <formula>kvartal &lt; 4</formula>
    </cfRule>
  </conditionalFormatting>
  <conditionalFormatting sqref="F68">
    <cfRule type="expression" dxfId="204" priority="72">
      <formula>kvartal &lt; 4</formula>
    </cfRule>
  </conditionalFormatting>
  <conditionalFormatting sqref="G68">
    <cfRule type="expression" dxfId="203" priority="71">
      <formula>kvartal &lt; 4</formula>
    </cfRule>
  </conditionalFormatting>
  <conditionalFormatting sqref="F69:G69">
    <cfRule type="expression" dxfId="202" priority="70">
      <formula>kvartal &lt; 4</formula>
    </cfRule>
  </conditionalFormatting>
  <conditionalFormatting sqref="F71:G72">
    <cfRule type="expression" dxfId="201" priority="69">
      <formula>kvartal &lt; 4</formula>
    </cfRule>
  </conditionalFormatting>
  <conditionalFormatting sqref="F79:G80">
    <cfRule type="expression" dxfId="200" priority="68">
      <formula>kvartal &lt; 4</formula>
    </cfRule>
  </conditionalFormatting>
  <conditionalFormatting sqref="F82:G83">
    <cfRule type="expression" dxfId="199" priority="67">
      <formula>kvartal &lt; 4</formula>
    </cfRule>
  </conditionalFormatting>
  <conditionalFormatting sqref="F89:G90">
    <cfRule type="expression" dxfId="198" priority="62">
      <formula>kvartal &lt; 4</formula>
    </cfRule>
  </conditionalFormatting>
  <conditionalFormatting sqref="F92:G93">
    <cfRule type="expression" dxfId="197" priority="61">
      <formula>kvartal &lt; 4</formula>
    </cfRule>
  </conditionalFormatting>
  <conditionalFormatting sqref="F100:G101">
    <cfRule type="expression" dxfId="196" priority="60">
      <formula>kvartal &lt; 4</formula>
    </cfRule>
  </conditionalFormatting>
  <conditionalFormatting sqref="F103:G104">
    <cfRule type="expression" dxfId="195" priority="59">
      <formula>kvartal &lt; 4</formula>
    </cfRule>
  </conditionalFormatting>
  <conditionalFormatting sqref="F113">
    <cfRule type="expression" dxfId="194" priority="58">
      <formula>kvartal &lt; 4</formula>
    </cfRule>
  </conditionalFormatting>
  <conditionalFormatting sqref="G113">
    <cfRule type="expression" dxfId="193" priority="57">
      <formula>kvartal &lt; 4</formula>
    </cfRule>
  </conditionalFormatting>
  <conditionalFormatting sqref="F121:G121">
    <cfRule type="expression" dxfId="192" priority="56">
      <formula>kvartal &lt; 4</formula>
    </cfRule>
  </conditionalFormatting>
  <conditionalFormatting sqref="F67:G67">
    <cfRule type="expression" dxfId="191" priority="55">
      <formula>kvartal &lt; 4</formula>
    </cfRule>
  </conditionalFormatting>
  <conditionalFormatting sqref="F70:G70">
    <cfRule type="expression" dxfId="190" priority="54">
      <formula>kvartal &lt; 4</formula>
    </cfRule>
  </conditionalFormatting>
  <conditionalFormatting sqref="F78:G78">
    <cfRule type="expression" dxfId="189" priority="53">
      <formula>kvartal &lt; 4</formula>
    </cfRule>
  </conditionalFormatting>
  <conditionalFormatting sqref="F81:G81">
    <cfRule type="expression" dxfId="188" priority="52">
      <formula>kvartal &lt; 4</formula>
    </cfRule>
  </conditionalFormatting>
  <conditionalFormatting sqref="F88:G88">
    <cfRule type="expression" dxfId="187" priority="46">
      <formula>kvartal &lt; 4</formula>
    </cfRule>
  </conditionalFormatting>
  <conditionalFormatting sqref="F91">
    <cfRule type="expression" dxfId="186" priority="45">
      <formula>kvartal &lt; 4</formula>
    </cfRule>
  </conditionalFormatting>
  <conditionalFormatting sqref="G91">
    <cfRule type="expression" dxfId="185" priority="44">
      <formula>kvartal &lt; 4</formula>
    </cfRule>
  </conditionalFormatting>
  <conditionalFormatting sqref="F99">
    <cfRule type="expression" dxfId="184" priority="43">
      <formula>kvartal &lt; 4</formula>
    </cfRule>
  </conditionalFormatting>
  <conditionalFormatting sqref="G99">
    <cfRule type="expression" dxfId="183" priority="42">
      <formula>kvartal &lt; 4</formula>
    </cfRule>
  </conditionalFormatting>
  <conditionalFormatting sqref="G102">
    <cfRule type="expression" dxfId="182" priority="41">
      <formula>kvartal &lt; 4</formula>
    </cfRule>
  </conditionalFormatting>
  <conditionalFormatting sqref="F102">
    <cfRule type="expression" dxfId="181" priority="40">
      <formula>kvartal &lt; 4</formula>
    </cfRule>
  </conditionalFormatting>
  <conditionalFormatting sqref="J67:K71">
    <cfRule type="expression" dxfId="180" priority="39">
      <formula>kvartal &lt; 4</formula>
    </cfRule>
  </conditionalFormatting>
  <conditionalFormatting sqref="J72:K72">
    <cfRule type="expression" dxfId="179" priority="38">
      <formula>kvartal &lt; 4</formula>
    </cfRule>
  </conditionalFormatting>
  <conditionalFormatting sqref="J78:K83">
    <cfRule type="expression" dxfId="178" priority="37">
      <formula>kvartal &lt; 4</formula>
    </cfRule>
  </conditionalFormatting>
  <conditionalFormatting sqref="J88:K93">
    <cfRule type="expression" dxfId="177" priority="34">
      <formula>kvartal &lt; 4</formula>
    </cfRule>
  </conditionalFormatting>
  <conditionalFormatting sqref="J99:K104">
    <cfRule type="expression" dxfId="176" priority="33">
      <formula>kvartal &lt; 4</formula>
    </cfRule>
  </conditionalFormatting>
  <conditionalFormatting sqref="J113:K113">
    <cfRule type="expression" dxfId="175" priority="32">
      <formula>kvartal &lt; 4</formula>
    </cfRule>
  </conditionalFormatting>
  <conditionalFormatting sqref="J121:K121">
    <cfRule type="expression" dxfId="174" priority="31">
      <formula>kvartal &lt; 4</formula>
    </cfRule>
  </conditionalFormatting>
  <conditionalFormatting sqref="A23:A25">
    <cfRule type="expression" dxfId="173" priority="15">
      <formula>kvartal &lt; 4</formula>
    </cfRule>
  </conditionalFormatting>
  <conditionalFormatting sqref="A29:A31">
    <cfRule type="expression" dxfId="172" priority="13">
      <formula>kvartal &lt; 4</formula>
    </cfRule>
  </conditionalFormatting>
  <conditionalFormatting sqref="A48:A50">
    <cfRule type="expression" dxfId="171" priority="12">
      <formula>kvartal &lt; 4</formula>
    </cfRule>
  </conditionalFormatting>
  <conditionalFormatting sqref="A67:A72">
    <cfRule type="expression" dxfId="170" priority="10">
      <formula>kvartal &lt; 4</formula>
    </cfRule>
  </conditionalFormatting>
  <conditionalFormatting sqref="A78:A83">
    <cfRule type="expression" dxfId="169" priority="9">
      <formula>kvartal &lt; 4</formula>
    </cfRule>
  </conditionalFormatting>
  <conditionalFormatting sqref="A88:A93">
    <cfRule type="expression" dxfId="168" priority="6">
      <formula>kvartal &lt; 4</formula>
    </cfRule>
  </conditionalFormatting>
  <conditionalFormatting sqref="A99:A104">
    <cfRule type="expression" dxfId="167" priority="5">
      <formula>kvartal &lt; 4</formula>
    </cfRule>
  </conditionalFormatting>
  <conditionalFormatting sqref="A113">
    <cfRule type="expression" dxfId="166" priority="4">
      <formula>kvartal &lt; 4</formula>
    </cfRule>
  </conditionalFormatting>
  <conditionalFormatting sqref="A121">
    <cfRule type="expression" dxfId="165" priority="3">
      <formula>kvartal &lt; 4</formula>
    </cfRule>
  </conditionalFormatting>
  <conditionalFormatting sqref="A26">
    <cfRule type="expression" dxfId="164" priority="2">
      <formula>kvartal &lt; 4</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148</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170"/>
      <c r="E36" s="24"/>
      <c r="F36" s="425"/>
      <c r="G36" s="426"/>
      <c r="H36" s="170"/>
      <c r="I36" s="410"/>
      <c r="J36" s="236"/>
      <c r="K36" s="236"/>
      <c r="L36" s="404"/>
      <c r="M36" s="24"/>
    </row>
    <row r="37" spans="1:14" ht="15.75" x14ac:dyDescent="0.2">
      <c r="A37" s="18" t="s">
        <v>311</v>
      </c>
      <c r="B37" s="281"/>
      <c r="C37" s="313"/>
      <c r="D37" s="168"/>
      <c r="E37" s="36"/>
      <c r="F37" s="428"/>
      <c r="G37" s="429"/>
      <c r="H37" s="168"/>
      <c r="I37" s="36"/>
      <c r="J37" s="236"/>
      <c r="K37" s="236"/>
      <c r="L37" s="405"/>
      <c r="M37" s="36"/>
    </row>
    <row r="38" spans="1:14" ht="15.75" x14ac:dyDescent="0.25">
      <c r="A38" s="47"/>
      <c r="B38" s="258"/>
      <c r="C38" s="258"/>
      <c r="D38" s="681"/>
      <c r="E38" s="681"/>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25828</v>
      </c>
      <c r="C45" s="309">
        <v>23751</v>
      </c>
      <c r="D45" s="403">
        <f t="shared" ref="D45:D46" si="0">IF(B45=0, "    ---- ", IF(ABS(ROUND(100/B45*C45-100,1))&lt;999,ROUND(100/B45*C45-100,1),IF(ROUND(100/B45*C45-100,1)&gt;999,999,-999)))</f>
        <v>-8</v>
      </c>
      <c r="E45" s="11">
        <f>IFERROR(100/'Skjema total MA'!C45*C45,0)</f>
        <v>0.86619318566319969</v>
      </c>
      <c r="F45" s="144"/>
      <c r="G45" s="33"/>
      <c r="H45" s="158"/>
      <c r="I45" s="158"/>
      <c r="J45" s="37"/>
      <c r="K45" s="37"/>
      <c r="L45" s="158"/>
      <c r="M45" s="158"/>
      <c r="N45" s="147"/>
    </row>
    <row r="46" spans="1:14" s="3" customFormat="1" ht="15.75" x14ac:dyDescent="0.2">
      <c r="A46" s="38" t="s">
        <v>312</v>
      </c>
      <c r="B46" s="286">
        <v>25828</v>
      </c>
      <c r="C46" s="287">
        <v>23751</v>
      </c>
      <c r="D46" s="259">
        <f t="shared" si="0"/>
        <v>-8</v>
      </c>
      <c r="E46" s="27">
        <f>IFERROR(100/'Skjema total MA'!C46*C46,0)</f>
        <v>1.6317764730551261</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163" priority="132">
      <formula>kvartal &lt; 4</formula>
    </cfRule>
  </conditionalFormatting>
  <conditionalFormatting sqref="B29">
    <cfRule type="expression" dxfId="162" priority="130">
      <formula>kvartal &lt; 4</formula>
    </cfRule>
  </conditionalFormatting>
  <conditionalFormatting sqref="B30">
    <cfRule type="expression" dxfId="161" priority="129">
      <formula>kvartal &lt; 4</formula>
    </cfRule>
  </conditionalFormatting>
  <conditionalFormatting sqref="B31">
    <cfRule type="expression" dxfId="160" priority="128">
      <formula>kvartal &lt; 4</formula>
    </cfRule>
  </conditionalFormatting>
  <conditionalFormatting sqref="C29">
    <cfRule type="expression" dxfId="159" priority="127">
      <formula>kvartal &lt; 4</formula>
    </cfRule>
  </conditionalFormatting>
  <conditionalFormatting sqref="C30">
    <cfRule type="expression" dxfId="158" priority="126">
      <formula>kvartal &lt; 4</formula>
    </cfRule>
  </conditionalFormatting>
  <conditionalFormatting sqref="C31">
    <cfRule type="expression" dxfId="157" priority="125">
      <formula>kvartal &lt; 4</formula>
    </cfRule>
  </conditionalFormatting>
  <conditionalFormatting sqref="B23:C25">
    <cfRule type="expression" dxfId="156" priority="124">
      <formula>kvartal &lt; 4</formula>
    </cfRule>
  </conditionalFormatting>
  <conditionalFormatting sqref="F23:G25">
    <cfRule type="expression" dxfId="155" priority="120">
      <formula>kvartal &lt; 4</formula>
    </cfRule>
  </conditionalFormatting>
  <conditionalFormatting sqref="F29">
    <cfRule type="expression" dxfId="154" priority="113">
      <formula>kvartal &lt; 4</formula>
    </cfRule>
  </conditionalFormatting>
  <conditionalFormatting sqref="F30">
    <cfRule type="expression" dxfId="153" priority="112">
      <formula>kvartal &lt; 4</formula>
    </cfRule>
  </conditionalFormatting>
  <conditionalFormatting sqref="F31">
    <cfRule type="expression" dxfId="152" priority="111">
      <formula>kvartal &lt; 4</formula>
    </cfRule>
  </conditionalFormatting>
  <conditionalFormatting sqref="G29">
    <cfRule type="expression" dxfId="151" priority="110">
      <formula>kvartal &lt; 4</formula>
    </cfRule>
  </conditionalFormatting>
  <conditionalFormatting sqref="G30">
    <cfRule type="expression" dxfId="150" priority="109">
      <formula>kvartal &lt; 4</formula>
    </cfRule>
  </conditionalFormatting>
  <conditionalFormatting sqref="G31">
    <cfRule type="expression" dxfId="149" priority="108">
      <formula>kvartal &lt; 4</formula>
    </cfRule>
  </conditionalFormatting>
  <conditionalFormatting sqref="B26">
    <cfRule type="expression" dxfId="148" priority="107">
      <formula>kvartal &lt; 4</formula>
    </cfRule>
  </conditionalFormatting>
  <conditionalFormatting sqref="C26">
    <cfRule type="expression" dxfId="147" priority="106">
      <formula>kvartal &lt; 4</formula>
    </cfRule>
  </conditionalFormatting>
  <conditionalFormatting sqref="F26">
    <cfRule type="expression" dxfId="146" priority="105">
      <formula>kvartal &lt; 4</formula>
    </cfRule>
  </conditionalFormatting>
  <conditionalFormatting sqref="G26">
    <cfRule type="expression" dxfId="145" priority="104">
      <formula>kvartal &lt; 4</formula>
    </cfRule>
  </conditionalFormatting>
  <conditionalFormatting sqref="J23:K26">
    <cfRule type="expression" dxfId="144" priority="103">
      <formula>kvartal &lt; 4</formula>
    </cfRule>
  </conditionalFormatting>
  <conditionalFormatting sqref="J29:K31">
    <cfRule type="expression" dxfId="143" priority="101">
      <formula>kvartal &lt; 4</formula>
    </cfRule>
  </conditionalFormatting>
  <conditionalFormatting sqref="B67">
    <cfRule type="expression" dxfId="142" priority="100">
      <formula>kvartal &lt; 4</formula>
    </cfRule>
  </conditionalFormatting>
  <conditionalFormatting sqref="C67">
    <cfRule type="expression" dxfId="141" priority="99">
      <formula>kvartal &lt; 4</formula>
    </cfRule>
  </conditionalFormatting>
  <conditionalFormatting sqref="B70">
    <cfRule type="expression" dxfId="140" priority="98">
      <formula>kvartal &lt; 4</formula>
    </cfRule>
  </conditionalFormatting>
  <conditionalFormatting sqref="C70">
    <cfRule type="expression" dxfId="139" priority="97">
      <formula>kvartal &lt; 4</formula>
    </cfRule>
  </conditionalFormatting>
  <conditionalFormatting sqref="B78">
    <cfRule type="expression" dxfId="138" priority="96">
      <formula>kvartal &lt; 4</formula>
    </cfRule>
  </conditionalFormatting>
  <conditionalFormatting sqref="C78">
    <cfRule type="expression" dxfId="137" priority="95">
      <formula>kvartal &lt; 4</formula>
    </cfRule>
  </conditionalFormatting>
  <conditionalFormatting sqref="B81">
    <cfRule type="expression" dxfId="136" priority="94">
      <formula>kvartal &lt; 4</formula>
    </cfRule>
  </conditionalFormatting>
  <conditionalFormatting sqref="C81">
    <cfRule type="expression" dxfId="135" priority="93">
      <formula>kvartal &lt; 4</formula>
    </cfRule>
  </conditionalFormatting>
  <conditionalFormatting sqref="B88">
    <cfRule type="expression" dxfId="134" priority="84">
      <formula>kvartal &lt; 4</formula>
    </cfRule>
  </conditionalFormatting>
  <conditionalFormatting sqref="C88">
    <cfRule type="expression" dxfId="133" priority="83">
      <formula>kvartal &lt; 4</formula>
    </cfRule>
  </conditionalFormatting>
  <conditionalFormatting sqref="B91">
    <cfRule type="expression" dxfId="132" priority="82">
      <formula>kvartal &lt; 4</formula>
    </cfRule>
  </conditionalFormatting>
  <conditionalFormatting sqref="C91">
    <cfRule type="expression" dxfId="131" priority="81">
      <formula>kvartal &lt; 4</formula>
    </cfRule>
  </conditionalFormatting>
  <conditionalFormatting sqref="B99">
    <cfRule type="expression" dxfId="130" priority="80">
      <formula>kvartal &lt; 4</formula>
    </cfRule>
  </conditionalFormatting>
  <conditionalFormatting sqref="C99">
    <cfRule type="expression" dxfId="129" priority="79">
      <formula>kvartal &lt; 4</formula>
    </cfRule>
  </conditionalFormatting>
  <conditionalFormatting sqref="B102">
    <cfRule type="expression" dxfId="128" priority="78">
      <formula>kvartal &lt; 4</formula>
    </cfRule>
  </conditionalFormatting>
  <conditionalFormatting sqref="C102">
    <cfRule type="expression" dxfId="127" priority="77">
      <formula>kvartal &lt; 4</formula>
    </cfRule>
  </conditionalFormatting>
  <conditionalFormatting sqref="B113">
    <cfRule type="expression" dxfId="126" priority="76">
      <formula>kvartal &lt; 4</formula>
    </cfRule>
  </conditionalFormatting>
  <conditionalFormatting sqref="C113">
    <cfRule type="expression" dxfId="125" priority="75">
      <formula>kvartal &lt; 4</formula>
    </cfRule>
  </conditionalFormatting>
  <conditionalFormatting sqref="B121">
    <cfRule type="expression" dxfId="124" priority="74">
      <formula>kvartal &lt; 4</formula>
    </cfRule>
  </conditionalFormatting>
  <conditionalFormatting sqref="C121">
    <cfRule type="expression" dxfId="123" priority="73">
      <formula>kvartal &lt; 4</formula>
    </cfRule>
  </conditionalFormatting>
  <conditionalFormatting sqref="F68">
    <cfRule type="expression" dxfId="122" priority="72">
      <formula>kvartal &lt; 4</formula>
    </cfRule>
  </conditionalFormatting>
  <conditionalFormatting sqref="G68">
    <cfRule type="expression" dxfId="121" priority="71">
      <formula>kvartal &lt; 4</formula>
    </cfRule>
  </conditionalFormatting>
  <conditionalFormatting sqref="F69:G69">
    <cfRule type="expression" dxfId="120" priority="70">
      <formula>kvartal &lt; 4</formula>
    </cfRule>
  </conditionalFormatting>
  <conditionalFormatting sqref="F71:G72">
    <cfRule type="expression" dxfId="119" priority="69">
      <formula>kvartal &lt; 4</formula>
    </cfRule>
  </conditionalFormatting>
  <conditionalFormatting sqref="F79:G80">
    <cfRule type="expression" dxfId="118" priority="68">
      <formula>kvartal &lt; 4</formula>
    </cfRule>
  </conditionalFormatting>
  <conditionalFormatting sqref="F82:G83">
    <cfRule type="expression" dxfId="117" priority="67">
      <formula>kvartal &lt; 4</formula>
    </cfRule>
  </conditionalFormatting>
  <conditionalFormatting sqref="F89:G90">
    <cfRule type="expression" dxfId="116" priority="62">
      <formula>kvartal &lt; 4</formula>
    </cfRule>
  </conditionalFormatting>
  <conditionalFormatting sqref="F92:G93">
    <cfRule type="expression" dxfId="115" priority="61">
      <formula>kvartal &lt; 4</formula>
    </cfRule>
  </conditionalFormatting>
  <conditionalFormatting sqref="F100:G101">
    <cfRule type="expression" dxfId="114" priority="60">
      <formula>kvartal &lt; 4</formula>
    </cfRule>
  </conditionalFormatting>
  <conditionalFormatting sqref="F103:G104">
    <cfRule type="expression" dxfId="113" priority="59">
      <formula>kvartal &lt; 4</formula>
    </cfRule>
  </conditionalFormatting>
  <conditionalFormatting sqref="F113">
    <cfRule type="expression" dxfId="112" priority="58">
      <formula>kvartal &lt; 4</formula>
    </cfRule>
  </conditionalFormatting>
  <conditionalFormatting sqref="G113">
    <cfRule type="expression" dxfId="111" priority="57">
      <formula>kvartal &lt; 4</formula>
    </cfRule>
  </conditionalFormatting>
  <conditionalFormatting sqref="F121:G121">
    <cfRule type="expression" dxfId="110" priority="56">
      <formula>kvartal &lt; 4</formula>
    </cfRule>
  </conditionalFormatting>
  <conditionalFormatting sqref="F67:G67">
    <cfRule type="expression" dxfId="109" priority="55">
      <formula>kvartal &lt; 4</formula>
    </cfRule>
  </conditionalFormatting>
  <conditionalFormatting sqref="F70:G70">
    <cfRule type="expression" dxfId="108" priority="54">
      <formula>kvartal &lt; 4</formula>
    </cfRule>
  </conditionalFormatting>
  <conditionalFormatting sqref="F78:G78">
    <cfRule type="expression" dxfId="107" priority="53">
      <formula>kvartal &lt; 4</formula>
    </cfRule>
  </conditionalFormatting>
  <conditionalFormatting sqref="F81:G81">
    <cfRule type="expression" dxfId="106" priority="52">
      <formula>kvartal &lt; 4</formula>
    </cfRule>
  </conditionalFormatting>
  <conditionalFormatting sqref="F88:G88">
    <cfRule type="expression" dxfId="105" priority="46">
      <formula>kvartal &lt; 4</formula>
    </cfRule>
  </conditionalFormatting>
  <conditionalFormatting sqref="F91">
    <cfRule type="expression" dxfId="104" priority="45">
      <formula>kvartal &lt; 4</formula>
    </cfRule>
  </conditionalFormatting>
  <conditionalFormatting sqref="G91">
    <cfRule type="expression" dxfId="103" priority="44">
      <formula>kvartal &lt; 4</formula>
    </cfRule>
  </conditionalFormatting>
  <conditionalFormatting sqref="F99">
    <cfRule type="expression" dxfId="102" priority="43">
      <formula>kvartal &lt; 4</formula>
    </cfRule>
  </conditionalFormatting>
  <conditionalFormatting sqref="G99">
    <cfRule type="expression" dxfId="101" priority="42">
      <formula>kvartal &lt; 4</formula>
    </cfRule>
  </conditionalFormatting>
  <conditionalFormatting sqref="G102">
    <cfRule type="expression" dxfId="100" priority="41">
      <formula>kvartal &lt; 4</formula>
    </cfRule>
  </conditionalFormatting>
  <conditionalFormatting sqref="F102">
    <cfRule type="expression" dxfId="99" priority="40">
      <formula>kvartal &lt; 4</formula>
    </cfRule>
  </conditionalFormatting>
  <conditionalFormatting sqref="J67:K71">
    <cfRule type="expression" dxfId="98" priority="39">
      <formula>kvartal &lt; 4</formula>
    </cfRule>
  </conditionalFormatting>
  <conditionalFormatting sqref="J72:K72">
    <cfRule type="expression" dxfId="97" priority="38">
      <formula>kvartal &lt; 4</formula>
    </cfRule>
  </conditionalFormatting>
  <conditionalFormatting sqref="J78:K83">
    <cfRule type="expression" dxfId="96" priority="37">
      <formula>kvartal &lt; 4</formula>
    </cfRule>
  </conditionalFormatting>
  <conditionalFormatting sqref="J88:K93">
    <cfRule type="expression" dxfId="95" priority="34">
      <formula>kvartal &lt; 4</formula>
    </cfRule>
  </conditionalFormatting>
  <conditionalFormatting sqref="J99:K104">
    <cfRule type="expression" dxfId="94" priority="33">
      <formula>kvartal &lt; 4</formula>
    </cfRule>
  </conditionalFormatting>
  <conditionalFormatting sqref="J113:K113">
    <cfRule type="expression" dxfId="93" priority="32">
      <formula>kvartal &lt; 4</formula>
    </cfRule>
  </conditionalFormatting>
  <conditionalFormatting sqref="J121:K121">
    <cfRule type="expression" dxfId="92" priority="31">
      <formula>kvartal &lt; 4</formula>
    </cfRule>
  </conditionalFormatting>
  <conditionalFormatting sqref="A23:A25">
    <cfRule type="expression" dxfId="91" priority="15">
      <formula>kvartal &lt; 4</formula>
    </cfRule>
  </conditionalFormatting>
  <conditionalFormatting sqref="A29:A31">
    <cfRule type="expression" dxfId="90" priority="13">
      <formula>kvartal &lt; 4</formula>
    </cfRule>
  </conditionalFormatting>
  <conditionalFormatting sqref="A48:A50">
    <cfRule type="expression" dxfId="89" priority="12">
      <formula>kvartal &lt; 4</formula>
    </cfRule>
  </conditionalFormatting>
  <conditionalFormatting sqref="A67:A72">
    <cfRule type="expression" dxfId="88" priority="10">
      <formula>kvartal &lt; 4</formula>
    </cfRule>
  </conditionalFormatting>
  <conditionalFormatting sqref="A78:A83">
    <cfRule type="expression" dxfId="87" priority="9">
      <formula>kvartal &lt; 4</formula>
    </cfRule>
  </conditionalFormatting>
  <conditionalFormatting sqref="A88:A93">
    <cfRule type="expression" dxfId="86" priority="6">
      <formula>kvartal &lt; 4</formula>
    </cfRule>
  </conditionalFormatting>
  <conditionalFormatting sqref="A99:A104">
    <cfRule type="expression" dxfId="85" priority="5">
      <formula>kvartal &lt; 4</formula>
    </cfRule>
  </conditionalFormatting>
  <conditionalFormatting sqref="A113">
    <cfRule type="expression" dxfId="84" priority="4">
      <formula>kvartal &lt; 4</formula>
    </cfRule>
  </conditionalFormatting>
  <conditionalFormatting sqref="A121">
    <cfRule type="expression" dxfId="83" priority="3">
      <formula>kvartal &lt; 4</formula>
    </cfRule>
  </conditionalFormatting>
  <conditionalFormatting sqref="A26">
    <cfRule type="expression" dxfId="82" priority="2">
      <formula>kvartal &lt; 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Q180"/>
  <sheetViews>
    <sheetView showGridLines="0" showZeros="0" zoomScale="80" zoomScaleNormal="80" workbookViewId="0">
      <selection activeCell="A4" sqref="A4"/>
    </sheetView>
  </sheetViews>
  <sheetFormatPr baseColWidth="10" defaultColWidth="11.42578125" defaultRowHeight="18.75" x14ac:dyDescent="0.3"/>
  <cols>
    <col min="10" max="11" width="16.7109375" customWidth="1"/>
    <col min="12" max="12" width="20.7109375" style="74" customWidth="1"/>
    <col min="13" max="14" width="15.85546875" style="74" bestFit="1" customWidth="1"/>
    <col min="15" max="15" width="22.85546875" customWidth="1"/>
    <col min="16" max="16" width="13.42578125" customWidth="1"/>
    <col min="17" max="17" width="13.85546875" customWidth="1"/>
  </cols>
  <sheetData>
    <row r="1" spans="1:15" x14ac:dyDescent="0.3">
      <c r="A1" s="73" t="s">
        <v>56</v>
      </c>
    </row>
    <row r="2" spans="1:15" x14ac:dyDescent="0.3">
      <c r="A2" s="75"/>
      <c r="B2" s="74"/>
      <c r="C2" s="74"/>
      <c r="D2" s="74"/>
      <c r="E2" s="74"/>
      <c r="F2" s="74"/>
      <c r="G2" s="74"/>
      <c r="H2" s="74"/>
      <c r="I2" s="74"/>
      <c r="J2" s="74"/>
      <c r="K2" s="74"/>
      <c r="O2" s="74"/>
    </row>
    <row r="3" spans="1:15" x14ac:dyDescent="0.3">
      <c r="A3" s="75" t="s">
        <v>36</v>
      </c>
      <c r="B3" s="74"/>
      <c r="C3" s="74"/>
      <c r="D3" s="74"/>
      <c r="E3" s="74"/>
      <c r="F3" s="74"/>
      <c r="G3" s="74"/>
      <c r="H3" s="74"/>
      <c r="I3" s="74"/>
      <c r="J3" s="74"/>
      <c r="K3" s="74"/>
      <c r="O3" s="74"/>
    </row>
    <row r="4" spans="1:15" x14ac:dyDescent="0.3">
      <c r="A4" s="74"/>
      <c r="B4" s="74"/>
      <c r="C4" s="74"/>
      <c r="D4" s="74"/>
      <c r="E4" s="74"/>
      <c r="F4" s="74"/>
      <c r="G4" s="74"/>
      <c r="H4" s="74"/>
      <c r="I4" s="74"/>
      <c r="J4" s="74"/>
      <c r="K4" s="74"/>
      <c r="L4" s="76"/>
      <c r="O4" s="74"/>
    </row>
    <row r="5" spans="1:15" x14ac:dyDescent="0.3">
      <c r="A5" s="75" t="s">
        <v>415</v>
      </c>
      <c r="B5" s="74"/>
      <c r="C5" s="74"/>
      <c r="D5" s="74"/>
      <c r="E5" s="74"/>
      <c r="F5" s="74"/>
      <c r="G5" s="74"/>
      <c r="H5" s="74"/>
      <c r="I5" s="79"/>
      <c r="J5" s="74"/>
      <c r="K5" s="74"/>
      <c r="O5" s="74"/>
    </row>
    <row r="6" spans="1:15" x14ac:dyDescent="0.3">
      <c r="A6" s="74"/>
      <c r="B6" s="74"/>
      <c r="C6" s="74"/>
      <c r="D6" s="74"/>
      <c r="E6" s="74"/>
      <c r="F6" s="74"/>
      <c r="G6" s="74"/>
      <c r="H6" s="74"/>
      <c r="I6" s="74"/>
      <c r="J6" s="74"/>
      <c r="K6" s="74"/>
      <c r="L6" s="75" t="s">
        <v>57</v>
      </c>
      <c r="M6" s="75"/>
      <c r="N6" s="75"/>
      <c r="O6" s="74"/>
    </row>
    <row r="7" spans="1:15" x14ac:dyDescent="0.3">
      <c r="A7" s="74"/>
      <c r="B7" s="74"/>
      <c r="C7" s="74"/>
      <c r="D7" s="74"/>
      <c r="E7" s="74"/>
      <c r="F7" s="74"/>
      <c r="G7" s="74"/>
      <c r="H7" s="74"/>
      <c r="I7" s="74"/>
      <c r="J7" s="74"/>
      <c r="K7" s="74"/>
      <c r="L7" s="75" t="s">
        <v>0</v>
      </c>
      <c r="M7" s="75"/>
      <c r="N7" s="75"/>
      <c r="O7" s="74"/>
    </row>
    <row r="8" spans="1:15" x14ac:dyDescent="0.3">
      <c r="A8" s="74"/>
      <c r="B8" s="74"/>
      <c r="C8" s="74"/>
      <c r="D8" s="74"/>
      <c r="E8" s="74"/>
      <c r="F8" s="74"/>
      <c r="G8" s="74"/>
      <c r="H8" s="74"/>
      <c r="I8" s="74"/>
      <c r="J8" s="74"/>
      <c r="K8" s="74"/>
      <c r="L8" s="75"/>
      <c r="M8" s="75">
        <v>2016</v>
      </c>
      <c r="N8" s="75">
        <v>2017</v>
      </c>
      <c r="O8" s="74"/>
    </row>
    <row r="9" spans="1:15" x14ac:dyDescent="0.3">
      <c r="A9" s="74"/>
      <c r="B9" s="74"/>
      <c r="C9" s="74"/>
      <c r="D9" s="74"/>
      <c r="E9" s="74"/>
      <c r="F9" s="74"/>
      <c r="G9" s="74"/>
      <c r="H9" s="74"/>
      <c r="I9" s="74"/>
      <c r="J9" s="74"/>
      <c r="K9" s="74"/>
      <c r="L9" s="74" t="s">
        <v>58</v>
      </c>
      <c r="M9" s="77">
        <f>'Tabel 1.1'!B9</f>
        <v>0</v>
      </c>
      <c r="N9" s="77">
        <f>'Tabel 1.1'!C9</f>
        <v>0</v>
      </c>
      <c r="O9" s="74"/>
    </row>
    <row r="10" spans="1:15" x14ac:dyDescent="0.3">
      <c r="A10" s="74"/>
      <c r="B10" s="74"/>
      <c r="C10" s="74"/>
      <c r="D10" s="74"/>
      <c r="E10" s="74"/>
      <c r="F10" s="74"/>
      <c r="G10" s="74"/>
      <c r="H10" s="74"/>
      <c r="I10" s="74"/>
      <c r="J10" s="74"/>
      <c r="K10" s="74"/>
      <c r="L10" s="74" t="s">
        <v>59</v>
      </c>
      <c r="M10" s="77">
        <f>'Tabel 1.1'!B10</f>
        <v>197548.72899999999</v>
      </c>
      <c r="N10" s="77">
        <f>'Tabel 1.1'!C10</f>
        <v>195763.908</v>
      </c>
      <c r="O10" s="74"/>
    </row>
    <row r="11" spans="1:15" x14ac:dyDescent="0.3">
      <c r="A11" s="74"/>
      <c r="B11" s="74"/>
      <c r="C11" s="74"/>
      <c r="D11" s="74"/>
      <c r="E11" s="74"/>
      <c r="F11" s="74"/>
      <c r="G11" s="74"/>
      <c r="H11" s="74"/>
      <c r="I11" s="74"/>
      <c r="J11" s="74"/>
      <c r="K11" s="74"/>
      <c r="L11" s="74" t="s">
        <v>60</v>
      </c>
      <c r="M11" s="77">
        <f>'Tabel 1.1'!B11</f>
        <v>4445756.0010000002</v>
      </c>
      <c r="N11" s="77">
        <f>'Tabel 1.1'!C11</f>
        <v>3078142</v>
      </c>
      <c r="O11" s="74"/>
    </row>
    <row r="12" spans="1:15" x14ac:dyDescent="0.3">
      <c r="A12" s="74"/>
      <c r="B12" s="74"/>
      <c r="C12" s="74"/>
      <c r="D12" s="74"/>
      <c r="E12" s="74"/>
      <c r="F12" s="74"/>
      <c r="G12" s="74"/>
      <c r="H12" s="74"/>
      <c r="I12" s="74"/>
      <c r="J12" s="74"/>
      <c r="K12" s="74"/>
      <c r="L12" s="74" t="s">
        <v>61</v>
      </c>
      <c r="M12" s="77">
        <f>'Tabel 1.1'!B12</f>
        <v>248926</v>
      </c>
      <c r="N12" s="77">
        <f>'Tabel 1.1'!C12</f>
        <v>154629</v>
      </c>
      <c r="O12" s="74"/>
    </row>
    <row r="13" spans="1:15" x14ac:dyDescent="0.3">
      <c r="A13" s="74"/>
      <c r="B13" s="74"/>
      <c r="C13" s="74"/>
      <c r="D13" s="74"/>
      <c r="E13" s="74"/>
      <c r="F13" s="74"/>
      <c r="G13" s="74"/>
      <c r="H13" s="74"/>
      <c r="I13" s="74"/>
      <c r="J13" s="74"/>
      <c r="K13" s="74"/>
      <c r="L13" s="74" t="s">
        <v>62</v>
      </c>
      <c r="M13" s="77">
        <f>'Tabel 1.1'!B13</f>
        <v>449437</v>
      </c>
      <c r="N13" s="77">
        <f>'Tabel 1.1'!C13</f>
        <v>490232.783</v>
      </c>
      <c r="O13" s="74"/>
    </row>
    <row r="14" spans="1:15" x14ac:dyDescent="0.3">
      <c r="A14" s="74"/>
      <c r="B14" s="74"/>
      <c r="C14" s="74"/>
      <c r="D14" s="74"/>
      <c r="E14" s="74"/>
      <c r="F14" s="74"/>
      <c r="G14" s="74"/>
      <c r="H14" s="74"/>
      <c r="I14" s="74"/>
      <c r="J14" s="74"/>
      <c r="K14" s="74"/>
      <c r="L14" s="74" t="s">
        <v>63</v>
      </c>
      <c r="M14" s="77">
        <f>'Tabel 1.1'!B14</f>
        <v>4457</v>
      </c>
      <c r="N14" s="77">
        <f>'Tabel 1.1'!C14</f>
        <v>4451</v>
      </c>
      <c r="O14" s="74"/>
    </row>
    <row r="15" spans="1:15" x14ac:dyDescent="0.3">
      <c r="A15" s="74"/>
      <c r="B15" s="74"/>
      <c r="C15" s="74"/>
      <c r="D15" s="74"/>
      <c r="E15" s="74"/>
      <c r="F15" s="74"/>
      <c r="G15" s="74"/>
      <c r="H15" s="74"/>
      <c r="I15" s="74"/>
      <c r="J15" s="74"/>
      <c r="K15" s="74"/>
      <c r="L15" s="74" t="s">
        <v>64</v>
      </c>
      <c r="M15" s="77">
        <f>'Tabel 1.1'!B15</f>
        <v>1139361</v>
      </c>
      <c r="N15" s="77">
        <f>'Tabel 1.1'!C15</f>
        <v>1205494</v>
      </c>
      <c r="O15" s="74"/>
    </row>
    <row r="16" spans="1:15" x14ac:dyDescent="0.3">
      <c r="A16" s="74"/>
      <c r="B16" s="74"/>
      <c r="C16" s="74"/>
      <c r="D16" s="74"/>
      <c r="E16" s="74"/>
      <c r="F16" s="74"/>
      <c r="G16" s="74"/>
      <c r="H16" s="74"/>
      <c r="I16" s="74"/>
      <c r="J16" s="74"/>
      <c r="K16" s="74"/>
      <c r="L16" s="74" t="s">
        <v>65</v>
      </c>
      <c r="M16" s="77">
        <f>'Tabel 1.1'!B16</f>
        <v>268828.26399999997</v>
      </c>
      <c r="N16" s="77">
        <f>'Tabel 1.1'!C16</f>
        <v>276379</v>
      </c>
      <c r="O16" s="74"/>
    </row>
    <row r="17" spans="1:15" x14ac:dyDescent="0.3">
      <c r="A17" s="74"/>
      <c r="B17" s="74"/>
      <c r="C17" s="74"/>
      <c r="D17" s="74"/>
      <c r="E17" s="74"/>
      <c r="F17" s="74"/>
      <c r="G17" s="74"/>
      <c r="H17" s="74"/>
      <c r="I17" s="74"/>
      <c r="J17" s="74"/>
      <c r="K17" s="74"/>
      <c r="L17" s="74" t="s">
        <v>66</v>
      </c>
      <c r="M17" s="77">
        <f>'Tabel 1.1'!B17</f>
        <v>20615</v>
      </c>
      <c r="N17" s="77">
        <f>'Tabel 1.1'!C17</f>
        <v>19906</v>
      </c>
      <c r="O17" s="74"/>
    </row>
    <row r="18" spans="1:15" x14ac:dyDescent="0.3">
      <c r="A18" s="74"/>
      <c r="B18" s="74"/>
      <c r="C18" s="74"/>
      <c r="D18" s="74"/>
      <c r="E18" s="74"/>
      <c r="F18" s="74"/>
      <c r="G18" s="74"/>
      <c r="H18" s="74"/>
      <c r="I18" s="74"/>
      <c r="J18" s="74"/>
      <c r="K18" s="74"/>
      <c r="L18" s="74" t="s">
        <v>67</v>
      </c>
      <c r="M18" s="77">
        <f>'Tabel 1.1'!B18</f>
        <v>248460.12299999999</v>
      </c>
      <c r="N18" s="77">
        <f>'Tabel 1.1'!C18</f>
        <v>286954.01899999997</v>
      </c>
      <c r="O18" s="74"/>
    </row>
    <row r="19" spans="1:15" x14ac:dyDescent="0.3">
      <c r="A19" s="74"/>
      <c r="B19" s="74"/>
      <c r="C19" s="74"/>
      <c r="D19" s="74"/>
      <c r="E19" s="74"/>
      <c r="F19" s="74"/>
      <c r="G19" s="74"/>
      <c r="H19" s="74"/>
      <c r="I19" s="74"/>
      <c r="J19" s="74"/>
      <c r="K19" s="74"/>
      <c r="L19" s="74" t="s">
        <v>68</v>
      </c>
      <c r="M19" s="77">
        <f>'Tabel 1.1'!B19</f>
        <v>17863744.790199999</v>
      </c>
      <c r="N19" s="77">
        <f>'Tabel 1.1'!C19</f>
        <v>14896769.38098</v>
      </c>
      <c r="O19" s="74"/>
    </row>
    <row r="20" spans="1:15" x14ac:dyDescent="0.3">
      <c r="A20" s="74"/>
      <c r="B20" s="74"/>
      <c r="C20" s="74"/>
      <c r="D20" s="74"/>
      <c r="E20" s="74"/>
      <c r="F20" s="74"/>
      <c r="G20" s="74"/>
      <c r="H20" s="74"/>
      <c r="I20" s="74"/>
      <c r="J20" s="74"/>
      <c r="K20" s="74"/>
      <c r="L20" s="74" t="s">
        <v>69</v>
      </c>
      <c r="M20" s="77">
        <f>'Tabel 1.1'!B20</f>
        <v>52817</v>
      </c>
      <c r="N20" s="77">
        <f>'Tabel 1.1'!C20</f>
        <v>42087</v>
      </c>
      <c r="O20" s="74"/>
    </row>
    <row r="21" spans="1:15" x14ac:dyDescent="0.3">
      <c r="A21" s="74"/>
      <c r="B21" s="74"/>
      <c r="C21" s="74"/>
      <c r="D21" s="74"/>
      <c r="E21" s="74"/>
      <c r="F21" s="74"/>
      <c r="G21" s="74"/>
      <c r="H21" s="74"/>
      <c r="I21" s="74"/>
      <c r="J21" s="74"/>
      <c r="K21" s="74"/>
      <c r="L21" s="74" t="s">
        <v>70</v>
      </c>
      <c r="M21" s="77">
        <f>'Tabel 1.1'!B21</f>
        <v>118032.765</v>
      </c>
      <c r="N21" s="77">
        <f>'Tabel 1.1'!C21</f>
        <v>128824.133</v>
      </c>
      <c r="O21" s="74"/>
    </row>
    <row r="22" spans="1:15" x14ac:dyDescent="0.3">
      <c r="A22" s="74"/>
      <c r="B22" s="74"/>
      <c r="C22" s="74"/>
      <c r="D22" s="74"/>
      <c r="E22" s="74"/>
      <c r="F22" s="74"/>
      <c r="G22" s="74"/>
      <c r="H22" s="74"/>
      <c r="I22" s="74"/>
      <c r="J22" s="74"/>
      <c r="K22" s="74"/>
      <c r="L22" s="74" t="s">
        <v>71</v>
      </c>
      <c r="M22" s="77">
        <f>'Tabel 1.1'!B22</f>
        <v>17232</v>
      </c>
      <c r="N22" s="77">
        <f>'Tabel 1.1'!C22</f>
        <v>24256</v>
      </c>
      <c r="O22" s="74"/>
    </row>
    <row r="23" spans="1:15" x14ac:dyDescent="0.3">
      <c r="A23" s="74"/>
      <c r="B23" s="74"/>
      <c r="C23" s="74"/>
      <c r="D23" s="74"/>
      <c r="E23" s="74"/>
      <c r="F23" s="74"/>
      <c r="G23" s="74"/>
      <c r="H23" s="74"/>
      <c r="I23" s="74"/>
      <c r="J23" s="74"/>
      <c r="K23" s="74"/>
      <c r="L23" s="74" t="s">
        <v>72</v>
      </c>
      <c r="M23" s="77">
        <f>'Tabel 1.1'!B23</f>
        <v>1481</v>
      </c>
      <c r="N23" s="77">
        <f>'Tabel 1.1'!C23</f>
        <v>2011</v>
      </c>
      <c r="O23" s="74"/>
    </row>
    <row r="24" spans="1:15" x14ac:dyDescent="0.3">
      <c r="A24" s="74"/>
      <c r="B24" s="74"/>
      <c r="C24" s="74"/>
      <c r="D24" s="74"/>
      <c r="E24" s="74"/>
      <c r="F24" s="74"/>
      <c r="G24" s="74"/>
      <c r="H24" s="74"/>
      <c r="I24" s="74"/>
      <c r="J24" s="74"/>
      <c r="K24" s="74"/>
      <c r="L24" s="74" t="s">
        <v>73</v>
      </c>
      <c r="M24" s="77">
        <f>'Tabel 1.1'!B24</f>
        <v>1314347.7010432926</v>
      </c>
      <c r="N24" s="77">
        <f>'Tabel 1.1'!C24</f>
        <v>927868.64466550318</v>
      </c>
      <c r="O24" s="74"/>
    </row>
    <row r="25" spans="1:15" x14ac:dyDescent="0.3">
      <c r="A25" s="74"/>
      <c r="B25" s="74"/>
      <c r="C25" s="74"/>
      <c r="D25" s="74"/>
      <c r="E25" s="74"/>
      <c r="F25" s="74"/>
      <c r="G25" s="74"/>
      <c r="H25" s="74"/>
      <c r="I25" s="74"/>
      <c r="J25" s="74"/>
      <c r="K25" s="74"/>
      <c r="L25" s="74" t="s">
        <v>74</v>
      </c>
      <c r="M25" s="77">
        <f>'Tabel 1.1'!B25</f>
        <v>1315437</v>
      </c>
      <c r="N25" s="77">
        <f>'Tabel 1.1'!C25</f>
        <v>1524757</v>
      </c>
      <c r="O25" s="74"/>
    </row>
    <row r="26" spans="1:15" x14ac:dyDescent="0.3">
      <c r="A26" s="74"/>
      <c r="B26" s="74"/>
      <c r="C26" s="74"/>
      <c r="D26" s="74"/>
      <c r="E26" s="74"/>
      <c r="F26" s="74"/>
      <c r="G26" s="74"/>
      <c r="H26" s="74"/>
      <c r="I26" s="74"/>
      <c r="J26" s="74"/>
      <c r="K26" s="74"/>
      <c r="L26" s="74" t="s">
        <v>75</v>
      </c>
      <c r="M26" s="77">
        <f>'Tabel 1.1'!B27</f>
        <v>1347598.1754899998</v>
      </c>
      <c r="N26" s="77">
        <f>'Tabel 1.1'!C27</f>
        <v>1416935.0100199999</v>
      </c>
      <c r="O26" s="74"/>
    </row>
    <row r="27" spans="1:15" x14ac:dyDescent="0.3">
      <c r="A27" s="74"/>
      <c r="B27" s="74"/>
      <c r="C27" s="74"/>
      <c r="D27" s="74"/>
      <c r="E27" s="74"/>
      <c r="F27" s="74"/>
      <c r="G27" s="74"/>
      <c r="H27" s="74"/>
      <c r="I27" s="74"/>
      <c r="J27" s="74"/>
      <c r="K27" s="74"/>
      <c r="L27" s="74" t="s">
        <v>76</v>
      </c>
      <c r="M27" s="77">
        <f>'Tabel 1.1'!B28</f>
        <v>4383879.6049999995</v>
      </c>
      <c r="N27" s="77">
        <f>'Tabel 1.1'!C28</f>
        <v>3161034.8239999996</v>
      </c>
    </row>
    <row r="28" spans="1:15" x14ac:dyDescent="0.3">
      <c r="A28" s="74"/>
      <c r="B28" s="74"/>
      <c r="C28" s="74"/>
      <c r="D28" s="74"/>
      <c r="E28" s="74"/>
      <c r="F28" s="74"/>
      <c r="G28" s="74"/>
      <c r="H28" s="74"/>
      <c r="I28" s="74"/>
      <c r="J28" s="74"/>
      <c r="K28" s="74"/>
      <c r="L28" s="74" t="s">
        <v>77</v>
      </c>
      <c r="M28" s="77">
        <f>'Tabel 1.1'!B29</f>
        <v>25828</v>
      </c>
      <c r="N28" s="77">
        <f>'Tabel 1.1'!C29</f>
        <v>23751</v>
      </c>
    </row>
    <row r="29" spans="1:15" x14ac:dyDescent="0.3">
      <c r="A29" s="74"/>
      <c r="B29" s="74"/>
      <c r="C29" s="74"/>
      <c r="D29" s="74"/>
      <c r="E29" s="74"/>
      <c r="F29" s="74"/>
      <c r="G29" s="74"/>
      <c r="H29" s="74"/>
      <c r="I29" s="74"/>
      <c r="J29" s="74"/>
      <c r="K29" s="74"/>
      <c r="L29" s="74" t="s">
        <v>78</v>
      </c>
      <c r="M29" s="77">
        <f>'Tabel 1.1'!B30</f>
        <v>472129.78125</v>
      </c>
      <c r="N29" s="77">
        <f>'Tabel 1.1'!C30</f>
        <v>458748.43799999997</v>
      </c>
    </row>
    <row r="30" spans="1:15" x14ac:dyDescent="0.3">
      <c r="A30" s="75" t="s">
        <v>416</v>
      </c>
      <c r="B30" s="74"/>
      <c r="C30" s="74"/>
      <c r="D30" s="74"/>
      <c r="E30" s="74"/>
      <c r="F30" s="74"/>
      <c r="G30" s="74"/>
      <c r="H30" s="74"/>
      <c r="I30" s="79"/>
      <c r="J30" s="74"/>
      <c r="K30" s="74"/>
    </row>
    <row r="31" spans="1:15" x14ac:dyDescent="0.3">
      <c r="B31" s="74"/>
      <c r="C31" s="74"/>
      <c r="D31" s="74"/>
      <c r="E31" s="74"/>
      <c r="F31" s="74"/>
      <c r="G31" s="74"/>
      <c r="H31" s="74"/>
      <c r="I31" s="74"/>
      <c r="J31" s="74"/>
      <c r="K31" s="74"/>
    </row>
    <row r="32" spans="1:15" x14ac:dyDescent="0.3">
      <c r="B32" s="74"/>
      <c r="C32" s="74"/>
      <c r="D32" s="74"/>
      <c r="E32" s="74"/>
      <c r="F32" s="74"/>
      <c r="G32" s="74"/>
      <c r="H32" s="74"/>
      <c r="I32" s="74"/>
      <c r="J32" s="74"/>
      <c r="K32" s="74"/>
    </row>
    <row r="33" spans="1:15" x14ac:dyDescent="0.3">
      <c r="A33" s="74"/>
      <c r="B33" s="74"/>
      <c r="C33" s="74"/>
      <c r="D33" s="74"/>
      <c r="E33" s="74"/>
      <c r="F33" s="74"/>
      <c r="G33" s="74"/>
      <c r="H33" s="74"/>
      <c r="I33" s="74"/>
      <c r="J33" s="74"/>
      <c r="K33" s="74"/>
      <c r="L33" s="75" t="s">
        <v>57</v>
      </c>
      <c r="M33" s="75"/>
      <c r="N33" s="75"/>
    </row>
    <row r="34" spans="1:15" x14ac:dyDescent="0.3">
      <c r="A34" s="74"/>
      <c r="B34" s="74"/>
      <c r="C34" s="74"/>
      <c r="D34" s="74"/>
      <c r="E34" s="74"/>
      <c r="F34" s="74"/>
      <c r="G34" s="74"/>
      <c r="H34" s="74"/>
      <c r="I34" s="74"/>
      <c r="J34" s="74"/>
      <c r="K34" s="74"/>
      <c r="L34" s="75" t="s">
        <v>1</v>
      </c>
      <c r="M34" s="75"/>
      <c r="N34" s="75"/>
    </row>
    <row r="35" spans="1:15" x14ac:dyDescent="0.3">
      <c r="A35" s="74"/>
      <c r="B35" s="74"/>
      <c r="C35" s="74"/>
      <c r="D35" s="74"/>
      <c r="E35" s="74"/>
      <c r="F35" s="74"/>
      <c r="G35" s="74"/>
      <c r="H35" s="74"/>
      <c r="I35" s="74"/>
      <c r="J35" s="74"/>
      <c r="K35" s="74"/>
      <c r="L35" s="75"/>
      <c r="M35" s="75">
        <v>2016</v>
      </c>
      <c r="N35" s="75">
        <v>2017</v>
      </c>
    </row>
    <row r="36" spans="1:15" x14ac:dyDescent="0.3">
      <c r="A36" s="74"/>
      <c r="B36" s="74"/>
      <c r="C36" s="74"/>
      <c r="D36" s="74"/>
      <c r="E36" s="74"/>
      <c r="F36" s="74"/>
      <c r="G36" s="74"/>
      <c r="H36" s="74"/>
      <c r="I36" s="74"/>
      <c r="J36" s="74"/>
      <c r="K36" s="74"/>
      <c r="L36" s="79" t="s">
        <v>59</v>
      </c>
      <c r="M36" s="78">
        <f>'Tabel 1.1'!B34</f>
        <v>797149.23</v>
      </c>
      <c r="N36" s="78">
        <f>'Tabel 1.1'!C34</f>
        <v>872284.58900000004</v>
      </c>
    </row>
    <row r="37" spans="1:15" x14ac:dyDescent="0.3">
      <c r="A37" s="74"/>
      <c r="B37" s="74"/>
      <c r="C37" s="74"/>
      <c r="D37" s="74"/>
      <c r="E37" s="74"/>
      <c r="F37" s="74"/>
      <c r="G37" s="74"/>
      <c r="H37" s="74"/>
      <c r="I37" s="74"/>
      <c r="J37" s="74"/>
      <c r="K37" s="74"/>
      <c r="L37" s="74" t="s">
        <v>60</v>
      </c>
      <c r="M37" s="78">
        <f>'Tabel 1.1'!B35</f>
        <v>3901376</v>
      </c>
      <c r="N37" s="78">
        <f>'Tabel 1.1'!C35</f>
        <v>4145174</v>
      </c>
    </row>
    <row r="38" spans="1:15" x14ac:dyDescent="0.3">
      <c r="A38" s="74"/>
      <c r="B38" s="74"/>
      <c r="C38" s="74"/>
      <c r="D38" s="74"/>
      <c r="E38" s="74"/>
      <c r="F38" s="74"/>
      <c r="G38" s="74"/>
      <c r="H38" s="74"/>
      <c r="I38" s="74"/>
      <c r="J38" s="74"/>
      <c r="K38" s="74"/>
      <c r="L38" s="74" t="s">
        <v>62</v>
      </c>
      <c r="M38" s="78">
        <f>'Tabel 1.1'!B36</f>
        <v>148103</v>
      </c>
      <c r="N38" s="78">
        <f>'Tabel 1.1'!C36</f>
        <v>168384</v>
      </c>
    </row>
    <row r="39" spans="1:15" x14ac:dyDescent="0.3">
      <c r="A39" s="74"/>
      <c r="B39" s="74"/>
      <c r="C39" s="74"/>
      <c r="D39" s="74"/>
      <c r="E39" s="74"/>
      <c r="F39" s="74"/>
      <c r="G39" s="74"/>
      <c r="H39" s="74"/>
      <c r="I39" s="74"/>
      <c r="J39" s="74"/>
      <c r="K39" s="74"/>
      <c r="L39" s="79" t="s">
        <v>65</v>
      </c>
      <c r="M39" s="78">
        <f>'Tabel 1.1'!B37</f>
        <v>934615.7030000001</v>
      </c>
      <c r="N39" s="78">
        <f>'Tabel 1.1'!C37</f>
        <v>1226333</v>
      </c>
    </row>
    <row r="40" spans="1:15" x14ac:dyDescent="0.3">
      <c r="A40" s="74"/>
      <c r="B40" s="74"/>
      <c r="C40" s="74"/>
      <c r="D40" s="74"/>
      <c r="E40" s="74"/>
      <c r="F40" s="74"/>
      <c r="G40" s="74"/>
      <c r="H40" s="74"/>
      <c r="I40" s="74"/>
      <c r="J40" s="74"/>
      <c r="K40" s="74"/>
      <c r="L40" s="74" t="s">
        <v>68</v>
      </c>
      <c r="M40" s="78">
        <f>'Tabel 1.1'!B38</f>
        <v>76382.539000000004</v>
      </c>
      <c r="N40" s="78">
        <f>'Tabel 1.1'!C38</f>
        <v>52296.226000000002</v>
      </c>
      <c r="O40" s="74"/>
    </row>
    <row r="41" spans="1:15" x14ac:dyDescent="0.3">
      <c r="A41" s="74"/>
      <c r="B41" s="74"/>
      <c r="C41" s="74"/>
      <c r="D41" s="74"/>
      <c r="E41" s="74"/>
      <c r="F41" s="74"/>
      <c r="G41" s="74"/>
      <c r="H41" s="74"/>
      <c r="I41" s="74"/>
      <c r="J41" s="74"/>
      <c r="K41" s="74"/>
      <c r="L41" s="79" t="s">
        <v>69</v>
      </c>
      <c r="M41" s="78">
        <f>'Tabel 1.1'!B39</f>
        <v>130945</v>
      </c>
      <c r="N41" s="78">
        <f>'Tabel 1.1'!C39</f>
        <v>176194</v>
      </c>
      <c r="O41" s="74"/>
    </row>
    <row r="42" spans="1:15" x14ac:dyDescent="0.3">
      <c r="A42" s="74"/>
      <c r="B42" s="74"/>
      <c r="C42" s="74"/>
      <c r="D42" s="74"/>
      <c r="E42" s="74"/>
      <c r="F42" s="74"/>
      <c r="G42" s="74"/>
      <c r="H42" s="74"/>
      <c r="I42" s="74"/>
      <c r="J42" s="74"/>
      <c r="K42" s="74"/>
      <c r="L42" s="79" t="s">
        <v>73</v>
      </c>
      <c r="M42" s="78">
        <f>'Tabel 1.1'!B40</f>
        <v>4451546.6203800002</v>
      </c>
      <c r="N42" s="78">
        <f>'Tabel 1.1'!C40</f>
        <v>4608895.0639900006</v>
      </c>
      <c r="O42" s="74"/>
    </row>
    <row r="43" spans="1:15" x14ac:dyDescent="0.3">
      <c r="A43" s="74"/>
      <c r="B43" s="74"/>
      <c r="C43" s="74"/>
      <c r="D43" s="74"/>
      <c r="E43" s="74"/>
      <c r="F43" s="74"/>
      <c r="G43" s="74"/>
      <c r="H43" s="74"/>
      <c r="I43" s="74"/>
      <c r="J43" s="74"/>
      <c r="K43" s="74"/>
      <c r="L43" s="79" t="s">
        <v>79</v>
      </c>
      <c r="M43" s="78">
        <f>'Tabel 1.1'!B41</f>
        <v>64356</v>
      </c>
      <c r="N43" s="78">
        <f>'Tabel 1.1'!C41</f>
        <v>59615</v>
      </c>
      <c r="O43" s="74"/>
    </row>
    <row r="44" spans="1:15" x14ac:dyDescent="0.3">
      <c r="A44" s="74"/>
      <c r="B44" s="74"/>
      <c r="C44" s="74"/>
      <c r="D44" s="74"/>
      <c r="E44" s="74"/>
      <c r="F44" s="74"/>
      <c r="G44" s="74"/>
      <c r="H44" s="74"/>
      <c r="I44" s="74"/>
      <c r="J44" s="74"/>
      <c r="K44" s="74"/>
      <c r="L44" s="74" t="s">
        <v>80</v>
      </c>
      <c r="M44" s="78">
        <f>'Tabel 1.1'!B42</f>
        <v>-0.69540974</v>
      </c>
      <c r="N44" s="78">
        <f>'Tabel 1.1'!C42</f>
        <v>0</v>
      </c>
      <c r="O44" s="74"/>
    </row>
    <row r="45" spans="1:15" x14ac:dyDescent="0.3">
      <c r="A45" s="74"/>
      <c r="B45" s="74"/>
      <c r="C45" s="74"/>
      <c r="D45" s="74"/>
      <c r="E45" s="74"/>
      <c r="F45" s="74"/>
      <c r="G45" s="74"/>
      <c r="H45" s="74"/>
      <c r="I45" s="74"/>
      <c r="J45" s="74"/>
      <c r="K45" s="74"/>
      <c r="L45" s="79" t="s">
        <v>75</v>
      </c>
      <c r="M45" s="78">
        <f>'Tabel 1.1'!B43</f>
        <v>1016157.0894799998</v>
      </c>
      <c r="N45" s="78">
        <f>'Tabel 1.1'!C43</f>
        <v>1413647.3683399998</v>
      </c>
      <c r="O45" s="74"/>
    </row>
    <row r="46" spans="1:15" x14ac:dyDescent="0.3">
      <c r="A46" s="74"/>
      <c r="B46" s="74"/>
      <c r="C46" s="74"/>
      <c r="D46" s="74"/>
      <c r="E46" s="74"/>
      <c r="F46" s="74"/>
      <c r="G46" s="74"/>
      <c r="H46" s="74"/>
      <c r="I46" s="74"/>
      <c r="J46" s="74"/>
      <c r="K46" s="74"/>
      <c r="L46" s="79" t="s">
        <v>81</v>
      </c>
      <c r="M46" s="78">
        <f>'Tabel 1.1'!B44</f>
        <v>4898885.9740000004</v>
      </c>
      <c r="N46" s="78">
        <f>'Tabel 1.1'!C44</f>
        <v>5054517.3</v>
      </c>
      <c r="O46" s="74"/>
    </row>
    <row r="47" spans="1:15" x14ac:dyDescent="0.3">
      <c r="A47" s="74"/>
      <c r="B47" s="74"/>
      <c r="C47" s="74"/>
      <c r="D47" s="74"/>
      <c r="E47" s="74"/>
      <c r="F47" s="74"/>
      <c r="G47" s="74"/>
      <c r="H47" s="74"/>
      <c r="I47" s="74"/>
      <c r="J47" s="74"/>
      <c r="K47" s="74"/>
      <c r="L47" s="79"/>
      <c r="M47" s="78"/>
      <c r="N47" s="78"/>
      <c r="O47" s="74"/>
    </row>
    <row r="48" spans="1:15" x14ac:dyDescent="0.3">
      <c r="A48" s="74"/>
      <c r="B48" s="74"/>
      <c r="C48" s="74"/>
      <c r="D48" s="74"/>
      <c r="E48" s="74"/>
      <c r="F48" s="74"/>
      <c r="G48" s="74"/>
      <c r="H48" s="74"/>
      <c r="I48" s="74"/>
      <c r="J48" s="74"/>
      <c r="K48" s="74"/>
      <c r="M48" s="77"/>
      <c r="N48" s="77"/>
      <c r="O48" s="74"/>
    </row>
    <row r="49" spans="1:15" x14ac:dyDescent="0.3">
      <c r="A49" s="74"/>
      <c r="B49" s="74"/>
      <c r="C49" s="74"/>
      <c r="D49" s="74"/>
      <c r="E49" s="74"/>
      <c r="F49" s="74"/>
      <c r="G49" s="74"/>
      <c r="H49" s="74"/>
      <c r="I49" s="74"/>
      <c r="J49" s="74"/>
      <c r="K49" s="74"/>
      <c r="M49" s="77"/>
      <c r="N49" s="77"/>
      <c r="O49" s="74"/>
    </row>
    <row r="50" spans="1:15" x14ac:dyDescent="0.3">
      <c r="A50" s="74"/>
      <c r="B50" s="74"/>
      <c r="C50" s="74"/>
      <c r="D50" s="74"/>
      <c r="E50" s="74"/>
      <c r="F50" s="74"/>
      <c r="G50" s="74"/>
      <c r="H50" s="74"/>
      <c r="I50" s="74"/>
      <c r="J50" s="74"/>
      <c r="K50" s="74"/>
      <c r="M50" s="77"/>
      <c r="N50" s="77"/>
      <c r="O50" s="74"/>
    </row>
    <row r="51" spans="1:15" x14ac:dyDescent="0.3">
      <c r="A51" s="74"/>
      <c r="B51" s="74"/>
      <c r="C51" s="74"/>
      <c r="D51" s="74"/>
      <c r="E51" s="74"/>
      <c r="F51" s="74"/>
      <c r="G51" s="74"/>
      <c r="H51" s="74"/>
      <c r="I51" s="74"/>
      <c r="J51" s="74"/>
      <c r="K51" s="74"/>
      <c r="M51" s="77"/>
      <c r="N51" s="77"/>
      <c r="O51" s="74"/>
    </row>
    <row r="52" spans="1:15" x14ac:dyDescent="0.3">
      <c r="A52" s="74"/>
      <c r="B52" s="74"/>
      <c r="C52" s="74"/>
      <c r="D52" s="74"/>
      <c r="E52" s="74"/>
      <c r="F52" s="74"/>
      <c r="G52" s="74"/>
      <c r="H52" s="74"/>
      <c r="I52" s="74"/>
      <c r="J52" s="74"/>
      <c r="K52" s="74"/>
      <c r="O52" s="74"/>
    </row>
    <row r="53" spans="1:15" x14ac:dyDescent="0.3">
      <c r="A53" s="74"/>
      <c r="B53" s="74"/>
      <c r="C53" s="74"/>
      <c r="D53" s="74"/>
      <c r="E53" s="74"/>
      <c r="F53" s="74"/>
      <c r="G53" s="74"/>
      <c r="H53" s="74"/>
      <c r="I53" s="74"/>
      <c r="J53" s="74"/>
      <c r="K53" s="74"/>
      <c r="O53" s="74"/>
    </row>
    <row r="54" spans="1:15" x14ac:dyDescent="0.3">
      <c r="A54" s="74"/>
      <c r="B54" s="74"/>
      <c r="C54" s="74"/>
      <c r="D54" s="74"/>
      <c r="E54" s="74"/>
      <c r="F54" s="74"/>
      <c r="G54" s="74"/>
      <c r="H54" s="74"/>
      <c r="I54" s="74"/>
      <c r="J54" s="74"/>
      <c r="K54" s="74"/>
      <c r="O54" s="74"/>
    </row>
    <row r="55" spans="1:15" x14ac:dyDescent="0.3">
      <c r="A55" s="74"/>
      <c r="B55" s="74"/>
      <c r="C55" s="74"/>
      <c r="D55" s="74"/>
      <c r="E55" s="74"/>
      <c r="F55" s="74"/>
      <c r="G55" s="74"/>
      <c r="H55" s="74"/>
      <c r="I55" s="74"/>
      <c r="J55" s="74"/>
      <c r="K55" s="74"/>
      <c r="O55" s="74"/>
    </row>
    <row r="56" spans="1:15" x14ac:dyDescent="0.3">
      <c r="A56" s="75" t="s">
        <v>417</v>
      </c>
      <c r="B56" s="74"/>
      <c r="C56" s="74"/>
      <c r="D56" s="74"/>
      <c r="E56" s="74"/>
      <c r="F56" s="74"/>
      <c r="G56" s="74"/>
      <c r="H56" s="74"/>
      <c r="I56" s="79"/>
      <c r="J56" s="74"/>
      <c r="K56" s="74"/>
      <c r="O56" s="74"/>
    </row>
    <row r="57" spans="1:15" x14ac:dyDescent="0.3">
      <c r="A57" s="74"/>
      <c r="B57" s="74"/>
      <c r="C57" s="74"/>
      <c r="D57" s="74"/>
      <c r="E57" s="74"/>
      <c r="F57" s="74"/>
      <c r="G57" s="74"/>
      <c r="H57" s="74"/>
      <c r="I57" s="74"/>
      <c r="J57" s="74"/>
      <c r="K57" s="74"/>
      <c r="L57" s="75" t="s">
        <v>82</v>
      </c>
      <c r="M57" s="75"/>
      <c r="N57" s="75"/>
      <c r="O57" s="74"/>
    </row>
    <row r="58" spans="1:15" x14ac:dyDescent="0.3">
      <c r="A58" s="74"/>
      <c r="B58" s="74"/>
      <c r="C58" s="74"/>
      <c r="D58" s="74"/>
      <c r="E58" s="74"/>
      <c r="F58" s="74"/>
      <c r="G58" s="74"/>
      <c r="H58" s="74"/>
      <c r="I58" s="74"/>
      <c r="J58" s="74"/>
      <c r="K58" s="74"/>
      <c r="L58" s="75" t="s">
        <v>0</v>
      </c>
      <c r="M58" s="75"/>
      <c r="N58" s="75"/>
      <c r="O58" s="74"/>
    </row>
    <row r="59" spans="1:15" x14ac:dyDescent="0.3">
      <c r="A59" s="74"/>
      <c r="B59" s="74"/>
      <c r="C59" s="74"/>
      <c r="D59" s="74"/>
      <c r="E59" s="74"/>
      <c r="F59" s="74"/>
      <c r="G59" s="74"/>
      <c r="H59" s="74"/>
      <c r="I59" s="74"/>
      <c r="J59" s="74"/>
      <c r="K59" s="74"/>
      <c r="L59" s="75"/>
      <c r="M59" s="75">
        <v>2016</v>
      </c>
      <c r="N59" s="75">
        <v>2017</v>
      </c>
      <c r="O59" s="74"/>
    </row>
    <row r="60" spans="1:15" x14ac:dyDescent="0.3">
      <c r="A60" s="74"/>
      <c r="B60" s="74"/>
      <c r="C60" s="74"/>
      <c r="D60" s="74"/>
      <c r="E60" s="74"/>
      <c r="F60" s="74"/>
      <c r="G60" s="74"/>
      <c r="H60" s="74"/>
      <c r="I60" s="74"/>
      <c r="J60" s="74"/>
      <c r="K60" s="74"/>
      <c r="L60" s="74" t="s">
        <v>59</v>
      </c>
      <c r="M60" s="77">
        <f>'Tabel 1.1'!G10</f>
        <v>910116.41500000004</v>
      </c>
      <c r="N60" s="77">
        <f>'Tabel 1.1'!H10</f>
        <v>981728.21099999989</v>
      </c>
      <c r="O60" s="74"/>
    </row>
    <row r="61" spans="1:15" x14ac:dyDescent="0.3">
      <c r="A61" s="74"/>
      <c r="B61" s="74"/>
      <c r="C61" s="74"/>
      <c r="D61" s="74"/>
      <c r="E61" s="74"/>
      <c r="F61" s="74"/>
      <c r="G61" s="74"/>
      <c r="H61" s="74"/>
      <c r="I61" s="74"/>
      <c r="J61" s="74"/>
      <c r="K61" s="74"/>
      <c r="L61" s="74" t="s">
        <v>60</v>
      </c>
      <c r="M61" s="77">
        <f>'Tabel 1.1'!G11</f>
        <v>204999593</v>
      </c>
      <c r="N61" s="77">
        <f>'Tabel 1.1'!H11</f>
        <v>202823706</v>
      </c>
      <c r="O61" s="74"/>
    </row>
    <row r="62" spans="1:15" x14ac:dyDescent="0.3">
      <c r="A62" s="74"/>
      <c r="B62" s="74"/>
      <c r="C62" s="74"/>
      <c r="D62" s="74"/>
      <c r="E62" s="74"/>
      <c r="F62" s="74"/>
      <c r="G62" s="74"/>
      <c r="H62" s="74"/>
      <c r="I62" s="74"/>
      <c r="J62" s="74"/>
      <c r="K62" s="74"/>
      <c r="L62" s="74" t="s">
        <v>61</v>
      </c>
      <c r="M62" s="77">
        <f>'Tabel 1.1'!G12</f>
        <v>0</v>
      </c>
      <c r="N62" s="77">
        <f>'Tabel 1.1'!H12</f>
        <v>0</v>
      </c>
      <c r="O62" s="74"/>
    </row>
    <row r="63" spans="1:15" x14ac:dyDescent="0.3">
      <c r="A63" s="74"/>
      <c r="B63" s="74"/>
      <c r="C63" s="74"/>
      <c r="D63" s="74"/>
      <c r="E63" s="74"/>
      <c r="F63" s="74"/>
      <c r="G63" s="74"/>
      <c r="H63" s="74"/>
      <c r="I63" s="74"/>
      <c r="J63" s="74"/>
      <c r="K63" s="74"/>
      <c r="L63" s="74" t="s">
        <v>62</v>
      </c>
      <c r="M63" s="77">
        <f>'Tabel 1.1'!G13</f>
        <v>832830</v>
      </c>
      <c r="N63" s="77">
        <f>'Tabel 1.1'!H13</f>
        <v>979049</v>
      </c>
      <c r="O63" s="74"/>
    </row>
    <row r="64" spans="1:15" x14ac:dyDescent="0.3">
      <c r="A64" s="74"/>
      <c r="B64" s="74"/>
      <c r="C64" s="74"/>
      <c r="D64" s="74"/>
      <c r="E64" s="74"/>
      <c r="F64" s="74"/>
      <c r="G64" s="74"/>
      <c r="H64" s="74"/>
      <c r="I64" s="74"/>
      <c r="J64" s="74"/>
      <c r="K64" s="74"/>
      <c r="L64" s="74" t="s">
        <v>64</v>
      </c>
      <c r="M64" s="77">
        <f>'Tabel 1.1'!G15</f>
        <v>0</v>
      </c>
      <c r="N64" s="77">
        <f>'Tabel 1.1'!H15</f>
        <v>0</v>
      </c>
      <c r="O64" s="74"/>
    </row>
    <row r="65" spans="1:15" x14ac:dyDescent="0.3">
      <c r="A65" s="74"/>
      <c r="B65" s="74"/>
      <c r="C65" s="74"/>
      <c r="D65" s="74"/>
      <c r="E65" s="74"/>
      <c r="F65" s="74"/>
      <c r="G65" s="74"/>
      <c r="H65" s="74"/>
      <c r="I65" s="74"/>
      <c r="J65" s="74"/>
      <c r="K65" s="74"/>
      <c r="L65" s="74" t="s">
        <v>65</v>
      </c>
      <c r="M65" s="77">
        <f>'Tabel 1.1'!G16</f>
        <v>5116874.0429999996</v>
      </c>
      <c r="N65" s="77">
        <f>'Tabel 1.1'!H16</f>
        <v>5705784</v>
      </c>
      <c r="O65" s="74"/>
    </row>
    <row r="66" spans="1:15" x14ac:dyDescent="0.3">
      <c r="A66" s="74"/>
      <c r="B66" s="74"/>
      <c r="C66" s="74"/>
      <c r="D66" s="74"/>
      <c r="E66" s="74"/>
      <c r="F66" s="74"/>
      <c r="G66" s="74"/>
      <c r="H66" s="74"/>
      <c r="I66" s="74"/>
      <c r="J66" s="74"/>
      <c r="K66" s="74"/>
      <c r="L66" s="74" t="s">
        <v>66</v>
      </c>
      <c r="M66" s="77">
        <f>'Tabel 1.1'!G17</f>
        <v>28242</v>
      </c>
      <c r="N66" s="77">
        <f>'Tabel 1.1'!H17</f>
        <v>27134</v>
      </c>
      <c r="O66" s="74"/>
    </row>
    <row r="67" spans="1:15" x14ac:dyDescent="0.3">
      <c r="A67" s="74"/>
      <c r="B67" s="74"/>
      <c r="C67" s="74"/>
      <c r="D67" s="74"/>
      <c r="E67" s="74"/>
      <c r="F67" s="74"/>
      <c r="G67" s="74"/>
      <c r="H67" s="74"/>
      <c r="I67" s="74"/>
      <c r="J67" s="74"/>
      <c r="K67" s="74"/>
      <c r="L67" s="74" t="s">
        <v>67</v>
      </c>
      <c r="M67" s="77">
        <f>'Tabel 1.1'!G18</f>
        <v>0</v>
      </c>
      <c r="N67" s="77">
        <f>'Tabel 1.1'!H18</f>
        <v>0</v>
      </c>
      <c r="O67" s="74"/>
    </row>
    <row r="68" spans="1:15" x14ac:dyDescent="0.3">
      <c r="A68" s="74"/>
      <c r="B68" s="74"/>
      <c r="C68" s="74"/>
      <c r="D68" s="74"/>
      <c r="E68" s="74"/>
      <c r="F68" s="74"/>
      <c r="G68" s="74"/>
      <c r="H68" s="74"/>
      <c r="I68" s="74"/>
      <c r="J68" s="74"/>
      <c r="K68" s="74"/>
      <c r="L68" s="74" t="s">
        <v>68</v>
      </c>
      <c r="M68" s="77">
        <f>'Tabel 1.1'!G19</f>
        <v>408022300.04294997</v>
      </c>
      <c r="N68" s="77">
        <f>'Tabel 1.1'!H19</f>
        <v>432230923.24921</v>
      </c>
      <c r="O68" s="74"/>
    </row>
    <row r="69" spans="1:15" x14ac:dyDescent="0.3">
      <c r="A69" s="74"/>
      <c r="B69" s="74"/>
      <c r="C69" s="74"/>
      <c r="D69" s="74"/>
      <c r="E69" s="74"/>
      <c r="F69" s="74"/>
      <c r="G69" s="74"/>
      <c r="H69" s="74"/>
      <c r="I69" s="74"/>
      <c r="J69" s="74"/>
      <c r="K69" s="74"/>
      <c r="L69" s="74" t="s">
        <v>69</v>
      </c>
      <c r="M69" s="77">
        <f>'Tabel 1.1'!G20</f>
        <v>1444299</v>
      </c>
      <c r="N69" s="77">
        <f>'Tabel 1.1'!H20</f>
        <v>1534741</v>
      </c>
      <c r="O69" s="74"/>
    </row>
    <row r="70" spans="1:15" x14ac:dyDescent="0.3">
      <c r="A70" s="74"/>
      <c r="B70" s="74"/>
      <c r="C70" s="74"/>
      <c r="D70" s="74"/>
      <c r="E70" s="74"/>
      <c r="F70" s="74"/>
      <c r="G70" s="74"/>
      <c r="H70" s="74"/>
      <c r="I70" s="74"/>
      <c r="J70" s="74"/>
      <c r="K70" s="74"/>
      <c r="L70" s="74" t="s">
        <v>73</v>
      </c>
      <c r="M70" s="77">
        <f>'Tabel 1.1'!G24</f>
        <v>48064765.021499872</v>
      </c>
      <c r="N70" s="77">
        <f>'Tabel 1.1'!H24</f>
        <v>49325851.608999982</v>
      </c>
      <c r="O70" s="74"/>
    </row>
    <row r="71" spans="1:15" x14ac:dyDescent="0.3">
      <c r="A71" s="74"/>
      <c r="B71" s="74"/>
      <c r="C71" s="74"/>
      <c r="D71" s="74"/>
      <c r="E71" s="74"/>
      <c r="F71" s="74"/>
      <c r="G71" s="74"/>
      <c r="H71" s="74"/>
      <c r="I71" s="74"/>
      <c r="J71" s="74"/>
      <c r="K71" s="74"/>
      <c r="L71" s="74" t="s">
        <v>74</v>
      </c>
      <c r="M71" s="77">
        <f>'Tabel 1.1'!G25</f>
        <v>61571650</v>
      </c>
      <c r="N71" s="77">
        <f>'Tabel 1.1'!H25</f>
        <v>66551653</v>
      </c>
      <c r="O71" s="74"/>
    </row>
    <row r="72" spans="1:15" x14ac:dyDescent="0.3">
      <c r="A72" s="74"/>
      <c r="B72" s="74"/>
      <c r="C72" s="74"/>
      <c r="D72" s="74"/>
      <c r="E72" s="74"/>
      <c r="F72" s="74"/>
      <c r="G72" s="74"/>
      <c r="H72" s="74"/>
      <c r="I72" s="74"/>
      <c r="J72" s="74"/>
      <c r="K72" s="74"/>
      <c r="L72" s="74" t="s">
        <v>80</v>
      </c>
      <c r="M72" s="77">
        <f>'Tabel 1.1'!G26</f>
        <v>8612877.0735400002</v>
      </c>
      <c r="N72" s="77">
        <f>'Tabel 1.1'!H26</f>
        <v>0</v>
      </c>
      <c r="O72" s="74"/>
    </row>
    <row r="73" spans="1:15" x14ac:dyDescent="0.3">
      <c r="A73" s="74"/>
      <c r="B73" s="74"/>
      <c r="C73" s="74"/>
      <c r="D73" s="74"/>
      <c r="E73" s="74"/>
      <c r="F73" s="74"/>
      <c r="G73" s="74"/>
      <c r="H73" s="74"/>
      <c r="I73" s="74"/>
      <c r="J73" s="74"/>
      <c r="K73" s="74"/>
      <c r="L73" s="74" t="s">
        <v>75</v>
      </c>
      <c r="M73" s="77">
        <f>'Tabel 1.1'!G27</f>
        <v>16839593.38775</v>
      </c>
      <c r="N73" s="77">
        <f>'Tabel 1.1'!H27</f>
        <v>17251701.960609999</v>
      </c>
      <c r="O73" s="74"/>
    </row>
    <row r="74" spans="1:15" x14ac:dyDescent="0.3">
      <c r="A74" s="74"/>
      <c r="B74" s="74"/>
      <c r="C74" s="74"/>
      <c r="D74" s="74"/>
      <c r="E74" s="74"/>
      <c r="F74" s="74"/>
      <c r="G74" s="74"/>
      <c r="H74" s="74"/>
      <c r="I74" s="74"/>
      <c r="J74" s="74"/>
      <c r="K74" s="74"/>
      <c r="L74" s="74" t="s">
        <v>76</v>
      </c>
      <c r="M74" s="77">
        <f>'Tabel 1.1'!G28</f>
        <v>173966226.97000003</v>
      </c>
      <c r="N74" s="77">
        <f>'Tabel 1.1'!H28</f>
        <v>175952011.514</v>
      </c>
      <c r="O74" s="74"/>
    </row>
    <row r="75" spans="1:15" x14ac:dyDescent="0.3">
      <c r="A75" s="74"/>
      <c r="B75" s="74"/>
      <c r="C75" s="74"/>
      <c r="D75" s="74"/>
      <c r="E75" s="74"/>
      <c r="F75" s="74"/>
      <c r="G75" s="74"/>
      <c r="H75" s="74"/>
      <c r="I75" s="74"/>
      <c r="J75" s="74"/>
      <c r="K75" s="74"/>
      <c r="O75" s="74"/>
    </row>
    <row r="76" spans="1:15" x14ac:dyDescent="0.3">
      <c r="A76" s="74"/>
      <c r="B76" s="74"/>
      <c r="C76" s="74"/>
      <c r="D76" s="74"/>
      <c r="E76" s="74"/>
      <c r="F76" s="74"/>
      <c r="G76" s="74"/>
      <c r="H76" s="74"/>
      <c r="I76" s="74"/>
      <c r="J76" s="74"/>
      <c r="K76" s="74"/>
      <c r="O76" s="74"/>
    </row>
    <row r="77" spans="1:15" x14ac:dyDescent="0.3">
      <c r="A77" s="74"/>
      <c r="B77" s="74"/>
      <c r="C77" s="74"/>
      <c r="D77" s="74"/>
      <c r="E77" s="74"/>
      <c r="F77" s="74"/>
      <c r="G77" s="74"/>
      <c r="H77" s="74"/>
      <c r="I77" s="74"/>
      <c r="J77" s="74"/>
      <c r="K77" s="74"/>
      <c r="O77" s="74"/>
    </row>
    <row r="78" spans="1:15" x14ac:dyDescent="0.3">
      <c r="A78" s="74"/>
      <c r="B78" s="74"/>
      <c r="C78" s="74"/>
      <c r="D78" s="74"/>
      <c r="E78" s="74"/>
      <c r="F78" s="74"/>
      <c r="G78" s="74"/>
      <c r="H78" s="74"/>
      <c r="I78" s="74"/>
      <c r="J78" s="74"/>
      <c r="K78" s="74"/>
      <c r="O78" s="74"/>
    </row>
    <row r="79" spans="1:15" x14ac:dyDescent="0.3">
      <c r="A79" s="74"/>
      <c r="B79" s="74"/>
      <c r="C79" s="74"/>
      <c r="D79" s="74"/>
      <c r="E79" s="74"/>
      <c r="F79" s="74"/>
      <c r="G79" s="74"/>
      <c r="H79" s="74"/>
      <c r="I79" s="74"/>
      <c r="J79" s="74"/>
      <c r="K79" s="74"/>
      <c r="O79" s="74"/>
    </row>
    <row r="80" spans="1:15" x14ac:dyDescent="0.3">
      <c r="A80" s="74"/>
      <c r="B80" s="74"/>
      <c r="C80" s="74"/>
      <c r="D80" s="74"/>
      <c r="E80" s="74"/>
      <c r="F80" s="74"/>
      <c r="G80" s="74"/>
      <c r="H80" s="74"/>
      <c r="I80" s="74"/>
      <c r="J80" s="74"/>
      <c r="K80" s="74"/>
      <c r="O80" s="74"/>
    </row>
    <row r="81" spans="1:15" x14ac:dyDescent="0.3">
      <c r="A81" s="75" t="s">
        <v>418</v>
      </c>
      <c r="B81" s="74"/>
      <c r="C81" s="74"/>
      <c r="D81" s="74"/>
      <c r="E81" s="74"/>
      <c r="F81" s="74"/>
      <c r="G81" s="74"/>
      <c r="H81" s="74"/>
      <c r="I81" s="79"/>
      <c r="J81" s="74"/>
      <c r="K81" s="74"/>
      <c r="O81" s="74"/>
    </row>
    <row r="82" spans="1:15" x14ac:dyDescent="0.3">
      <c r="B82" s="74"/>
      <c r="C82" s="74"/>
      <c r="D82" s="74"/>
      <c r="E82" s="74"/>
      <c r="F82" s="74"/>
      <c r="G82" s="74"/>
      <c r="H82" s="74"/>
      <c r="I82" s="74"/>
      <c r="J82" s="74"/>
      <c r="K82" s="74"/>
      <c r="L82" s="75" t="s">
        <v>82</v>
      </c>
      <c r="M82" s="75"/>
      <c r="N82" s="75"/>
      <c r="O82" s="74"/>
    </row>
    <row r="83" spans="1:15" x14ac:dyDescent="0.3">
      <c r="A83" s="74"/>
      <c r="B83" s="74"/>
      <c r="C83" s="74"/>
      <c r="D83" s="74"/>
      <c r="E83" s="74"/>
      <c r="F83" s="74"/>
      <c r="G83" s="74"/>
      <c r="H83" s="74"/>
      <c r="I83" s="74"/>
      <c r="J83" s="74"/>
      <c r="K83" s="74"/>
      <c r="L83" s="75" t="s">
        <v>1</v>
      </c>
      <c r="M83" s="75"/>
      <c r="N83" s="75"/>
      <c r="O83" s="74"/>
    </row>
    <row r="84" spans="1:15" x14ac:dyDescent="0.3">
      <c r="A84" s="74"/>
      <c r="B84" s="74"/>
      <c r="C84" s="74"/>
      <c r="D84" s="74"/>
      <c r="E84" s="74"/>
      <c r="F84" s="74"/>
      <c r="G84" s="74"/>
      <c r="H84" s="74"/>
      <c r="I84" s="74"/>
      <c r="J84" s="74"/>
      <c r="K84" s="74"/>
      <c r="L84" s="75"/>
      <c r="M84" s="75">
        <v>2016</v>
      </c>
      <c r="N84" s="75">
        <v>2017</v>
      </c>
      <c r="O84" s="74"/>
    </row>
    <row r="85" spans="1:15" x14ac:dyDescent="0.3">
      <c r="A85" s="74"/>
      <c r="B85" s="74"/>
      <c r="C85" s="74"/>
      <c r="D85" s="74"/>
      <c r="E85" s="74"/>
      <c r="F85" s="74"/>
      <c r="G85" s="74"/>
      <c r="H85" s="74"/>
      <c r="I85" s="74"/>
      <c r="J85" s="74"/>
      <c r="K85" s="74"/>
      <c r="L85" s="74" t="s">
        <v>59</v>
      </c>
      <c r="M85" s="77">
        <f>'Tabel 1.1'!G34</f>
        <v>12599531.244999999</v>
      </c>
      <c r="N85" s="77">
        <f>'Tabel 1.1'!H34</f>
        <v>15516241.074000001</v>
      </c>
      <c r="O85" s="74"/>
    </row>
    <row r="86" spans="1:15" x14ac:dyDescent="0.3">
      <c r="B86" s="74"/>
      <c r="C86" s="74"/>
      <c r="D86" s="74"/>
      <c r="E86" s="74"/>
      <c r="F86" s="74"/>
      <c r="G86" s="74"/>
      <c r="H86" s="74"/>
      <c r="I86" s="74"/>
      <c r="J86" s="74"/>
      <c r="K86" s="74"/>
      <c r="L86" s="74" t="s">
        <v>60</v>
      </c>
      <c r="M86" s="77">
        <f>'Tabel 1.1'!G35</f>
        <v>52892825</v>
      </c>
      <c r="N86" s="77">
        <f>'Tabel 1.1'!H35</f>
        <v>67680359</v>
      </c>
      <c r="O86" s="74"/>
    </row>
    <row r="87" spans="1:15" x14ac:dyDescent="0.3">
      <c r="B87" s="74"/>
      <c r="C87" s="74"/>
      <c r="D87" s="74"/>
      <c r="E87" s="74"/>
      <c r="F87" s="74"/>
      <c r="G87" s="74"/>
      <c r="H87" s="74"/>
      <c r="I87" s="74"/>
      <c r="J87" s="74"/>
      <c r="K87" s="74"/>
      <c r="L87" s="74" t="s">
        <v>62</v>
      </c>
      <c r="M87" s="77">
        <f>'Tabel 1.1'!G36</f>
        <v>2394875</v>
      </c>
      <c r="N87" s="77">
        <f>'Tabel 1.1'!H36</f>
        <v>2925269</v>
      </c>
      <c r="O87" s="74"/>
    </row>
    <row r="88" spans="1:15" x14ac:dyDescent="0.3">
      <c r="B88" s="74"/>
      <c r="C88" s="74"/>
      <c r="D88" s="74"/>
      <c r="E88" s="74"/>
      <c r="F88" s="74"/>
      <c r="G88" s="74"/>
      <c r="H88" s="74"/>
      <c r="I88" s="74"/>
      <c r="J88" s="74"/>
      <c r="K88" s="74"/>
      <c r="L88" s="79" t="s">
        <v>65</v>
      </c>
      <c r="M88" s="77">
        <f>'Tabel 1.1'!G37</f>
        <v>16013492.852000002</v>
      </c>
      <c r="N88" s="77">
        <f>'Tabel 1.1'!H37</f>
        <v>20522578</v>
      </c>
      <c r="O88" s="74"/>
    </row>
    <row r="89" spans="1:15" x14ac:dyDescent="0.3">
      <c r="B89" s="74"/>
      <c r="C89" s="74"/>
      <c r="D89" s="74"/>
      <c r="E89" s="74"/>
      <c r="F89" s="74"/>
      <c r="G89" s="74"/>
      <c r="H89" s="74"/>
      <c r="I89" s="74"/>
      <c r="J89" s="74"/>
      <c r="K89" s="74"/>
      <c r="L89" s="74" t="s">
        <v>68</v>
      </c>
      <c r="M89" s="77">
        <f>'Tabel 1.1'!G38</f>
        <v>2120218.96215</v>
      </c>
      <c r="N89" s="77">
        <f>'Tabel 1.1'!H38</f>
        <v>2288839.25715</v>
      </c>
      <c r="O89" s="74"/>
    </row>
    <row r="90" spans="1:15" x14ac:dyDescent="0.3">
      <c r="B90" s="74"/>
      <c r="C90" s="74"/>
      <c r="D90" s="74"/>
      <c r="E90" s="74"/>
      <c r="F90" s="74"/>
      <c r="G90" s="74"/>
      <c r="H90" s="74"/>
      <c r="I90" s="74"/>
      <c r="J90" s="74"/>
      <c r="K90" s="74"/>
      <c r="L90" s="74" t="s">
        <v>69</v>
      </c>
      <c r="M90" s="77">
        <f>'Tabel 1.1'!G39</f>
        <v>1361843</v>
      </c>
      <c r="N90" s="77">
        <f>'Tabel 1.1'!H39</f>
        <v>2183015</v>
      </c>
      <c r="O90" s="74"/>
    </row>
    <row r="91" spans="1:15" x14ac:dyDescent="0.3">
      <c r="B91" s="74"/>
      <c r="C91" s="74"/>
      <c r="D91" s="74"/>
      <c r="E91" s="74"/>
      <c r="F91" s="74"/>
      <c r="G91" s="74"/>
      <c r="H91" s="74"/>
      <c r="I91" s="74"/>
      <c r="J91" s="74"/>
      <c r="K91" s="74"/>
      <c r="L91" s="74" t="s">
        <v>73</v>
      </c>
      <c r="M91" s="77">
        <f>'Tabel 1.1'!G40</f>
        <v>42006581.100000001</v>
      </c>
      <c r="N91" s="77">
        <f>'Tabel 1.1'!H40</f>
        <v>52390620</v>
      </c>
      <c r="O91" s="74"/>
    </row>
    <row r="92" spans="1:15" x14ac:dyDescent="0.3">
      <c r="A92" s="74"/>
      <c r="B92" s="74"/>
      <c r="C92" s="74"/>
      <c r="D92" s="74"/>
      <c r="E92" s="74"/>
      <c r="F92" s="74"/>
      <c r="G92" s="74"/>
      <c r="H92" s="74"/>
      <c r="I92" s="74"/>
      <c r="J92" s="74"/>
      <c r="K92" s="74"/>
      <c r="L92" s="74" t="s">
        <v>79</v>
      </c>
      <c r="M92" s="77">
        <f>'Tabel 1.1'!G41</f>
        <v>1571024</v>
      </c>
      <c r="N92" s="77">
        <f>'Tabel 1.1'!H41</f>
        <v>1903610</v>
      </c>
      <c r="O92" s="74"/>
    </row>
    <row r="93" spans="1:15" x14ac:dyDescent="0.3">
      <c r="A93" s="74"/>
      <c r="B93" s="74"/>
      <c r="C93" s="74"/>
      <c r="D93" s="74"/>
      <c r="E93" s="74"/>
      <c r="F93" s="74"/>
      <c r="G93" s="74"/>
      <c r="H93" s="74"/>
      <c r="I93" s="74"/>
      <c r="J93" s="74"/>
      <c r="K93" s="74"/>
      <c r="L93" s="74" t="s">
        <v>80</v>
      </c>
      <c r="M93" s="77">
        <f>'Tabel 1.1'!G42</f>
        <v>515694.20325000002</v>
      </c>
      <c r="N93" s="77">
        <f>'Tabel 1.1'!H42</f>
        <v>0</v>
      </c>
      <c r="O93" s="74"/>
    </row>
    <row r="94" spans="1:15" ht="18.75" customHeight="1" x14ac:dyDescent="0.3">
      <c r="A94" s="74"/>
      <c r="B94" s="74"/>
      <c r="C94" s="74"/>
      <c r="D94" s="74"/>
      <c r="E94" s="74"/>
      <c r="F94" s="74"/>
      <c r="G94" s="74"/>
      <c r="H94" s="74"/>
      <c r="I94" s="74"/>
      <c r="J94" s="74"/>
      <c r="K94" s="74"/>
      <c r="L94" s="74" t="s">
        <v>75</v>
      </c>
      <c r="M94" s="77">
        <f>'Tabel 1.1'!G43</f>
        <v>16928884.25474</v>
      </c>
      <c r="N94" s="77">
        <f>'Tabel 1.1'!H43</f>
        <v>21802567.120070003</v>
      </c>
      <c r="O94" s="74"/>
    </row>
    <row r="95" spans="1:15" ht="18.75" customHeight="1" x14ac:dyDescent="0.3">
      <c r="A95" s="74"/>
      <c r="B95" s="74"/>
      <c r="C95" s="74"/>
      <c r="D95" s="74"/>
      <c r="E95" s="74"/>
      <c r="F95" s="74"/>
      <c r="G95" s="74"/>
      <c r="H95" s="74"/>
      <c r="I95" s="74"/>
      <c r="J95" s="74"/>
      <c r="K95" s="74"/>
      <c r="L95" s="74" t="s">
        <v>81</v>
      </c>
      <c r="M95" s="77">
        <f>'Tabel 1.1'!G44</f>
        <v>58026529.603</v>
      </c>
      <c r="N95" s="77">
        <f>'Tabel 1.1'!H44</f>
        <v>71261439.237000003</v>
      </c>
      <c r="O95" s="74"/>
    </row>
    <row r="96" spans="1:15" ht="18.75" customHeight="1" x14ac:dyDescent="0.3">
      <c r="A96" s="74"/>
      <c r="B96" s="74"/>
      <c r="C96" s="74"/>
      <c r="D96" s="74"/>
      <c r="E96" s="74"/>
      <c r="F96" s="74"/>
      <c r="G96" s="74"/>
      <c r="H96" s="74"/>
      <c r="I96" s="74"/>
      <c r="J96" s="74"/>
      <c r="K96" s="74"/>
      <c r="M96" s="77"/>
      <c r="O96" s="74"/>
    </row>
    <row r="97" spans="1:17" ht="18.75" customHeight="1" x14ac:dyDescent="0.3">
      <c r="A97" s="74"/>
      <c r="B97" s="74"/>
      <c r="C97" s="74"/>
      <c r="D97" s="74"/>
      <c r="E97" s="74"/>
      <c r="F97" s="74"/>
      <c r="G97" s="74"/>
      <c r="H97" s="74"/>
      <c r="I97" s="74"/>
      <c r="J97" s="74"/>
      <c r="K97" s="74"/>
      <c r="O97" s="74"/>
    </row>
    <row r="98" spans="1:17" ht="18.75" customHeight="1" x14ac:dyDescent="0.3">
      <c r="A98" s="74"/>
      <c r="B98" s="74"/>
      <c r="C98" s="74"/>
      <c r="D98" s="74"/>
      <c r="E98" s="74"/>
      <c r="F98" s="74"/>
      <c r="G98" s="74"/>
      <c r="H98" s="74"/>
      <c r="I98" s="74"/>
      <c r="J98" s="74"/>
      <c r="K98" s="74"/>
      <c r="O98" s="74"/>
    </row>
    <row r="99" spans="1:17" ht="18.75" customHeight="1" x14ac:dyDescent="0.3">
      <c r="A99" s="74"/>
      <c r="B99" s="74"/>
      <c r="C99" s="74"/>
      <c r="D99" s="74"/>
      <c r="E99" s="74"/>
      <c r="F99" s="74"/>
      <c r="G99" s="74"/>
      <c r="H99" s="74"/>
      <c r="I99" s="74"/>
      <c r="J99" s="74"/>
      <c r="K99" s="74"/>
      <c r="O99" s="74"/>
      <c r="Q99" s="74"/>
    </row>
    <row r="100" spans="1:17" ht="18.75" customHeight="1" x14ac:dyDescent="0.3">
      <c r="A100" s="74"/>
      <c r="B100" s="74"/>
      <c r="C100" s="74"/>
      <c r="D100" s="74"/>
      <c r="E100" s="74"/>
      <c r="F100" s="74"/>
      <c r="G100" s="74"/>
      <c r="H100" s="74"/>
      <c r="I100" s="74"/>
      <c r="J100" s="74"/>
      <c r="K100" s="74"/>
      <c r="O100" s="74"/>
      <c r="Q100" s="74"/>
    </row>
    <row r="101" spans="1:17" ht="18.75" customHeight="1" x14ac:dyDescent="0.3">
      <c r="A101" s="74"/>
      <c r="B101" s="74"/>
      <c r="C101" s="74"/>
      <c r="D101" s="74"/>
      <c r="E101" s="74"/>
      <c r="F101" s="74"/>
      <c r="G101" s="74"/>
      <c r="H101" s="74"/>
      <c r="I101" s="74"/>
      <c r="J101" s="74"/>
      <c r="K101" s="74"/>
      <c r="O101" s="74"/>
      <c r="Q101" s="74"/>
    </row>
    <row r="102" spans="1:17" ht="18.75" customHeight="1" x14ac:dyDescent="0.3">
      <c r="A102" s="74"/>
      <c r="B102" s="74"/>
      <c r="C102" s="74"/>
      <c r="D102" s="74"/>
      <c r="E102" s="74"/>
      <c r="F102" s="74"/>
      <c r="G102" s="74"/>
      <c r="H102" s="74"/>
      <c r="I102" s="74"/>
      <c r="J102" s="74"/>
      <c r="K102" s="74"/>
      <c r="O102" s="74"/>
      <c r="Q102" s="74"/>
    </row>
    <row r="103" spans="1:17" ht="18.75" customHeight="1" x14ac:dyDescent="0.3">
      <c r="A103" s="74"/>
      <c r="B103" s="74"/>
      <c r="C103" s="74"/>
      <c r="D103" s="74"/>
      <c r="E103" s="74"/>
      <c r="F103" s="74"/>
      <c r="G103" s="74"/>
      <c r="H103" s="74"/>
      <c r="I103" s="74"/>
      <c r="J103" s="74"/>
      <c r="K103" s="74"/>
      <c r="O103" s="74"/>
      <c r="Q103" s="74"/>
    </row>
    <row r="104" spans="1:17" ht="18.75" customHeight="1" x14ac:dyDescent="0.3">
      <c r="A104" s="74"/>
      <c r="B104" s="74"/>
      <c r="C104" s="74"/>
      <c r="D104" s="74"/>
      <c r="E104" s="74"/>
      <c r="F104" s="74"/>
      <c r="G104" s="74"/>
      <c r="H104" s="74"/>
      <c r="I104" s="74"/>
      <c r="J104" s="74"/>
      <c r="K104" s="74"/>
      <c r="O104" s="74"/>
      <c r="Q104" s="74"/>
    </row>
    <row r="105" spans="1:17" ht="18.75" customHeight="1" x14ac:dyDescent="0.3">
      <c r="A105" s="74"/>
      <c r="B105" s="74"/>
      <c r="C105" s="74"/>
      <c r="D105" s="74"/>
      <c r="E105" s="74"/>
      <c r="F105" s="74"/>
      <c r="G105" s="74"/>
      <c r="H105" s="74"/>
      <c r="I105" s="74"/>
      <c r="J105" s="74"/>
      <c r="K105" s="74"/>
      <c r="O105" s="74"/>
      <c r="Q105" s="74"/>
    </row>
    <row r="106" spans="1:17" ht="18.75" customHeight="1" x14ac:dyDescent="0.3">
      <c r="A106" s="74"/>
      <c r="B106" s="74"/>
      <c r="C106" s="74"/>
      <c r="D106" s="74"/>
      <c r="E106" s="74"/>
      <c r="F106" s="74"/>
      <c r="G106" s="74"/>
      <c r="H106" s="74"/>
      <c r="I106" s="74"/>
      <c r="J106" s="74"/>
      <c r="K106" s="74"/>
      <c r="O106" s="74"/>
      <c r="Q106" s="74"/>
    </row>
    <row r="107" spans="1:17" ht="18.75" customHeight="1" x14ac:dyDescent="0.3">
      <c r="A107" s="74"/>
      <c r="B107" s="74"/>
      <c r="C107" s="74"/>
      <c r="D107" s="74"/>
      <c r="E107" s="74"/>
      <c r="F107" s="74"/>
      <c r="G107" s="74"/>
      <c r="H107" s="74"/>
      <c r="I107" s="74"/>
      <c r="J107" s="74"/>
      <c r="K107" s="74"/>
      <c r="O107" s="74"/>
      <c r="Q107" s="74"/>
    </row>
    <row r="108" spans="1:17" ht="18.75" customHeight="1" x14ac:dyDescent="0.3">
      <c r="A108" s="75" t="s">
        <v>419</v>
      </c>
      <c r="B108" s="74"/>
      <c r="C108" s="74"/>
      <c r="D108" s="74"/>
      <c r="E108" s="74"/>
      <c r="F108" s="74"/>
      <c r="G108" s="74"/>
      <c r="H108" s="79"/>
      <c r="I108" s="74"/>
      <c r="J108" s="74"/>
      <c r="K108" s="74"/>
      <c r="O108" s="74"/>
      <c r="Q108" s="74"/>
    </row>
    <row r="109" spans="1:17" ht="18.75" customHeight="1" x14ac:dyDescent="0.3">
      <c r="A109" s="74"/>
      <c r="B109" s="74"/>
      <c r="C109" s="74"/>
      <c r="D109" s="74"/>
      <c r="E109" s="74"/>
      <c r="F109" s="74"/>
      <c r="G109" s="74"/>
      <c r="H109" s="74"/>
      <c r="I109" s="74"/>
      <c r="J109" s="74"/>
      <c r="K109" s="74"/>
      <c r="L109" s="75" t="s">
        <v>83</v>
      </c>
      <c r="M109" s="75"/>
      <c r="N109" s="75"/>
      <c r="O109" s="74"/>
      <c r="Q109" s="74"/>
    </row>
    <row r="110" spans="1:17" ht="18.75" customHeight="1" x14ac:dyDescent="0.3">
      <c r="A110" s="74"/>
      <c r="B110" s="74"/>
      <c r="C110" s="74"/>
      <c r="D110" s="74"/>
      <c r="E110" s="74"/>
      <c r="F110" s="74"/>
      <c r="G110" s="74"/>
      <c r="H110" s="74"/>
      <c r="I110" s="74"/>
      <c r="J110" s="74"/>
      <c r="K110" s="74"/>
      <c r="L110" s="75" t="s">
        <v>0</v>
      </c>
      <c r="M110" s="75"/>
      <c r="N110" s="75"/>
      <c r="O110" s="74"/>
      <c r="Q110" s="74"/>
    </row>
    <row r="111" spans="1:17" ht="18.75" customHeight="1" x14ac:dyDescent="0.3">
      <c r="A111" s="74"/>
      <c r="B111" s="74"/>
      <c r="C111" s="74"/>
      <c r="D111" s="74"/>
      <c r="E111" s="74"/>
      <c r="F111" s="74"/>
      <c r="G111" s="74"/>
      <c r="H111" s="74"/>
      <c r="I111" s="74"/>
      <c r="J111" s="74"/>
      <c r="K111" s="74"/>
      <c r="L111" s="75"/>
      <c r="M111" s="75">
        <v>2016</v>
      </c>
      <c r="N111" s="75">
        <v>2017</v>
      </c>
      <c r="O111" s="74"/>
      <c r="Q111" s="74"/>
    </row>
    <row r="112" spans="1:17" ht="18.75" customHeight="1" x14ac:dyDescent="0.3">
      <c r="A112" s="74"/>
      <c r="B112" s="74"/>
      <c r="C112" s="74"/>
      <c r="D112" s="74"/>
      <c r="E112" s="74"/>
      <c r="F112" s="74"/>
      <c r="G112" s="74"/>
      <c r="H112" s="74"/>
      <c r="I112" s="74"/>
      <c r="J112" s="74"/>
      <c r="K112" s="74"/>
      <c r="L112" s="74" t="s">
        <v>59</v>
      </c>
      <c r="M112" s="77">
        <f>'Danica Pensjonsforsikring'!B11-'Danica Pensjonsforsikring'!B12+'Danica Pensjonsforsikring'!B32-'Danica Pensjonsforsikring'!B33+'Danica Pensjonsforsikring'!B36-'Danica Pensjonsforsikring'!B37+'Danica Pensjonsforsikring'!B109-'Danica Pensjonsforsikring'!B117+'Danica Pensjonsforsikring'!B134-'Danica Pensjonsforsikring'!B135</f>
        <v>-12439.066000000001</v>
      </c>
      <c r="N112" s="77">
        <f>'Danica Pensjonsforsikring'!C11-'Danica Pensjonsforsikring'!C12+'Danica Pensjonsforsikring'!C32-'Danica Pensjonsforsikring'!C33+'Danica Pensjonsforsikring'!C36-'Danica Pensjonsforsikring'!C37+'Danica Pensjonsforsikring'!C109-'Danica Pensjonsforsikring'!C117+'Danica Pensjonsforsikring'!C134-'Danica Pensjonsforsikring'!C135</f>
        <v>6533.34</v>
      </c>
      <c r="O112" s="74"/>
      <c r="Q112" s="74"/>
    </row>
    <row r="113" spans="1:17" ht="18.75" customHeight="1" x14ac:dyDescent="0.3">
      <c r="A113" s="74"/>
      <c r="B113" s="74"/>
      <c r="C113" s="74"/>
      <c r="D113" s="74"/>
      <c r="E113" s="74"/>
      <c r="F113" s="74"/>
      <c r="G113" s="74"/>
      <c r="H113" s="74"/>
      <c r="I113" s="74"/>
      <c r="J113" s="74"/>
      <c r="K113" s="74"/>
      <c r="L113" s="74" t="s">
        <v>60</v>
      </c>
      <c r="M113" s="77">
        <f>'DNB Livsforsikring'!B11-'DNB Livsforsikring'!B12+'DNB Livsforsikring'!B32-'DNB Livsforsikring'!B33+'DNB Livsforsikring'!B36-'DNB Livsforsikring'!B37+'DNB Livsforsikring'!B109-'DNB Livsforsikring'!B117+'DNB Livsforsikring'!B134-'DNB Livsforsikring'!B135</f>
        <v>262638</v>
      </c>
      <c r="N113" s="77">
        <f>'DNB Livsforsikring'!C11-'DNB Livsforsikring'!C12+'DNB Livsforsikring'!C32-'DNB Livsforsikring'!C33+'DNB Livsforsikring'!C36-'DNB Livsforsikring'!C37+'DNB Livsforsikring'!C109-'DNB Livsforsikring'!C117+'DNB Livsforsikring'!C134-'DNB Livsforsikring'!C135</f>
        <v>265666</v>
      </c>
      <c r="O113" s="74"/>
      <c r="Q113" s="74"/>
    </row>
    <row r="114" spans="1:17" ht="18.75" customHeight="1" x14ac:dyDescent="0.3">
      <c r="A114" s="74"/>
      <c r="B114" s="74"/>
      <c r="C114" s="74"/>
      <c r="D114" s="74"/>
      <c r="E114" s="74"/>
      <c r="F114" s="74"/>
      <c r="G114" s="74"/>
      <c r="H114" s="74"/>
      <c r="I114" s="74"/>
      <c r="J114" s="74"/>
      <c r="K114" s="74"/>
      <c r="L114" s="79" t="s">
        <v>65</v>
      </c>
      <c r="M114" s="77">
        <f>'Gjensidige Pensjon'!B11-'Gjensidige Pensjon'!B12+'Gjensidige Pensjon'!B32-'Gjensidige Pensjon'!B33+'Gjensidige Pensjon'!B36-'Gjensidige Pensjon'!B37+'Gjensidige Pensjon'!B109-'Gjensidige Pensjon'!B117+'Gjensidige Pensjon'!B134-'Gjensidige Pensjon'!B135</f>
        <v>18936.523000000001</v>
      </c>
      <c r="N114" s="77">
        <f>'Gjensidige Pensjon'!C11-'Gjensidige Pensjon'!C12+'Gjensidige Pensjon'!C32-'Gjensidige Pensjon'!C33+'Gjensidige Pensjon'!C36-'Gjensidige Pensjon'!C37+'Gjensidige Pensjon'!C109-'Gjensidige Pensjon'!C117+'Gjensidige Pensjon'!C134-'Gjensidige Pensjon'!C135</f>
        <v>28932</v>
      </c>
      <c r="O114" s="74"/>
      <c r="Q114" s="74"/>
    </row>
    <row r="115" spans="1:17" ht="18.75" customHeight="1" x14ac:dyDescent="0.3">
      <c r="A115" s="74"/>
      <c r="B115" s="74"/>
      <c r="C115" s="74"/>
      <c r="D115" s="74"/>
      <c r="E115" s="74"/>
      <c r="F115" s="74"/>
      <c r="G115" s="74"/>
      <c r="H115" s="74"/>
      <c r="I115" s="74"/>
      <c r="J115" s="74"/>
      <c r="K115" s="74"/>
      <c r="L115" s="79" t="s">
        <v>68</v>
      </c>
      <c r="M115" s="77">
        <f>KLP!B11-KLP!B12+KLP!B32-KLP!B33+KLP!B36-KLP!B37+KLP!B109-KLP!B117+KLP!B134-KLP!B135</f>
        <v>1614478.551</v>
      </c>
      <c r="N115" s="77">
        <f>KLP!C11-KLP!C12+KLP!C32-KLP!C33+KLP!C36-KLP!C37+KLP!C109-KLP!C117+KLP!C134-KLP!C135</f>
        <v>-27046.426999999996</v>
      </c>
      <c r="O115" s="74"/>
      <c r="Q115" s="74"/>
    </row>
    <row r="116" spans="1:17" ht="18.75" customHeight="1" x14ac:dyDescent="0.3">
      <c r="A116" s="74"/>
      <c r="B116" s="74"/>
      <c r="C116" s="74"/>
      <c r="D116" s="74"/>
      <c r="E116" s="74"/>
      <c r="F116" s="74"/>
      <c r="G116" s="74"/>
      <c r="H116" s="74"/>
      <c r="I116" s="74"/>
      <c r="J116" s="74"/>
      <c r="K116" s="74"/>
      <c r="L116" s="79" t="s">
        <v>69</v>
      </c>
      <c r="M116" s="77">
        <f>'KLP Bedriftspensjon AS'!B11-'KLP Bedriftspensjon AS'!B12+'KLP Bedriftspensjon AS'!B32-'KLP Bedriftspensjon AS'!B33+'KLP Bedriftspensjon AS'!B36-'KLP Bedriftspensjon AS'!B37+'KLP Bedriftspensjon AS'!B109-'KLP Bedriftspensjon AS'!B117+'KLP Bedriftspensjon AS'!B134-'KLP Bedriftspensjon AS'!B135</f>
        <v>-820</v>
      </c>
      <c r="N116" s="77">
        <f>'KLP Bedriftspensjon AS'!C11-'KLP Bedriftspensjon AS'!C12+'KLP Bedriftspensjon AS'!C32-'KLP Bedriftspensjon AS'!C33+'KLP Bedriftspensjon AS'!C36-'KLP Bedriftspensjon AS'!C37+'KLP Bedriftspensjon AS'!C109-'KLP Bedriftspensjon AS'!C117+'KLP Bedriftspensjon AS'!C134-'KLP Bedriftspensjon AS'!C135</f>
        <v>-12133</v>
      </c>
      <c r="O116" s="74"/>
      <c r="Q116" s="74"/>
    </row>
    <row r="117" spans="1:17" ht="18.75" customHeight="1" x14ac:dyDescent="0.3">
      <c r="A117" s="74"/>
      <c r="B117" s="74"/>
      <c r="C117" s="74"/>
      <c r="D117" s="74"/>
      <c r="E117" s="74"/>
      <c r="F117" s="74"/>
      <c r="G117" s="74"/>
      <c r="H117" s="74"/>
      <c r="I117" s="74"/>
      <c r="J117" s="74"/>
      <c r="K117" s="74"/>
      <c r="L117" s="74" t="s">
        <v>73</v>
      </c>
      <c r="M117" s="77">
        <f>'Nordea Liv '!B11-'Nordea Liv '!B12+'Nordea Liv '!B32-'Nordea Liv '!B33+'Nordea Liv '!B36-'Nordea Liv '!B37+'Nordea Liv '!B109-'Nordea Liv '!B117+'Nordea Liv '!B134-'Nordea Liv '!B135</f>
        <v>-123516.09354999999</v>
      </c>
      <c r="N117" s="77">
        <f>'Nordea Liv '!C11-'Nordea Liv '!C12+'Nordea Liv '!C32-'Nordea Liv '!C33+'Nordea Liv '!C36-'Nordea Liv '!C37+'Nordea Liv '!C109-'Nordea Liv '!C117+'Nordea Liv '!C134-'Nordea Liv '!C135</f>
        <v>-56828.131709999798</v>
      </c>
      <c r="O117" s="74"/>
      <c r="Q117" s="74"/>
    </row>
    <row r="118" spans="1:17" ht="18.75" customHeight="1" x14ac:dyDescent="0.3">
      <c r="A118" s="74"/>
      <c r="B118" s="74"/>
      <c r="C118" s="74"/>
      <c r="D118" s="74"/>
      <c r="E118" s="74"/>
      <c r="F118" s="74"/>
      <c r="G118" s="74"/>
      <c r="H118" s="74"/>
      <c r="I118" s="74"/>
      <c r="J118" s="74"/>
      <c r="K118" s="74"/>
      <c r="L118" s="74" t="s">
        <v>80</v>
      </c>
      <c r="M118" s="77">
        <f>'Silver Pensjonsforsikring AS'!B11-'Silver Pensjonsforsikring AS'!B12+'Silver Pensjonsforsikring AS'!B32-'Silver Pensjonsforsikring AS'!B33+'Silver Pensjonsforsikring AS'!B36-'Silver Pensjonsforsikring AS'!B37+'Silver Pensjonsforsikring AS'!B109-'Silver Pensjonsforsikring AS'!B117+'Silver Pensjonsforsikring AS'!B134-'Silver Pensjonsforsikring AS'!B135</f>
        <v>-6471.7848400000003</v>
      </c>
      <c r="N118" s="77">
        <f>'Silver Pensjonsforsikring AS'!C11-'Silver Pensjonsforsikring AS'!C12+'Silver Pensjonsforsikring AS'!C32-'Silver Pensjonsforsikring AS'!C33+'Silver Pensjonsforsikring AS'!C36-'Silver Pensjonsforsikring AS'!C37+'Silver Pensjonsforsikring AS'!C109-'Silver Pensjonsforsikring AS'!C117+'Silver Pensjonsforsikring AS'!C134-'Silver Pensjonsforsikring AS'!C135</f>
        <v>0</v>
      </c>
      <c r="O118" s="74"/>
      <c r="Q118" s="74"/>
    </row>
    <row r="119" spans="1:17" ht="18.75" customHeight="1" x14ac:dyDescent="0.3">
      <c r="A119" s="74"/>
      <c r="B119" s="74"/>
      <c r="C119" s="74"/>
      <c r="D119" s="74"/>
      <c r="E119" s="74"/>
      <c r="F119" s="74"/>
      <c r="G119" s="74"/>
      <c r="H119" s="74"/>
      <c r="I119" s="74"/>
      <c r="J119" s="74"/>
      <c r="K119" s="74"/>
      <c r="L119" s="74" t="s">
        <v>75</v>
      </c>
      <c r="M119" s="77">
        <f>'Sparebank 1'!B11-'Sparebank 1'!B12+'Sparebank 1'!B32-'Sparebank 1'!B33+'Sparebank 1'!B36-'Sparebank 1'!B37+'Sparebank 1'!B109-'Sparebank 1'!B117+'Sparebank 1'!B134-'Sparebank 1'!B135</f>
        <v>64200.531299999988</v>
      </c>
      <c r="N119" s="77">
        <f>'Sparebank 1'!C11-'Sparebank 1'!C12+'Sparebank 1'!C32-'Sparebank 1'!C33+'Sparebank 1'!C36-'Sparebank 1'!C37+'Sparebank 1'!C109-'Sparebank 1'!C117+'Sparebank 1'!C134-'Sparebank 1'!C135</f>
        <v>1724.0824799999973</v>
      </c>
      <c r="O119" s="74"/>
      <c r="Q119" s="74"/>
    </row>
    <row r="120" spans="1:17" ht="18.75" customHeight="1" x14ac:dyDescent="0.3">
      <c r="A120" s="74"/>
      <c r="B120" s="74"/>
      <c r="C120" s="74"/>
      <c r="D120" s="74"/>
      <c r="E120" s="74"/>
      <c r="F120" s="74"/>
      <c r="G120" s="74"/>
      <c r="H120" s="74"/>
      <c r="I120" s="74"/>
      <c r="J120" s="74"/>
      <c r="K120" s="74"/>
      <c r="L120" s="74" t="s">
        <v>76</v>
      </c>
      <c r="M120" s="77">
        <f>'Storebrand Livsforsikring'!B11-'Storebrand Livsforsikring'!B12+'Storebrand Livsforsikring'!B32-'Storebrand Livsforsikring'!B33+'Storebrand Livsforsikring'!B36-'Storebrand Livsforsikring'!B37+'Storebrand Livsforsikring'!B109-'Storebrand Livsforsikring'!B117+'Storebrand Livsforsikring'!B134-'Storebrand Livsforsikring'!B135</f>
        <v>-1925751.284</v>
      </c>
      <c r="N120" s="77">
        <f>'Storebrand Livsforsikring'!C11-'Storebrand Livsforsikring'!C12+'Storebrand Livsforsikring'!C32-'Storebrand Livsforsikring'!C33+'Storebrand Livsforsikring'!C36-'Storebrand Livsforsikring'!C37+'Storebrand Livsforsikring'!C109-'Storebrand Livsforsikring'!C117+'Storebrand Livsforsikring'!C134-'Storebrand Livsforsikring'!C135</f>
        <v>-257188.065</v>
      </c>
      <c r="O120" s="74"/>
    </row>
    <row r="121" spans="1:17" ht="18.75" customHeight="1" x14ac:dyDescent="0.3">
      <c r="A121" s="74"/>
      <c r="B121" s="74"/>
      <c r="C121" s="74"/>
      <c r="D121" s="74"/>
      <c r="E121" s="74"/>
      <c r="F121" s="74"/>
      <c r="G121" s="74"/>
      <c r="H121" s="74"/>
      <c r="I121" s="74"/>
      <c r="J121" s="74"/>
      <c r="K121" s="74"/>
      <c r="M121" s="77"/>
      <c r="N121" s="77"/>
      <c r="O121" s="74"/>
    </row>
    <row r="122" spans="1:17" ht="18.75" customHeight="1" x14ac:dyDescent="0.3">
      <c r="A122" s="74"/>
      <c r="B122" s="74"/>
      <c r="C122" s="74"/>
      <c r="D122" s="74"/>
      <c r="E122" s="74"/>
      <c r="F122" s="74"/>
      <c r="G122" s="74"/>
      <c r="H122" s="74"/>
      <c r="I122" s="74"/>
      <c r="J122" s="74"/>
      <c r="K122" s="74"/>
      <c r="M122" s="77"/>
      <c r="N122" s="77"/>
      <c r="O122" s="74"/>
    </row>
    <row r="123" spans="1:17" ht="18.75" customHeight="1" x14ac:dyDescent="0.3">
      <c r="A123" s="74"/>
      <c r="B123" s="74"/>
      <c r="C123" s="74"/>
      <c r="D123" s="74"/>
      <c r="E123" s="74"/>
      <c r="F123" s="74"/>
      <c r="G123" s="74"/>
      <c r="H123" s="74"/>
      <c r="I123" s="74"/>
      <c r="J123" s="74"/>
      <c r="K123" s="74"/>
      <c r="M123" s="77"/>
      <c r="N123" s="77"/>
      <c r="O123" s="74"/>
    </row>
    <row r="124" spans="1:17" ht="18.75" customHeight="1" x14ac:dyDescent="0.3">
      <c r="A124" s="74"/>
      <c r="B124" s="74"/>
      <c r="C124" s="74"/>
      <c r="D124" s="74"/>
      <c r="E124" s="74"/>
      <c r="F124" s="74"/>
      <c r="G124" s="74"/>
      <c r="H124" s="74"/>
      <c r="I124" s="74"/>
      <c r="J124" s="74"/>
      <c r="K124" s="74"/>
      <c r="M124" s="77"/>
      <c r="N124" s="77"/>
      <c r="O124" s="74"/>
    </row>
    <row r="125" spans="1:17" ht="18.75" customHeight="1" x14ac:dyDescent="0.3">
      <c r="A125" s="74"/>
      <c r="B125" s="74"/>
      <c r="C125" s="74"/>
      <c r="D125" s="74"/>
      <c r="E125" s="74"/>
      <c r="F125" s="74"/>
      <c r="G125" s="74"/>
      <c r="H125" s="74"/>
      <c r="I125" s="74"/>
      <c r="J125" s="74"/>
      <c r="K125" s="74"/>
      <c r="M125" s="77"/>
      <c r="N125" s="77"/>
      <c r="O125" s="74"/>
    </row>
    <row r="126" spans="1:17" x14ac:dyDescent="0.3">
      <c r="A126" s="74"/>
      <c r="B126" s="74"/>
      <c r="C126" s="74"/>
      <c r="D126" s="74"/>
      <c r="E126" s="74"/>
      <c r="F126" s="74"/>
      <c r="G126" s="74"/>
      <c r="H126" s="74"/>
      <c r="I126" s="74"/>
      <c r="J126" s="74"/>
      <c r="K126" s="74"/>
      <c r="M126" s="77"/>
      <c r="N126" s="77"/>
      <c r="O126" s="74"/>
    </row>
    <row r="127" spans="1:17" x14ac:dyDescent="0.3">
      <c r="A127" s="74"/>
      <c r="B127" s="74"/>
      <c r="C127" s="74"/>
      <c r="D127" s="74"/>
      <c r="E127" s="74"/>
      <c r="F127" s="74"/>
      <c r="G127" s="74"/>
      <c r="H127" s="74"/>
      <c r="I127" s="74"/>
      <c r="J127" s="74"/>
      <c r="K127" s="74"/>
      <c r="M127" s="77"/>
      <c r="N127" s="77"/>
      <c r="O127" s="74"/>
    </row>
    <row r="128" spans="1:17" x14ac:dyDescent="0.3">
      <c r="A128" s="74"/>
      <c r="B128" s="74"/>
      <c r="C128" s="74"/>
      <c r="D128" s="74"/>
      <c r="E128" s="74"/>
      <c r="F128" s="74"/>
      <c r="G128" s="74"/>
      <c r="H128" s="74"/>
      <c r="I128" s="74"/>
      <c r="J128" s="74"/>
      <c r="K128" s="74"/>
      <c r="M128" s="77"/>
      <c r="N128" s="77"/>
      <c r="O128" s="74"/>
    </row>
    <row r="129" spans="1:15" x14ac:dyDescent="0.3">
      <c r="A129" s="74"/>
      <c r="B129" s="74"/>
      <c r="C129" s="74"/>
      <c r="D129" s="74"/>
      <c r="E129" s="74"/>
      <c r="F129" s="74"/>
      <c r="G129" s="74"/>
      <c r="H129" s="74"/>
      <c r="I129" s="74"/>
      <c r="J129" s="74"/>
      <c r="K129" s="74"/>
      <c r="O129" s="74"/>
    </row>
    <row r="130" spans="1:15" x14ac:dyDescent="0.3">
      <c r="A130" s="74"/>
      <c r="B130" s="74"/>
      <c r="C130" s="74"/>
      <c r="D130" s="74"/>
      <c r="E130" s="74"/>
      <c r="F130" s="74"/>
      <c r="G130" s="74"/>
      <c r="H130" s="74"/>
      <c r="I130" s="74"/>
      <c r="J130" s="74"/>
      <c r="K130" s="74"/>
      <c r="O130" s="74"/>
    </row>
    <row r="131" spans="1:15" x14ac:dyDescent="0.3">
      <c r="A131" s="74"/>
      <c r="B131" s="74"/>
      <c r="C131" s="74"/>
      <c r="D131" s="74"/>
      <c r="E131" s="74"/>
      <c r="F131" s="74"/>
      <c r="G131" s="74"/>
      <c r="H131" s="74"/>
      <c r="I131" s="74"/>
      <c r="J131" s="74"/>
      <c r="K131" s="74"/>
      <c r="O131" s="74"/>
    </row>
    <row r="132" spans="1:15" x14ac:dyDescent="0.3">
      <c r="A132" s="74"/>
      <c r="B132" s="74"/>
      <c r="C132" s="74"/>
      <c r="D132" s="74"/>
      <c r="E132" s="74"/>
      <c r="F132" s="74"/>
      <c r="G132" s="74"/>
      <c r="H132" s="74"/>
      <c r="I132" s="74"/>
      <c r="J132" s="74"/>
      <c r="K132" s="74"/>
      <c r="O132" s="74"/>
    </row>
    <row r="133" spans="1:15" x14ac:dyDescent="0.3">
      <c r="A133" s="75" t="s">
        <v>420</v>
      </c>
      <c r="B133" s="74"/>
      <c r="C133" s="74"/>
      <c r="D133" s="74"/>
      <c r="E133" s="74"/>
      <c r="F133" s="74"/>
      <c r="G133" s="74"/>
      <c r="H133" s="79"/>
      <c r="I133" s="74"/>
      <c r="J133" s="74"/>
      <c r="K133" s="74"/>
      <c r="O133" s="74"/>
    </row>
    <row r="134" spans="1:15" x14ac:dyDescent="0.3">
      <c r="B134" s="74"/>
      <c r="C134" s="74"/>
      <c r="D134" s="74"/>
      <c r="E134" s="74"/>
      <c r="F134" s="74"/>
      <c r="G134" s="74"/>
      <c r="H134" s="74"/>
      <c r="I134" s="74"/>
      <c r="J134" s="74"/>
      <c r="K134" s="74"/>
      <c r="O134" s="74"/>
    </row>
    <row r="135" spans="1:15" x14ac:dyDescent="0.3">
      <c r="A135" s="74"/>
      <c r="B135" s="74"/>
      <c r="C135" s="74"/>
      <c r="D135" s="74"/>
      <c r="E135" s="74"/>
      <c r="F135" s="74"/>
      <c r="G135" s="74"/>
      <c r="H135" s="74"/>
      <c r="I135" s="74"/>
      <c r="J135" s="74"/>
      <c r="K135" s="74"/>
      <c r="L135" s="75" t="s">
        <v>84</v>
      </c>
      <c r="M135" s="75"/>
      <c r="N135" s="75"/>
      <c r="O135" s="74"/>
    </row>
    <row r="136" spans="1:15" x14ac:dyDescent="0.3">
      <c r="A136" s="74"/>
      <c r="B136" s="74"/>
      <c r="C136" s="74"/>
      <c r="D136" s="74"/>
      <c r="E136" s="74"/>
      <c r="F136" s="74"/>
      <c r="G136" s="74"/>
      <c r="H136" s="74"/>
      <c r="I136" s="74"/>
      <c r="J136" s="74"/>
      <c r="K136" s="74"/>
      <c r="L136" s="75" t="s">
        <v>1</v>
      </c>
      <c r="M136" s="75"/>
      <c r="N136" s="75"/>
      <c r="O136" s="74"/>
    </row>
    <row r="137" spans="1:15" x14ac:dyDescent="0.3">
      <c r="A137" s="74"/>
      <c r="B137" s="74"/>
      <c r="C137" s="74"/>
      <c r="D137" s="74"/>
      <c r="E137" s="74"/>
      <c r="F137" s="74"/>
      <c r="G137" s="74"/>
      <c r="H137" s="74"/>
      <c r="I137" s="74"/>
      <c r="J137" s="74"/>
      <c r="K137" s="74"/>
      <c r="L137" s="75"/>
      <c r="M137" s="75">
        <v>2016</v>
      </c>
      <c r="N137" s="75">
        <v>2017</v>
      </c>
      <c r="O137" s="74"/>
    </row>
    <row r="138" spans="1:15" x14ac:dyDescent="0.3">
      <c r="A138" s="74"/>
      <c r="B138" s="74"/>
      <c r="C138" s="74"/>
      <c r="D138" s="74"/>
      <c r="E138" s="74"/>
      <c r="F138" s="74"/>
      <c r="G138" s="74"/>
      <c r="H138" s="74"/>
      <c r="I138" s="74"/>
      <c r="J138" s="74"/>
      <c r="K138" s="74"/>
      <c r="L138" s="74" t="s">
        <v>59</v>
      </c>
      <c r="M138" s="77">
        <f>'Danica Pensjonsforsikring'!F11-'Danica Pensjonsforsikring'!F12+'Danica Pensjonsforsikring'!F32-'Danica Pensjonsforsikring'!F33+'Danica Pensjonsforsikring'!F36-'Danica Pensjonsforsikring'!F37+'Danica Pensjonsforsikring'!F109-'Danica Pensjonsforsikring'!F117+'Danica Pensjonsforsikring'!F134-'Danica Pensjonsforsikring'!F135</f>
        <v>37077.396000000008</v>
      </c>
      <c r="N138" s="77">
        <f>'Danica Pensjonsforsikring'!G11-'Danica Pensjonsforsikring'!G12+'Danica Pensjonsforsikring'!G32-'Danica Pensjonsforsikring'!G33+'Danica Pensjonsforsikring'!G36-'Danica Pensjonsforsikring'!G37+'Danica Pensjonsforsikring'!G109-'Danica Pensjonsforsikring'!G117+'Danica Pensjonsforsikring'!G134-'Danica Pensjonsforsikring'!G135</f>
        <v>161022.16700000002</v>
      </c>
      <c r="O138" s="74"/>
    </row>
    <row r="139" spans="1:15" x14ac:dyDescent="0.3">
      <c r="A139" s="74"/>
      <c r="B139" s="74"/>
      <c r="C139" s="74"/>
      <c r="D139" s="74"/>
      <c r="E139" s="74"/>
      <c r="F139" s="74"/>
      <c r="G139" s="74"/>
      <c r="H139" s="74"/>
      <c r="I139" s="74"/>
      <c r="J139" s="74"/>
      <c r="K139" s="74"/>
      <c r="L139" s="74" t="s">
        <v>60</v>
      </c>
      <c r="M139" s="77">
        <f>'DNB Livsforsikring'!F11-'DNB Livsforsikring'!F12+'DNB Livsforsikring'!F32-'DNB Livsforsikring'!F33+'DNB Livsforsikring'!F36-'DNB Livsforsikring'!F37+'DNB Livsforsikring'!F109-'DNB Livsforsikring'!F117+'DNB Livsforsikring'!F134-'DNB Livsforsikring'!F135</f>
        <v>208921</v>
      </c>
      <c r="N139" s="77">
        <f>'DNB Livsforsikring'!G11-'DNB Livsforsikring'!G12+'DNB Livsforsikring'!G32-'DNB Livsforsikring'!G33+'DNB Livsforsikring'!G36-'DNB Livsforsikring'!G37+'DNB Livsforsikring'!G109-'DNB Livsforsikring'!G117+'DNB Livsforsikring'!G134-'DNB Livsforsikring'!G135</f>
        <v>1424944</v>
      </c>
      <c r="O139" s="74"/>
    </row>
    <row r="140" spans="1:15" x14ac:dyDescent="0.3">
      <c r="A140" s="74"/>
      <c r="B140" s="74"/>
      <c r="C140" s="74"/>
      <c r="D140" s="74"/>
      <c r="E140" s="74"/>
      <c r="F140" s="74"/>
      <c r="G140" s="74"/>
      <c r="H140" s="74"/>
      <c r="I140" s="74"/>
      <c r="J140" s="74"/>
      <c r="K140" s="74"/>
      <c r="L140" s="74" t="s">
        <v>62</v>
      </c>
      <c r="M140" s="77">
        <f>'Frende Livsforsikring'!F11-'Frende Livsforsikring'!F12+'Frende Livsforsikring'!F32-'Frende Livsforsikring'!F33+'Frende Livsforsikring'!F36-'Frende Livsforsikring'!F37+'Frende Livsforsikring'!F109-'Frende Livsforsikring'!F117+'Frende Livsforsikring'!F134-'Frende Livsforsikring'!F135</f>
        <v>-5750.4639999999999</v>
      </c>
      <c r="N140" s="77">
        <f>'Frende Livsforsikring'!G11-'Frende Livsforsikring'!G12+'Frende Livsforsikring'!G32-'Frende Livsforsikring'!G33+'Frende Livsforsikring'!G36-'Frende Livsforsikring'!G37+'Frende Livsforsikring'!G109-'Frende Livsforsikring'!G117+'Frende Livsforsikring'!G134-'Frende Livsforsikring'!G135</f>
        <v>-35332.91399999999</v>
      </c>
      <c r="O140" s="74"/>
    </row>
    <row r="141" spans="1:15" x14ac:dyDescent="0.3">
      <c r="A141" s="74"/>
      <c r="B141" s="74"/>
      <c r="C141" s="74"/>
      <c r="D141" s="74"/>
      <c r="E141" s="74"/>
      <c r="F141" s="74"/>
      <c r="G141" s="74"/>
      <c r="H141" s="74"/>
      <c r="I141" s="74"/>
      <c r="J141" s="74"/>
      <c r="K141" s="74"/>
      <c r="L141" s="79" t="s">
        <v>65</v>
      </c>
      <c r="M141" s="77">
        <f>'Gjensidige Pensjon'!F11-'Gjensidige Pensjon'!F12+'Gjensidige Pensjon'!F32-'Gjensidige Pensjon'!F33+'Gjensidige Pensjon'!F36-'Gjensidige Pensjon'!F37+'Gjensidige Pensjon'!F109-'Gjensidige Pensjon'!F117+'Gjensidige Pensjon'!F134-'Gjensidige Pensjon'!F135</f>
        <v>183221.28399999999</v>
      </c>
      <c r="N141" s="77">
        <f>'Gjensidige Pensjon'!G11-'Gjensidige Pensjon'!G12+'Gjensidige Pensjon'!G32-'Gjensidige Pensjon'!G33+'Gjensidige Pensjon'!G36-'Gjensidige Pensjon'!G37+'Gjensidige Pensjon'!G109-'Gjensidige Pensjon'!G117+'Gjensidige Pensjon'!G134-'Gjensidige Pensjon'!G135</f>
        <v>835231</v>
      </c>
      <c r="O141" s="74"/>
    </row>
    <row r="142" spans="1:15" x14ac:dyDescent="0.3">
      <c r="A142" s="74"/>
      <c r="B142" s="74"/>
      <c r="C142" s="74"/>
      <c r="D142" s="74"/>
      <c r="E142" s="74"/>
      <c r="F142" s="74"/>
      <c r="G142" s="74"/>
      <c r="H142" s="74"/>
      <c r="I142" s="74"/>
      <c r="J142" s="74"/>
      <c r="K142" s="74"/>
      <c r="L142" s="74" t="s">
        <v>69</v>
      </c>
      <c r="M142" s="77">
        <f>'KLP Bedriftspensjon AS'!F11-'KLP Bedriftspensjon AS'!F12+'KLP Bedriftspensjon AS'!F32-'KLP Bedriftspensjon AS'!F33+'KLP Bedriftspensjon AS'!F36-'KLP Bedriftspensjon AS'!F37+'KLP Bedriftspensjon AS'!F109-'KLP Bedriftspensjon AS'!F117+'KLP Bedriftspensjon AS'!F134-'KLP Bedriftspensjon AS'!F135</f>
        <v>32282</v>
      </c>
      <c r="N142" s="77">
        <f>'KLP Bedriftspensjon AS'!G11-'KLP Bedriftspensjon AS'!G12+'KLP Bedriftspensjon AS'!G32-'KLP Bedriftspensjon AS'!G33+'KLP Bedriftspensjon AS'!G36-'KLP Bedriftspensjon AS'!G37+'KLP Bedriftspensjon AS'!G109-'KLP Bedriftspensjon AS'!G117+'KLP Bedriftspensjon AS'!G134-'KLP Bedriftspensjon AS'!G135</f>
        <v>264421</v>
      </c>
      <c r="O142" s="74"/>
    </row>
    <row r="143" spans="1:15" x14ac:dyDescent="0.3">
      <c r="A143" s="74"/>
      <c r="B143" s="74"/>
      <c r="C143" s="74"/>
      <c r="D143" s="74"/>
      <c r="E143" s="74"/>
      <c r="F143" s="74"/>
      <c r="G143" s="74"/>
      <c r="H143" s="74"/>
      <c r="I143" s="74"/>
      <c r="J143" s="74"/>
      <c r="K143" s="74"/>
      <c r="L143" s="74" t="s">
        <v>73</v>
      </c>
      <c r="M143" s="77">
        <f>'Nordea Liv '!F11-'Nordea Liv '!F12+'Nordea Liv '!F32-'Nordea Liv '!F33+'Nordea Liv '!F36-'Nordea Liv '!F37+'Nordea Liv '!F109-'Nordea Liv '!F117+'Nordea Liv '!F134-'Nordea Liv '!F135</f>
        <v>-398530.23641999997</v>
      </c>
      <c r="N143" s="77">
        <f>'Nordea Liv '!G11-'Nordea Liv '!G12+'Nordea Liv '!G32-'Nordea Liv '!G33+'Nordea Liv '!G36-'Nordea Liv '!G37+'Nordea Liv '!G109-'Nordea Liv '!G117+'Nordea Liv '!G134-'Nordea Liv '!G135</f>
        <v>-874319.18146000011</v>
      </c>
      <c r="O143" s="74"/>
    </row>
    <row r="144" spans="1:15" x14ac:dyDescent="0.3">
      <c r="A144" s="74"/>
      <c r="B144" s="74"/>
      <c r="C144" s="74"/>
      <c r="D144" s="74"/>
      <c r="E144" s="74"/>
      <c r="F144" s="74"/>
      <c r="G144" s="74"/>
      <c r="H144" s="74"/>
      <c r="I144" s="74"/>
      <c r="J144" s="74"/>
      <c r="K144" s="74"/>
      <c r="L144" s="74" t="s">
        <v>79</v>
      </c>
      <c r="M144" s="77">
        <f>'SHB Liv'!F11-'SHB Liv'!F12+'SHB Liv'!F32-'SHB Liv'!F33+'SHB Liv'!F36-'SHB Liv'!F37+'SHB Liv'!F109-'SHB Liv'!F117+'SHB Liv'!F134-'SHB Liv'!F135</f>
        <v>48162</v>
      </c>
      <c r="N144" s="77">
        <f>'SHB Liv'!G11-'SHB Liv'!G12+'SHB Liv'!G32-'SHB Liv'!G33+'SHB Liv'!G36-'SHB Liv'!G37+'SHB Liv'!G109-'SHB Liv'!G117+'SHB Liv'!G134-'SHB Liv'!G135</f>
        <v>42014</v>
      </c>
      <c r="O144" s="74"/>
    </row>
    <row r="145" spans="1:15" x14ac:dyDescent="0.3">
      <c r="A145" s="74"/>
      <c r="B145" s="74"/>
      <c r="C145" s="74"/>
      <c r="D145" s="74"/>
      <c r="E145" s="74"/>
      <c r="F145" s="74"/>
      <c r="G145" s="74"/>
      <c r="H145" s="74"/>
      <c r="I145" s="74"/>
      <c r="J145" s="74"/>
      <c r="K145" s="74"/>
      <c r="L145" s="74" t="s">
        <v>80</v>
      </c>
      <c r="M145" s="77">
        <f>'Silver Pensjonsforsikring AS'!F11-'Silver Pensjonsforsikring AS'!F12+'Silver Pensjonsforsikring AS'!F32-'Silver Pensjonsforsikring AS'!F33+'Silver Pensjonsforsikring AS'!F36-'Silver Pensjonsforsikring AS'!F37+'Silver Pensjonsforsikring AS'!F109-'Silver Pensjonsforsikring AS'!F117+'Silver Pensjonsforsikring AS'!F134-'Silver Pensjonsforsikring AS'!F135</f>
        <v>-19388</v>
      </c>
      <c r="N145" s="77">
        <f>'Silver Pensjonsforsikring AS'!G11-'Silver Pensjonsforsikring AS'!G12+'Silver Pensjonsforsikring AS'!G32-'Silver Pensjonsforsikring AS'!G33+'Silver Pensjonsforsikring AS'!G36-'Silver Pensjonsforsikring AS'!G37+'Silver Pensjonsforsikring AS'!G109-'Silver Pensjonsforsikring AS'!G117+'Silver Pensjonsforsikring AS'!G134-'Silver Pensjonsforsikring AS'!G135</f>
        <v>0</v>
      </c>
      <c r="O145" s="74"/>
    </row>
    <row r="146" spans="1:15" x14ac:dyDescent="0.3">
      <c r="A146" s="74"/>
      <c r="B146" s="74"/>
      <c r="C146" s="74"/>
      <c r="D146" s="74"/>
      <c r="E146" s="74"/>
      <c r="F146" s="74"/>
      <c r="G146" s="74"/>
      <c r="H146" s="74"/>
      <c r="I146" s="74"/>
      <c r="J146" s="74"/>
      <c r="K146" s="74"/>
      <c r="L146" s="74" t="s">
        <v>75</v>
      </c>
      <c r="M146" s="77">
        <f>'Sparebank 1'!F11-'Sparebank 1'!F12+'Sparebank 1'!F32-'Sparebank 1'!F33+'Sparebank 1'!F36-'Sparebank 1'!F37+'Sparebank 1'!F109-'Sparebank 1'!F117+'Sparebank 1'!F134-'Sparebank 1'!F135</f>
        <v>654348.20671000006</v>
      </c>
      <c r="N146" s="77">
        <f>'Sparebank 1'!G11-'Sparebank 1'!G12+'Sparebank 1'!G32-'Sparebank 1'!G33+'Sparebank 1'!G36-'Sparebank 1'!G37+'Sparebank 1'!G109-'Sparebank 1'!G117+'Sparebank 1'!G134-'Sparebank 1'!G135</f>
        <v>413293.57460000005</v>
      </c>
      <c r="O146" s="74"/>
    </row>
    <row r="147" spans="1:15" x14ac:dyDescent="0.3">
      <c r="A147" s="74"/>
      <c r="B147" s="74"/>
      <c r="C147" s="74"/>
      <c r="D147" s="74"/>
      <c r="E147" s="74"/>
      <c r="F147" s="74"/>
      <c r="G147" s="74"/>
      <c r="H147" s="74"/>
      <c r="I147" s="74"/>
      <c r="J147" s="74"/>
      <c r="K147" s="74"/>
      <c r="L147" s="74" t="s">
        <v>81</v>
      </c>
      <c r="M147" s="77">
        <f>'Storebrand Livsforsikring'!F11-'Storebrand Livsforsikring'!F12+'Storebrand Livsforsikring'!F32-'Storebrand Livsforsikring'!F33+'Storebrand Livsforsikring'!F36-'Storebrand Livsforsikring'!F37+'Storebrand Livsforsikring'!F109-'Storebrand Livsforsikring'!F117+'Storebrand Livsforsikring'!F134-'Storebrand Livsforsikring'!F135</f>
        <v>-523421.85800000001</v>
      </c>
      <c r="N147" s="77">
        <f>'Storebrand Livsforsikring'!G11-'Storebrand Livsforsikring'!G12+'Storebrand Livsforsikring'!G32-'Storebrand Livsforsikring'!G33+'Storebrand Livsforsikring'!G36-'Storebrand Livsforsikring'!G37+'Storebrand Livsforsikring'!G109-'Storebrand Livsforsikring'!G117+'Storebrand Livsforsikring'!G134-'Storebrand Livsforsikring'!G135</f>
        <v>-2167031.818</v>
      </c>
      <c r="O147" s="74"/>
    </row>
    <row r="148" spans="1:15" x14ac:dyDescent="0.3">
      <c r="A148" s="74"/>
      <c r="B148" s="74"/>
      <c r="C148" s="74"/>
      <c r="D148" s="74"/>
      <c r="E148" s="74"/>
      <c r="F148" s="74"/>
      <c r="G148" s="74"/>
      <c r="H148" s="74"/>
      <c r="I148" s="74"/>
      <c r="J148" s="74"/>
      <c r="K148" s="74"/>
      <c r="O148" s="74"/>
    </row>
    <row r="149" spans="1:15" x14ac:dyDescent="0.3">
      <c r="A149" s="74"/>
      <c r="B149" s="74"/>
      <c r="C149" s="74"/>
      <c r="D149" s="74"/>
      <c r="E149" s="74"/>
      <c r="F149" s="74"/>
      <c r="G149" s="74"/>
      <c r="H149" s="74"/>
      <c r="I149" s="74"/>
      <c r="J149" s="74"/>
      <c r="K149" s="74"/>
      <c r="O149" s="74"/>
    </row>
    <row r="150" spans="1:15" x14ac:dyDescent="0.3">
      <c r="A150" s="74"/>
      <c r="B150" s="74"/>
      <c r="C150" s="74"/>
      <c r="D150" s="74"/>
      <c r="E150" s="74"/>
      <c r="F150" s="74"/>
      <c r="G150" s="74"/>
      <c r="H150" s="74"/>
      <c r="I150" s="74"/>
      <c r="J150" s="74"/>
      <c r="K150" s="74"/>
      <c r="O150" s="74"/>
    </row>
    <row r="151" spans="1:15" x14ac:dyDescent="0.3">
      <c r="A151" s="74"/>
      <c r="B151" s="74"/>
      <c r="C151" s="74"/>
      <c r="D151" s="74"/>
      <c r="E151" s="74"/>
      <c r="F151" s="74"/>
      <c r="G151" s="74"/>
      <c r="H151" s="74"/>
      <c r="I151" s="74"/>
      <c r="J151" s="74"/>
      <c r="K151" s="74"/>
      <c r="O151" s="74"/>
    </row>
    <row r="152" spans="1:15" x14ac:dyDescent="0.3">
      <c r="A152" s="74"/>
      <c r="B152" s="74"/>
      <c r="C152" s="74"/>
      <c r="D152" s="74"/>
      <c r="E152" s="74"/>
      <c r="F152" s="74"/>
      <c r="G152" s="74"/>
      <c r="H152" s="74"/>
      <c r="I152" s="74"/>
      <c r="J152" s="74"/>
      <c r="K152" s="74"/>
      <c r="O152" s="74"/>
    </row>
    <row r="153" spans="1:15" x14ac:dyDescent="0.3">
      <c r="A153" s="74"/>
      <c r="B153" s="74"/>
      <c r="C153" s="74"/>
      <c r="D153" s="74"/>
      <c r="E153" s="74"/>
      <c r="F153" s="74"/>
      <c r="G153" s="74"/>
      <c r="H153" s="74"/>
      <c r="I153" s="74"/>
      <c r="J153" s="74"/>
      <c r="K153" s="74"/>
      <c r="O153" s="74"/>
    </row>
    <row r="154" spans="1:15" x14ac:dyDescent="0.3">
      <c r="A154" s="74"/>
      <c r="B154" s="74"/>
      <c r="C154" s="74"/>
      <c r="D154" s="74"/>
      <c r="E154" s="74"/>
      <c r="F154" s="74"/>
      <c r="G154" s="74"/>
      <c r="H154" s="74"/>
      <c r="I154" s="74"/>
      <c r="J154" s="74"/>
      <c r="K154" s="74"/>
      <c r="O154" s="74"/>
    </row>
    <row r="155" spans="1:15" x14ac:dyDescent="0.3">
      <c r="A155" s="74"/>
      <c r="B155" s="74"/>
      <c r="C155" s="74"/>
      <c r="D155" s="74"/>
      <c r="E155" s="74"/>
      <c r="F155" s="74"/>
      <c r="G155" s="74"/>
      <c r="H155" s="74"/>
      <c r="I155" s="74"/>
      <c r="J155" s="74"/>
      <c r="K155" s="74"/>
      <c r="O155" s="74"/>
    </row>
    <row r="156" spans="1:15" x14ac:dyDescent="0.3">
      <c r="A156" s="74"/>
      <c r="B156" s="74"/>
      <c r="C156" s="74"/>
      <c r="D156" s="74"/>
      <c r="E156" s="74"/>
      <c r="F156" s="74"/>
      <c r="G156" s="74"/>
      <c r="H156" s="74"/>
      <c r="I156" s="74"/>
      <c r="J156" s="74"/>
      <c r="K156" s="74"/>
      <c r="O156" s="74"/>
    </row>
    <row r="157" spans="1:15" x14ac:dyDescent="0.3">
      <c r="A157" s="74"/>
      <c r="B157" s="74"/>
      <c r="C157" s="74"/>
      <c r="D157" s="74"/>
      <c r="E157" s="74"/>
      <c r="F157" s="74"/>
      <c r="G157" s="74"/>
      <c r="H157" s="74"/>
      <c r="I157" s="74"/>
      <c r="J157" s="74"/>
      <c r="K157" s="74"/>
      <c r="O157" s="74"/>
    </row>
    <row r="158" spans="1:15" x14ac:dyDescent="0.3">
      <c r="O158" s="74"/>
    </row>
    <row r="159" spans="1:15" x14ac:dyDescent="0.3">
      <c r="O159" s="74"/>
    </row>
    <row r="160" spans="1:15" x14ac:dyDescent="0.3">
      <c r="O160" s="74"/>
    </row>
    <row r="161" spans="1:15" x14ac:dyDescent="0.3">
      <c r="O161" s="74"/>
    </row>
    <row r="162" spans="1:15" x14ac:dyDescent="0.3">
      <c r="O162" s="74"/>
    </row>
    <row r="163" spans="1:15" x14ac:dyDescent="0.3">
      <c r="O163" s="74"/>
    </row>
    <row r="164" spans="1:15" x14ac:dyDescent="0.3">
      <c r="O164" s="74"/>
    </row>
    <row r="165" spans="1:15" x14ac:dyDescent="0.3">
      <c r="O165" s="74"/>
    </row>
    <row r="166" spans="1:15" x14ac:dyDescent="0.3">
      <c r="O166" s="74"/>
    </row>
    <row r="167" spans="1:15" x14ac:dyDescent="0.3">
      <c r="O167" s="74"/>
    </row>
    <row r="168" spans="1:15" x14ac:dyDescent="0.3">
      <c r="O168" s="74"/>
    </row>
    <row r="169" spans="1:15" x14ac:dyDescent="0.3">
      <c r="O169" s="74"/>
    </row>
    <row r="170" spans="1:15" x14ac:dyDescent="0.3">
      <c r="O170" s="74"/>
    </row>
    <row r="171" spans="1:15" x14ac:dyDescent="0.3">
      <c r="O171" s="74"/>
    </row>
    <row r="172" spans="1:15" x14ac:dyDescent="0.3">
      <c r="O172" s="74"/>
    </row>
    <row r="173" spans="1:15" x14ac:dyDescent="0.3">
      <c r="O173" s="74"/>
    </row>
    <row r="174" spans="1:15" x14ac:dyDescent="0.3">
      <c r="A174" s="74"/>
      <c r="B174" s="74"/>
      <c r="C174" s="74"/>
      <c r="D174" s="74"/>
      <c r="E174" s="74"/>
      <c r="F174" s="74"/>
      <c r="G174" s="74"/>
      <c r="H174" s="74"/>
      <c r="I174" s="74"/>
      <c r="J174" s="74"/>
      <c r="K174" s="74"/>
      <c r="O174" s="74"/>
    </row>
    <row r="175" spans="1:15" x14ac:dyDescent="0.3">
      <c r="A175" s="74"/>
      <c r="B175" s="74"/>
      <c r="C175" s="74"/>
      <c r="D175" s="74"/>
      <c r="E175" s="74"/>
      <c r="F175" s="74"/>
      <c r="G175" s="74"/>
      <c r="H175" s="74"/>
      <c r="I175" s="74"/>
      <c r="J175" s="74"/>
      <c r="K175" s="74"/>
      <c r="O175" s="74"/>
    </row>
    <row r="176" spans="1:15" x14ac:dyDescent="0.3">
      <c r="A176" s="74"/>
      <c r="B176" s="74"/>
      <c r="C176" s="74"/>
      <c r="D176" s="74"/>
      <c r="E176" s="74"/>
      <c r="F176" s="74"/>
      <c r="G176" s="74"/>
      <c r="H176" s="74"/>
      <c r="I176" s="74"/>
      <c r="J176" s="74"/>
      <c r="K176" s="74"/>
      <c r="O176" s="74"/>
    </row>
    <row r="177" spans="1:15" x14ac:dyDescent="0.3">
      <c r="A177" s="74"/>
      <c r="B177" s="74"/>
      <c r="C177" s="74"/>
      <c r="D177" s="74"/>
      <c r="E177" s="74"/>
      <c r="F177" s="74"/>
      <c r="G177" s="74"/>
      <c r="H177" s="74"/>
      <c r="I177" s="74"/>
      <c r="J177" s="74"/>
      <c r="K177" s="74"/>
      <c r="O177" s="74"/>
    </row>
    <row r="178" spans="1:15" x14ac:dyDescent="0.3">
      <c r="A178" s="74"/>
      <c r="B178" s="74"/>
      <c r="C178" s="74"/>
      <c r="D178" s="74"/>
      <c r="E178" s="74"/>
      <c r="F178" s="74"/>
      <c r="G178" s="74"/>
      <c r="H178" s="74"/>
      <c r="I178" s="74"/>
      <c r="J178" s="74"/>
      <c r="K178" s="74"/>
      <c r="O178" s="74"/>
    </row>
    <row r="179" spans="1:15" x14ac:dyDescent="0.3">
      <c r="A179" s="74"/>
      <c r="B179" s="74"/>
      <c r="C179" s="74"/>
      <c r="D179" s="74"/>
      <c r="E179" s="74"/>
      <c r="F179" s="74"/>
      <c r="G179" s="74"/>
      <c r="H179" s="74"/>
      <c r="I179" s="74"/>
      <c r="J179" s="74"/>
      <c r="K179" s="74"/>
      <c r="O179" s="74"/>
    </row>
    <row r="180" spans="1:15" x14ac:dyDescent="0.3">
      <c r="A180" s="74"/>
      <c r="B180" s="74"/>
      <c r="C180" s="74"/>
      <c r="D180" s="74"/>
      <c r="E180" s="74"/>
      <c r="F180" s="74"/>
      <c r="G180" s="74"/>
      <c r="H180" s="74"/>
      <c r="I180" s="74"/>
      <c r="J180" s="74"/>
      <c r="K180" s="74"/>
      <c r="O180" s="74"/>
    </row>
  </sheetData>
  <hyperlinks>
    <hyperlink ref="A1" location="Innhold!A1" display="Tilbake"/>
  </hyperlinks>
  <pageMargins left="0.7" right="0.7" top="0.78740157499999996" bottom="0.78740157499999996"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3"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112</v>
      </c>
      <c r="D1" s="26"/>
      <c r="E1" s="26"/>
      <c r="F1" s="26"/>
      <c r="G1" s="26"/>
      <c r="H1" s="26"/>
      <c r="I1" s="26"/>
      <c r="J1" s="26"/>
      <c r="K1" s="26"/>
      <c r="L1" s="26"/>
      <c r="M1" s="26"/>
    </row>
    <row r="2" spans="1:14" ht="15.75" x14ac:dyDescent="0.25">
      <c r="A2" s="164" t="s">
        <v>32</v>
      </c>
      <c r="B2" s="679"/>
      <c r="C2" s="679"/>
      <c r="D2" s="679"/>
      <c r="E2" s="297"/>
      <c r="F2" s="679"/>
      <c r="G2" s="679"/>
      <c r="H2" s="679"/>
      <c r="I2" s="297"/>
      <c r="J2" s="679"/>
      <c r="K2" s="679"/>
      <c r="L2" s="679"/>
      <c r="M2" s="297"/>
    </row>
    <row r="3" spans="1:14" ht="15.75" x14ac:dyDescent="0.25">
      <c r="A3" s="162"/>
      <c r="B3" s="297"/>
      <c r="C3" s="297"/>
      <c r="D3" s="297"/>
      <c r="E3" s="297"/>
      <c r="F3" s="297"/>
      <c r="G3" s="297"/>
      <c r="H3" s="297"/>
      <c r="I3" s="297"/>
      <c r="J3" s="297"/>
      <c r="K3" s="297"/>
      <c r="L3" s="297"/>
      <c r="M3" s="297"/>
    </row>
    <row r="4" spans="1:14" x14ac:dyDescent="0.2">
      <c r="A4" s="143"/>
      <c r="B4" s="676" t="s">
        <v>0</v>
      </c>
      <c r="C4" s="677"/>
      <c r="D4" s="677"/>
      <c r="E4" s="299"/>
      <c r="F4" s="676" t="s">
        <v>1</v>
      </c>
      <c r="G4" s="677"/>
      <c r="H4" s="677"/>
      <c r="I4" s="302"/>
      <c r="J4" s="676" t="s">
        <v>2</v>
      </c>
      <c r="K4" s="677"/>
      <c r="L4" s="677"/>
      <c r="M4" s="302"/>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c r="C7" s="305"/>
      <c r="D7" s="344"/>
      <c r="E7" s="11"/>
      <c r="F7" s="304"/>
      <c r="G7" s="305"/>
      <c r="H7" s="344"/>
      <c r="I7" s="159"/>
      <c r="J7" s="306"/>
      <c r="K7" s="307"/>
      <c r="L7" s="403"/>
      <c r="M7" s="11"/>
    </row>
    <row r="8" spans="1:14" ht="15.75" x14ac:dyDescent="0.2">
      <c r="A8" s="21" t="s">
        <v>29</v>
      </c>
      <c r="B8" s="286"/>
      <c r="C8" s="287"/>
      <c r="D8" s="165"/>
      <c r="E8" s="27"/>
      <c r="F8" s="423"/>
      <c r="G8" s="424"/>
      <c r="H8" s="170"/>
      <c r="I8" s="175"/>
      <c r="J8" s="234"/>
      <c r="K8" s="290"/>
      <c r="L8" s="165"/>
      <c r="M8" s="27"/>
    </row>
    <row r="9" spans="1:14" ht="15.75" x14ac:dyDescent="0.2">
      <c r="A9" s="21" t="s">
        <v>28</v>
      </c>
      <c r="B9" s="286"/>
      <c r="C9" s="287"/>
      <c r="D9" s="165"/>
      <c r="E9" s="27"/>
      <c r="F9" s="423"/>
      <c r="G9" s="424"/>
      <c r="H9" s="170"/>
      <c r="I9" s="175"/>
      <c r="J9" s="234"/>
      <c r="K9" s="290"/>
      <c r="L9" s="165"/>
      <c r="M9" s="27"/>
    </row>
    <row r="10" spans="1:14" ht="15.75" x14ac:dyDescent="0.2">
      <c r="A10" s="13" t="s">
        <v>26</v>
      </c>
      <c r="B10" s="308"/>
      <c r="C10" s="309"/>
      <c r="D10" s="170"/>
      <c r="E10" s="11"/>
      <c r="F10" s="308"/>
      <c r="G10" s="309"/>
      <c r="H10" s="170"/>
      <c r="I10" s="159"/>
      <c r="J10" s="306"/>
      <c r="K10" s="307"/>
      <c r="L10" s="404"/>
      <c r="M10" s="11"/>
    </row>
    <row r="11" spans="1:14" s="43" customFormat="1" ht="15.75" x14ac:dyDescent="0.2">
      <c r="A11" s="13" t="s">
        <v>25</v>
      </c>
      <c r="B11" s="308"/>
      <c r="C11" s="309"/>
      <c r="D11" s="170"/>
      <c r="E11" s="11"/>
      <c r="F11" s="308"/>
      <c r="G11" s="309"/>
      <c r="H11" s="170"/>
      <c r="I11" s="159"/>
      <c r="J11" s="306"/>
      <c r="K11" s="307"/>
      <c r="L11" s="404"/>
      <c r="M11" s="11"/>
      <c r="N11" s="142"/>
    </row>
    <row r="12" spans="1:14" s="43" customFormat="1" ht="15.75" x14ac:dyDescent="0.2">
      <c r="A12" s="41" t="s">
        <v>24</v>
      </c>
      <c r="B12" s="310"/>
      <c r="C12" s="311"/>
      <c r="D12" s="168"/>
      <c r="E12" s="36"/>
      <c r="F12" s="310"/>
      <c r="G12" s="311"/>
      <c r="H12" s="168"/>
      <c r="I12" s="168"/>
      <c r="J12" s="312"/>
      <c r="K12" s="313"/>
      <c r="L12" s="405"/>
      <c r="M12" s="36"/>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297"/>
      <c r="F18" s="680"/>
      <c r="G18" s="680"/>
      <c r="H18" s="680"/>
      <c r="I18" s="297"/>
      <c r="J18" s="680"/>
      <c r="K18" s="680"/>
      <c r="L18" s="680"/>
      <c r="M18" s="297"/>
    </row>
    <row r="19" spans="1:14" x14ac:dyDescent="0.2">
      <c r="A19" s="143"/>
      <c r="B19" s="676" t="s">
        <v>0</v>
      </c>
      <c r="C19" s="677"/>
      <c r="D19" s="677"/>
      <c r="E19" s="299"/>
      <c r="F19" s="676" t="s">
        <v>1</v>
      </c>
      <c r="G19" s="677"/>
      <c r="H19" s="677"/>
      <c r="I19" s="302"/>
      <c r="J19" s="676" t="s">
        <v>2</v>
      </c>
      <c r="K19" s="677"/>
      <c r="L19" s="677"/>
      <c r="M19" s="302"/>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14"/>
      <c r="C22" s="315"/>
      <c r="D22" s="344"/>
      <c r="E22" s="11"/>
      <c r="F22" s="316"/>
      <c r="G22" s="315"/>
      <c r="H22" s="344"/>
      <c r="I22" s="11"/>
      <c r="J22" s="314"/>
      <c r="K22" s="314"/>
      <c r="L22" s="403"/>
      <c r="M22" s="24"/>
    </row>
    <row r="23" spans="1:14" ht="15.75" x14ac:dyDescent="0.2">
      <c r="A23" s="413" t="s">
        <v>305</v>
      </c>
      <c r="B23" s="423" t="s">
        <v>413</v>
      </c>
      <c r="C23" s="423" t="s">
        <v>413</v>
      </c>
      <c r="D23" s="165"/>
      <c r="E23" s="393"/>
      <c r="F23" s="423"/>
      <c r="G23" s="423"/>
      <c r="H23" s="165"/>
      <c r="I23" s="393"/>
      <c r="J23" s="423"/>
      <c r="K23" s="423"/>
      <c r="L23" s="165"/>
      <c r="M23" s="23"/>
    </row>
    <row r="24" spans="1:14" ht="15.75" x14ac:dyDescent="0.2">
      <c r="A24" s="413" t="s">
        <v>306</v>
      </c>
      <c r="B24" s="423" t="s">
        <v>413</v>
      </c>
      <c r="C24" s="423" t="s">
        <v>413</v>
      </c>
      <c r="D24" s="165"/>
      <c r="E24" s="393"/>
      <c r="F24" s="423"/>
      <c r="G24" s="423"/>
      <c r="H24" s="165"/>
      <c r="I24" s="393"/>
      <c r="J24" s="423"/>
      <c r="K24" s="423"/>
      <c r="L24" s="165"/>
      <c r="M24" s="23"/>
    </row>
    <row r="25" spans="1:14" ht="15.75" x14ac:dyDescent="0.2">
      <c r="A25" s="413" t="s">
        <v>307</v>
      </c>
      <c r="B25" s="423" t="s">
        <v>413</v>
      </c>
      <c r="C25" s="423" t="s">
        <v>413</v>
      </c>
      <c r="D25" s="165"/>
      <c r="E25" s="393"/>
      <c r="F25" s="423"/>
      <c r="G25" s="423"/>
      <c r="H25" s="165"/>
      <c r="I25" s="393"/>
      <c r="J25" s="423"/>
      <c r="K25" s="423"/>
      <c r="L25" s="165"/>
      <c r="M25" s="23"/>
    </row>
    <row r="26" spans="1:14" x14ac:dyDescent="0.2">
      <c r="A26" s="413" t="s">
        <v>11</v>
      </c>
      <c r="B26" s="423" t="s">
        <v>413</v>
      </c>
      <c r="C26" s="423" t="s">
        <v>413</v>
      </c>
      <c r="D26" s="165"/>
      <c r="E26" s="393"/>
      <c r="F26" s="423"/>
      <c r="G26" s="423"/>
      <c r="H26" s="165"/>
      <c r="I26" s="393"/>
      <c r="J26" s="423"/>
      <c r="K26" s="423"/>
      <c r="L26" s="165"/>
      <c r="M26" s="23"/>
    </row>
    <row r="27" spans="1:14" ht="15.75" x14ac:dyDescent="0.2">
      <c r="A27" s="49" t="s">
        <v>297</v>
      </c>
      <c r="B27" s="44"/>
      <c r="C27" s="290"/>
      <c r="D27" s="165"/>
      <c r="E27" s="27"/>
      <c r="F27" s="234"/>
      <c r="G27" s="290"/>
      <c r="H27" s="165"/>
      <c r="I27" s="27"/>
      <c r="J27" s="44"/>
      <c r="K27" s="44"/>
      <c r="L27" s="259"/>
      <c r="M27" s="23"/>
    </row>
    <row r="28" spans="1:14" s="3" customFormat="1" ht="15.75" x14ac:dyDescent="0.2">
      <c r="A28" s="13" t="s">
        <v>26</v>
      </c>
      <c r="B28" s="236"/>
      <c r="C28" s="307"/>
      <c r="D28" s="170"/>
      <c r="E28" s="11"/>
      <c r="F28" s="306"/>
      <c r="G28" s="307"/>
      <c r="H28" s="170"/>
      <c r="I28" s="11"/>
      <c r="J28" s="236"/>
      <c r="K28" s="236"/>
      <c r="L28" s="404"/>
      <c r="M28" s="24"/>
      <c r="N28" s="147"/>
    </row>
    <row r="29" spans="1:14" s="3" customFormat="1" ht="15.75" x14ac:dyDescent="0.2">
      <c r="A29" s="413" t="s">
        <v>305</v>
      </c>
      <c r="B29" s="423" t="s">
        <v>413</v>
      </c>
      <c r="C29" s="423" t="s">
        <v>413</v>
      </c>
      <c r="D29" s="165"/>
      <c r="E29" s="393"/>
      <c r="F29" s="423"/>
      <c r="G29" s="423"/>
      <c r="H29" s="165"/>
      <c r="I29" s="393"/>
      <c r="J29" s="423"/>
      <c r="K29" s="423"/>
      <c r="L29" s="165"/>
      <c r="M29" s="23"/>
      <c r="N29" s="147"/>
    </row>
    <row r="30" spans="1:14" s="3" customFormat="1" ht="15.75" x14ac:dyDescent="0.2">
      <c r="A30" s="413" t="s">
        <v>306</v>
      </c>
      <c r="B30" s="423" t="s">
        <v>413</v>
      </c>
      <c r="C30" s="423" t="s">
        <v>413</v>
      </c>
      <c r="D30" s="165"/>
      <c r="E30" s="393"/>
      <c r="F30" s="423"/>
      <c r="G30" s="423"/>
      <c r="H30" s="165"/>
      <c r="I30" s="393"/>
      <c r="J30" s="423"/>
      <c r="K30" s="423"/>
      <c r="L30" s="165"/>
      <c r="M30" s="23"/>
      <c r="N30" s="147"/>
    </row>
    <row r="31" spans="1:14" ht="15.75" x14ac:dyDescent="0.2">
      <c r="A31" s="413" t="s">
        <v>307</v>
      </c>
      <c r="B31" s="423" t="s">
        <v>413</v>
      </c>
      <c r="C31" s="423" t="s">
        <v>413</v>
      </c>
      <c r="D31" s="165"/>
      <c r="E31" s="393"/>
      <c r="F31" s="423"/>
      <c r="G31" s="423"/>
      <c r="H31" s="165"/>
      <c r="I31" s="393"/>
      <c r="J31" s="423"/>
      <c r="K31" s="423"/>
      <c r="L31" s="165"/>
      <c r="M31" s="23"/>
    </row>
    <row r="32" spans="1:14" ht="15.75" x14ac:dyDescent="0.2">
      <c r="A32" s="13" t="s">
        <v>25</v>
      </c>
      <c r="B32" s="236"/>
      <c r="C32" s="307"/>
      <c r="D32" s="170"/>
      <c r="E32" s="11"/>
      <c r="F32" s="306"/>
      <c r="G32" s="307"/>
      <c r="H32" s="170"/>
      <c r="I32" s="11"/>
      <c r="J32" s="236"/>
      <c r="K32" s="236"/>
      <c r="L32" s="404"/>
      <c r="M32" s="24"/>
    </row>
    <row r="33" spans="1:14" ht="15.75" x14ac:dyDescent="0.2">
      <c r="A33" s="13" t="s">
        <v>24</v>
      </c>
      <c r="B33" s="236"/>
      <c r="C33" s="307"/>
      <c r="D33" s="170"/>
      <c r="E33" s="11"/>
      <c r="F33" s="306"/>
      <c r="G33" s="307"/>
      <c r="H33" s="170"/>
      <c r="I33" s="11"/>
      <c r="J33" s="236"/>
      <c r="K33" s="236"/>
      <c r="L33" s="404"/>
      <c r="M33" s="24"/>
    </row>
    <row r="34" spans="1:14" ht="15.75" x14ac:dyDescent="0.2">
      <c r="A34" s="12" t="s">
        <v>308</v>
      </c>
      <c r="B34" s="236"/>
      <c r="C34" s="307"/>
      <c r="D34" s="170"/>
      <c r="E34" s="11"/>
      <c r="F34" s="425"/>
      <c r="G34" s="426"/>
      <c r="H34" s="170"/>
      <c r="I34" s="410"/>
      <c r="J34" s="236"/>
      <c r="K34" s="236"/>
      <c r="L34" s="404"/>
      <c r="M34" s="24"/>
    </row>
    <row r="35" spans="1:14" ht="15.75" x14ac:dyDescent="0.2">
      <c r="A35" s="12" t="s">
        <v>309</v>
      </c>
      <c r="B35" s="236"/>
      <c r="C35" s="307"/>
      <c r="D35" s="170"/>
      <c r="E35" s="11"/>
      <c r="F35" s="425"/>
      <c r="G35" s="427"/>
      <c r="H35" s="170"/>
      <c r="I35" s="410"/>
      <c r="J35" s="236"/>
      <c r="K35" s="236"/>
      <c r="L35" s="404"/>
      <c r="M35" s="24"/>
    </row>
    <row r="36" spans="1:14" ht="15.75" x14ac:dyDescent="0.2">
      <c r="A36" s="12" t="s">
        <v>310</v>
      </c>
      <c r="B36" s="236"/>
      <c r="C36" s="307"/>
      <c r="D36" s="408"/>
      <c r="E36" s="24"/>
      <c r="F36" s="425"/>
      <c r="G36" s="426"/>
      <c r="H36" s="170"/>
      <c r="I36" s="410"/>
      <c r="J36" s="236"/>
      <c r="K36" s="236"/>
      <c r="L36" s="404"/>
      <c r="M36" s="24"/>
    </row>
    <row r="37" spans="1:14" ht="15.75" x14ac:dyDescent="0.2">
      <c r="A37" s="18" t="s">
        <v>311</v>
      </c>
      <c r="B37" s="281"/>
      <c r="C37" s="313"/>
      <c r="D37" s="409"/>
      <c r="E37" s="36"/>
      <c r="F37" s="428"/>
      <c r="G37" s="429"/>
      <c r="H37" s="168"/>
      <c r="I37" s="36"/>
      <c r="J37" s="236"/>
      <c r="K37" s="236"/>
      <c r="L37" s="405"/>
      <c r="M37" s="36"/>
    </row>
    <row r="38" spans="1:14" ht="15.75" x14ac:dyDescent="0.25">
      <c r="A38" s="47"/>
      <c r="B38" s="258"/>
      <c r="C38" s="258"/>
      <c r="D38" s="681"/>
      <c r="E38" s="682"/>
      <c r="F38" s="681"/>
      <c r="G38" s="681"/>
      <c r="H38" s="681"/>
      <c r="I38" s="681"/>
      <c r="J38" s="681"/>
      <c r="K38" s="681"/>
      <c r="L38" s="681"/>
      <c r="M38" s="300"/>
    </row>
    <row r="39" spans="1:14" x14ac:dyDescent="0.2">
      <c r="A39" s="154"/>
    </row>
    <row r="40" spans="1:14" ht="15.75" x14ac:dyDescent="0.25">
      <c r="A40" s="146" t="s">
        <v>294</v>
      </c>
      <c r="B40" s="679"/>
      <c r="C40" s="679"/>
      <c r="D40" s="679"/>
      <c r="E40" s="297"/>
      <c r="F40" s="682"/>
      <c r="G40" s="682"/>
      <c r="H40" s="682"/>
      <c r="I40" s="300"/>
      <c r="J40" s="682"/>
      <c r="K40" s="682"/>
      <c r="L40" s="682"/>
      <c r="M40" s="300"/>
    </row>
    <row r="41" spans="1:14" ht="15.75" x14ac:dyDescent="0.25">
      <c r="A41" s="162"/>
      <c r="B41" s="301"/>
      <c r="C41" s="301"/>
      <c r="D41" s="301"/>
      <c r="E41" s="301"/>
      <c r="F41" s="300"/>
      <c r="G41" s="300"/>
      <c r="H41" s="300"/>
      <c r="I41" s="300"/>
      <c r="J41" s="300"/>
      <c r="K41" s="300"/>
      <c r="L41" s="300"/>
      <c r="M41" s="300"/>
    </row>
    <row r="42" spans="1:14" ht="15.75" x14ac:dyDescent="0.25">
      <c r="A42" s="249"/>
      <c r="B42" s="676" t="s">
        <v>0</v>
      </c>
      <c r="C42" s="677"/>
      <c r="D42" s="677"/>
      <c r="E42" s="244"/>
      <c r="F42" s="300"/>
      <c r="G42" s="300"/>
      <c r="H42" s="300"/>
      <c r="I42" s="300"/>
      <c r="J42" s="300"/>
      <c r="K42" s="300"/>
      <c r="L42" s="300"/>
      <c r="M42" s="300"/>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472129.78125</v>
      </c>
      <c r="C45" s="309">
        <v>458748.43799999997</v>
      </c>
      <c r="D45" s="403">
        <f t="shared" ref="D45:D56" si="0">IF(B45=0, "    ---- ", IF(ABS(ROUND(100/B45*C45-100,1))&lt;999,ROUND(100/B45*C45-100,1),IF(ROUND(100/B45*C45-100,1)&gt;999,999,-999)))</f>
        <v>-2.8</v>
      </c>
      <c r="E45" s="11">
        <f>IFERROR(100/'Skjema total MA'!C45*C45,0)</f>
        <v>16.730443809912714</v>
      </c>
      <c r="F45" s="144"/>
      <c r="G45" s="33"/>
      <c r="H45" s="158"/>
      <c r="I45" s="158"/>
      <c r="J45" s="37"/>
      <c r="K45" s="37"/>
      <c r="L45" s="158"/>
      <c r="M45" s="158"/>
      <c r="N45" s="147"/>
    </row>
    <row r="46" spans="1:14" s="3" customFormat="1" ht="15.75" x14ac:dyDescent="0.2">
      <c r="A46" s="38" t="s">
        <v>312</v>
      </c>
      <c r="B46" s="286">
        <v>192905.44025000001</v>
      </c>
      <c r="C46" s="287">
        <v>179264.53099999999</v>
      </c>
      <c r="D46" s="259">
        <f t="shared" si="0"/>
        <v>-7.1</v>
      </c>
      <c r="E46" s="27">
        <f>IFERROR(100/'Skjema total MA'!C46*C46,0)</f>
        <v>12.316098022780569</v>
      </c>
      <c r="F46" s="144"/>
      <c r="G46" s="33"/>
      <c r="H46" s="144"/>
      <c r="I46" s="144"/>
      <c r="J46" s="33"/>
      <c r="K46" s="33"/>
      <c r="L46" s="158"/>
      <c r="M46" s="158"/>
      <c r="N46" s="147"/>
    </row>
    <row r="47" spans="1:14" s="3" customFormat="1" ht="15.75" x14ac:dyDescent="0.2">
      <c r="A47" s="38" t="s">
        <v>313</v>
      </c>
      <c r="B47" s="44">
        <v>279224.34100000001</v>
      </c>
      <c r="C47" s="290">
        <v>279483.90700000001</v>
      </c>
      <c r="D47" s="259">
        <f>IF(B47=0, "    ---- ", IF(ABS(ROUND(100/B47*C47-100,1))&lt;999,ROUND(100/B47*C47-100,1),IF(ROUND(100/B47*C47-100,1)&gt;999,999,-999)))</f>
        <v>0.1</v>
      </c>
      <c r="E47" s="27">
        <f>IFERROR(100/'Skjema total MA'!C47*C47,0)</f>
        <v>21.724905291694583</v>
      </c>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v>13790.199999999999</v>
      </c>
      <c r="C51" s="309">
        <v>13627.451999999999</v>
      </c>
      <c r="D51" s="404">
        <f t="shared" si="0"/>
        <v>-1.2</v>
      </c>
      <c r="E51" s="11">
        <f>IFERROR(100/'Skjema total MA'!C51*C51,0)</f>
        <v>9.619409366113949</v>
      </c>
      <c r="F51" s="144"/>
      <c r="G51" s="33"/>
      <c r="H51" s="144"/>
      <c r="I51" s="144"/>
      <c r="J51" s="33"/>
      <c r="K51" s="33"/>
      <c r="L51" s="158"/>
      <c r="M51" s="158"/>
      <c r="N51" s="147"/>
    </row>
    <row r="52" spans="1:14" s="3" customFormat="1" ht="15.75" x14ac:dyDescent="0.2">
      <c r="A52" s="38" t="s">
        <v>312</v>
      </c>
      <c r="B52" s="286">
        <v>13652.8</v>
      </c>
      <c r="C52" s="287">
        <v>11444.552</v>
      </c>
      <c r="D52" s="259">
        <f t="shared" si="0"/>
        <v>-16.2</v>
      </c>
      <c r="E52" s="27">
        <f>IFERROR(100/'Skjema total MA'!C52*C52,0)</f>
        <v>13.57319505345184</v>
      </c>
      <c r="F52" s="144"/>
      <c r="G52" s="33"/>
      <c r="H52" s="144"/>
      <c r="I52" s="144"/>
      <c r="J52" s="33"/>
      <c r="K52" s="33"/>
      <c r="L52" s="158"/>
      <c r="M52" s="158"/>
      <c r="N52" s="147"/>
    </row>
    <row r="53" spans="1:14" s="3" customFormat="1" ht="15.75" x14ac:dyDescent="0.2">
      <c r="A53" s="38" t="s">
        <v>313</v>
      </c>
      <c r="B53" s="286">
        <v>137.4</v>
      </c>
      <c r="C53" s="287">
        <v>2182.9</v>
      </c>
      <c r="D53" s="259">
        <f t="shared" si="0"/>
        <v>999</v>
      </c>
      <c r="E53" s="27">
        <f>IFERROR(100/'Skjema total MA'!C53*C53,0)</f>
        <v>3.8063502525767712</v>
      </c>
      <c r="F53" s="144"/>
      <c r="G53" s="33"/>
      <c r="H53" s="144"/>
      <c r="I53" s="144"/>
      <c r="J53" s="33"/>
      <c r="K53" s="33"/>
      <c r="L53" s="158"/>
      <c r="M53" s="158"/>
      <c r="N53" s="147"/>
    </row>
    <row r="54" spans="1:14" s="3" customFormat="1" ht="15.75" x14ac:dyDescent="0.2">
      <c r="A54" s="39" t="s">
        <v>315</v>
      </c>
      <c r="B54" s="308">
        <v>41554.200000000004</v>
      </c>
      <c r="C54" s="309">
        <v>12299.998</v>
      </c>
      <c r="D54" s="404">
        <f t="shared" si="0"/>
        <v>-70.400000000000006</v>
      </c>
      <c r="E54" s="11">
        <f>IFERROR(100/'Skjema total MA'!C54*C54,0)</f>
        <v>14.250216180448826</v>
      </c>
      <c r="F54" s="144"/>
      <c r="G54" s="33"/>
      <c r="H54" s="144"/>
      <c r="I54" s="144"/>
      <c r="J54" s="33"/>
      <c r="K54" s="33"/>
      <c r="L54" s="158"/>
      <c r="M54" s="158"/>
      <c r="N54" s="147"/>
    </row>
    <row r="55" spans="1:14" s="3" customFormat="1" ht="15.75" x14ac:dyDescent="0.2">
      <c r="A55" s="38" t="s">
        <v>312</v>
      </c>
      <c r="B55" s="286">
        <v>41473.9</v>
      </c>
      <c r="C55" s="287">
        <v>12299.998</v>
      </c>
      <c r="D55" s="259">
        <f t="shared" si="0"/>
        <v>-70.3</v>
      </c>
      <c r="E55" s="27">
        <f>IFERROR(100/'Skjema total MA'!C55*C55,0)</f>
        <v>14.250216180448826</v>
      </c>
      <c r="F55" s="144"/>
      <c r="G55" s="33"/>
      <c r="H55" s="144"/>
      <c r="I55" s="144"/>
      <c r="J55" s="33"/>
      <c r="K55" s="33"/>
      <c r="L55" s="158"/>
      <c r="M55" s="158"/>
      <c r="N55" s="147"/>
    </row>
    <row r="56" spans="1:14" s="3" customFormat="1" ht="15.75" x14ac:dyDescent="0.2">
      <c r="A56" s="46" t="s">
        <v>313</v>
      </c>
      <c r="B56" s="288">
        <v>80.3</v>
      </c>
      <c r="C56" s="289"/>
      <c r="D56" s="260">
        <f t="shared" si="0"/>
        <v>-100</v>
      </c>
      <c r="E56" s="22">
        <f>IFERROR(100/'Skjema total MA'!C56*C56,0)</f>
        <v>0</v>
      </c>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297"/>
      <c r="F60" s="680"/>
      <c r="G60" s="680"/>
      <c r="H60" s="680"/>
      <c r="I60" s="297"/>
      <c r="J60" s="680"/>
      <c r="K60" s="680"/>
      <c r="L60" s="680"/>
      <c r="M60" s="297"/>
    </row>
    <row r="61" spans="1:14" x14ac:dyDescent="0.2">
      <c r="A61" s="143"/>
      <c r="B61" s="676" t="s">
        <v>0</v>
      </c>
      <c r="C61" s="677"/>
      <c r="D61" s="678"/>
      <c r="E61" s="298"/>
      <c r="F61" s="677" t="s">
        <v>1</v>
      </c>
      <c r="G61" s="677"/>
      <c r="H61" s="677"/>
      <c r="I61" s="302"/>
      <c r="J61" s="676" t="s">
        <v>2</v>
      </c>
      <c r="K61" s="677"/>
      <c r="L61" s="677"/>
      <c r="M61" s="302"/>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c r="C64" s="347"/>
      <c r="D64" s="344"/>
      <c r="E64" s="11"/>
      <c r="F64" s="346"/>
      <c r="G64" s="346"/>
      <c r="H64" s="344"/>
      <c r="I64" s="11"/>
      <c r="J64" s="307"/>
      <c r="K64" s="314"/>
      <c r="L64" s="404"/>
      <c r="M64" s="11"/>
    </row>
    <row r="65" spans="1:14" x14ac:dyDescent="0.2">
      <c r="A65" s="395" t="s">
        <v>9</v>
      </c>
      <c r="B65" s="44"/>
      <c r="C65" s="144"/>
      <c r="D65" s="165"/>
      <c r="E65" s="27"/>
      <c r="F65" s="234"/>
      <c r="G65" s="144"/>
      <c r="H65" s="165"/>
      <c r="I65" s="27"/>
      <c r="J65" s="290"/>
      <c r="K65" s="44"/>
      <c r="L65" s="259"/>
      <c r="M65" s="27"/>
    </row>
    <row r="66" spans="1:14" x14ac:dyDescent="0.2">
      <c r="A66" s="21" t="s">
        <v>10</v>
      </c>
      <c r="B66" s="292"/>
      <c r="C66" s="293"/>
      <c r="D66" s="165"/>
      <c r="E66" s="27"/>
      <c r="F66" s="292"/>
      <c r="G66" s="293"/>
      <c r="H66" s="165"/>
      <c r="I66" s="27"/>
      <c r="J66" s="290"/>
      <c r="K66" s="44"/>
      <c r="L66" s="259"/>
      <c r="M66" s="27"/>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c r="C75" s="234"/>
      <c r="D75" s="165"/>
      <c r="E75" s="27"/>
      <c r="F75" s="234"/>
      <c r="G75" s="144"/>
      <c r="H75" s="165"/>
      <c r="I75" s="27"/>
      <c r="J75" s="290"/>
      <c r="K75" s="44"/>
      <c r="L75" s="259"/>
      <c r="M75" s="27"/>
    </row>
    <row r="76" spans="1:14" x14ac:dyDescent="0.2">
      <c r="A76" s="21" t="s">
        <v>9</v>
      </c>
      <c r="B76" s="234"/>
      <c r="C76" s="144"/>
      <c r="D76" s="165"/>
      <c r="E76" s="27"/>
      <c r="F76" s="234"/>
      <c r="G76" s="144"/>
      <c r="H76" s="165"/>
      <c r="I76" s="27"/>
      <c r="J76" s="290"/>
      <c r="K76" s="44"/>
      <c r="L76" s="259"/>
      <c r="M76" s="27"/>
    </row>
    <row r="77" spans="1:14" x14ac:dyDescent="0.2">
      <c r="A77" s="21" t="s">
        <v>10</v>
      </c>
      <c r="B77" s="292"/>
      <c r="C77" s="293"/>
      <c r="D77" s="165"/>
      <c r="E77" s="27"/>
      <c r="F77" s="292"/>
      <c r="G77" s="293"/>
      <c r="H77" s="165"/>
      <c r="I77" s="27"/>
      <c r="J77" s="290"/>
      <c r="K77" s="44"/>
      <c r="L77" s="259"/>
      <c r="M77" s="27"/>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c r="C85" s="347"/>
      <c r="D85" s="170"/>
      <c r="E85" s="11"/>
      <c r="F85" s="346"/>
      <c r="G85" s="346"/>
      <c r="H85" s="170"/>
      <c r="I85" s="11"/>
      <c r="J85" s="307"/>
      <c r="K85" s="236"/>
      <c r="L85" s="404"/>
      <c r="M85" s="11"/>
    </row>
    <row r="86" spans="1:13" x14ac:dyDescent="0.2">
      <c r="A86" s="21" t="s">
        <v>9</v>
      </c>
      <c r="B86" s="234"/>
      <c r="C86" s="144"/>
      <c r="D86" s="165"/>
      <c r="E86" s="27"/>
      <c r="F86" s="234"/>
      <c r="G86" s="144"/>
      <c r="H86" s="165"/>
      <c r="I86" s="27"/>
      <c r="J86" s="290"/>
      <c r="K86" s="44"/>
      <c r="L86" s="259"/>
      <c r="M86" s="27"/>
    </row>
    <row r="87" spans="1:13" x14ac:dyDescent="0.2">
      <c r="A87" s="21" t="s">
        <v>10</v>
      </c>
      <c r="B87" s="234"/>
      <c r="C87" s="144"/>
      <c r="D87" s="165"/>
      <c r="E87" s="27"/>
      <c r="F87" s="234"/>
      <c r="G87" s="144"/>
      <c r="H87" s="165"/>
      <c r="I87" s="27"/>
      <c r="J87" s="290"/>
      <c r="K87" s="44"/>
      <c r="L87" s="259"/>
      <c r="M87" s="27"/>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c r="C96" s="234"/>
      <c r="D96" s="165"/>
      <c r="E96" s="27"/>
      <c r="F96" s="292"/>
      <c r="G96" s="292"/>
      <c r="H96" s="165"/>
      <c r="I96" s="27"/>
      <c r="J96" s="290"/>
      <c r="K96" s="44"/>
      <c r="L96" s="259"/>
      <c r="M96" s="27"/>
    </row>
    <row r="97" spans="1:13" x14ac:dyDescent="0.2">
      <c r="A97" s="21" t="s">
        <v>9</v>
      </c>
      <c r="B97" s="292"/>
      <c r="C97" s="293"/>
      <c r="D97" s="165"/>
      <c r="E97" s="27"/>
      <c r="F97" s="234"/>
      <c r="G97" s="144"/>
      <c r="H97" s="165"/>
      <c r="I97" s="27"/>
      <c r="J97" s="290"/>
      <c r="K97" s="44"/>
      <c r="L97" s="259"/>
      <c r="M97" s="27"/>
    </row>
    <row r="98" spans="1:13" x14ac:dyDescent="0.2">
      <c r="A98" s="21" t="s">
        <v>10</v>
      </c>
      <c r="B98" s="292"/>
      <c r="C98" s="293"/>
      <c r="D98" s="165"/>
      <c r="E98" s="27"/>
      <c r="F98" s="234"/>
      <c r="G98" s="234"/>
      <c r="H98" s="165"/>
      <c r="I98" s="27"/>
      <c r="J98" s="290"/>
      <c r="K98" s="44"/>
      <c r="L98" s="259"/>
      <c r="M98" s="27"/>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c r="C106" s="234"/>
      <c r="D106" s="165"/>
      <c r="E106" s="27"/>
      <c r="F106" s="234"/>
      <c r="G106" s="234"/>
      <c r="H106" s="165"/>
      <c r="I106" s="27"/>
      <c r="J106" s="290"/>
      <c r="K106" s="44"/>
      <c r="L106" s="259"/>
      <c r="M106" s="27"/>
    </row>
    <row r="107" spans="1:13" ht="15.75" x14ac:dyDescent="0.2">
      <c r="A107" s="21" t="s">
        <v>320</v>
      </c>
      <c r="B107" s="234"/>
      <c r="C107" s="234"/>
      <c r="D107" s="165"/>
      <c r="E107" s="27"/>
      <c r="F107" s="234"/>
      <c r="G107" s="234"/>
      <c r="H107" s="165"/>
      <c r="I107" s="27"/>
      <c r="J107" s="290"/>
      <c r="K107" s="44"/>
      <c r="L107" s="259"/>
      <c r="M107" s="27"/>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c r="C109" s="158"/>
      <c r="D109" s="170"/>
      <c r="E109" s="11"/>
      <c r="F109" s="306"/>
      <c r="G109" s="158"/>
      <c r="H109" s="170"/>
      <c r="I109" s="11"/>
      <c r="J109" s="307"/>
      <c r="K109" s="236"/>
      <c r="L109" s="404"/>
      <c r="M109" s="11"/>
    </row>
    <row r="110" spans="1:13" x14ac:dyDescent="0.2">
      <c r="A110" s="21" t="s">
        <v>9</v>
      </c>
      <c r="B110" s="234"/>
      <c r="C110" s="144"/>
      <c r="D110" s="165"/>
      <c r="E110" s="27"/>
      <c r="F110" s="234"/>
      <c r="G110" s="144"/>
      <c r="H110" s="165"/>
      <c r="I110" s="27"/>
      <c r="J110" s="290"/>
      <c r="K110" s="44"/>
      <c r="L110" s="259"/>
      <c r="M110" s="27"/>
    </row>
    <row r="111" spans="1:13" x14ac:dyDescent="0.2">
      <c r="A111" s="21" t="s">
        <v>10</v>
      </c>
      <c r="B111" s="234"/>
      <c r="C111" s="144"/>
      <c r="D111" s="165"/>
      <c r="E111" s="27"/>
      <c r="F111" s="234"/>
      <c r="G111" s="144"/>
      <c r="H111" s="165"/>
      <c r="I111" s="27"/>
      <c r="J111" s="290"/>
      <c r="K111" s="44"/>
      <c r="L111" s="259"/>
      <c r="M111" s="27"/>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c r="C114" s="234"/>
      <c r="D114" s="165"/>
      <c r="E114" s="27"/>
      <c r="F114" s="234"/>
      <c r="G114" s="234"/>
      <c r="H114" s="165"/>
      <c r="I114" s="27"/>
      <c r="J114" s="290"/>
      <c r="K114" s="44"/>
      <c r="L114" s="259"/>
      <c r="M114" s="27"/>
    </row>
    <row r="115" spans="1:14" ht="15.75" x14ac:dyDescent="0.2">
      <c r="A115" s="21" t="s">
        <v>322</v>
      </c>
      <c r="B115" s="234"/>
      <c r="C115" s="234"/>
      <c r="D115" s="165"/>
      <c r="E115" s="27"/>
      <c r="F115" s="234"/>
      <c r="G115" s="234"/>
      <c r="H115" s="165"/>
      <c r="I115" s="27"/>
      <c r="J115" s="290"/>
      <c r="K115" s="44"/>
      <c r="L115" s="259"/>
      <c r="M115" s="27"/>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c r="C117" s="158"/>
      <c r="D117" s="170"/>
      <c r="E117" s="11"/>
      <c r="F117" s="306"/>
      <c r="G117" s="158"/>
      <c r="H117" s="170"/>
      <c r="I117" s="11"/>
      <c r="J117" s="307"/>
      <c r="K117" s="236"/>
      <c r="L117" s="404"/>
      <c r="M117" s="11"/>
    </row>
    <row r="118" spans="1:14" x14ac:dyDescent="0.2">
      <c r="A118" s="21" t="s">
        <v>9</v>
      </c>
      <c r="B118" s="234"/>
      <c r="C118" s="144"/>
      <c r="D118" s="165"/>
      <c r="E118" s="27"/>
      <c r="F118" s="234"/>
      <c r="G118" s="144"/>
      <c r="H118" s="165"/>
      <c r="I118" s="27"/>
      <c r="J118" s="290"/>
      <c r="K118" s="44"/>
      <c r="L118" s="259"/>
      <c r="M118" s="27"/>
    </row>
    <row r="119" spans="1:14" x14ac:dyDescent="0.2">
      <c r="A119" s="21" t="s">
        <v>10</v>
      </c>
      <c r="B119" s="234"/>
      <c r="C119" s="144"/>
      <c r="D119" s="165"/>
      <c r="E119" s="27"/>
      <c r="F119" s="234"/>
      <c r="G119" s="144"/>
      <c r="H119" s="165"/>
      <c r="I119" s="27"/>
      <c r="J119" s="290"/>
      <c r="K119" s="44"/>
      <c r="L119" s="259"/>
      <c r="M119" s="27"/>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c r="G123" s="234"/>
      <c r="H123" s="165"/>
      <c r="I123" s="27"/>
      <c r="J123" s="290"/>
      <c r="K123" s="44"/>
      <c r="L123" s="259"/>
      <c r="M123" s="27"/>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297"/>
      <c r="F128" s="680"/>
      <c r="G128" s="680"/>
      <c r="H128" s="680"/>
      <c r="I128" s="297"/>
      <c r="J128" s="680"/>
      <c r="K128" s="680"/>
      <c r="L128" s="680"/>
      <c r="M128" s="297"/>
    </row>
    <row r="129" spans="1:14" s="3" customFormat="1" x14ac:dyDescent="0.2">
      <c r="A129" s="143"/>
      <c r="B129" s="676" t="s">
        <v>0</v>
      </c>
      <c r="C129" s="677"/>
      <c r="D129" s="677"/>
      <c r="E129" s="299"/>
      <c r="F129" s="676" t="s">
        <v>1</v>
      </c>
      <c r="G129" s="677"/>
      <c r="H129" s="677"/>
      <c r="I129" s="302"/>
      <c r="J129" s="676" t="s">
        <v>2</v>
      </c>
      <c r="K129" s="677"/>
      <c r="L129" s="677"/>
      <c r="M129" s="302"/>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8:D18"/>
    <mergeCell ref="F18:H18"/>
    <mergeCell ref="J18:L18"/>
    <mergeCell ref="B42:D42"/>
    <mergeCell ref="B2:D2"/>
    <mergeCell ref="F2:H2"/>
    <mergeCell ref="J2:L2"/>
    <mergeCell ref="B4:D4"/>
    <mergeCell ref="F4:H4"/>
    <mergeCell ref="J4:L4"/>
    <mergeCell ref="B19:D19"/>
    <mergeCell ref="F19:H19"/>
    <mergeCell ref="J19:L19"/>
    <mergeCell ref="D38:F38"/>
    <mergeCell ref="G38:I38"/>
    <mergeCell ref="J38:L38"/>
    <mergeCell ref="B60:D60"/>
    <mergeCell ref="F60:H60"/>
    <mergeCell ref="J60:L60"/>
    <mergeCell ref="B40:D40"/>
    <mergeCell ref="F40:H40"/>
    <mergeCell ref="J40:L40"/>
    <mergeCell ref="B129:D129"/>
    <mergeCell ref="F129:H129"/>
    <mergeCell ref="J129:L129"/>
    <mergeCell ref="B61:D61"/>
    <mergeCell ref="F61:H61"/>
    <mergeCell ref="J61:L61"/>
    <mergeCell ref="B128:D128"/>
    <mergeCell ref="F128:H128"/>
    <mergeCell ref="J128:L128"/>
  </mergeCells>
  <conditionalFormatting sqref="B48:C50">
    <cfRule type="expression" dxfId="81" priority="117">
      <formula>kvartal &lt; 4</formula>
    </cfRule>
  </conditionalFormatting>
  <conditionalFormatting sqref="B29">
    <cfRule type="expression" dxfId="80" priority="115">
      <formula>kvartal &lt; 4</formula>
    </cfRule>
  </conditionalFormatting>
  <conditionalFormatting sqref="B30">
    <cfRule type="expression" dxfId="79" priority="114">
      <formula>kvartal &lt; 4</formula>
    </cfRule>
  </conditionalFormatting>
  <conditionalFormatting sqref="B31">
    <cfRule type="expression" dxfId="78" priority="113">
      <formula>kvartal &lt; 4</formula>
    </cfRule>
  </conditionalFormatting>
  <conditionalFormatting sqref="C29">
    <cfRule type="expression" dxfId="77" priority="112">
      <formula>kvartal &lt; 4</formula>
    </cfRule>
  </conditionalFormatting>
  <conditionalFormatting sqref="C30">
    <cfRule type="expression" dxfId="76" priority="111">
      <formula>kvartal &lt; 4</formula>
    </cfRule>
  </conditionalFormatting>
  <conditionalFormatting sqref="C31">
    <cfRule type="expression" dxfId="75" priority="110">
      <formula>kvartal &lt; 4</formula>
    </cfRule>
  </conditionalFormatting>
  <conditionalFormatting sqref="B23:C25">
    <cfRule type="expression" dxfId="74" priority="109">
      <formula>kvartal &lt; 4</formula>
    </cfRule>
  </conditionalFormatting>
  <conditionalFormatting sqref="F23:G25">
    <cfRule type="expression" dxfId="73" priority="105">
      <formula>kvartal &lt; 4</formula>
    </cfRule>
  </conditionalFormatting>
  <conditionalFormatting sqref="F29">
    <cfRule type="expression" dxfId="72" priority="98">
      <formula>kvartal &lt; 4</formula>
    </cfRule>
  </conditionalFormatting>
  <conditionalFormatting sqref="F30">
    <cfRule type="expression" dxfId="71" priority="97">
      <formula>kvartal &lt; 4</formula>
    </cfRule>
  </conditionalFormatting>
  <conditionalFormatting sqref="F31">
    <cfRule type="expression" dxfId="70" priority="96">
      <formula>kvartal &lt; 4</formula>
    </cfRule>
  </conditionalFormatting>
  <conditionalFormatting sqref="G29">
    <cfRule type="expression" dxfId="69" priority="95">
      <formula>kvartal &lt; 4</formula>
    </cfRule>
  </conditionalFormatting>
  <conditionalFormatting sqref="G30">
    <cfRule type="expression" dxfId="68" priority="94">
      <formula>kvartal &lt; 4</formula>
    </cfRule>
  </conditionalFormatting>
  <conditionalFormatting sqref="G31">
    <cfRule type="expression" dxfId="67" priority="93">
      <formula>kvartal &lt; 4</formula>
    </cfRule>
  </conditionalFormatting>
  <conditionalFormatting sqref="B26">
    <cfRule type="expression" dxfId="66" priority="92">
      <formula>kvartal &lt; 4</formula>
    </cfRule>
  </conditionalFormatting>
  <conditionalFormatting sqref="C26">
    <cfRule type="expression" dxfId="65" priority="91">
      <formula>kvartal &lt; 4</formula>
    </cfRule>
  </conditionalFormatting>
  <conditionalFormatting sqref="F26">
    <cfRule type="expression" dxfId="64" priority="90">
      <formula>kvartal &lt; 4</formula>
    </cfRule>
  </conditionalFormatting>
  <conditionalFormatting sqref="G26">
    <cfRule type="expression" dxfId="63" priority="89">
      <formula>kvartal &lt; 4</formula>
    </cfRule>
  </conditionalFormatting>
  <conditionalFormatting sqref="J23:K26">
    <cfRule type="expression" dxfId="62" priority="88">
      <formula>kvartal &lt; 4</formula>
    </cfRule>
  </conditionalFormatting>
  <conditionalFormatting sqref="J29:K31">
    <cfRule type="expression" dxfId="61" priority="86">
      <formula>kvartal &lt; 4</formula>
    </cfRule>
  </conditionalFormatting>
  <conditionalFormatting sqref="B67">
    <cfRule type="expression" dxfId="60" priority="85">
      <formula>kvartal &lt; 4</formula>
    </cfRule>
  </conditionalFormatting>
  <conditionalFormatting sqref="C67">
    <cfRule type="expression" dxfId="59" priority="84">
      <formula>kvartal &lt; 4</formula>
    </cfRule>
  </conditionalFormatting>
  <conditionalFormatting sqref="B70">
    <cfRule type="expression" dxfId="58" priority="83">
      <formula>kvartal &lt; 4</formula>
    </cfRule>
  </conditionalFormatting>
  <conditionalFormatting sqref="C70">
    <cfRule type="expression" dxfId="57" priority="82">
      <formula>kvartal &lt; 4</formula>
    </cfRule>
  </conditionalFormatting>
  <conditionalFormatting sqref="B78">
    <cfRule type="expression" dxfId="56" priority="81">
      <formula>kvartal &lt; 4</formula>
    </cfRule>
  </conditionalFormatting>
  <conditionalFormatting sqref="C78">
    <cfRule type="expression" dxfId="55" priority="80">
      <formula>kvartal &lt; 4</formula>
    </cfRule>
  </conditionalFormatting>
  <conditionalFormatting sqref="B81">
    <cfRule type="expression" dxfId="54" priority="79">
      <formula>kvartal &lt; 4</formula>
    </cfRule>
  </conditionalFormatting>
  <conditionalFormatting sqref="C81">
    <cfRule type="expression" dxfId="53" priority="78">
      <formula>kvartal &lt; 4</formula>
    </cfRule>
  </conditionalFormatting>
  <conditionalFormatting sqref="B88">
    <cfRule type="expression" dxfId="52" priority="69">
      <formula>kvartal &lt; 4</formula>
    </cfRule>
  </conditionalFormatting>
  <conditionalFormatting sqref="C88">
    <cfRule type="expression" dxfId="51" priority="68">
      <formula>kvartal &lt; 4</formula>
    </cfRule>
  </conditionalFormatting>
  <conditionalFormatting sqref="B91">
    <cfRule type="expression" dxfId="50" priority="67">
      <formula>kvartal &lt; 4</formula>
    </cfRule>
  </conditionalFormatting>
  <conditionalFormatting sqref="C91">
    <cfRule type="expression" dxfId="49" priority="66">
      <formula>kvartal &lt; 4</formula>
    </cfRule>
  </conditionalFormatting>
  <conditionalFormatting sqref="B99">
    <cfRule type="expression" dxfId="48" priority="65">
      <formula>kvartal &lt; 4</formula>
    </cfRule>
  </conditionalFormatting>
  <conditionalFormatting sqref="C99">
    <cfRule type="expression" dxfId="47" priority="64">
      <formula>kvartal &lt; 4</formula>
    </cfRule>
  </conditionalFormatting>
  <conditionalFormatting sqref="B102">
    <cfRule type="expression" dxfId="46" priority="63">
      <formula>kvartal &lt; 4</formula>
    </cfRule>
  </conditionalFormatting>
  <conditionalFormatting sqref="C102">
    <cfRule type="expression" dxfId="45" priority="62">
      <formula>kvartal &lt; 4</formula>
    </cfRule>
  </conditionalFormatting>
  <conditionalFormatting sqref="B113">
    <cfRule type="expression" dxfId="44" priority="61">
      <formula>kvartal &lt; 4</formula>
    </cfRule>
  </conditionalFormatting>
  <conditionalFormatting sqref="C113">
    <cfRule type="expression" dxfId="43" priority="60">
      <formula>kvartal &lt; 4</formula>
    </cfRule>
  </conditionalFormatting>
  <conditionalFormatting sqref="B121">
    <cfRule type="expression" dxfId="42" priority="59">
      <formula>kvartal &lt; 4</formula>
    </cfRule>
  </conditionalFormatting>
  <conditionalFormatting sqref="C121">
    <cfRule type="expression" dxfId="41" priority="58">
      <formula>kvartal &lt; 4</formula>
    </cfRule>
  </conditionalFormatting>
  <conditionalFormatting sqref="F68">
    <cfRule type="expression" dxfId="40" priority="57">
      <formula>kvartal &lt; 4</formula>
    </cfRule>
  </conditionalFormatting>
  <conditionalFormatting sqref="G68">
    <cfRule type="expression" dxfId="39" priority="56">
      <formula>kvartal &lt; 4</formula>
    </cfRule>
  </conditionalFormatting>
  <conditionalFormatting sqref="F69:G69">
    <cfRule type="expression" dxfId="38" priority="55">
      <formula>kvartal &lt; 4</formula>
    </cfRule>
  </conditionalFormatting>
  <conditionalFormatting sqref="F71:G72">
    <cfRule type="expression" dxfId="37" priority="54">
      <formula>kvartal &lt; 4</formula>
    </cfRule>
  </conditionalFormatting>
  <conditionalFormatting sqref="F79:G80">
    <cfRule type="expression" dxfId="36" priority="53">
      <formula>kvartal &lt; 4</formula>
    </cfRule>
  </conditionalFormatting>
  <conditionalFormatting sqref="F82:G83">
    <cfRule type="expression" dxfId="35" priority="52">
      <formula>kvartal &lt; 4</formula>
    </cfRule>
  </conditionalFormatting>
  <conditionalFormatting sqref="F89:G90">
    <cfRule type="expression" dxfId="34" priority="47">
      <formula>kvartal &lt; 4</formula>
    </cfRule>
  </conditionalFormatting>
  <conditionalFormatting sqref="F92:G93">
    <cfRule type="expression" dxfId="33" priority="46">
      <formula>kvartal &lt; 4</formula>
    </cfRule>
  </conditionalFormatting>
  <conditionalFormatting sqref="F100:G101">
    <cfRule type="expression" dxfId="32" priority="45">
      <formula>kvartal &lt; 4</formula>
    </cfRule>
  </conditionalFormatting>
  <conditionalFormatting sqref="F103:G104">
    <cfRule type="expression" dxfId="31" priority="44">
      <formula>kvartal &lt; 4</formula>
    </cfRule>
  </conditionalFormatting>
  <conditionalFormatting sqref="F113">
    <cfRule type="expression" dxfId="30" priority="43">
      <formula>kvartal &lt; 4</formula>
    </cfRule>
  </conditionalFormatting>
  <conditionalFormatting sqref="G113">
    <cfRule type="expression" dxfId="29" priority="42">
      <formula>kvartal &lt; 4</formula>
    </cfRule>
  </conditionalFormatting>
  <conditionalFormatting sqref="F121:G121">
    <cfRule type="expression" dxfId="28" priority="41">
      <formula>kvartal &lt; 4</formula>
    </cfRule>
  </conditionalFormatting>
  <conditionalFormatting sqref="F67:G67">
    <cfRule type="expression" dxfId="27" priority="40">
      <formula>kvartal &lt; 4</formula>
    </cfRule>
  </conditionalFormatting>
  <conditionalFormatting sqref="F70:G70">
    <cfRule type="expression" dxfId="26" priority="39">
      <formula>kvartal &lt; 4</formula>
    </cfRule>
  </conditionalFormatting>
  <conditionalFormatting sqref="F78:G78">
    <cfRule type="expression" dxfId="25" priority="38">
      <formula>kvartal &lt; 4</formula>
    </cfRule>
  </conditionalFormatting>
  <conditionalFormatting sqref="F81:G81">
    <cfRule type="expression" dxfId="24" priority="37">
      <formula>kvartal &lt; 4</formula>
    </cfRule>
  </conditionalFormatting>
  <conditionalFormatting sqref="F88:G88">
    <cfRule type="expression" dxfId="23" priority="31">
      <formula>kvartal &lt; 4</formula>
    </cfRule>
  </conditionalFormatting>
  <conditionalFormatting sqref="F91">
    <cfRule type="expression" dxfId="22" priority="30">
      <formula>kvartal &lt; 4</formula>
    </cfRule>
  </conditionalFormatting>
  <conditionalFormatting sqref="G91">
    <cfRule type="expression" dxfId="21" priority="29">
      <formula>kvartal &lt; 4</formula>
    </cfRule>
  </conditionalFormatting>
  <conditionalFormatting sqref="F99">
    <cfRule type="expression" dxfId="20" priority="28">
      <formula>kvartal &lt; 4</formula>
    </cfRule>
  </conditionalFormatting>
  <conditionalFormatting sqref="G99">
    <cfRule type="expression" dxfId="19" priority="27">
      <formula>kvartal &lt; 4</formula>
    </cfRule>
  </conditionalFormatting>
  <conditionalFormatting sqref="G102">
    <cfRule type="expression" dxfId="18" priority="26">
      <formula>kvartal &lt; 4</formula>
    </cfRule>
  </conditionalFormatting>
  <conditionalFormatting sqref="F102">
    <cfRule type="expression" dxfId="17" priority="25">
      <formula>kvartal &lt; 4</formula>
    </cfRule>
  </conditionalFormatting>
  <conditionalFormatting sqref="J67:K71">
    <cfRule type="expression" dxfId="16" priority="24">
      <formula>kvartal &lt; 4</formula>
    </cfRule>
  </conditionalFormatting>
  <conditionalFormatting sqref="J72:K72">
    <cfRule type="expression" dxfId="15" priority="23">
      <formula>kvartal &lt; 4</formula>
    </cfRule>
  </conditionalFormatting>
  <conditionalFormatting sqref="J78:K83">
    <cfRule type="expression" dxfId="14" priority="22">
      <formula>kvartal &lt; 4</formula>
    </cfRule>
  </conditionalFormatting>
  <conditionalFormatting sqref="J88:K93">
    <cfRule type="expression" dxfId="13" priority="19">
      <formula>kvartal &lt; 4</formula>
    </cfRule>
  </conditionalFormatting>
  <conditionalFormatting sqref="J99:K104">
    <cfRule type="expression" dxfId="12" priority="18">
      <formula>kvartal &lt; 4</formula>
    </cfRule>
  </conditionalFormatting>
  <conditionalFormatting sqref="J113:K113">
    <cfRule type="expression" dxfId="11" priority="17">
      <formula>kvartal &lt; 4</formula>
    </cfRule>
  </conditionalFormatting>
  <conditionalFormatting sqref="J121:K121">
    <cfRule type="expression" dxfId="10" priority="16">
      <formula>kvartal &lt; 4</formula>
    </cfRule>
  </conditionalFormatting>
  <conditionalFormatting sqref="A23:A25">
    <cfRule type="expression" dxfId="9" priority="15">
      <formula>kvartal &lt; 4</formula>
    </cfRule>
  </conditionalFormatting>
  <conditionalFormatting sqref="A29:A31">
    <cfRule type="expression" dxfId="8" priority="13">
      <formula>kvartal &lt; 4</formula>
    </cfRule>
  </conditionalFormatting>
  <conditionalFormatting sqref="A48:A50">
    <cfRule type="expression" dxfId="7" priority="12">
      <formula>kvartal &lt; 4</formula>
    </cfRule>
  </conditionalFormatting>
  <conditionalFormatting sqref="A67:A72">
    <cfRule type="expression" dxfId="6" priority="10">
      <formula>kvartal &lt; 4</formula>
    </cfRule>
  </conditionalFormatting>
  <conditionalFormatting sqref="A78:A83">
    <cfRule type="expression" dxfId="5" priority="9">
      <formula>kvartal &lt; 4</formula>
    </cfRule>
  </conditionalFormatting>
  <conditionalFormatting sqref="A88:A93">
    <cfRule type="expression" dxfId="4" priority="6">
      <formula>kvartal &lt; 4</formula>
    </cfRule>
  </conditionalFormatting>
  <conditionalFormatting sqref="A99:A104">
    <cfRule type="expression" dxfId="3" priority="5">
      <formula>kvartal &lt; 4</formula>
    </cfRule>
  </conditionalFormatting>
  <conditionalFormatting sqref="A113">
    <cfRule type="expression" dxfId="2" priority="4">
      <formula>kvartal &lt; 4</formula>
    </cfRule>
  </conditionalFormatting>
  <conditionalFormatting sqref="A121">
    <cfRule type="expression" dxfId="1" priority="3">
      <formula>kvartal &lt; 4</formula>
    </cfRule>
  </conditionalFormatting>
  <conditionalFormatting sqref="A26">
    <cfRule type="expression" dxfId="0" priority="2">
      <formula>kvartal &lt; 4</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showGridLines="0" zoomScale="60" zoomScaleNormal="60" workbookViewId="0">
      <pane xSplit="1" ySplit="8" topLeftCell="B9" activePane="bottomRight" state="frozen"/>
      <selection pane="topRight" activeCell="B1" sqref="B1"/>
      <selection pane="bottomLeft" activeCell="A9" sqref="A9"/>
      <selection pane="bottomRight" activeCell="A4" sqref="A4"/>
    </sheetView>
  </sheetViews>
  <sheetFormatPr baseColWidth="10" defaultColWidth="11.42578125" defaultRowHeight="12.75" x14ac:dyDescent="0.2"/>
  <cols>
    <col min="1" max="1" width="90" style="548" customWidth="1"/>
    <col min="2" max="46" width="11.7109375" style="548" customWidth="1"/>
    <col min="47" max="16384" width="11.42578125" style="548"/>
  </cols>
  <sheetData>
    <row r="1" spans="1:46" ht="20.25" x14ac:dyDescent="0.3">
      <c r="A1" s="546" t="s">
        <v>330</v>
      </c>
      <c r="B1" s="441" t="s">
        <v>56</v>
      </c>
      <c r="C1" s="547"/>
      <c r="D1" s="547"/>
      <c r="E1" s="547"/>
      <c r="F1" s="547"/>
      <c r="G1" s="547"/>
      <c r="H1" s="547"/>
      <c r="I1" s="547"/>
      <c r="J1" s="547"/>
    </row>
    <row r="2" spans="1:46" ht="20.25" x14ac:dyDescent="0.3">
      <c r="A2" s="546" t="s">
        <v>277</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row>
    <row r="3" spans="1:46" ht="18.75" x14ac:dyDescent="0.3">
      <c r="A3" s="550" t="s">
        <v>331</v>
      </c>
      <c r="B3" s="551"/>
      <c r="C3" s="551"/>
      <c r="D3" s="551"/>
      <c r="E3" s="551"/>
      <c r="F3" s="551"/>
      <c r="G3" s="551"/>
      <c r="H3" s="551"/>
      <c r="I3" s="551"/>
      <c r="J3" s="551"/>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52"/>
      <c r="AS3" s="549"/>
      <c r="AT3" s="549"/>
    </row>
    <row r="4" spans="1:46" ht="18.75" customHeight="1" x14ac:dyDescent="0.25">
      <c r="A4" s="553" t="s">
        <v>421</v>
      </c>
      <c r="B4" s="554"/>
      <c r="C4" s="554"/>
      <c r="D4" s="555"/>
      <c r="E4" s="556"/>
      <c r="F4" s="554"/>
      <c r="G4" s="555"/>
      <c r="H4" s="556"/>
      <c r="I4" s="554"/>
      <c r="J4" s="555"/>
      <c r="K4" s="557"/>
      <c r="L4" s="557"/>
      <c r="M4" s="557"/>
      <c r="N4" s="558"/>
      <c r="O4" s="557"/>
      <c r="P4" s="559"/>
      <c r="Q4" s="558"/>
      <c r="R4" s="557"/>
      <c r="S4" s="559"/>
      <c r="T4" s="558"/>
      <c r="U4" s="557"/>
      <c r="V4" s="559"/>
      <c r="W4" s="558"/>
      <c r="X4" s="557"/>
      <c r="Y4" s="559"/>
      <c r="Z4" s="558"/>
      <c r="AA4" s="557"/>
      <c r="AB4" s="559"/>
      <c r="AC4" s="558"/>
      <c r="AD4" s="557"/>
      <c r="AE4" s="559"/>
      <c r="AF4" s="558"/>
      <c r="AG4" s="557"/>
      <c r="AH4" s="559"/>
      <c r="AI4" s="558"/>
      <c r="AJ4" s="557"/>
      <c r="AK4" s="559"/>
      <c r="AL4" s="558"/>
      <c r="AM4" s="557"/>
      <c r="AN4" s="559"/>
      <c r="AO4" s="560"/>
      <c r="AP4" s="561"/>
      <c r="AQ4" s="562"/>
      <c r="AR4" s="558"/>
      <c r="AS4" s="557"/>
      <c r="AT4" s="563"/>
    </row>
    <row r="5" spans="1:46" ht="18.75" customHeight="1" x14ac:dyDescent="0.3">
      <c r="A5" s="564" t="s">
        <v>115</v>
      </c>
      <c r="B5" s="689" t="s">
        <v>192</v>
      </c>
      <c r="C5" s="690"/>
      <c r="D5" s="691"/>
      <c r="E5" s="689" t="s">
        <v>193</v>
      </c>
      <c r="F5" s="690"/>
      <c r="G5" s="691"/>
      <c r="H5" s="689" t="s">
        <v>194</v>
      </c>
      <c r="I5" s="690"/>
      <c r="J5" s="691"/>
      <c r="K5" s="689" t="s">
        <v>195</v>
      </c>
      <c r="L5" s="690"/>
      <c r="M5" s="691"/>
      <c r="N5" s="689" t="s">
        <v>196</v>
      </c>
      <c r="O5" s="690"/>
      <c r="P5" s="691"/>
      <c r="Q5" s="689"/>
      <c r="R5" s="690"/>
      <c r="S5" s="691"/>
      <c r="T5" s="689" t="s">
        <v>68</v>
      </c>
      <c r="U5" s="690"/>
      <c r="V5" s="691"/>
      <c r="W5" s="565"/>
      <c r="X5" s="566"/>
      <c r="Y5" s="567"/>
      <c r="Z5" s="689" t="s">
        <v>197</v>
      </c>
      <c r="AA5" s="690"/>
      <c r="AB5" s="691"/>
      <c r="AC5" s="565"/>
      <c r="AD5" s="566"/>
      <c r="AE5" s="567"/>
      <c r="AF5" s="689" t="s">
        <v>80</v>
      </c>
      <c r="AG5" s="690"/>
      <c r="AH5" s="691"/>
      <c r="AI5" s="689"/>
      <c r="AJ5" s="690"/>
      <c r="AK5" s="691"/>
      <c r="AL5" s="689" t="s">
        <v>81</v>
      </c>
      <c r="AM5" s="690"/>
      <c r="AN5" s="691"/>
      <c r="AO5" s="692" t="s">
        <v>2</v>
      </c>
      <c r="AP5" s="693"/>
      <c r="AQ5" s="694"/>
      <c r="AR5" s="689" t="s">
        <v>332</v>
      </c>
      <c r="AS5" s="690"/>
      <c r="AT5" s="691"/>
    </row>
    <row r="6" spans="1:46" ht="21" customHeight="1" x14ac:dyDescent="0.3">
      <c r="A6" s="568"/>
      <c r="B6" s="683" t="s">
        <v>198</v>
      </c>
      <c r="C6" s="684"/>
      <c r="D6" s="685"/>
      <c r="E6" s="683" t="s">
        <v>199</v>
      </c>
      <c r="F6" s="684"/>
      <c r="G6" s="685"/>
      <c r="H6" s="683" t="s">
        <v>199</v>
      </c>
      <c r="I6" s="684"/>
      <c r="J6" s="685"/>
      <c r="K6" s="683" t="s">
        <v>200</v>
      </c>
      <c r="L6" s="684"/>
      <c r="M6" s="685"/>
      <c r="N6" s="683" t="s">
        <v>101</v>
      </c>
      <c r="O6" s="684"/>
      <c r="P6" s="685"/>
      <c r="Q6" s="683" t="s">
        <v>68</v>
      </c>
      <c r="R6" s="684"/>
      <c r="S6" s="685"/>
      <c r="T6" s="683" t="s">
        <v>201</v>
      </c>
      <c r="U6" s="684"/>
      <c r="V6" s="685"/>
      <c r="W6" s="683" t="s">
        <v>73</v>
      </c>
      <c r="X6" s="684"/>
      <c r="Y6" s="685"/>
      <c r="Z6" s="683" t="s">
        <v>198</v>
      </c>
      <c r="AA6" s="684"/>
      <c r="AB6" s="685"/>
      <c r="AC6" s="683" t="s">
        <v>79</v>
      </c>
      <c r="AD6" s="684"/>
      <c r="AE6" s="685"/>
      <c r="AF6" s="683" t="s">
        <v>202</v>
      </c>
      <c r="AG6" s="684"/>
      <c r="AH6" s="685"/>
      <c r="AI6" s="683" t="s">
        <v>75</v>
      </c>
      <c r="AJ6" s="684"/>
      <c r="AK6" s="685"/>
      <c r="AL6" s="683" t="s">
        <v>199</v>
      </c>
      <c r="AM6" s="684"/>
      <c r="AN6" s="685"/>
      <c r="AO6" s="686" t="s">
        <v>333</v>
      </c>
      <c r="AP6" s="687"/>
      <c r="AQ6" s="688"/>
      <c r="AR6" s="683" t="s">
        <v>334</v>
      </c>
      <c r="AS6" s="684"/>
      <c r="AT6" s="685"/>
    </row>
    <row r="7" spans="1:46" ht="18.75" customHeight="1" x14ac:dyDescent="0.3">
      <c r="A7" s="568"/>
      <c r="B7" s="568"/>
      <c r="C7" s="568"/>
      <c r="D7" s="569" t="s">
        <v>90</v>
      </c>
      <c r="E7" s="568"/>
      <c r="F7" s="568"/>
      <c r="G7" s="569" t="s">
        <v>90</v>
      </c>
      <c r="H7" s="568"/>
      <c r="I7" s="568"/>
      <c r="J7" s="569" t="s">
        <v>90</v>
      </c>
      <c r="K7" s="568"/>
      <c r="L7" s="568"/>
      <c r="M7" s="569" t="s">
        <v>90</v>
      </c>
      <c r="N7" s="568"/>
      <c r="O7" s="568"/>
      <c r="P7" s="569" t="s">
        <v>90</v>
      </c>
      <c r="Q7" s="568"/>
      <c r="R7" s="568"/>
      <c r="S7" s="569" t="s">
        <v>90</v>
      </c>
      <c r="T7" s="568"/>
      <c r="U7" s="568"/>
      <c r="V7" s="569" t="s">
        <v>90</v>
      </c>
      <c r="W7" s="568"/>
      <c r="X7" s="568"/>
      <c r="Y7" s="569" t="s">
        <v>90</v>
      </c>
      <c r="Z7" s="568"/>
      <c r="AA7" s="568"/>
      <c r="AB7" s="569" t="s">
        <v>90</v>
      </c>
      <c r="AC7" s="568"/>
      <c r="AD7" s="568"/>
      <c r="AE7" s="569" t="s">
        <v>90</v>
      </c>
      <c r="AF7" s="568"/>
      <c r="AG7" s="568"/>
      <c r="AH7" s="569" t="s">
        <v>90</v>
      </c>
      <c r="AI7" s="568"/>
      <c r="AJ7" s="568"/>
      <c r="AK7" s="569" t="s">
        <v>90</v>
      </c>
      <c r="AL7" s="568"/>
      <c r="AM7" s="568"/>
      <c r="AN7" s="569" t="s">
        <v>90</v>
      </c>
      <c r="AO7" s="568"/>
      <c r="AP7" s="568"/>
      <c r="AQ7" s="569" t="s">
        <v>90</v>
      </c>
      <c r="AR7" s="568"/>
      <c r="AS7" s="568"/>
      <c r="AT7" s="569" t="s">
        <v>90</v>
      </c>
    </row>
    <row r="8" spans="1:46" ht="18.75" customHeight="1" x14ac:dyDescent="0.25">
      <c r="A8" s="570" t="s">
        <v>335</v>
      </c>
      <c r="B8" s="571">
        <v>2016</v>
      </c>
      <c r="C8" s="571">
        <v>2017</v>
      </c>
      <c r="D8" s="572" t="s">
        <v>92</v>
      </c>
      <c r="E8" s="571">
        <v>2016</v>
      </c>
      <c r="F8" s="571">
        <v>2017</v>
      </c>
      <c r="G8" s="572" t="s">
        <v>92</v>
      </c>
      <c r="H8" s="571">
        <v>2016</v>
      </c>
      <c r="I8" s="571">
        <v>2017</v>
      </c>
      <c r="J8" s="572" t="s">
        <v>92</v>
      </c>
      <c r="K8" s="571">
        <v>2016</v>
      </c>
      <c r="L8" s="571">
        <v>2017</v>
      </c>
      <c r="M8" s="572" t="s">
        <v>92</v>
      </c>
      <c r="N8" s="571">
        <v>2016</v>
      </c>
      <c r="O8" s="571">
        <v>2017</v>
      </c>
      <c r="P8" s="572" t="s">
        <v>92</v>
      </c>
      <c r="Q8" s="571">
        <v>2016</v>
      </c>
      <c r="R8" s="571">
        <v>2017</v>
      </c>
      <c r="S8" s="572" t="s">
        <v>92</v>
      </c>
      <c r="T8" s="571">
        <v>2016</v>
      </c>
      <c r="U8" s="571">
        <v>2017</v>
      </c>
      <c r="V8" s="572" t="s">
        <v>92</v>
      </c>
      <c r="W8" s="571">
        <v>2016</v>
      </c>
      <c r="X8" s="571">
        <v>2017</v>
      </c>
      <c r="Y8" s="572" t="s">
        <v>92</v>
      </c>
      <c r="Z8" s="571">
        <v>2016</v>
      </c>
      <c r="AA8" s="571">
        <v>2017</v>
      </c>
      <c r="AB8" s="572" t="s">
        <v>92</v>
      </c>
      <c r="AC8" s="571">
        <v>2016</v>
      </c>
      <c r="AD8" s="571">
        <v>2017</v>
      </c>
      <c r="AE8" s="572" t="s">
        <v>92</v>
      </c>
      <c r="AF8" s="571">
        <v>2016</v>
      </c>
      <c r="AG8" s="571">
        <v>2017</v>
      </c>
      <c r="AH8" s="572" t="s">
        <v>92</v>
      </c>
      <c r="AI8" s="571">
        <v>2016</v>
      </c>
      <c r="AJ8" s="571">
        <v>2017</v>
      </c>
      <c r="AK8" s="572" t="s">
        <v>92</v>
      </c>
      <c r="AL8" s="571">
        <v>2016</v>
      </c>
      <c r="AM8" s="571">
        <v>2017</v>
      </c>
      <c r="AN8" s="572" t="s">
        <v>92</v>
      </c>
      <c r="AO8" s="571">
        <v>2016</v>
      </c>
      <c r="AP8" s="571">
        <v>2017</v>
      </c>
      <c r="AQ8" s="572" t="s">
        <v>92</v>
      </c>
      <c r="AR8" s="571">
        <v>2016</v>
      </c>
      <c r="AS8" s="571">
        <v>2017</v>
      </c>
      <c r="AT8" s="572" t="s">
        <v>92</v>
      </c>
    </row>
    <row r="9" spans="1:46" ht="18.75" customHeight="1" x14ac:dyDescent="0.3">
      <c r="A9" s="568" t="s">
        <v>336</v>
      </c>
      <c r="B9" s="573"/>
      <c r="C9" s="574"/>
      <c r="D9" s="575"/>
      <c r="E9" s="573"/>
      <c r="F9" s="574"/>
      <c r="G9" s="575"/>
      <c r="H9" s="573"/>
      <c r="I9" s="574"/>
      <c r="J9" s="575"/>
      <c r="K9" s="573"/>
      <c r="L9" s="574"/>
      <c r="M9" s="574"/>
      <c r="N9" s="576"/>
      <c r="O9" s="577"/>
      <c r="P9" s="575"/>
      <c r="Q9" s="578"/>
      <c r="R9" s="575"/>
      <c r="S9" s="575"/>
      <c r="T9" s="573"/>
      <c r="U9" s="574"/>
      <c r="V9" s="575"/>
      <c r="W9" s="573"/>
      <c r="X9" s="574"/>
      <c r="Y9" s="575"/>
      <c r="Z9" s="578"/>
      <c r="AA9" s="575"/>
      <c r="AB9" s="575"/>
      <c r="AC9" s="573"/>
      <c r="AD9" s="574"/>
      <c r="AE9" s="575"/>
      <c r="AF9" s="578"/>
      <c r="AG9" s="575"/>
      <c r="AH9" s="575"/>
      <c r="AI9" s="573"/>
      <c r="AJ9" s="574"/>
      <c r="AK9" s="575"/>
      <c r="AL9" s="573"/>
      <c r="AM9" s="574"/>
      <c r="AN9" s="575"/>
      <c r="AO9" s="579"/>
      <c r="AP9" s="579"/>
      <c r="AQ9" s="579"/>
      <c r="AR9" s="580"/>
      <c r="AS9" s="580"/>
      <c r="AT9" s="580"/>
    </row>
    <row r="10" spans="1:46" s="549" customFormat="1" ht="18.75" customHeight="1" x14ac:dyDescent="0.3">
      <c r="A10" s="581" t="s">
        <v>337</v>
      </c>
      <c r="B10" s="473"/>
      <c r="C10" s="474"/>
      <c r="D10" s="496"/>
      <c r="E10" s="473"/>
      <c r="F10" s="474"/>
      <c r="G10" s="496"/>
      <c r="H10" s="473"/>
      <c r="I10" s="474"/>
      <c r="J10" s="496"/>
      <c r="K10" s="473"/>
      <c r="L10" s="474"/>
      <c r="M10" s="474"/>
      <c r="N10" s="582"/>
      <c r="O10" s="583"/>
      <c r="P10" s="496"/>
      <c r="Q10" s="507"/>
      <c r="R10" s="496"/>
      <c r="S10" s="496"/>
      <c r="T10" s="473"/>
      <c r="U10" s="474"/>
      <c r="V10" s="496"/>
      <c r="W10" s="473"/>
      <c r="X10" s="474"/>
      <c r="Y10" s="496"/>
      <c r="Z10" s="507"/>
      <c r="AA10" s="496"/>
      <c r="AB10" s="496"/>
      <c r="AC10" s="473"/>
      <c r="AD10" s="474"/>
      <c r="AE10" s="496"/>
      <c r="AF10" s="507"/>
      <c r="AG10" s="496"/>
      <c r="AH10" s="496"/>
      <c r="AI10" s="473"/>
      <c r="AJ10" s="474"/>
      <c r="AK10" s="496"/>
      <c r="AL10" s="473"/>
      <c r="AM10" s="474"/>
      <c r="AN10" s="496"/>
      <c r="AO10" s="584"/>
      <c r="AP10" s="584"/>
      <c r="AQ10" s="584"/>
      <c r="AR10" s="585"/>
      <c r="AS10" s="585"/>
      <c r="AT10" s="585"/>
    </row>
    <row r="11" spans="1:46" s="549" customFormat="1" ht="18.75" customHeight="1" x14ac:dyDescent="0.3">
      <c r="A11" s="581" t="s">
        <v>338</v>
      </c>
      <c r="B11" s="507">
        <v>995.90599999999995</v>
      </c>
      <c r="C11" s="496">
        <v>1069.4949999999999</v>
      </c>
      <c r="D11" s="584">
        <f t="shared" ref="D11:D45" si="0">IF(B11=0, "    ---- ", IF(ABS(ROUND(100/B11*C11-100,1))&lt;999,ROUND(100/B11*C11-100,1),IF(ROUND(100/B11*C11-100,1)&gt;999,999,-999)))</f>
        <v>7.4</v>
      </c>
      <c r="E11" s="507">
        <v>8735.6270000000004</v>
      </c>
      <c r="F11" s="496">
        <v>7590.8140000000003</v>
      </c>
      <c r="G11" s="584">
        <f t="shared" ref="G11:G45" si="1">IF(E11=0, "    ---- ", IF(ABS(ROUND(100/E11*F11-100,1))&lt;999,ROUND(100/E11*F11-100,1),IF(ROUND(100/E11*F11-100,1)&gt;999,999,-999)))</f>
        <v>-13.1</v>
      </c>
      <c r="H11" s="507">
        <v>616.10500000000002</v>
      </c>
      <c r="I11" s="496">
        <v>683.18899999999996</v>
      </c>
      <c r="J11" s="584">
        <f t="shared" ref="J11:J45" si="2">IF(H11=0, "    ---- ", IF(ABS(ROUND(100/H11*I11-100,1))&lt;999,ROUND(100/H11*I11-100,1),IF(ROUND(100/H11*I11-100,1)&gt;999,999,-999)))</f>
        <v>10.9</v>
      </c>
      <c r="K11" s="507">
        <v>1203.4549999999999</v>
      </c>
      <c r="L11" s="496">
        <v>1502.7</v>
      </c>
      <c r="M11" s="584">
        <f t="shared" ref="M11:M45" si="3">IF(K11=0, "    ---- ", IF(ABS(ROUND(100/K11*L11-100,1))&lt;999,ROUND(100/K11*L11-100,1),IF(ROUND(100/K11*L11-100,1)&gt;999,999,-999)))</f>
        <v>24.9</v>
      </c>
      <c r="N11" s="507">
        <v>21</v>
      </c>
      <c r="O11" s="496">
        <v>20</v>
      </c>
      <c r="P11" s="496">
        <v>-0.5</v>
      </c>
      <c r="Q11" s="507">
        <v>17940.127329450002</v>
      </c>
      <c r="R11" s="496">
        <v>14949.065606979999</v>
      </c>
      <c r="S11" s="584">
        <f t="shared" ref="S11:S45" si="4">IF(Q11=0, "    ---- ", IF(ABS(ROUND(100/Q11*R11-100,1))&lt;999,ROUND(100/Q11*R11-100,1),IF(ROUND(100/Q11*R11-100,1)&gt;999,999,-999)))</f>
        <v>-16.7</v>
      </c>
      <c r="T11" s="507">
        <v>183.762</v>
      </c>
      <c r="U11" s="496">
        <v>218.28100000000001</v>
      </c>
      <c r="V11" s="584">
        <f t="shared" ref="V11:V45" si="5">IF(T11=0, "    ---- ", IF(ABS(ROUND(100/T11*U11-100,1))&lt;999,ROUND(100/T11*U11-100,1),IF(ROUND(100/T11*U11-100,1)&gt;999,999,-999)))</f>
        <v>18.8</v>
      </c>
      <c r="W11" s="507">
        <v>5830</v>
      </c>
      <c r="X11" s="496">
        <v>5736</v>
      </c>
      <c r="Y11" s="584">
        <f t="shared" ref="Y11:Y45" si="6">IF(W11=0, "    ---- ", IF(ABS(ROUND(100/W11*X11-100,1))&lt;999,ROUND(100/W11*X11-100,1),IF(ROUND(100/W11*X11-100,1)&gt;999,999,-999)))</f>
        <v>-1.6</v>
      </c>
      <c r="Z11" s="507">
        <v>1316</v>
      </c>
      <c r="AA11" s="496">
        <v>1525</v>
      </c>
      <c r="AB11" s="584">
        <f t="shared" ref="AB11:AB45" si="7">IF(Z11=0, "    ---- ", IF(ABS(ROUND(100/Z11*AA11-100,1))&lt;999,ROUND(100/Z11*AA11-100,1),IF(ROUND(100/Z11*AA11-100,1)&gt;999,999,-999)))</f>
        <v>15.9</v>
      </c>
      <c r="AC11" s="507">
        <v>65</v>
      </c>
      <c r="AD11" s="496">
        <v>60</v>
      </c>
      <c r="AE11" s="584">
        <f t="shared" ref="AE11:AE45" si="8">IF(AC11=0, "    ---- ", IF(ABS(ROUND(100/AC11*AD11-100,1))&lt;999,ROUND(100/AC11*AD11-100,1),IF(ROUND(100/AC11*AD11-100,1)&gt;999,999,-999)))</f>
        <v>-7.7</v>
      </c>
      <c r="AF11" s="507"/>
      <c r="AG11" s="496"/>
      <c r="AH11" s="584"/>
      <c r="AI11" s="507">
        <v>2507.1861711099991</v>
      </c>
      <c r="AJ11" s="496">
        <v>3063.7735745700002</v>
      </c>
      <c r="AK11" s="584">
        <f t="shared" ref="AK11:AK45" si="9">IF(AI11=0, "    ---- ", IF(ABS(ROUND(100/AI11*AJ11-100,1))&lt;999,ROUND(100/AI11*AJ11-100,1),IF(ROUND(100/AI11*AJ11-100,1)&gt;999,999,-999)))</f>
        <v>22.2</v>
      </c>
      <c r="AL11" s="507">
        <v>9474</v>
      </c>
      <c r="AM11" s="496">
        <v>8921</v>
      </c>
      <c r="AN11" s="584">
        <f t="shared" ref="AN11:AN45" si="10">IF(AL11=0, "    ---- ", IF(ABS(ROUND(100/AL11*AM11-100,1))&lt;999,ROUND(100/AL11*AM11-100,1),IF(ROUND(100/AL11*AM11-100,1)&gt;999,999,-999)))</f>
        <v>-5.8</v>
      </c>
      <c r="AO11" s="584">
        <f>B11+E11+H11+K11+Q11+T11+W11+Z11+AF11+AI11+AL11</f>
        <v>48802.168500559994</v>
      </c>
      <c r="AP11" s="584">
        <f>C11+F11+I11+L11+R11+U11+X11+AA11+AG11+AJ11+AM11</f>
        <v>45259.318181549992</v>
      </c>
      <c r="AQ11" s="584">
        <f t="shared" ref="AQ11:AQ45" si="11">IF(AO11=0, "    ---- ", IF(ABS(ROUND(100/AO11*AP11-100,1))&lt;999,ROUND(100/AO11*AP11-100,1),IF(ROUND(100/AO11*AP11-100,1)&gt;999,999,-999)))</f>
        <v>-7.3</v>
      </c>
      <c r="AR11" s="586">
        <f>+B11+E11+H11+K11+N11+Q11+T11+W11+Z11+AC11+AF11+AI11+AL11</f>
        <v>48888.168500559994</v>
      </c>
      <c r="AS11" s="584">
        <f>+C11+F11+I11+L11+O11+R11+U11+X11+AA11+AD11+AG11+AJ11+AM11</f>
        <v>45339.318181549992</v>
      </c>
      <c r="AT11" s="584">
        <f t="shared" ref="AT11:AT17" si="12">IF(AR11=0, "    ---- ", IF(ABS(ROUND(100/AR11*AS11-100,1))&lt;999,ROUND(100/AR11*AS11-100,1),IF(ROUND(100/AR11*AS11-100,1)&gt;999,999,-999)))</f>
        <v>-7.3</v>
      </c>
    </row>
    <row r="12" spans="1:46" s="549" customFormat="1" ht="18.75" customHeight="1" x14ac:dyDescent="0.3">
      <c r="A12" s="581" t="s">
        <v>339</v>
      </c>
      <c r="B12" s="507">
        <v>-41.094000000000001</v>
      </c>
      <c r="C12" s="496">
        <v>-45.863</v>
      </c>
      <c r="D12" s="584">
        <f t="shared" si="0"/>
        <v>11.6</v>
      </c>
      <c r="E12" s="507">
        <v>-178.26400000000001</v>
      </c>
      <c r="F12" s="496">
        <v>-160.17599999999999</v>
      </c>
      <c r="G12" s="584">
        <f t="shared" si="1"/>
        <v>-10.1</v>
      </c>
      <c r="H12" s="507">
        <v>-24.523</v>
      </c>
      <c r="I12" s="496">
        <v>-28.052</v>
      </c>
      <c r="J12" s="584">
        <f t="shared" si="2"/>
        <v>14.4</v>
      </c>
      <c r="K12" s="507">
        <v>-5.4569999999999999</v>
      </c>
      <c r="L12" s="496">
        <v>-6.9</v>
      </c>
      <c r="M12" s="584">
        <f t="shared" si="3"/>
        <v>26.4</v>
      </c>
      <c r="N12" s="507"/>
      <c r="O12" s="496"/>
      <c r="P12" s="496"/>
      <c r="Q12" s="507">
        <v>-1.454731</v>
      </c>
      <c r="R12" s="496">
        <v>0</v>
      </c>
      <c r="S12" s="584">
        <f t="shared" si="4"/>
        <v>-100</v>
      </c>
      <c r="T12" s="507"/>
      <c r="U12" s="496"/>
      <c r="V12" s="584"/>
      <c r="W12" s="507">
        <v>-53</v>
      </c>
      <c r="X12" s="496">
        <v>-43</v>
      </c>
      <c r="Y12" s="584">
        <f t="shared" si="6"/>
        <v>-18.899999999999999</v>
      </c>
      <c r="Z12" s="507">
        <v>-1</v>
      </c>
      <c r="AA12" s="496">
        <v>-1</v>
      </c>
      <c r="AB12" s="584">
        <f t="shared" si="7"/>
        <v>0</v>
      </c>
      <c r="AC12" s="507"/>
      <c r="AD12" s="496"/>
      <c r="AE12" s="584"/>
      <c r="AF12" s="507"/>
      <c r="AG12" s="496"/>
      <c r="AH12" s="584"/>
      <c r="AI12" s="507">
        <v>-104.95</v>
      </c>
      <c r="AJ12" s="496">
        <v>-105.658</v>
      </c>
      <c r="AK12" s="584">
        <f t="shared" si="9"/>
        <v>0.7</v>
      </c>
      <c r="AL12" s="507">
        <v>-28.4</v>
      </c>
      <c r="AM12" s="496">
        <v>-28</v>
      </c>
      <c r="AN12" s="584">
        <f t="shared" si="10"/>
        <v>-1.4</v>
      </c>
      <c r="AO12" s="584">
        <f t="shared" ref="AO12:AP45" si="13">B12+E12+H12+K12+Q12+T12+W12+Z12+AF12+AI12+AL12</f>
        <v>-438.14273099999997</v>
      </c>
      <c r="AP12" s="584">
        <f t="shared" si="13"/>
        <v>-418.649</v>
      </c>
      <c r="AQ12" s="584">
        <f t="shared" si="11"/>
        <v>-4.4000000000000004</v>
      </c>
      <c r="AR12" s="586">
        <f t="shared" ref="AR12:AS17" si="14">+B12+E12+H12+K12+N12+Q12+T12+W12+Z12+AC12+AF12+AI12+AL12</f>
        <v>-438.14273099999997</v>
      </c>
      <c r="AS12" s="584">
        <f>+C12+F12+I12+L12+O12+R12+U12+X12+AA12+AD12+AG12+AJ12+AM12</f>
        <v>-418.649</v>
      </c>
      <c r="AT12" s="584">
        <f t="shared" si="12"/>
        <v>-4.4000000000000004</v>
      </c>
    </row>
    <row r="13" spans="1:46" s="549" customFormat="1" ht="18.75" customHeight="1" x14ac:dyDescent="0.3">
      <c r="A13" s="581" t="s">
        <v>340</v>
      </c>
      <c r="B13" s="507">
        <v>389.18900000000002</v>
      </c>
      <c r="C13" s="496">
        <v>517.62800000000004</v>
      </c>
      <c r="D13" s="584">
        <f t="shared" si="0"/>
        <v>33</v>
      </c>
      <c r="E13" s="507">
        <v>1254.9760000000001</v>
      </c>
      <c r="F13" s="496">
        <v>2696.8989999999999</v>
      </c>
      <c r="G13" s="584">
        <f t="shared" si="1"/>
        <v>114.9</v>
      </c>
      <c r="H13" s="507">
        <v>31.577999999999999</v>
      </c>
      <c r="I13" s="496">
        <v>46.481000000000002</v>
      </c>
      <c r="J13" s="584">
        <f t="shared" si="2"/>
        <v>47.2</v>
      </c>
      <c r="K13" s="507">
        <v>440.41899999999998</v>
      </c>
      <c r="L13" s="496">
        <v>1389</v>
      </c>
      <c r="M13" s="584">
        <f t="shared" si="3"/>
        <v>215.4</v>
      </c>
      <c r="N13" s="507"/>
      <c r="O13" s="496"/>
      <c r="P13" s="496"/>
      <c r="Q13" s="507">
        <v>1735.678887</v>
      </c>
      <c r="R13" s="496">
        <v>208.47842800000001</v>
      </c>
      <c r="S13" s="584">
        <f t="shared" si="4"/>
        <v>-88</v>
      </c>
      <c r="T13" s="507">
        <v>65.322000000000003</v>
      </c>
      <c r="U13" s="496">
        <v>351.642</v>
      </c>
      <c r="V13" s="584">
        <f t="shared" si="5"/>
        <v>438.3</v>
      </c>
      <c r="W13" s="507">
        <v>586</v>
      </c>
      <c r="X13" s="496">
        <v>703</v>
      </c>
      <c r="Y13" s="584">
        <f t="shared" si="6"/>
        <v>20</v>
      </c>
      <c r="Z13" s="507"/>
      <c r="AA13" s="496"/>
      <c r="AB13" s="584"/>
      <c r="AC13" s="507">
        <v>51</v>
      </c>
      <c r="AD13" s="496">
        <v>61</v>
      </c>
      <c r="AE13" s="584">
        <f t="shared" si="8"/>
        <v>19.600000000000001</v>
      </c>
      <c r="AF13" s="507">
        <v>-0.69540974</v>
      </c>
      <c r="AG13" s="496"/>
      <c r="AH13" s="584">
        <f t="shared" ref="AH13:AH45" si="15">IF(AF13=0, "    ---- ", IF(ABS(ROUND(100/AF13*AG13-100,1))&lt;999,ROUND(100/AF13*AG13-100,1),IF(ROUND(100/AF13*AG13-100,1)&gt;999,999,-999)))</f>
        <v>-100</v>
      </c>
      <c r="AI13" s="507">
        <v>876.66529858999991</v>
      </c>
      <c r="AJ13" s="496">
        <v>891.19950561000019</v>
      </c>
      <c r="AK13" s="584">
        <f t="shared" si="9"/>
        <v>1.7</v>
      </c>
      <c r="AL13" s="507">
        <v>317</v>
      </c>
      <c r="AM13" s="496">
        <v>733</v>
      </c>
      <c r="AN13" s="584">
        <f t="shared" si="10"/>
        <v>131.19999999999999</v>
      </c>
      <c r="AO13" s="584">
        <f>B13+E13+H13+K13+Q13+T13+W13+Z13+AF13+AI13+AL13</f>
        <v>5696.1327758500001</v>
      </c>
      <c r="AP13" s="584">
        <f t="shared" si="13"/>
        <v>7537.3279336100004</v>
      </c>
      <c r="AQ13" s="584">
        <f t="shared" si="11"/>
        <v>32.299999999999997</v>
      </c>
      <c r="AR13" s="586">
        <f t="shared" si="14"/>
        <v>5747.1327758500001</v>
      </c>
      <c r="AS13" s="584">
        <f>+C13+F13+I13+L13+O13+R13+U13+X13+AA13+AD13+AG13+AJ13+AM13</f>
        <v>7598.3279336100004</v>
      </c>
      <c r="AT13" s="584">
        <f t="shared" si="12"/>
        <v>32.200000000000003</v>
      </c>
    </row>
    <row r="14" spans="1:46" s="549" customFormat="1" ht="18.75" customHeight="1" x14ac:dyDescent="0.3">
      <c r="A14" s="581" t="s">
        <v>341</v>
      </c>
      <c r="B14" s="473">
        <f>SUM(B11:B13)</f>
        <v>1344.001</v>
      </c>
      <c r="C14" s="473">
        <f>SUM(C11:C13)</f>
        <v>1541.2599999999998</v>
      </c>
      <c r="D14" s="584">
        <f t="shared" si="0"/>
        <v>14.7</v>
      </c>
      <c r="E14" s="473">
        <f>SUM(E11:E13)</f>
        <v>9812.3390000000018</v>
      </c>
      <c r="F14" s="473">
        <f>SUM(F11:F13)</f>
        <v>10127.537</v>
      </c>
      <c r="G14" s="584">
        <f t="shared" si="1"/>
        <v>3.2</v>
      </c>
      <c r="H14" s="473">
        <f>SUM(H11:H13)</f>
        <v>623.16</v>
      </c>
      <c r="I14" s="474">
        <f>SUM(I11:I13)</f>
        <v>701.61799999999994</v>
      </c>
      <c r="J14" s="584">
        <f t="shared" si="2"/>
        <v>12.6</v>
      </c>
      <c r="K14" s="473">
        <f>SUM(K11:K13)</f>
        <v>1638.4169999999999</v>
      </c>
      <c r="L14" s="473">
        <v>2884.8</v>
      </c>
      <c r="M14" s="584">
        <f t="shared" si="3"/>
        <v>76.099999999999994</v>
      </c>
      <c r="N14" s="473">
        <f>SUM(N11:N13)</f>
        <v>21</v>
      </c>
      <c r="O14" s="473">
        <f>SUM(O11:O13)</f>
        <v>20</v>
      </c>
      <c r="P14" s="496">
        <v>-0.5</v>
      </c>
      <c r="Q14" s="473">
        <v>19674.351485450003</v>
      </c>
      <c r="R14" s="473">
        <v>15157.544034979999</v>
      </c>
      <c r="S14" s="584">
        <f t="shared" si="4"/>
        <v>-23</v>
      </c>
      <c r="T14" s="473">
        <f>SUM(T11:T13)</f>
        <v>249.084</v>
      </c>
      <c r="U14" s="473">
        <f>SUM(U11:U13)</f>
        <v>569.923</v>
      </c>
      <c r="V14" s="584">
        <f t="shared" si="5"/>
        <v>128.80000000000001</v>
      </c>
      <c r="W14" s="473">
        <f>SUM(W11:W13)</f>
        <v>6363</v>
      </c>
      <c r="X14" s="473">
        <f>SUM(X11:X13)</f>
        <v>6396</v>
      </c>
      <c r="Y14" s="584">
        <f t="shared" si="6"/>
        <v>0.5</v>
      </c>
      <c r="Z14" s="473">
        <f>SUM(Z11:Z13)</f>
        <v>1315</v>
      </c>
      <c r="AA14" s="473">
        <f>SUM(AA11:AA13)</f>
        <v>1524</v>
      </c>
      <c r="AB14" s="584">
        <f t="shared" si="7"/>
        <v>15.9</v>
      </c>
      <c r="AC14" s="473">
        <f>SUM(AC11:AC13)</f>
        <v>116</v>
      </c>
      <c r="AD14" s="473">
        <f>SUM(AD11:AD13)</f>
        <v>121</v>
      </c>
      <c r="AE14" s="584">
        <f t="shared" si="8"/>
        <v>4.3</v>
      </c>
      <c r="AF14" s="473">
        <f>SUM(AF11:AF13)</f>
        <v>-0.69540974</v>
      </c>
      <c r="AG14" s="473">
        <f>SUM(AG11:AG13)</f>
        <v>0</v>
      </c>
      <c r="AH14" s="584">
        <f t="shared" si="15"/>
        <v>-100</v>
      </c>
      <c r="AI14" s="473">
        <f>SUM(AI11:AI13)</f>
        <v>3278.9014696999993</v>
      </c>
      <c r="AJ14" s="473">
        <f>SUM(AJ11:AJ13)</f>
        <v>3849.3150801800002</v>
      </c>
      <c r="AK14" s="584">
        <f t="shared" si="9"/>
        <v>17.399999999999999</v>
      </c>
      <c r="AL14" s="473">
        <f>SUM(AL11:AL13)</f>
        <v>9762.6</v>
      </c>
      <c r="AM14" s="473">
        <f>SUM(AM11:AM13)</f>
        <v>9626</v>
      </c>
      <c r="AN14" s="584">
        <f t="shared" si="10"/>
        <v>-1.4</v>
      </c>
      <c r="AO14" s="584">
        <f>B14+E14+H14+K14+Q14+T14+W14+Z14+AF14+AI14+AL14</f>
        <v>54060.158545410006</v>
      </c>
      <c r="AP14" s="584">
        <f>C14+F14+I14+L14+R14+U14+X14+AA14+AG14+AJ14+AM14</f>
        <v>52377.997115159997</v>
      </c>
      <c r="AQ14" s="584">
        <f t="shared" si="11"/>
        <v>-3.1</v>
      </c>
      <c r="AR14" s="586">
        <f>+B14+E14+H14+K14+N14+Q14+T14+W14+Z14+AC14+AF14+AI14+AL14</f>
        <v>54197.158545410006</v>
      </c>
      <c r="AS14" s="584">
        <f>+C14+F14+I14+L14+O14+R14+U14+X14+AA14+AD14+AG14+AJ14+AM14</f>
        <v>52518.997115159997</v>
      </c>
      <c r="AT14" s="584">
        <f t="shared" si="12"/>
        <v>-3.1</v>
      </c>
    </row>
    <row r="15" spans="1:46" s="549" customFormat="1" ht="18.75" customHeight="1" x14ac:dyDescent="0.3">
      <c r="A15" s="581" t="s">
        <v>342</v>
      </c>
      <c r="B15" s="499">
        <v>22.125</v>
      </c>
      <c r="C15" s="500">
        <v>17.896000000000001</v>
      </c>
      <c r="D15" s="584">
        <f t="shared" si="0"/>
        <v>-19.100000000000001</v>
      </c>
      <c r="E15" s="499">
        <v>4141.8190000000004</v>
      </c>
      <c r="F15" s="500">
        <v>5419.8590000000004</v>
      </c>
      <c r="G15" s="584">
        <f t="shared" si="1"/>
        <v>30.9</v>
      </c>
      <c r="H15" s="587">
        <v>12.423</v>
      </c>
      <c r="I15" s="588">
        <v>24.100999999999999</v>
      </c>
      <c r="J15" s="584">
        <f t="shared" si="2"/>
        <v>94</v>
      </c>
      <c r="K15" s="499">
        <v>107.68899999999999</v>
      </c>
      <c r="L15" s="500">
        <v>121.6</v>
      </c>
      <c r="M15" s="584">
        <f t="shared" si="3"/>
        <v>12.9</v>
      </c>
      <c r="N15" s="589"/>
      <c r="O15" s="590"/>
      <c r="P15" s="496"/>
      <c r="Q15" s="499">
        <v>11198.444173620001</v>
      </c>
      <c r="R15" s="500">
        <v>13640.6132371</v>
      </c>
      <c r="S15" s="584">
        <f t="shared" si="4"/>
        <v>21.8</v>
      </c>
      <c r="T15" s="499">
        <v>41.171999999999997</v>
      </c>
      <c r="U15" s="500">
        <v>37.743000000000002</v>
      </c>
      <c r="V15" s="584">
        <f t="shared" si="5"/>
        <v>-8.3000000000000007</v>
      </c>
      <c r="W15" s="499">
        <v>1134</v>
      </c>
      <c r="X15" s="500">
        <v>1306</v>
      </c>
      <c r="Y15" s="584">
        <f t="shared" si="6"/>
        <v>15.2</v>
      </c>
      <c r="Z15" s="499">
        <v>1086</v>
      </c>
      <c r="AA15" s="500">
        <v>3861</v>
      </c>
      <c r="AB15" s="584">
        <f t="shared" si="7"/>
        <v>255.5</v>
      </c>
      <c r="AC15" s="589"/>
      <c r="AD15" s="590"/>
      <c r="AE15" s="584"/>
      <c r="AF15" s="499">
        <v>153.75920493999999</v>
      </c>
      <c r="AG15" s="500"/>
      <c r="AH15" s="584">
        <f t="shared" si="15"/>
        <v>-100</v>
      </c>
      <c r="AI15" s="591">
        <v>343.19236687000011</v>
      </c>
      <c r="AJ15" s="592">
        <v>688.46622493999985</v>
      </c>
      <c r="AK15" s="584">
        <f t="shared" si="9"/>
        <v>100.6</v>
      </c>
      <c r="AL15" s="499">
        <v>5145</v>
      </c>
      <c r="AM15" s="500">
        <v>5157</v>
      </c>
      <c r="AN15" s="584">
        <f t="shared" si="10"/>
        <v>0.2</v>
      </c>
      <c r="AO15" s="584">
        <f t="shared" si="13"/>
        <v>23385.623745430003</v>
      </c>
      <c r="AP15" s="584">
        <f t="shared" si="13"/>
        <v>30274.278462039998</v>
      </c>
      <c r="AQ15" s="584">
        <f t="shared" si="11"/>
        <v>29.5</v>
      </c>
      <c r="AR15" s="586">
        <f>+B15+E15+H15+K15+N15+Q15+T15+W15+Z15+AC15+AF15+AI15+AL15</f>
        <v>23385.623745430003</v>
      </c>
      <c r="AS15" s="584">
        <f>+C15+F15+I15+L15+O15+R15+U15+X15+AA15+AD15+AG15+AJ15+AM15</f>
        <v>30274.278462039998</v>
      </c>
      <c r="AT15" s="584">
        <f t="shared" si="12"/>
        <v>29.5</v>
      </c>
    </row>
    <row r="16" spans="1:46" s="549" customFormat="1" ht="18.75" customHeight="1" x14ac:dyDescent="0.3">
      <c r="A16" s="581" t="s">
        <v>343</v>
      </c>
      <c r="B16" s="499">
        <v>-314.65199999999999</v>
      </c>
      <c r="C16" s="500">
        <v>744.50099999999998</v>
      </c>
      <c r="D16" s="584">
        <f t="shared" si="0"/>
        <v>-336.6</v>
      </c>
      <c r="E16" s="499">
        <v>-193.19900000000001</v>
      </c>
      <c r="F16" s="500">
        <v>2726.2539999999999</v>
      </c>
      <c r="G16" s="584">
        <f t="shared" si="1"/>
        <v>-999</v>
      </c>
      <c r="H16" s="587">
        <v>-85.266999999999996</v>
      </c>
      <c r="I16" s="588">
        <v>120.931</v>
      </c>
      <c r="J16" s="584">
        <f t="shared" si="2"/>
        <v>-241.8</v>
      </c>
      <c r="K16" s="499">
        <v>-85.706999999999994</v>
      </c>
      <c r="L16" s="500">
        <v>845.9</v>
      </c>
      <c r="M16" s="584">
        <f t="shared" si="3"/>
        <v>-999</v>
      </c>
      <c r="N16" s="589"/>
      <c r="O16" s="590"/>
      <c r="P16" s="593"/>
      <c r="Q16" s="499">
        <v>51.60107489</v>
      </c>
      <c r="R16" s="500">
        <v>69.902505550000001</v>
      </c>
      <c r="S16" s="584">
        <f t="shared" si="4"/>
        <v>35.5</v>
      </c>
      <c r="T16" s="499">
        <v>25.181999999999999</v>
      </c>
      <c r="U16" s="500">
        <v>80.180999999999997</v>
      </c>
      <c r="V16" s="584">
        <f t="shared" si="5"/>
        <v>218.4</v>
      </c>
      <c r="W16" s="499">
        <v>33</v>
      </c>
      <c r="X16" s="500">
        <v>2584</v>
      </c>
      <c r="Y16" s="584">
        <f t="shared" si="6"/>
        <v>999</v>
      </c>
      <c r="Z16" s="499"/>
      <c r="AA16" s="500"/>
      <c r="AB16" s="584"/>
      <c r="AC16" s="589">
        <v>-76</v>
      </c>
      <c r="AD16" s="590">
        <v>134</v>
      </c>
      <c r="AE16" s="584">
        <f t="shared" si="8"/>
        <v>-276.3</v>
      </c>
      <c r="AF16" s="499">
        <v>-11.259156409999997</v>
      </c>
      <c r="AG16" s="500"/>
      <c r="AH16" s="584">
        <f t="shared" si="15"/>
        <v>-100</v>
      </c>
      <c r="AI16" s="591">
        <v>-243.75061017000024</v>
      </c>
      <c r="AJ16" s="592">
        <v>1220.88438088</v>
      </c>
      <c r="AK16" s="584">
        <f t="shared" si="9"/>
        <v>-600.9</v>
      </c>
      <c r="AL16" s="499">
        <v>140</v>
      </c>
      <c r="AM16" s="500">
        <v>3528</v>
      </c>
      <c r="AN16" s="584">
        <f t="shared" si="10"/>
        <v>999</v>
      </c>
      <c r="AO16" s="584">
        <f t="shared" si="13"/>
        <v>-684.0516916900001</v>
      </c>
      <c r="AP16" s="584">
        <f t="shared" si="13"/>
        <v>11920.55388643</v>
      </c>
      <c r="AQ16" s="584">
        <f t="shared" si="11"/>
        <v>-999</v>
      </c>
      <c r="AR16" s="586">
        <f>+B16+E16+H16+K16+N16+Q16+T16+W16+Z16+AC16+AF16+AI16+AL16</f>
        <v>-760.0516916900001</v>
      </c>
      <c r="AS16" s="584">
        <f t="shared" si="14"/>
        <v>12054.55388643</v>
      </c>
      <c r="AT16" s="584">
        <f t="shared" si="12"/>
        <v>-999</v>
      </c>
    </row>
    <row r="17" spans="1:46" s="549" customFormat="1" ht="18.75" customHeight="1" x14ac:dyDescent="0.3">
      <c r="A17" s="581" t="s">
        <v>344</v>
      </c>
      <c r="B17" s="499"/>
      <c r="C17" s="500"/>
      <c r="D17" s="584"/>
      <c r="E17" s="499">
        <v>7.3120000000000003</v>
      </c>
      <c r="F17" s="500">
        <v>5.3010000000000002</v>
      </c>
      <c r="G17" s="584">
        <f t="shared" si="1"/>
        <v>-27.5</v>
      </c>
      <c r="H17" s="587">
        <v>4.9009999999999998</v>
      </c>
      <c r="I17" s="588">
        <v>5.4059999999999997</v>
      </c>
      <c r="J17" s="584">
        <f t="shared" si="2"/>
        <v>10.3</v>
      </c>
      <c r="K17" s="499"/>
      <c r="L17" s="500">
        <v>59.23</v>
      </c>
      <c r="M17" s="584" t="str">
        <f t="shared" si="3"/>
        <v xml:space="preserve">    ---- </v>
      </c>
      <c r="N17" s="589"/>
      <c r="O17" s="590"/>
      <c r="P17" s="496"/>
      <c r="Q17" s="499">
        <v>456.17199169999998</v>
      </c>
      <c r="R17" s="500">
        <v>486.75468000000001</v>
      </c>
      <c r="S17" s="584">
        <f t="shared" si="4"/>
        <v>6.7</v>
      </c>
      <c r="T17" s="499">
        <v>2.0659999999999998</v>
      </c>
      <c r="U17" s="500">
        <v>1.3260000000000001</v>
      </c>
      <c r="V17" s="584">
        <f t="shared" si="5"/>
        <v>-35.799999999999997</v>
      </c>
      <c r="W17" s="499">
        <v>66</v>
      </c>
      <c r="X17" s="500">
        <v>76</v>
      </c>
      <c r="Y17" s="584">
        <f t="shared" si="6"/>
        <v>15.2</v>
      </c>
      <c r="Z17" s="499">
        <v>90</v>
      </c>
      <c r="AA17" s="500">
        <v>97</v>
      </c>
      <c r="AB17" s="584">
        <f t="shared" si="7"/>
        <v>7.8</v>
      </c>
      <c r="AC17" s="589"/>
      <c r="AD17" s="590"/>
      <c r="AE17" s="584"/>
      <c r="AF17" s="499">
        <v>0</v>
      </c>
      <c r="AG17" s="500"/>
      <c r="AH17" s="584"/>
      <c r="AI17" s="591">
        <v>56.728955080000013</v>
      </c>
      <c r="AJ17" s="592">
        <v>62.76892625</v>
      </c>
      <c r="AK17" s="584">
        <f t="shared" si="9"/>
        <v>10.6</v>
      </c>
      <c r="AL17" s="499">
        <v>218</v>
      </c>
      <c r="AM17" s="500">
        <v>259</v>
      </c>
      <c r="AN17" s="584">
        <f t="shared" si="10"/>
        <v>18.8</v>
      </c>
      <c r="AO17" s="584">
        <f t="shared" si="13"/>
        <v>901.17994678000002</v>
      </c>
      <c r="AP17" s="584">
        <f t="shared" si="13"/>
        <v>1052.7866062500002</v>
      </c>
      <c r="AQ17" s="584">
        <f t="shared" si="11"/>
        <v>16.8</v>
      </c>
      <c r="AR17" s="586">
        <f>+B17+E17+H17+K17+N17+Q17+T17+W17+Z17+AC17+AF17+AI17+AL17</f>
        <v>901.17994678000002</v>
      </c>
      <c r="AS17" s="584">
        <f t="shared" si="14"/>
        <v>1052.7866062500002</v>
      </c>
      <c r="AT17" s="584">
        <f t="shared" si="12"/>
        <v>16.8</v>
      </c>
    </row>
    <row r="18" spans="1:46" s="549" customFormat="1" ht="18.75" customHeight="1" x14ac:dyDescent="0.3">
      <c r="A18" s="581" t="s">
        <v>345</v>
      </c>
      <c r="B18" s="499"/>
      <c r="C18" s="500"/>
      <c r="D18" s="584"/>
      <c r="E18" s="499"/>
      <c r="F18" s="500"/>
      <c r="G18" s="584"/>
      <c r="H18" s="587"/>
      <c r="I18" s="588"/>
      <c r="J18" s="584"/>
      <c r="K18" s="499"/>
      <c r="L18" s="500"/>
      <c r="M18" s="584"/>
      <c r="N18" s="589"/>
      <c r="O18" s="590"/>
      <c r="P18" s="496"/>
      <c r="Q18" s="499"/>
      <c r="R18" s="500"/>
      <c r="S18" s="584"/>
      <c r="T18" s="499"/>
      <c r="U18" s="500"/>
      <c r="V18" s="584"/>
      <c r="W18" s="594"/>
      <c r="X18" s="595"/>
      <c r="Y18" s="584"/>
      <c r="Z18" s="499"/>
      <c r="AA18" s="500"/>
      <c r="AB18" s="584"/>
      <c r="AC18" s="589"/>
      <c r="AD18" s="590"/>
      <c r="AE18" s="584"/>
      <c r="AF18" s="499"/>
      <c r="AG18" s="500"/>
      <c r="AH18" s="584"/>
      <c r="AI18" s="591"/>
      <c r="AJ18" s="592"/>
      <c r="AK18" s="584"/>
      <c r="AL18" s="499"/>
      <c r="AM18" s="500"/>
      <c r="AN18" s="584"/>
      <c r="AO18" s="584"/>
      <c r="AP18" s="584"/>
      <c r="AQ18" s="584"/>
      <c r="AR18" s="596"/>
      <c r="AS18" s="585"/>
      <c r="AT18" s="585"/>
    </row>
    <row r="19" spans="1:46" s="549" customFormat="1" ht="18.75" customHeight="1" x14ac:dyDescent="0.3">
      <c r="A19" s="581" t="s">
        <v>346</v>
      </c>
      <c r="B19" s="473">
        <v>-230.37199999999999</v>
      </c>
      <c r="C19" s="474">
        <v>-257.65100000000001</v>
      </c>
      <c r="D19" s="584">
        <f t="shared" si="0"/>
        <v>11.8</v>
      </c>
      <c r="E19" s="473">
        <v>-6948.23</v>
      </c>
      <c r="F19" s="474">
        <v>-7345.3140000000003</v>
      </c>
      <c r="G19" s="584">
        <f t="shared" si="1"/>
        <v>5.7</v>
      </c>
      <c r="H19" s="473">
        <v>-32.104999999999997</v>
      </c>
      <c r="I19" s="474">
        <v>-37.997</v>
      </c>
      <c r="J19" s="584">
        <f t="shared" si="2"/>
        <v>18.399999999999999</v>
      </c>
      <c r="K19" s="473">
        <v>-217.25399999999999</v>
      </c>
      <c r="L19" s="474">
        <f>-228.1+13.8</f>
        <v>-214.29999999999998</v>
      </c>
      <c r="M19" s="584">
        <f t="shared" si="3"/>
        <v>-1.4</v>
      </c>
      <c r="N19" s="473">
        <v>-16</v>
      </c>
      <c r="O19" s="474">
        <v>-8</v>
      </c>
      <c r="P19" s="496">
        <v>-38</v>
      </c>
      <c r="Q19" s="473">
        <v>-7911.5229419999996</v>
      </c>
      <c r="R19" s="474">
        <v>-8540.7821010000007</v>
      </c>
      <c r="S19" s="584">
        <f t="shared" si="4"/>
        <v>8</v>
      </c>
      <c r="T19" s="473">
        <v>-31.504999999999999</v>
      </c>
      <c r="U19" s="474">
        <v>-37.082000000000001</v>
      </c>
      <c r="V19" s="584">
        <f t="shared" si="5"/>
        <v>17.7</v>
      </c>
      <c r="W19" s="473">
        <v>-2143</v>
      </c>
      <c r="X19" s="474">
        <v>-2202.9144612099999</v>
      </c>
      <c r="Y19" s="584">
        <f t="shared" si="6"/>
        <v>2.8</v>
      </c>
      <c r="Z19" s="473">
        <v>-1286</v>
      </c>
      <c r="AA19" s="474">
        <v>-1313</v>
      </c>
      <c r="AB19" s="584">
        <f t="shared" si="7"/>
        <v>2.1</v>
      </c>
      <c r="AC19" s="473">
        <v>-71</v>
      </c>
      <c r="AD19" s="474">
        <v>-92</v>
      </c>
      <c r="AE19" s="584">
        <f t="shared" si="8"/>
        <v>29.6</v>
      </c>
      <c r="AF19" s="473">
        <v>-95.403405589999991</v>
      </c>
      <c r="AG19" s="474"/>
      <c r="AH19" s="584">
        <f t="shared" si="15"/>
        <v>-100</v>
      </c>
      <c r="AI19" s="597">
        <v>-1014.3213309499996</v>
      </c>
      <c r="AJ19" s="598">
        <v>-1080.6270917999998</v>
      </c>
      <c r="AK19" s="584">
        <f t="shared" si="9"/>
        <v>6.5</v>
      </c>
      <c r="AL19" s="473">
        <v>-5001</v>
      </c>
      <c r="AM19" s="474">
        <v>-5165</v>
      </c>
      <c r="AN19" s="584">
        <f t="shared" si="10"/>
        <v>3.3</v>
      </c>
      <c r="AO19" s="584">
        <f t="shared" si="13"/>
        <v>-24910.713678539996</v>
      </c>
      <c r="AP19" s="584">
        <f t="shared" si="13"/>
        <v>-26194.667654009998</v>
      </c>
      <c r="AQ19" s="584">
        <f t="shared" si="11"/>
        <v>5.2</v>
      </c>
      <c r="AR19" s="586">
        <f t="shared" ref="AR19:AS33" si="16">+B19+E19+H19+K19+N19+Q19+T19+W19+Z19+AC19+AF19+AI19+AL19</f>
        <v>-24997.713678539996</v>
      </c>
      <c r="AS19" s="584">
        <f t="shared" si="16"/>
        <v>-26294.667654009998</v>
      </c>
      <c r="AT19" s="584">
        <f>IF(AR19=0, "    ---- ", IF(ABS(ROUND(100/AR19*AS19-100,1))&lt;999,ROUND(100/AR19*AS19-100,1),IF(ROUND(100/AR19*AS19-100,1)&gt;999,999,-999)))</f>
        <v>5.2</v>
      </c>
    </row>
    <row r="20" spans="1:46" s="549" customFormat="1" ht="18.75" customHeight="1" x14ac:dyDescent="0.3">
      <c r="A20" s="581" t="s">
        <v>426</v>
      </c>
      <c r="B20" s="507">
        <v>-364.55099999999999</v>
      </c>
      <c r="C20" s="496">
        <v>-350.072</v>
      </c>
      <c r="D20" s="584">
        <f t="shared" si="0"/>
        <v>-4</v>
      </c>
      <c r="E20" s="507">
        <v>-793.47299999999996</v>
      </c>
      <c r="F20" s="496">
        <v>-1020.691</v>
      </c>
      <c r="G20" s="584">
        <f t="shared" si="1"/>
        <v>28.6</v>
      </c>
      <c r="H20" s="507">
        <v>-39.204999999999998</v>
      </c>
      <c r="I20" s="496">
        <v>-82.244</v>
      </c>
      <c r="J20" s="584">
        <f t="shared" si="2"/>
        <v>109.8</v>
      </c>
      <c r="K20" s="507">
        <v>-233.53100000000001</v>
      </c>
      <c r="L20" s="496">
        <v>-524.5</v>
      </c>
      <c r="M20" s="584">
        <f t="shared" si="3"/>
        <v>124.6</v>
      </c>
      <c r="N20" s="507"/>
      <c r="O20" s="496"/>
      <c r="P20" s="496"/>
      <c r="Q20" s="507">
        <v>-123.887451</v>
      </c>
      <c r="R20" s="496">
        <v>-210.53673000000001</v>
      </c>
      <c r="S20" s="584">
        <f t="shared" si="4"/>
        <v>69.900000000000006</v>
      </c>
      <c r="T20" s="507">
        <v>-33.86</v>
      </c>
      <c r="U20" s="496">
        <v>-99.353999999999999</v>
      </c>
      <c r="V20" s="584">
        <f t="shared" si="5"/>
        <v>193.4</v>
      </c>
      <c r="W20" s="599">
        <v>-1108</v>
      </c>
      <c r="X20" s="600">
        <v>-1621.97453879</v>
      </c>
      <c r="Y20" s="584">
        <f t="shared" si="6"/>
        <v>46.4</v>
      </c>
      <c r="Z20" s="599"/>
      <c r="AA20" s="600"/>
      <c r="AB20" s="584"/>
      <c r="AC20" s="507">
        <v>-4</v>
      </c>
      <c r="AD20" s="496">
        <v>-19</v>
      </c>
      <c r="AE20" s="584">
        <f t="shared" si="8"/>
        <v>375</v>
      </c>
      <c r="AF20" s="507">
        <v>-25.860259750000001</v>
      </c>
      <c r="AG20" s="496"/>
      <c r="AH20" s="584">
        <f t="shared" si="15"/>
        <v>-100</v>
      </c>
      <c r="AI20" s="599">
        <v>-158.12464273000001</v>
      </c>
      <c r="AJ20" s="600">
        <v>-476.18184953000008</v>
      </c>
      <c r="AK20" s="584">
        <f t="shared" si="9"/>
        <v>201.1</v>
      </c>
      <c r="AL20" s="507">
        <v>-2646</v>
      </c>
      <c r="AM20" s="496">
        <v>-2978</v>
      </c>
      <c r="AN20" s="584">
        <f t="shared" si="10"/>
        <v>12.5</v>
      </c>
      <c r="AO20" s="584">
        <f t="shared" si="13"/>
        <v>-5526.4923534799991</v>
      </c>
      <c r="AP20" s="584">
        <f t="shared" si="13"/>
        <v>-7363.5541183200003</v>
      </c>
      <c r="AQ20" s="584">
        <f t="shared" si="11"/>
        <v>33.200000000000003</v>
      </c>
      <c r="AR20" s="586">
        <f t="shared" si="16"/>
        <v>-5530.4923534799991</v>
      </c>
      <c r="AS20" s="584">
        <f t="shared" si="16"/>
        <v>-7382.5541183200003</v>
      </c>
      <c r="AT20" s="584">
        <f>IF(AR20=0, "    ---- ", IF(ABS(ROUND(100/AR20*AS20-100,1))&lt;999,ROUND(100/AR20*AS20-100,1),IF(ROUND(100/AR20*AS20-100,1)&gt;999,999,-999)))</f>
        <v>33.5</v>
      </c>
    </row>
    <row r="21" spans="1:46" s="549" customFormat="1" ht="18.75" customHeight="1" x14ac:dyDescent="0.3">
      <c r="A21" s="581" t="s">
        <v>347</v>
      </c>
      <c r="B21" s="473">
        <f>SUM(B19:B20)</f>
        <v>-594.923</v>
      </c>
      <c r="C21" s="473">
        <f>SUM(C19:C20)</f>
        <v>-607.72299999999996</v>
      </c>
      <c r="D21" s="584">
        <f t="shared" si="0"/>
        <v>2.2000000000000002</v>
      </c>
      <c r="E21" s="473">
        <f>SUM(E19:E20)</f>
        <v>-7741.7029999999995</v>
      </c>
      <c r="F21" s="473">
        <f>SUM(F19:F20)</f>
        <v>-8366.005000000001</v>
      </c>
      <c r="G21" s="584">
        <f t="shared" si="1"/>
        <v>8.1</v>
      </c>
      <c r="H21" s="473">
        <f>SUM(H19:H20)</f>
        <v>-71.31</v>
      </c>
      <c r="I21" s="474">
        <f>SUM(I19:I20)</f>
        <v>-120.241</v>
      </c>
      <c r="J21" s="584">
        <f t="shared" si="2"/>
        <v>68.599999999999994</v>
      </c>
      <c r="K21" s="473">
        <f>SUM(K19:K20)</f>
        <v>-450.78499999999997</v>
      </c>
      <c r="L21" s="473">
        <v>-738.7</v>
      </c>
      <c r="M21" s="584">
        <f t="shared" si="3"/>
        <v>63.9</v>
      </c>
      <c r="N21" s="473">
        <f>SUM(N19:N20)</f>
        <v>-16</v>
      </c>
      <c r="O21" s="473">
        <f>SUM(O19:O20)</f>
        <v>-8</v>
      </c>
      <c r="P21" s="496">
        <v>29.6</v>
      </c>
      <c r="Q21" s="473">
        <v>-8035.4103929999992</v>
      </c>
      <c r="R21" s="473">
        <v>-8751.3188310000005</v>
      </c>
      <c r="S21" s="584">
        <f t="shared" si="4"/>
        <v>8.9</v>
      </c>
      <c r="T21" s="473">
        <f>SUM(T19:T20)</f>
        <v>-65.364999999999995</v>
      </c>
      <c r="U21" s="473">
        <f>SUM(U19:U20)</f>
        <v>-136.43600000000001</v>
      </c>
      <c r="V21" s="584">
        <f t="shared" si="5"/>
        <v>108.7</v>
      </c>
      <c r="W21" s="473">
        <f>SUM(W19:W20)</f>
        <v>-3251</v>
      </c>
      <c r="X21" s="473">
        <f>SUM(X19:X20)</f>
        <v>-3824.8890000000001</v>
      </c>
      <c r="Y21" s="584">
        <f t="shared" si="6"/>
        <v>17.7</v>
      </c>
      <c r="Z21" s="473">
        <f>SUM(Z19:Z20)</f>
        <v>-1286</v>
      </c>
      <c r="AA21" s="473">
        <f>SUM(AA19:AA20)</f>
        <v>-1313</v>
      </c>
      <c r="AB21" s="584">
        <f t="shared" si="7"/>
        <v>2.1</v>
      </c>
      <c r="AC21" s="473">
        <f>SUM(AC19:AC20)</f>
        <v>-75</v>
      </c>
      <c r="AD21" s="473">
        <f>SUM(AD19:AD20)</f>
        <v>-111</v>
      </c>
      <c r="AE21" s="584">
        <f t="shared" si="8"/>
        <v>48</v>
      </c>
      <c r="AF21" s="473">
        <f>SUM(AF19:AF20)</f>
        <v>-121.26366533999999</v>
      </c>
      <c r="AG21" s="473">
        <f>SUM(AG19:AG20)</f>
        <v>0</v>
      </c>
      <c r="AH21" s="584">
        <f t="shared" si="15"/>
        <v>-100</v>
      </c>
      <c r="AI21" s="473">
        <f>SUM(AI19:AI20)</f>
        <v>-1172.4459736799995</v>
      </c>
      <c r="AJ21" s="473">
        <f>SUM(AJ19:AJ20)</f>
        <v>-1556.8089413299999</v>
      </c>
      <c r="AK21" s="584">
        <f t="shared" si="9"/>
        <v>32.799999999999997</v>
      </c>
      <c r="AL21" s="473">
        <f>SUM(AL19:AL20)</f>
        <v>-7647</v>
      </c>
      <c r="AM21" s="473">
        <f>SUM(AM19:AM20)</f>
        <v>-8143</v>
      </c>
      <c r="AN21" s="584">
        <f t="shared" si="10"/>
        <v>6.5</v>
      </c>
      <c r="AO21" s="584">
        <f t="shared" si="13"/>
        <v>-30437.20603202</v>
      </c>
      <c r="AP21" s="584">
        <f t="shared" si="13"/>
        <v>-33558.121772330007</v>
      </c>
      <c r="AQ21" s="584">
        <f t="shared" si="11"/>
        <v>10.3</v>
      </c>
      <c r="AR21" s="586">
        <f t="shared" si="16"/>
        <v>-30528.20603202</v>
      </c>
      <c r="AS21" s="584">
        <f t="shared" si="16"/>
        <v>-33677.121772330007</v>
      </c>
      <c r="AT21" s="584">
        <f>IF(AR21=0, "    ---- ", IF(ABS(ROUND(100/AR21*AS21-100,1))&lt;999,ROUND(100/AR21*AS21-100,1),IF(ROUND(100/AR21*AS21-100,1)&gt;999,999,-999)))</f>
        <v>10.3</v>
      </c>
    </row>
    <row r="22" spans="1:46" s="549" customFormat="1" ht="18.75" customHeight="1" x14ac:dyDescent="0.3">
      <c r="A22" s="581" t="s">
        <v>348</v>
      </c>
      <c r="B22" s="499"/>
      <c r="C22" s="500"/>
      <c r="D22" s="584"/>
      <c r="E22" s="499"/>
      <c r="F22" s="500"/>
      <c r="G22" s="584"/>
      <c r="H22" s="589"/>
      <c r="I22" s="590"/>
      <c r="J22" s="584"/>
      <c r="K22" s="499"/>
      <c r="L22" s="500"/>
      <c r="M22" s="584"/>
      <c r="N22" s="589"/>
      <c r="O22" s="590"/>
      <c r="P22" s="496"/>
      <c r="Q22" s="499"/>
      <c r="R22" s="500"/>
      <c r="S22" s="584"/>
      <c r="T22" s="589"/>
      <c r="U22" s="590"/>
      <c r="V22" s="584"/>
      <c r="W22" s="589"/>
      <c r="X22" s="590"/>
      <c r="Y22" s="584"/>
      <c r="Z22" s="589"/>
      <c r="AA22" s="590"/>
      <c r="AB22" s="584"/>
      <c r="AC22" s="589"/>
      <c r="AD22" s="590"/>
      <c r="AE22" s="584"/>
      <c r="AF22" s="499"/>
      <c r="AG22" s="500"/>
      <c r="AH22" s="584"/>
      <c r="AI22" s="589"/>
      <c r="AJ22" s="590"/>
      <c r="AK22" s="584"/>
      <c r="AL22" s="499"/>
      <c r="AM22" s="500"/>
      <c r="AN22" s="584"/>
      <c r="AO22" s="584"/>
      <c r="AP22" s="584"/>
      <c r="AQ22" s="584"/>
      <c r="AR22" s="584"/>
      <c r="AS22" s="584"/>
      <c r="AT22" s="584"/>
    </row>
    <row r="23" spans="1:46" s="549" customFormat="1" ht="18.75" customHeight="1" x14ac:dyDescent="0.3">
      <c r="A23" s="581" t="s">
        <v>349</v>
      </c>
      <c r="B23" s="507">
        <f>-7.705+-14.421</f>
        <v>-22.125999999999998</v>
      </c>
      <c r="C23" s="496">
        <v>-33.561</v>
      </c>
      <c r="D23" s="584">
        <f t="shared" si="0"/>
        <v>51.7</v>
      </c>
      <c r="E23" s="507">
        <f>-1014.318+61.352</f>
        <v>-952.96600000000001</v>
      </c>
      <c r="F23" s="496">
        <v>812.05</v>
      </c>
      <c r="G23" s="584">
        <f t="shared" si="1"/>
        <v>-185.2</v>
      </c>
      <c r="H23" s="507">
        <f>-232.479+-43.105</f>
        <v>-275.584</v>
      </c>
      <c r="I23" s="496">
        <v>-330.35300000000001</v>
      </c>
      <c r="J23" s="584">
        <f t="shared" si="2"/>
        <v>19.899999999999999</v>
      </c>
      <c r="K23" s="507">
        <f>-144.185+-74.526</f>
        <v>-218.71100000000001</v>
      </c>
      <c r="L23" s="496">
        <f>-278.7+3.4</f>
        <v>-275.3</v>
      </c>
      <c r="M23" s="584">
        <f t="shared" si="3"/>
        <v>25.9</v>
      </c>
      <c r="N23" s="507">
        <v>2</v>
      </c>
      <c r="O23" s="496">
        <v>7</v>
      </c>
      <c r="P23" s="496"/>
      <c r="Q23" s="507">
        <v>-15066.48947126</v>
      </c>
      <c r="R23" s="496">
        <v>-10083.25196102</v>
      </c>
      <c r="S23" s="584">
        <f t="shared" si="4"/>
        <v>-33.1</v>
      </c>
      <c r="T23" s="507">
        <v>-39.402999999999999</v>
      </c>
      <c r="U23" s="496">
        <v>-13.851000000000001</v>
      </c>
      <c r="V23" s="584">
        <f t="shared" si="5"/>
        <v>-64.8</v>
      </c>
      <c r="W23" s="507">
        <f>-745.9+13</f>
        <v>-732.9</v>
      </c>
      <c r="X23" s="496">
        <v>-313</v>
      </c>
      <c r="Y23" s="584">
        <f t="shared" si="6"/>
        <v>-57.3</v>
      </c>
      <c r="Z23" s="507">
        <f>-472-7</f>
        <v>-479</v>
      </c>
      <c r="AA23" s="496">
        <v>-609</v>
      </c>
      <c r="AB23" s="584">
        <f t="shared" si="7"/>
        <v>27.1</v>
      </c>
      <c r="AC23" s="507"/>
      <c r="AD23" s="496"/>
      <c r="AE23" s="584"/>
      <c r="AF23" s="507">
        <f>-53.54520117+-11.79948169</f>
        <v>-65.344682860000006</v>
      </c>
      <c r="AG23" s="496"/>
      <c r="AH23" s="584">
        <f t="shared" si="15"/>
        <v>-100</v>
      </c>
      <c r="AI23" s="507">
        <f>-269.2132621+-137.32187248</f>
        <v>-406.53513457999998</v>
      </c>
      <c r="AJ23" s="496">
        <v>-471.59095664000034</v>
      </c>
      <c r="AK23" s="584">
        <f t="shared" si="9"/>
        <v>16</v>
      </c>
      <c r="AL23" s="507">
        <f>402.4+-358</f>
        <v>44.399999999999977</v>
      </c>
      <c r="AM23" s="496">
        <v>-721</v>
      </c>
      <c r="AN23" s="584">
        <f t="shared" si="10"/>
        <v>-999</v>
      </c>
      <c r="AO23" s="584">
        <f t="shared" si="13"/>
        <v>-18214.659288699997</v>
      </c>
      <c r="AP23" s="584">
        <f t="shared" si="13"/>
        <v>-12038.857917660001</v>
      </c>
      <c r="AQ23" s="584">
        <f t="shared" si="11"/>
        <v>-33.9</v>
      </c>
      <c r="AR23" s="586">
        <f t="shared" si="16"/>
        <v>-18212.659288699997</v>
      </c>
      <c r="AS23" s="584">
        <f t="shared" si="16"/>
        <v>-12031.857917660001</v>
      </c>
      <c r="AT23" s="584">
        <f t="shared" ref="AT23:AT34" si="17">IF(AR23=0, "    ---- ", IF(ABS(ROUND(100/AR23*AS23-100,1))&lt;999,ROUND(100/AR23*AS23-100,1),IF(ROUND(100/AR23*AS23-100,1)&gt;999,999,-999)))</f>
        <v>-33.9</v>
      </c>
    </row>
    <row r="24" spans="1:46" s="549" customFormat="1" ht="18.75" customHeight="1" x14ac:dyDescent="0.3">
      <c r="A24" s="581" t="s">
        <v>350</v>
      </c>
      <c r="B24" s="507"/>
      <c r="C24" s="496"/>
      <c r="D24" s="584"/>
      <c r="E24" s="507">
        <v>-1.631</v>
      </c>
      <c r="F24" s="496">
        <v>-12.486000000000001</v>
      </c>
      <c r="G24" s="584">
        <f t="shared" si="1"/>
        <v>665.5</v>
      </c>
      <c r="H24" s="507"/>
      <c r="I24" s="496"/>
      <c r="J24" s="584"/>
      <c r="K24" s="507">
        <v>0.20699999999999999</v>
      </c>
      <c r="L24" s="496">
        <v>-0.9</v>
      </c>
      <c r="M24" s="584">
        <f t="shared" si="3"/>
        <v>-534.79999999999995</v>
      </c>
      <c r="N24" s="507"/>
      <c r="O24" s="496"/>
      <c r="P24" s="496"/>
      <c r="Q24" s="507">
        <v>9.2478010000000008</v>
      </c>
      <c r="R24" s="496">
        <v>12.326510000000001</v>
      </c>
      <c r="S24" s="584">
        <f t="shared" si="4"/>
        <v>33.299999999999997</v>
      </c>
      <c r="T24" s="507">
        <v>0</v>
      </c>
      <c r="U24" s="496">
        <v>9.2999999999999999E-2</v>
      </c>
      <c r="V24" s="584" t="str">
        <f t="shared" si="5"/>
        <v xml:space="preserve">    ---- </v>
      </c>
      <c r="W24" s="507">
        <v>18</v>
      </c>
      <c r="X24" s="496">
        <v>13</v>
      </c>
      <c r="Y24" s="584">
        <f t="shared" si="6"/>
        <v>-27.8</v>
      </c>
      <c r="Z24" s="507"/>
      <c r="AA24" s="496"/>
      <c r="AB24" s="584"/>
      <c r="AC24" s="507"/>
      <c r="AD24" s="496"/>
      <c r="AE24" s="584"/>
      <c r="AF24" s="507">
        <v>1.8990900900000001</v>
      </c>
      <c r="AG24" s="496"/>
      <c r="AH24" s="584">
        <f t="shared" si="15"/>
        <v>-100</v>
      </c>
      <c r="AI24" s="507">
        <v>9.7924553599999982</v>
      </c>
      <c r="AJ24" s="496">
        <v>23.85080476000002</v>
      </c>
      <c r="AK24" s="584">
        <f t="shared" si="9"/>
        <v>143.6</v>
      </c>
      <c r="AL24" s="507">
        <v>141.6</v>
      </c>
      <c r="AM24" s="496">
        <v>61</v>
      </c>
      <c r="AN24" s="584">
        <f t="shared" si="10"/>
        <v>-56.9</v>
      </c>
      <c r="AO24" s="584">
        <f t="shared" si="13"/>
        <v>179.11534645</v>
      </c>
      <c r="AP24" s="584">
        <f t="shared" si="13"/>
        <v>96.884314760000024</v>
      </c>
      <c r="AQ24" s="584">
        <f t="shared" si="11"/>
        <v>-45.9</v>
      </c>
      <c r="AR24" s="586">
        <f t="shared" si="16"/>
        <v>179.11534645</v>
      </c>
      <c r="AS24" s="584">
        <f t="shared" si="16"/>
        <v>96.884314760000024</v>
      </c>
      <c r="AT24" s="584">
        <f t="shared" si="17"/>
        <v>-45.9</v>
      </c>
    </row>
    <row r="25" spans="1:46" s="549" customFormat="1" ht="18.75" customHeight="1" x14ac:dyDescent="0.3">
      <c r="A25" s="581" t="s">
        <v>351</v>
      </c>
      <c r="B25" s="507">
        <v>-14.401</v>
      </c>
      <c r="C25" s="496">
        <v>-5.9489999999999998</v>
      </c>
      <c r="D25" s="584">
        <f t="shared" si="0"/>
        <v>-58.7</v>
      </c>
      <c r="E25" s="507">
        <v>-160.90199999999999</v>
      </c>
      <c r="F25" s="496">
        <v>-1028.615</v>
      </c>
      <c r="G25" s="584">
        <f t="shared" si="1"/>
        <v>539.29999999999995</v>
      </c>
      <c r="H25" s="507"/>
      <c r="I25" s="496"/>
      <c r="J25" s="584"/>
      <c r="K25" s="507">
        <v>-1.32</v>
      </c>
      <c r="L25" s="496">
        <v>-12.4</v>
      </c>
      <c r="M25" s="584">
        <f t="shared" si="3"/>
        <v>839.4</v>
      </c>
      <c r="N25" s="507"/>
      <c r="O25" s="496"/>
      <c r="P25" s="496"/>
      <c r="Q25" s="507">
        <v>-2519.0279850000002</v>
      </c>
      <c r="R25" s="496">
        <v>-7079.7278690000003</v>
      </c>
      <c r="S25" s="584">
        <f t="shared" si="4"/>
        <v>181</v>
      </c>
      <c r="T25" s="507">
        <v>-10.672000000000001</v>
      </c>
      <c r="U25" s="496">
        <v>-11.35</v>
      </c>
      <c r="V25" s="584">
        <f t="shared" si="5"/>
        <v>6.4</v>
      </c>
      <c r="W25" s="507">
        <v>57</v>
      </c>
      <c r="X25" s="496">
        <v>-323.60000000000002</v>
      </c>
      <c r="Y25" s="584">
        <f t="shared" si="6"/>
        <v>-667.7</v>
      </c>
      <c r="Z25" s="507">
        <v>355</v>
      </c>
      <c r="AA25" s="496">
        <v>-1751</v>
      </c>
      <c r="AB25" s="584">
        <f t="shared" si="7"/>
        <v>-593.20000000000005</v>
      </c>
      <c r="AC25" s="507"/>
      <c r="AD25" s="496"/>
      <c r="AE25" s="584"/>
      <c r="AF25" s="507">
        <v>98.249516079999992</v>
      </c>
      <c r="AG25" s="496"/>
      <c r="AH25" s="584">
        <f t="shared" si="15"/>
        <v>-100</v>
      </c>
      <c r="AI25" s="507">
        <v>54.801636039999991</v>
      </c>
      <c r="AJ25" s="496">
        <v>-280.15978485000005</v>
      </c>
      <c r="AK25" s="584">
        <f t="shared" si="9"/>
        <v>-611.20000000000005</v>
      </c>
      <c r="AL25" s="507">
        <v>-724.2</v>
      </c>
      <c r="AM25" s="496">
        <v>525</v>
      </c>
      <c r="AN25" s="584">
        <f t="shared" si="10"/>
        <v>-172.5</v>
      </c>
      <c r="AO25" s="584">
        <f t="shared" si="13"/>
        <v>-2865.47183288</v>
      </c>
      <c r="AP25" s="584">
        <f t="shared" si="13"/>
        <v>-9967.8016538500015</v>
      </c>
      <c r="AQ25" s="584">
        <f t="shared" si="11"/>
        <v>247.9</v>
      </c>
      <c r="AR25" s="586">
        <f t="shared" si="16"/>
        <v>-2865.47183288</v>
      </c>
      <c r="AS25" s="584">
        <f t="shared" si="16"/>
        <v>-9967.8016538500015</v>
      </c>
      <c r="AT25" s="584">
        <f t="shared" si="17"/>
        <v>247.9</v>
      </c>
    </row>
    <row r="26" spans="1:46" s="549" customFormat="1" ht="18.75" customHeight="1" x14ac:dyDescent="0.3">
      <c r="A26" s="581" t="s">
        <v>352</v>
      </c>
      <c r="B26" s="507"/>
      <c r="C26" s="496"/>
      <c r="D26" s="584"/>
      <c r="E26" s="507">
        <v>-17.216999999999999</v>
      </c>
      <c r="F26" s="496">
        <v>-10.241</v>
      </c>
      <c r="G26" s="584">
        <f t="shared" si="1"/>
        <v>-40.5</v>
      </c>
      <c r="H26" s="507"/>
      <c r="I26" s="496"/>
      <c r="J26" s="584"/>
      <c r="K26" s="507">
        <v>3.161</v>
      </c>
      <c r="L26" s="496">
        <v>0.2</v>
      </c>
      <c r="M26" s="584">
        <f t="shared" si="3"/>
        <v>-93.7</v>
      </c>
      <c r="N26" s="507"/>
      <c r="O26" s="496"/>
      <c r="P26" s="496"/>
      <c r="Q26" s="507">
        <v>-155.05205799999999</v>
      </c>
      <c r="R26" s="496">
        <v>-162.87695500000001</v>
      </c>
      <c r="S26" s="584">
        <f t="shared" si="4"/>
        <v>5</v>
      </c>
      <c r="T26" s="507">
        <v>-1.212</v>
      </c>
      <c r="U26" s="496">
        <v>-0.28899999999999998</v>
      </c>
      <c r="V26" s="584">
        <f t="shared" si="5"/>
        <v>-76.2</v>
      </c>
      <c r="W26" s="507">
        <v>-2</v>
      </c>
      <c r="X26" s="496">
        <v>0</v>
      </c>
      <c r="Y26" s="584">
        <f t="shared" si="6"/>
        <v>-100</v>
      </c>
      <c r="Z26" s="507">
        <v>-21</v>
      </c>
      <c r="AA26" s="496">
        <v>-20</v>
      </c>
      <c r="AB26" s="584">
        <f t="shared" si="7"/>
        <v>-4.8</v>
      </c>
      <c r="AC26" s="507"/>
      <c r="AD26" s="496"/>
      <c r="AE26" s="584"/>
      <c r="AF26" s="507"/>
      <c r="AG26" s="496"/>
      <c r="AH26" s="584"/>
      <c r="AI26" s="507">
        <v>-2.0891679999999999</v>
      </c>
      <c r="AJ26" s="496">
        <v>-2.0379529999999999</v>
      </c>
      <c r="AK26" s="584">
        <f t="shared" si="9"/>
        <v>-2.5</v>
      </c>
      <c r="AL26" s="507">
        <v>-3.6</v>
      </c>
      <c r="AM26" s="496">
        <v>-15</v>
      </c>
      <c r="AN26" s="584">
        <f t="shared" si="10"/>
        <v>316.7</v>
      </c>
      <c r="AO26" s="584">
        <f t="shared" si="13"/>
        <v>-199.00922599999998</v>
      </c>
      <c r="AP26" s="584">
        <f t="shared" si="13"/>
        <v>-210.24490799999998</v>
      </c>
      <c r="AQ26" s="584">
        <f t="shared" si="11"/>
        <v>5.6</v>
      </c>
      <c r="AR26" s="586">
        <f t="shared" si="16"/>
        <v>-199.00922599999998</v>
      </c>
      <c r="AS26" s="584">
        <f t="shared" si="16"/>
        <v>-210.24490799999998</v>
      </c>
      <c r="AT26" s="584">
        <f t="shared" si="17"/>
        <v>5.6</v>
      </c>
    </row>
    <row r="27" spans="1:46" s="549" customFormat="1" ht="18.75" customHeight="1" x14ac:dyDescent="0.3">
      <c r="A27" s="581" t="s">
        <v>353</v>
      </c>
      <c r="B27" s="507">
        <v>11.148</v>
      </c>
      <c r="C27" s="496">
        <v>-0.85299999999999998</v>
      </c>
      <c r="D27" s="584">
        <f t="shared" si="0"/>
        <v>-107.7</v>
      </c>
      <c r="E27" s="507">
        <v>-166.25</v>
      </c>
      <c r="F27" s="496">
        <v>-169.8</v>
      </c>
      <c r="G27" s="584">
        <f t="shared" si="1"/>
        <v>2.1</v>
      </c>
      <c r="H27" s="507">
        <v>-1.272</v>
      </c>
      <c r="I27" s="496">
        <v>-2.641</v>
      </c>
      <c r="J27" s="584">
        <f t="shared" si="2"/>
        <v>107.6</v>
      </c>
      <c r="K27" s="507"/>
      <c r="L27" s="496"/>
      <c r="M27" s="584"/>
      <c r="N27" s="507"/>
      <c r="O27" s="496"/>
      <c r="P27" s="496"/>
      <c r="Q27" s="507"/>
      <c r="R27" s="496"/>
      <c r="S27" s="584"/>
      <c r="T27" s="507"/>
      <c r="U27" s="496"/>
      <c r="V27" s="584"/>
      <c r="W27" s="507"/>
      <c r="X27" s="496"/>
      <c r="Y27" s="584"/>
      <c r="Z27" s="507"/>
      <c r="AA27" s="496"/>
      <c r="AB27" s="584"/>
      <c r="AC27" s="507"/>
      <c r="AD27" s="496"/>
      <c r="AE27" s="584"/>
      <c r="AF27" s="507"/>
      <c r="AG27" s="496"/>
      <c r="AH27" s="584"/>
      <c r="AI27" s="507"/>
      <c r="AJ27" s="496"/>
      <c r="AK27" s="584"/>
      <c r="AL27" s="507">
        <v>-27</v>
      </c>
      <c r="AM27" s="496">
        <v>1</v>
      </c>
      <c r="AN27" s="584">
        <f t="shared" si="10"/>
        <v>-103.7</v>
      </c>
      <c r="AO27" s="584">
        <f t="shared" si="13"/>
        <v>-183.374</v>
      </c>
      <c r="AP27" s="584">
        <f t="shared" si="13"/>
        <v>-172.29400000000001</v>
      </c>
      <c r="AQ27" s="584">
        <f t="shared" si="11"/>
        <v>-6</v>
      </c>
      <c r="AR27" s="586">
        <f t="shared" si="16"/>
        <v>-183.374</v>
      </c>
      <c r="AS27" s="584">
        <f t="shared" si="16"/>
        <v>-172.29400000000001</v>
      </c>
      <c r="AT27" s="584">
        <f t="shared" si="17"/>
        <v>-6</v>
      </c>
    </row>
    <row r="28" spans="1:46" s="549" customFormat="1" ht="18.75" customHeight="1" x14ac:dyDescent="0.3">
      <c r="A28" s="581" t="s">
        <v>354</v>
      </c>
      <c r="B28" s="507"/>
      <c r="C28" s="496"/>
      <c r="D28" s="584"/>
      <c r="E28" s="507">
        <v>10.055</v>
      </c>
      <c r="F28" s="496">
        <v>14.401999999999999</v>
      </c>
      <c r="G28" s="584">
        <f t="shared" si="1"/>
        <v>43.2</v>
      </c>
      <c r="H28" s="507"/>
      <c r="I28" s="496"/>
      <c r="J28" s="584"/>
      <c r="K28" s="507"/>
      <c r="L28" s="496"/>
      <c r="M28" s="584"/>
      <c r="N28" s="507"/>
      <c r="O28" s="496"/>
      <c r="P28" s="496"/>
      <c r="Q28" s="507">
        <v>-2.6871149999999999</v>
      </c>
      <c r="R28" s="496">
        <v>0</v>
      </c>
      <c r="S28" s="584">
        <f t="shared" si="4"/>
        <v>-100</v>
      </c>
      <c r="T28" s="507"/>
      <c r="U28" s="496"/>
      <c r="V28" s="584"/>
      <c r="W28" s="507"/>
      <c r="X28" s="496"/>
      <c r="Y28" s="584"/>
      <c r="Z28" s="507"/>
      <c r="AA28" s="496"/>
      <c r="AB28" s="584"/>
      <c r="AC28" s="507"/>
      <c r="AD28" s="496"/>
      <c r="AE28" s="584"/>
      <c r="AF28" s="507"/>
      <c r="AG28" s="496"/>
      <c r="AH28" s="584"/>
      <c r="AI28" s="507">
        <v>7.9909999999999998E-3</v>
      </c>
      <c r="AJ28" s="496">
        <v>0</v>
      </c>
      <c r="AK28" s="584">
        <f t="shared" si="9"/>
        <v>-100</v>
      </c>
      <c r="AL28" s="507">
        <v>-8.6</v>
      </c>
      <c r="AM28" s="496">
        <v>-8</v>
      </c>
      <c r="AN28" s="584">
        <f t="shared" si="10"/>
        <v>-7</v>
      </c>
      <c r="AO28" s="584">
        <f t="shared" si="13"/>
        <v>-1.2241240000000007</v>
      </c>
      <c r="AP28" s="584">
        <f t="shared" si="13"/>
        <v>6.4019999999999992</v>
      </c>
      <c r="AQ28" s="584">
        <f t="shared" si="11"/>
        <v>-623</v>
      </c>
      <c r="AR28" s="586">
        <f t="shared" si="16"/>
        <v>-1.2241240000000007</v>
      </c>
      <c r="AS28" s="584">
        <f t="shared" si="16"/>
        <v>6.4019999999999992</v>
      </c>
      <c r="AT28" s="584">
        <f t="shared" si="17"/>
        <v>-623</v>
      </c>
    </row>
    <row r="29" spans="1:46" s="549" customFormat="1" ht="18.75" customHeight="1" x14ac:dyDescent="0.3">
      <c r="A29" s="581" t="s">
        <v>355</v>
      </c>
      <c r="B29" s="507">
        <f>SUM(B23:B28)</f>
        <v>-25.379000000000001</v>
      </c>
      <c r="C29" s="507">
        <f>SUM(C23:C28)</f>
        <v>-40.363</v>
      </c>
      <c r="D29" s="584">
        <f t="shared" si="0"/>
        <v>59</v>
      </c>
      <c r="E29" s="507">
        <f>SUM(E23:E28)</f>
        <v>-1288.9110000000001</v>
      </c>
      <c r="F29" s="507">
        <f>SUM(F23:F28)</f>
        <v>-394.69000000000005</v>
      </c>
      <c r="G29" s="584">
        <f t="shared" si="1"/>
        <v>-69.400000000000006</v>
      </c>
      <c r="H29" s="507">
        <f>SUM(H23:H28)</f>
        <v>-276.85599999999999</v>
      </c>
      <c r="I29" s="507">
        <f>SUM(I23:I28)</f>
        <v>-332.99400000000003</v>
      </c>
      <c r="J29" s="584">
        <f t="shared" si="2"/>
        <v>20.3</v>
      </c>
      <c r="K29" s="507">
        <f>SUM(K23:K28)</f>
        <v>-216.66300000000001</v>
      </c>
      <c r="L29" s="507">
        <v>-288.39999999999998</v>
      </c>
      <c r="M29" s="584">
        <f t="shared" si="3"/>
        <v>33.1</v>
      </c>
      <c r="N29" s="507">
        <f>SUM(N23:N28)</f>
        <v>2</v>
      </c>
      <c r="O29" s="507">
        <f>SUM(O23:O28)</f>
        <v>7</v>
      </c>
      <c r="P29" s="496"/>
      <c r="Q29" s="507">
        <v>-17734.008828260001</v>
      </c>
      <c r="R29" s="507">
        <v>-17313.530275019999</v>
      </c>
      <c r="S29" s="584">
        <f t="shared" si="4"/>
        <v>-2.4</v>
      </c>
      <c r="T29" s="507">
        <f>SUM(T23:T28)</f>
        <v>-51.287000000000006</v>
      </c>
      <c r="U29" s="507">
        <f>SUM(U23:U28)</f>
        <v>-25.397000000000002</v>
      </c>
      <c r="V29" s="584">
        <f t="shared" si="5"/>
        <v>-50.5</v>
      </c>
      <c r="W29" s="507">
        <f>SUM(W23:W28)</f>
        <v>-659.9</v>
      </c>
      <c r="X29" s="507">
        <f>SUM(X23:X28)</f>
        <v>-623.6</v>
      </c>
      <c r="Y29" s="584">
        <f t="shared" si="6"/>
        <v>-5.5</v>
      </c>
      <c r="Z29" s="507">
        <f>SUM(Z23:Z28)</f>
        <v>-145</v>
      </c>
      <c r="AA29" s="507">
        <f>SUM(AA23:AA28)</f>
        <v>-2380</v>
      </c>
      <c r="AB29" s="584">
        <f t="shared" si="7"/>
        <v>999</v>
      </c>
      <c r="AC29" s="507">
        <f>SUM(AC23:AC28)</f>
        <v>0</v>
      </c>
      <c r="AD29" s="507">
        <f>SUM(AD23:AD28)</f>
        <v>0</v>
      </c>
      <c r="AE29" s="584"/>
      <c r="AF29" s="507">
        <f>SUM(AF23:AF28)</f>
        <v>34.803923309999988</v>
      </c>
      <c r="AG29" s="507">
        <f>SUM(AG23:AG28)</f>
        <v>0</v>
      </c>
      <c r="AH29" s="584">
        <f t="shared" si="15"/>
        <v>-100</v>
      </c>
      <c r="AI29" s="507">
        <f>SUM(AI23:AI28)</f>
        <v>-344.02222017999992</v>
      </c>
      <c r="AJ29" s="507">
        <f>SUM(AJ23:AJ28)</f>
        <v>-729.93788973000039</v>
      </c>
      <c r="AK29" s="584">
        <f t="shared" si="9"/>
        <v>112.2</v>
      </c>
      <c r="AL29" s="507">
        <f>SUM(AL23:AL28)</f>
        <v>-577.40000000000009</v>
      </c>
      <c r="AM29" s="507">
        <f>SUM(AM23:AM28)</f>
        <v>-157</v>
      </c>
      <c r="AN29" s="584">
        <f t="shared" si="10"/>
        <v>-72.8</v>
      </c>
      <c r="AO29" s="584">
        <f t="shared" si="13"/>
        <v>-21284.623125130005</v>
      </c>
      <c r="AP29" s="584">
        <f t="shared" si="13"/>
        <v>-22285.91216475</v>
      </c>
      <c r="AQ29" s="584">
        <f t="shared" si="11"/>
        <v>4.7</v>
      </c>
      <c r="AR29" s="586">
        <f t="shared" si="16"/>
        <v>-21282.623125130005</v>
      </c>
      <c r="AS29" s="584">
        <f t="shared" si="16"/>
        <v>-22278.91216475</v>
      </c>
      <c r="AT29" s="584">
        <f t="shared" si="17"/>
        <v>4.7</v>
      </c>
    </row>
    <row r="30" spans="1:46" s="549" customFormat="1" ht="18.75" customHeight="1" x14ac:dyDescent="0.3">
      <c r="A30" s="581" t="s">
        <v>356</v>
      </c>
      <c r="B30" s="507">
        <v>-269.596</v>
      </c>
      <c r="C30" s="496">
        <v>-1498.8130000000001</v>
      </c>
      <c r="D30" s="584">
        <f t="shared" si="0"/>
        <v>455.9</v>
      </c>
      <c r="E30" s="507">
        <v>-3113.0549999999998</v>
      </c>
      <c r="F30" s="496">
        <v>-7348.3069999999998</v>
      </c>
      <c r="G30" s="584">
        <f t="shared" si="1"/>
        <v>136</v>
      </c>
      <c r="H30" s="507">
        <v>-49.066000000000003</v>
      </c>
      <c r="I30" s="496">
        <v>-244.595</v>
      </c>
      <c r="J30" s="584">
        <f t="shared" si="2"/>
        <v>398.5</v>
      </c>
      <c r="K30" s="507">
        <v>-857.92700000000002</v>
      </c>
      <c r="L30" s="496">
        <v>-2696.9</v>
      </c>
      <c r="M30" s="584">
        <f t="shared" si="3"/>
        <v>214.4</v>
      </c>
      <c r="N30" s="507"/>
      <c r="O30" s="496"/>
      <c r="P30" s="496"/>
      <c r="Q30" s="507">
        <v>-57.285958999999998</v>
      </c>
      <c r="R30" s="496">
        <v>-59.226253999999997</v>
      </c>
      <c r="S30" s="584">
        <f t="shared" si="4"/>
        <v>3.4</v>
      </c>
      <c r="T30" s="507">
        <v>-181.38200000000001</v>
      </c>
      <c r="U30" s="496">
        <v>-511.16699999999997</v>
      </c>
      <c r="V30" s="584">
        <f t="shared" si="5"/>
        <v>181.8</v>
      </c>
      <c r="W30" s="507">
        <v>-2849</v>
      </c>
      <c r="X30" s="496">
        <v>-5091</v>
      </c>
      <c r="Y30" s="584">
        <f t="shared" si="6"/>
        <v>78.7</v>
      </c>
      <c r="Z30" s="507"/>
      <c r="AA30" s="496"/>
      <c r="AB30" s="584"/>
      <c r="AC30" s="507">
        <v>40</v>
      </c>
      <c r="AD30" s="496">
        <v>-135</v>
      </c>
      <c r="AE30" s="584">
        <f t="shared" si="8"/>
        <v>-437.5</v>
      </c>
      <c r="AF30" s="507">
        <v>38.961559289999997</v>
      </c>
      <c r="AG30" s="496"/>
      <c r="AH30" s="584">
        <f t="shared" si="15"/>
        <v>-100</v>
      </c>
      <c r="AI30" s="507">
        <v>-1095.1188349000004</v>
      </c>
      <c r="AJ30" s="496">
        <v>-2679.9301750499999</v>
      </c>
      <c r="AK30" s="584">
        <f t="shared" si="9"/>
        <v>144.69999999999999</v>
      </c>
      <c r="AL30" s="507">
        <v>-4204</v>
      </c>
      <c r="AM30" s="496">
        <v>-6166</v>
      </c>
      <c r="AN30" s="584">
        <f t="shared" si="10"/>
        <v>46.7</v>
      </c>
      <c r="AO30" s="584">
        <f t="shared" si="13"/>
        <v>-12637.469234609998</v>
      </c>
      <c r="AP30" s="584">
        <f t="shared" si="13"/>
        <v>-26295.938429049995</v>
      </c>
      <c r="AQ30" s="584">
        <f t="shared" si="11"/>
        <v>108.1</v>
      </c>
      <c r="AR30" s="586">
        <f t="shared" si="16"/>
        <v>-12597.469234609998</v>
      </c>
      <c r="AS30" s="584">
        <f t="shared" si="16"/>
        <v>-26430.938429049995</v>
      </c>
      <c r="AT30" s="584">
        <f t="shared" si="17"/>
        <v>109.8</v>
      </c>
    </row>
    <row r="31" spans="1:46" s="549" customFormat="1" ht="18.75" customHeight="1" x14ac:dyDescent="0.3">
      <c r="A31" s="581" t="s">
        <v>357</v>
      </c>
      <c r="B31" s="507">
        <v>0</v>
      </c>
      <c r="C31" s="496">
        <v>-0.435</v>
      </c>
      <c r="D31" s="584"/>
      <c r="E31" s="507">
        <v>-518.13900000000001</v>
      </c>
      <c r="F31" s="496">
        <v>-1036.7360000000001</v>
      </c>
      <c r="G31" s="584">
        <f t="shared" si="1"/>
        <v>100.1</v>
      </c>
      <c r="H31" s="507"/>
      <c r="I31" s="496"/>
      <c r="J31" s="584"/>
      <c r="K31" s="507">
        <v>-30.11</v>
      </c>
      <c r="L31" s="496">
        <v>-19</v>
      </c>
      <c r="M31" s="584">
        <f t="shared" si="3"/>
        <v>-36.9</v>
      </c>
      <c r="N31" s="507"/>
      <c r="O31" s="496"/>
      <c r="P31" s="496"/>
      <c r="Q31" s="507">
        <v>-4028.674865</v>
      </c>
      <c r="R31" s="496">
        <v>-1643.1085399999999</v>
      </c>
      <c r="S31" s="584">
        <f t="shared" si="4"/>
        <v>-59.2</v>
      </c>
      <c r="T31" s="507">
        <v>-8.4760000000000009</v>
      </c>
      <c r="U31" s="496">
        <v>-5.9039999999999999</v>
      </c>
      <c r="V31" s="584">
        <f t="shared" si="5"/>
        <v>-30.3</v>
      </c>
      <c r="W31" s="507">
        <v>-223</v>
      </c>
      <c r="X31" s="496">
        <v>-214</v>
      </c>
      <c r="Y31" s="584">
        <f t="shared" si="6"/>
        <v>-4</v>
      </c>
      <c r="Z31" s="507">
        <v>-741</v>
      </c>
      <c r="AA31" s="496">
        <v>-1374</v>
      </c>
      <c r="AB31" s="584">
        <f t="shared" si="7"/>
        <v>85.4</v>
      </c>
      <c r="AC31" s="507"/>
      <c r="AD31" s="496"/>
      <c r="AE31" s="584"/>
      <c r="AF31" s="507">
        <v>-78.989075</v>
      </c>
      <c r="AG31" s="496"/>
      <c r="AH31" s="584">
        <f t="shared" si="15"/>
        <v>-100</v>
      </c>
      <c r="AI31" s="507">
        <v>-123.04590125</v>
      </c>
      <c r="AJ31" s="496">
        <v>-107.26159164000001</v>
      </c>
      <c r="AK31" s="584">
        <f t="shared" si="9"/>
        <v>-12.8</v>
      </c>
      <c r="AL31" s="507">
        <v>-1482</v>
      </c>
      <c r="AM31" s="496">
        <v>-2642</v>
      </c>
      <c r="AN31" s="584">
        <f t="shared" si="10"/>
        <v>78.3</v>
      </c>
      <c r="AO31" s="584">
        <f t="shared" si="13"/>
        <v>-7233.4348412499994</v>
      </c>
      <c r="AP31" s="584">
        <f t="shared" si="13"/>
        <v>-7042.44513164</v>
      </c>
      <c r="AQ31" s="584">
        <f t="shared" si="11"/>
        <v>-2.6</v>
      </c>
      <c r="AR31" s="586">
        <f t="shared" si="16"/>
        <v>-7233.4348412499994</v>
      </c>
      <c r="AS31" s="584">
        <f t="shared" si="16"/>
        <v>-7042.44513164</v>
      </c>
      <c r="AT31" s="584">
        <f t="shared" si="17"/>
        <v>-2.6</v>
      </c>
    </row>
    <row r="32" spans="1:46" s="549" customFormat="1" ht="18.75" customHeight="1" x14ac:dyDescent="0.3">
      <c r="A32" s="581" t="s">
        <v>358</v>
      </c>
      <c r="B32" s="507">
        <v>-102.98</v>
      </c>
      <c r="C32" s="496">
        <v>-95.436000000000007</v>
      </c>
      <c r="D32" s="584">
        <f t="shared" si="0"/>
        <v>-7.3</v>
      </c>
      <c r="E32" s="507">
        <v>-682.46</v>
      </c>
      <c r="F32" s="496">
        <v>-628.654</v>
      </c>
      <c r="G32" s="584">
        <f t="shared" si="1"/>
        <v>-7.9</v>
      </c>
      <c r="H32" s="507">
        <v>-103.511</v>
      </c>
      <c r="I32" s="496">
        <v>-112.05200000000001</v>
      </c>
      <c r="J32" s="584">
        <f t="shared" si="2"/>
        <v>8.3000000000000007</v>
      </c>
      <c r="K32" s="507">
        <v>-97.02</v>
      </c>
      <c r="L32" s="496">
        <v>-114.9</v>
      </c>
      <c r="M32" s="584">
        <f t="shared" si="3"/>
        <v>18.399999999999999</v>
      </c>
      <c r="N32" s="507">
        <v>-6</v>
      </c>
      <c r="O32" s="496">
        <v>-5</v>
      </c>
      <c r="P32" s="496">
        <v>-4.8</v>
      </c>
      <c r="Q32" s="507">
        <v>-456.37578076</v>
      </c>
      <c r="R32" s="496">
        <v>-506.74557472000004</v>
      </c>
      <c r="S32" s="584">
        <f t="shared" si="4"/>
        <v>11</v>
      </c>
      <c r="T32" s="507">
        <v>-22.783000000000001</v>
      </c>
      <c r="U32" s="496">
        <v>-31.152000000000001</v>
      </c>
      <c r="V32" s="584">
        <f t="shared" si="5"/>
        <v>36.700000000000003</v>
      </c>
      <c r="W32" s="507">
        <v>-298</v>
      </c>
      <c r="X32" s="496">
        <v>-293</v>
      </c>
      <c r="Y32" s="584">
        <f t="shared" si="6"/>
        <v>-1.7</v>
      </c>
      <c r="Z32" s="507"/>
      <c r="AA32" s="496"/>
      <c r="AB32" s="584"/>
      <c r="AC32" s="507">
        <v>-1</v>
      </c>
      <c r="AD32" s="496">
        <v>-2</v>
      </c>
      <c r="AE32" s="584">
        <f t="shared" si="8"/>
        <v>100</v>
      </c>
      <c r="AF32" s="507">
        <v>-19.858792430000008</v>
      </c>
      <c r="AG32" s="496"/>
      <c r="AH32" s="584">
        <f t="shared" si="15"/>
        <v>-100</v>
      </c>
      <c r="AI32" s="507">
        <v>-469.62128394640013</v>
      </c>
      <c r="AJ32" s="496">
        <v>-522.66496701429958</v>
      </c>
      <c r="AK32" s="584">
        <f t="shared" si="9"/>
        <v>11.3</v>
      </c>
      <c r="AL32" s="507">
        <v>-622</v>
      </c>
      <c r="AM32" s="496">
        <v>-700</v>
      </c>
      <c r="AN32" s="584">
        <f t="shared" si="10"/>
        <v>12.5</v>
      </c>
      <c r="AO32" s="584">
        <f t="shared" si="13"/>
        <v>-2874.6098571364</v>
      </c>
      <c r="AP32" s="584">
        <f t="shared" si="13"/>
        <v>-3004.6045417342998</v>
      </c>
      <c r="AQ32" s="584">
        <f t="shared" si="11"/>
        <v>4.5</v>
      </c>
      <c r="AR32" s="586">
        <f t="shared" si="16"/>
        <v>-2881.6098571364</v>
      </c>
      <c r="AS32" s="584">
        <f t="shared" si="16"/>
        <v>-3011.6045417342998</v>
      </c>
      <c r="AT32" s="584">
        <f t="shared" si="17"/>
        <v>4.5</v>
      </c>
    </row>
    <row r="33" spans="1:46" s="601" customFormat="1" ht="18.75" customHeight="1" x14ac:dyDescent="0.3">
      <c r="A33" s="581" t="s">
        <v>359</v>
      </c>
      <c r="B33" s="494"/>
      <c r="C33" s="495"/>
      <c r="D33" s="586"/>
      <c r="E33" s="494">
        <v>-3.028</v>
      </c>
      <c r="F33" s="495">
        <v>-4.29</v>
      </c>
      <c r="G33" s="586">
        <f t="shared" si="1"/>
        <v>41.7</v>
      </c>
      <c r="H33" s="494"/>
      <c r="I33" s="495"/>
      <c r="J33" s="586"/>
      <c r="K33" s="494"/>
      <c r="L33" s="495"/>
      <c r="M33" s="586"/>
      <c r="N33" s="494"/>
      <c r="O33" s="495"/>
      <c r="P33" s="495"/>
      <c r="Q33" s="494">
        <v>-453.52030999999999</v>
      </c>
      <c r="R33" s="495">
        <v>-484.29214300000001</v>
      </c>
      <c r="S33" s="586">
        <f t="shared" si="4"/>
        <v>6.8</v>
      </c>
      <c r="T33" s="494">
        <v>-0.35299999999999998</v>
      </c>
      <c r="U33" s="495">
        <v>-0.311</v>
      </c>
      <c r="V33" s="586">
        <f t="shared" si="5"/>
        <v>-11.9</v>
      </c>
      <c r="W33" s="494">
        <v>-5.5641027100005118</v>
      </c>
      <c r="X33" s="495">
        <v>-4.61591679</v>
      </c>
      <c r="Y33" s="586">
        <f t="shared" si="6"/>
        <v>-17</v>
      </c>
      <c r="Z33" s="494">
        <v>-85</v>
      </c>
      <c r="AA33" s="495">
        <v>-78</v>
      </c>
      <c r="AB33" s="586">
        <f t="shared" si="7"/>
        <v>-8.1999999999999993</v>
      </c>
      <c r="AC33" s="494"/>
      <c r="AD33" s="495"/>
      <c r="AE33" s="586"/>
      <c r="AF33" s="494">
        <v>-1.1094731100000002</v>
      </c>
      <c r="AG33" s="495"/>
      <c r="AH33" s="586">
        <f t="shared" si="15"/>
        <v>-100</v>
      </c>
      <c r="AI33" s="494">
        <v>-11.331449839999996</v>
      </c>
      <c r="AJ33" s="495">
        <v>-5.5003792199999992</v>
      </c>
      <c r="AK33" s="586">
        <f t="shared" si="9"/>
        <v>-51.5</v>
      </c>
      <c r="AL33" s="494">
        <v>-273</v>
      </c>
      <c r="AM33" s="495">
        <v>-190</v>
      </c>
      <c r="AN33" s="586">
        <f t="shared" si="10"/>
        <v>-30.4</v>
      </c>
      <c r="AO33" s="586">
        <f t="shared" si="13"/>
        <v>-832.90633566000042</v>
      </c>
      <c r="AP33" s="586">
        <f t="shared" si="13"/>
        <v>-767.00943901000005</v>
      </c>
      <c r="AQ33" s="586">
        <f t="shared" si="11"/>
        <v>-7.9</v>
      </c>
      <c r="AR33" s="586">
        <f t="shared" si="16"/>
        <v>-832.90633566000042</v>
      </c>
      <c r="AS33" s="584">
        <f t="shared" si="16"/>
        <v>-767.00943901000005</v>
      </c>
      <c r="AT33" s="586">
        <f t="shared" si="17"/>
        <v>-7.9</v>
      </c>
    </row>
    <row r="34" spans="1:46" s="607" customFormat="1" ht="18.75" customHeight="1" x14ac:dyDescent="0.3">
      <c r="A34" s="602" t="s">
        <v>360</v>
      </c>
      <c r="B34" s="603">
        <f>B14+B15+B16+B17+B21+B29+B30+B31+B32+B33</f>
        <v>58.595999999999904</v>
      </c>
      <c r="C34" s="603">
        <f>C14+C15+C16+C17+C21+C29+C30+C31+C32+C33</f>
        <v>60.886999999999574</v>
      </c>
      <c r="D34" s="604">
        <f t="shared" si="0"/>
        <v>3.9</v>
      </c>
      <c r="E34" s="603">
        <f>E14+E15+E16+E17+E21+E29+E30+E31+E32+E33</f>
        <v>420.97500000000286</v>
      </c>
      <c r="F34" s="603">
        <f>F14+F15+F16+F17+F21+F29+F30+F31+F32+F33</f>
        <v>500.26899999999949</v>
      </c>
      <c r="G34" s="604">
        <f t="shared" si="1"/>
        <v>18.8</v>
      </c>
      <c r="H34" s="603">
        <f>H14+H15+H16+H17+H21+H29+H30+H31+H32+H33</f>
        <v>54.47399999999999</v>
      </c>
      <c r="I34" s="603">
        <f>I14+I15+I16+I17+I21+I29+I30+I31+I32+I33</f>
        <v>42.173999999999907</v>
      </c>
      <c r="J34" s="604">
        <f t="shared" si="2"/>
        <v>-22.6</v>
      </c>
      <c r="K34" s="603">
        <f>K14+K15+K16+K17+K21+K29+K30+K31+K32+K33</f>
        <v>7.8940000000000055</v>
      </c>
      <c r="L34" s="603">
        <f>L14+L15+L16+L17+L21+L29+L30+L31+L32+L33</f>
        <v>53.62999999999974</v>
      </c>
      <c r="M34" s="604">
        <f t="shared" si="3"/>
        <v>579.4</v>
      </c>
      <c r="N34" s="603">
        <f>N14+N15+N16+N17+N21+N29+N30+N31+N32+N33</f>
        <v>1</v>
      </c>
      <c r="O34" s="603">
        <f>O14+O15+O16+O17+O21+O29+O30+O31+O32+O33</f>
        <v>14</v>
      </c>
      <c r="P34" s="511">
        <v>-75</v>
      </c>
      <c r="Q34" s="603">
        <v>615.2925896400078</v>
      </c>
      <c r="R34" s="603">
        <v>596.59283988999698</v>
      </c>
      <c r="S34" s="604">
        <f t="shared" si="4"/>
        <v>-3</v>
      </c>
      <c r="T34" s="603">
        <f>T14+T15+T16+T17+T21+T29+T30+T31+T32+T33</f>
        <v>-12.14200000000006</v>
      </c>
      <c r="U34" s="603">
        <f>U14+U15+U16+U17+U21+U29+U30+U31+U32+U33</f>
        <v>-21.193999999999942</v>
      </c>
      <c r="V34" s="604">
        <f t="shared" si="5"/>
        <v>74.599999999999994</v>
      </c>
      <c r="W34" s="603">
        <f>W14+W15+W16+W17+W21+W29+W30+W31+W32+W33</f>
        <v>309.53589728999941</v>
      </c>
      <c r="X34" s="603">
        <f>X14+X15+X16+X17+X21+X29+X30+X31+X32+X33</f>
        <v>310.89508320999948</v>
      </c>
      <c r="Y34" s="604">
        <f t="shared" si="6"/>
        <v>0.4</v>
      </c>
      <c r="Z34" s="603">
        <f>Z14+Z15+Z16+Z17+Z21+Z29+Z30+Z31+Z32+Z33</f>
        <v>234</v>
      </c>
      <c r="AA34" s="603">
        <f>AA14+AA15+AA16+AA17+AA21+AA29+AA30+AA31+AA32+AA33</f>
        <v>337</v>
      </c>
      <c r="AB34" s="604">
        <f t="shared" si="7"/>
        <v>44</v>
      </c>
      <c r="AC34" s="603">
        <f>AC14+AC15+AC16+AC17+AC21+AC29+AC30+AC31+AC32+AC33</f>
        <v>4</v>
      </c>
      <c r="AD34" s="603">
        <f>AD14+AD15+AD16+AD17+AD21+AD29+AD30+AD31+AD32+AD33</f>
        <v>7</v>
      </c>
      <c r="AE34" s="604">
        <f t="shared" si="8"/>
        <v>75</v>
      </c>
      <c r="AF34" s="603">
        <f>AF14+AF15+AF16+AF17+AF21+AF29+AF30+AF31+AF32+AF33</f>
        <v>-5.6508844900000277</v>
      </c>
      <c r="AG34" s="603">
        <f>AG14+AG15+AG16+AG17+AG21+AG29+AG30+AG31+AG32+AG33</f>
        <v>0</v>
      </c>
      <c r="AH34" s="604">
        <f t="shared" si="15"/>
        <v>-100</v>
      </c>
      <c r="AI34" s="603">
        <f>AI14+AI15+AI16+AI17+AI21+AI29+AI30+AI31+AI32+AI33</f>
        <v>219.48651768359946</v>
      </c>
      <c r="AJ34" s="603">
        <f>AJ14+AJ15+AJ16+AJ17+AJ21+AJ29+AJ30+AJ31+AJ32+AJ33</f>
        <v>219.33066826570087</v>
      </c>
      <c r="AK34" s="604">
        <f t="shared" si="9"/>
        <v>-0.1</v>
      </c>
      <c r="AL34" s="603">
        <f>AL14+AL15+AL16+AL17+AL21+AL29+AL30+AL31+AL32+AL33</f>
        <v>460.20000000000073</v>
      </c>
      <c r="AM34" s="603">
        <f>AM14+AM15+AM16+AM17+AM21+AM29+AM30+AM31+AM32+AM33</f>
        <v>572</v>
      </c>
      <c r="AN34" s="604">
        <f t="shared" si="10"/>
        <v>24.3</v>
      </c>
      <c r="AO34" s="604">
        <f>B34+E34+H34+K34+Q34+T34+W34+Z34+AF34+AI34+AL34</f>
        <v>2362.6611201236101</v>
      </c>
      <c r="AP34" s="604">
        <f t="shared" si="13"/>
        <v>2671.5845913656958</v>
      </c>
      <c r="AQ34" s="604">
        <f t="shared" si="11"/>
        <v>13.1</v>
      </c>
      <c r="AR34" s="605">
        <f>+B34+E34+H34+K34+N34+Q34+T34+W34+Z34+AC34+AF34+AI34+AL34</f>
        <v>2367.6611201236101</v>
      </c>
      <c r="AS34" s="606">
        <f>+C34+F34+I34+L34+O34+R34+U34+X34+AA34+AD34+AG34+AJ34+AM34</f>
        <v>2692.5845913656958</v>
      </c>
      <c r="AT34" s="604">
        <f t="shared" si="17"/>
        <v>13.7</v>
      </c>
    </row>
    <row r="35" spans="1:46" s="607" customFormat="1" ht="18.75" customHeight="1" x14ac:dyDescent="0.3">
      <c r="A35" s="608"/>
      <c r="B35" s="609"/>
      <c r="C35" s="610"/>
      <c r="D35" s="611"/>
      <c r="E35" s="609"/>
      <c r="F35" s="610"/>
      <c r="G35" s="611"/>
      <c r="H35" s="609"/>
      <c r="I35" s="610"/>
      <c r="J35" s="611"/>
      <c r="K35" s="609"/>
      <c r="L35" s="610"/>
      <c r="M35" s="611"/>
      <c r="N35" s="609"/>
      <c r="O35" s="610"/>
      <c r="P35" s="479"/>
      <c r="Q35" s="609"/>
      <c r="R35" s="610"/>
      <c r="S35" s="611"/>
      <c r="T35" s="609"/>
      <c r="U35" s="610"/>
      <c r="V35" s="611"/>
      <c r="W35" s="609"/>
      <c r="X35" s="610"/>
      <c r="Y35" s="611"/>
      <c r="Z35" s="609"/>
      <c r="AA35" s="610"/>
      <c r="AB35" s="611"/>
      <c r="AC35" s="609"/>
      <c r="AD35" s="610"/>
      <c r="AE35" s="611"/>
      <c r="AF35" s="609"/>
      <c r="AG35" s="610"/>
      <c r="AH35" s="611"/>
      <c r="AI35" s="609"/>
      <c r="AJ35" s="610"/>
      <c r="AK35" s="611"/>
      <c r="AL35" s="609"/>
      <c r="AM35" s="610"/>
      <c r="AN35" s="611"/>
      <c r="AO35" s="611"/>
      <c r="AP35" s="611"/>
      <c r="AQ35" s="611"/>
      <c r="AR35" s="612"/>
      <c r="AS35" s="613"/>
      <c r="AT35" s="614"/>
    </row>
    <row r="36" spans="1:46" s="607" customFormat="1" ht="18.75" customHeight="1" x14ac:dyDescent="0.3">
      <c r="A36" s="568" t="s">
        <v>361</v>
      </c>
      <c r="B36" s="609"/>
      <c r="C36" s="610"/>
      <c r="D36" s="606"/>
      <c r="E36" s="609"/>
      <c r="F36" s="610"/>
      <c r="G36" s="606"/>
      <c r="H36" s="609"/>
      <c r="I36" s="610"/>
      <c r="J36" s="606"/>
      <c r="K36" s="609"/>
      <c r="L36" s="610"/>
      <c r="M36" s="606"/>
      <c r="N36" s="609"/>
      <c r="O36" s="610"/>
      <c r="P36" s="479"/>
      <c r="Q36" s="609"/>
      <c r="R36" s="610"/>
      <c r="S36" s="606"/>
      <c r="T36" s="609"/>
      <c r="U36" s="610"/>
      <c r="V36" s="606"/>
      <c r="W36" s="609"/>
      <c r="X36" s="610"/>
      <c r="Y36" s="606"/>
      <c r="Z36" s="609"/>
      <c r="AA36" s="610"/>
      <c r="AB36" s="606"/>
      <c r="AC36" s="609"/>
      <c r="AD36" s="610"/>
      <c r="AE36" s="606"/>
      <c r="AF36" s="609"/>
      <c r="AG36" s="610"/>
      <c r="AH36" s="606"/>
      <c r="AI36" s="609"/>
      <c r="AJ36" s="610"/>
      <c r="AK36" s="606"/>
      <c r="AL36" s="609"/>
      <c r="AM36" s="610"/>
      <c r="AN36" s="606"/>
      <c r="AO36" s="606"/>
      <c r="AP36" s="606"/>
      <c r="AQ36" s="606"/>
      <c r="AR36" s="606"/>
      <c r="AS36" s="606"/>
      <c r="AT36" s="606"/>
    </row>
    <row r="37" spans="1:46" s="615" customFormat="1" ht="18.75" customHeight="1" x14ac:dyDescent="0.3">
      <c r="A37" s="581" t="s">
        <v>362</v>
      </c>
      <c r="B37" s="582">
        <v>-0.72599999999999998</v>
      </c>
      <c r="C37" s="583">
        <v>0.186</v>
      </c>
      <c r="D37" s="584">
        <f t="shared" si="0"/>
        <v>-125.6</v>
      </c>
      <c r="E37" s="582">
        <v>355.63799999999998</v>
      </c>
      <c r="F37" s="583">
        <v>629.44299999999998</v>
      </c>
      <c r="G37" s="584">
        <f t="shared" si="1"/>
        <v>77</v>
      </c>
      <c r="H37" s="582">
        <v>3.6739999999999999</v>
      </c>
      <c r="I37" s="583">
        <v>5.0270000000000001</v>
      </c>
      <c r="J37" s="584">
        <f t="shared" si="2"/>
        <v>36.799999999999997</v>
      </c>
      <c r="K37" s="582">
        <v>5.1840000000000002</v>
      </c>
      <c r="L37" s="583">
        <v>0.6</v>
      </c>
      <c r="M37" s="584">
        <f t="shared" si="3"/>
        <v>-88.4</v>
      </c>
      <c r="N37" s="582">
        <v>1</v>
      </c>
      <c r="O37" s="583">
        <v>1</v>
      </c>
      <c r="P37" s="496">
        <v>-28.6</v>
      </c>
      <c r="Q37" s="582">
        <v>792.92177909999998</v>
      </c>
      <c r="R37" s="583">
        <v>677.96994748999998</v>
      </c>
      <c r="S37" s="584">
        <f t="shared" si="4"/>
        <v>-14.5</v>
      </c>
      <c r="T37" s="582">
        <v>5.1710000000000003</v>
      </c>
      <c r="U37" s="583">
        <v>3.6779999999999999</v>
      </c>
      <c r="V37" s="584">
        <f t="shared" si="5"/>
        <v>-28.9</v>
      </c>
      <c r="W37" s="582">
        <v>46</v>
      </c>
      <c r="X37" s="583">
        <v>59</v>
      </c>
      <c r="Y37" s="584">
        <f t="shared" si="6"/>
        <v>28.3</v>
      </c>
      <c r="Z37" s="582">
        <v>145</v>
      </c>
      <c r="AA37" s="583">
        <v>244</v>
      </c>
      <c r="AB37" s="584">
        <f t="shared" si="7"/>
        <v>68.3</v>
      </c>
      <c r="AC37" s="582"/>
      <c r="AD37" s="583"/>
      <c r="AE37" s="584"/>
      <c r="AF37" s="582">
        <v>-0.23688863999999929</v>
      </c>
      <c r="AG37" s="583"/>
      <c r="AH37" s="584">
        <f t="shared" si="15"/>
        <v>-100</v>
      </c>
      <c r="AI37" s="582">
        <v>120.42595679000001</v>
      </c>
      <c r="AJ37" s="583">
        <v>126.17788856999999</v>
      </c>
      <c r="AK37" s="584">
        <f t="shared" si="9"/>
        <v>4.8</v>
      </c>
      <c r="AL37" s="582">
        <v>362.5</v>
      </c>
      <c r="AM37" s="583">
        <v>480</v>
      </c>
      <c r="AN37" s="584">
        <f t="shared" si="10"/>
        <v>32.4</v>
      </c>
      <c r="AO37" s="584">
        <f t="shared" si="13"/>
        <v>1835.5518472500003</v>
      </c>
      <c r="AP37" s="584">
        <f t="shared" si="13"/>
        <v>2226.0818360600006</v>
      </c>
      <c r="AQ37" s="584">
        <f t="shared" si="11"/>
        <v>21.3</v>
      </c>
      <c r="AR37" s="586">
        <f t="shared" ref="AR37:AS45" si="18">+B37+E37+H37+K37+N37+Q37+T37+W37+Z37+AC37+AF37+AI37+AL37</f>
        <v>1836.5518472500003</v>
      </c>
      <c r="AS37" s="586">
        <f t="shared" si="18"/>
        <v>2227.0818360600006</v>
      </c>
      <c r="AT37" s="584">
        <f t="shared" ref="AT37:AT45" si="19">IF(AR37=0, "    ---- ", IF(ABS(ROUND(100/AR37*AS37-100,1))&lt;999,ROUND(100/AR37*AS37-100,1),IF(ROUND(100/AR37*AS37-100,1)&gt;999,999,-999)))</f>
        <v>21.3</v>
      </c>
    </row>
    <row r="38" spans="1:46" s="615" customFormat="1" ht="18.75" customHeight="1" x14ac:dyDescent="0.3">
      <c r="A38" s="581" t="s">
        <v>363</v>
      </c>
      <c r="B38" s="582"/>
      <c r="C38" s="583"/>
      <c r="D38" s="584"/>
      <c r="E38" s="582">
        <v>20.135000000000002</v>
      </c>
      <c r="F38" s="583">
        <v>21.814</v>
      </c>
      <c r="G38" s="584">
        <f t="shared" si="1"/>
        <v>8.3000000000000007</v>
      </c>
      <c r="H38" s="582">
        <v>2.1000000000000001E-2</v>
      </c>
      <c r="I38" s="583">
        <v>2.1000000000000001E-2</v>
      </c>
      <c r="J38" s="584">
        <f t="shared" si="2"/>
        <v>0</v>
      </c>
      <c r="K38" s="582">
        <v>39.811999999999998</v>
      </c>
      <c r="L38" s="583">
        <v>0</v>
      </c>
      <c r="M38" s="584">
        <f t="shared" si="3"/>
        <v>-100</v>
      </c>
      <c r="N38" s="582"/>
      <c r="O38" s="583"/>
      <c r="P38" s="496"/>
      <c r="Q38" s="582">
        <v>1.0770167900000001</v>
      </c>
      <c r="R38" s="583">
        <v>5.4507580099999995</v>
      </c>
      <c r="S38" s="584">
        <f t="shared" si="4"/>
        <v>406.1</v>
      </c>
      <c r="T38" s="582">
        <v>0.216</v>
      </c>
      <c r="U38" s="583">
        <v>0.32700000000000001</v>
      </c>
      <c r="V38" s="584">
        <f t="shared" si="5"/>
        <v>51.4</v>
      </c>
      <c r="W38" s="582"/>
      <c r="X38" s="583"/>
      <c r="Y38" s="584"/>
      <c r="Z38" s="582">
        <v>3</v>
      </c>
      <c r="AA38" s="583">
        <v>3</v>
      </c>
      <c r="AB38" s="584">
        <f t="shared" si="7"/>
        <v>0</v>
      </c>
      <c r="AC38" s="582"/>
      <c r="AD38" s="583"/>
      <c r="AE38" s="584"/>
      <c r="AF38" s="582">
        <v>0.35122058999999994</v>
      </c>
      <c r="AG38" s="583"/>
      <c r="AH38" s="584">
        <f t="shared" si="15"/>
        <v>-100</v>
      </c>
      <c r="AI38" s="582">
        <v>106.41805205000001</v>
      </c>
      <c r="AJ38" s="583">
        <v>0.79372725999999993</v>
      </c>
      <c r="AK38" s="584">
        <f t="shared" si="9"/>
        <v>-99.3</v>
      </c>
      <c r="AL38" s="582">
        <v>13</v>
      </c>
      <c r="AM38" s="583">
        <v>12</v>
      </c>
      <c r="AN38" s="584">
        <f t="shared" si="10"/>
        <v>-7.7</v>
      </c>
      <c r="AO38" s="584">
        <f t="shared" si="13"/>
        <v>184.03028943000004</v>
      </c>
      <c r="AP38" s="584">
        <f t="shared" si="13"/>
        <v>43.406485270000005</v>
      </c>
      <c r="AQ38" s="584">
        <f t="shared" si="11"/>
        <v>-76.400000000000006</v>
      </c>
      <c r="AR38" s="586">
        <f t="shared" si="18"/>
        <v>184.03028943000004</v>
      </c>
      <c r="AS38" s="586">
        <f t="shared" si="18"/>
        <v>43.406485270000005</v>
      </c>
      <c r="AT38" s="584">
        <f t="shared" si="19"/>
        <v>-76.400000000000006</v>
      </c>
    </row>
    <row r="39" spans="1:46" s="615" customFormat="1" ht="18.75" customHeight="1" x14ac:dyDescent="0.3">
      <c r="A39" s="581" t="s">
        <v>364</v>
      </c>
      <c r="B39" s="582"/>
      <c r="C39" s="583"/>
      <c r="D39" s="584"/>
      <c r="E39" s="582">
        <v>-116.4</v>
      </c>
      <c r="F39" s="583">
        <v>-111.13800000000001</v>
      </c>
      <c r="G39" s="584">
        <f t="shared" si="1"/>
        <v>-4.5</v>
      </c>
      <c r="H39" s="582"/>
      <c r="I39" s="583"/>
      <c r="J39" s="584"/>
      <c r="K39" s="582">
        <v>-1</v>
      </c>
      <c r="L39" s="583">
        <v>0</v>
      </c>
      <c r="M39" s="584">
        <f t="shared" si="3"/>
        <v>-100</v>
      </c>
      <c r="N39" s="582"/>
      <c r="O39" s="583"/>
      <c r="P39" s="496"/>
      <c r="Q39" s="582">
        <v>-213.27084558000001</v>
      </c>
      <c r="R39" s="583">
        <v>-195.54825387</v>
      </c>
      <c r="S39" s="584">
        <f t="shared" si="4"/>
        <v>-8.3000000000000007</v>
      </c>
      <c r="T39" s="582">
        <v>-0.16300000000000001</v>
      </c>
      <c r="U39" s="583">
        <v>-0.24</v>
      </c>
      <c r="V39" s="584">
        <f t="shared" si="5"/>
        <v>47.2</v>
      </c>
      <c r="W39" s="582">
        <v>-45</v>
      </c>
      <c r="X39" s="583">
        <v>-46</v>
      </c>
      <c r="Y39" s="584">
        <f t="shared" si="6"/>
        <v>2.2000000000000002</v>
      </c>
      <c r="Z39" s="582">
        <v>-45</v>
      </c>
      <c r="AA39" s="583">
        <v>-45</v>
      </c>
      <c r="AB39" s="584">
        <f t="shared" si="7"/>
        <v>0</v>
      </c>
      <c r="AC39" s="582"/>
      <c r="AD39" s="583"/>
      <c r="AE39" s="584"/>
      <c r="AF39" s="582">
        <v>-5.1415200000000001E-3</v>
      </c>
      <c r="AG39" s="583"/>
      <c r="AH39" s="584">
        <f t="shared" si="15"/>
        <v>-100</v>
      </c>
      <c r="AI39" s="582">
        <v>-3.3450153936000002</v>
      </c>
      <c r="AJ39" s="583">
        <v>-33.845241655700001</v>
      </c>
      <c r="AK39" s="584">
        <f>IF(AI39=0, "    ---- ", IF(ABS(ROUND(100/AI39*AJ39-100,1))&lt;999,ROUND(100/AI39*AJ39-100,1),IF(ROUND(100/AI39*AJ39-100,1)&gt;999,999,-999)))</f>
        <v>911.8</v>
      </c>
      <c r="AL39" s="582">
        <v>-165.4</v>
      </c>
      <c r="AM39" s="583">
        <v>-252</v>
      </c>
      <c r="AN39" s="584">
        <f t="shared" si="10"/>
        <v>52.4</v>
      </c>
      <c r="AO39" s="584">
        <f t="shared" si="13"/>
        <v>-589.5840024936</v>
      </c>
      <c r="AP39" s="584">
        <f t="shared" si="13"/>
        <v>-683.77149552569995</v>
      </c>
      <c r="AQ39" s="584">
        <f t="shared" si="11"/>
        <v>16</v>
      </c>
      <c r="AR39" s="586">
        <f t="shared" si="18"/>
        <v>-589.5840024936</v>
      </c>
      <c r="AS39" s="586">
        <f t="shared" si="18"/>
        <v>-683.77149552569995</v>
      </c>
      <c r="AT39" s="584">
        <f t="shared" si="19"/>
        <v>16</v>
      </c>
    </row>
    <row r="40" spans="1:46" s="616" customFormat="1" ht="18.75" customHeight="1" x14ac:dyDescent="0.3">
      <c r="A40" s="608" t="s">
        <v>365</v>
      </c>
      <c r="B40" s="609">
        <f>SUM(B37:B39)</f>
        <v>-0.72599999999999998</v>
      </c>
      <c r="C40" s="609">
        <f>SUM(C37:C39)</f>
        <v>0.186</v>
      </c>
      <c r="D40" s="606">
        <f t="shared" si="0"/>
        <v>-125.6</v>
      </c>
      <c r="E40" s="609">
        <v>259.37299999999993</v>
      </c>
      <c r="F40" s="610">
        <f>+F37+F38+F39</f>
        <v>540.11899999999991</v>
      </c>
      <c r="G40" s="606">
        <f t="shared" si="1"/>
        <v>108.2</v>
      </c>
      <c r="H40" s="610">
        <f>+H37+H38+H39</f>
        <v>3.6949999999999998</v>
      </c>
      <c r="I40" s="610">
        <f>+I37+I38+I39</f>
        <v>5.048</v>
      </c>
      <c r="J40" s="606">
        <f t="shared" si="2"/>
        <v>36.6</v>
      </c>
      <c r="K40" s="609">
        <v>43.995999999999995</v>
      </c>
      <c r="L40" s="610">
        <f>SUM(L37:L39)</f>
        <v>0.6</v>
      </c>
      <c r="M40" s="606">
        <f t="shared" si="3"/>
        <v>-98.6</v>
      </c>
      <c r="N40" s="609">
        <v>1</v>
      </c>
      <c r="O40" s="610">
        <v>1</v>
      </c>
      <c r="P40" s="479">
        <v>-28.6</v>
      </c>
      <c r="Q40" s="609">
        <v>580.72795030999998</v>
      </c>
      <c r="R40" s="610">
        <v>487.87245162999994</v>
      </c>
      <c r="S40" s="606">
        <f t="shared" si="4"/>
        <v>-16</v>
      </c>
      <c r="T40" s="609">
        <v>5.2240000000000002</v>
      </c>
      <c r="U40" s="610">
        <f>SUM(U37:U39)</f>
        <v>3.7649999999999997</v>
      </c>
      <c r="V40" s="610">
        <f>SUM(V37:V39)</f>
        <v>69.7</v>
      </c>
      <c r="W40" s="609">
        <v>1</v>
      </c>
      <c r="X40" s="610">
        <f>SUM(X37:X39)</f>
        <v>13</v>
      </c>
      <c r="Y40" s="606">
        <f t="shared" si="6"/>
        <v>999</v>
      </c>
      <c r="Z40" s="609">
        <v>103</v>
      </c>
      <c r="AA40" s="610">
        <f>SUM(AA37:AA39)</f>
        <v>202</v>
      </c>
      <c r="AB40" s="606">
        <f t="shared" si="7"/>
        <v>96.1</v>
      </c>
      <c r="AC40" s="609"/>
      <c r="AD40" s="610"/>
      <c r="AE40" s="606"/>
      <c r="AF40" s="610">
        <f>SUM(AF37:AF39)</f>
        <v>0.10919043000000066</v>
      </c>
      <c r="AG40" s="610"/>
      <c r="AH40" s="606">
        <f t="shared" si="15"/>
        <v>-100</v>
      </c>
      <c r="AI40" s="610">
        <f>SUM(AI37:AI39)</f>
        <v>223.49899344640002</v>
      </c>
      <c r="AJ40" s="610">
        <f>SUM(AJ37:AJ39)</f>
        <v>93.126374174299997</v>
      </c>
      <c r="AK40" s="606">
        <f t="shared" si="9"/>
        <v>-58.3</v>
      </c>
      <c r="AL40" s="609">
        <v>210.1</v>
      </c>
      <c r="AM40" s="610">
        <v>240</v>
      </c>
      <c r="AN40" s="606">
        <f t="shared" si="10"/>
        <v>14.2</v>
      </c>
      <c r="AO40" s="606">
        <f t="shared" si="13"/>
        <v>1429.9981341863997</v>
      </c>
      <c r="AP40" s="606">
        <f t="shared" si="13"/>
        <v>1585.7168258043</v>
      </c>
      <c r="AQ40" s="606">
        <f t="shared" si="11"/>
        <v>10.9</v>
      </c>
      <c r="AR40" s="605">
        <f t="shared" si="18"/>
        <v>1430.9981341863997</v>
      </c>
      <c r="AS40" s="605">
        <f t="shared" si="18"/>
        <v>1586.7168258043</v>
      </c>
      <c r="AT40" s="606">
        <f t="shared" si="19"/>
        <v>10.9</v>
      </c>
    </row>
    <row r="41" spans="1:46" s="616" customFormat="1" ht="18.75" customHeight="1" x14ac:dyDescent="0.3">
      <c r="A41" s="608" t="s">
        <v>366</v>
      </c>
      <c r="B41" s="609">
        <f>B40+B34</f>
        <v>57.869999999999905</v>
      </c>
      <c r="C41" s="609">
        <f>C40+C34</f>
        <v>61.072999999999574</v>
      </c>
      <c r="D41" s="606">
        <f t="shared" si="0"/>
        <v>5.5</v>
      </c>
      <c r="E41" s="609">
        <v>680.3480000000028</v>
      </c>
      <c r="F41" s="610">
        <f>+F34+F40</f>
        <v>1040.3879999999995</v>
      </c>
      <c r="G41" s="606">
        <f t="shared" si="1"/>
        <v>52.9</v>
      </c>
      <c r="H41" s="610">
        <f>+H34+H40</f>
        <v>58.16899999999999</v>
      </c>
      <c r="I41" s="610">
        <f>+I34+I40</f>
        <v>47.221999999999909</v>
      </c>
      <c r="J41" s="606">
        <f t="shared" si="2"/>
        <v>-18.8</v>
      </c>
      <c r="K41" s="609">
        <v>51.89</v>
      </c>
      <c r="L41" s="610">
        <f>+L34+L40</f>
        <v>54.229999999999741</v>
      </c>
      <c r="M41" s="606">
        <f t="shared" si="3"/>
        <v>4.5</v>
      </c>
      <c r="N41" s="609">
        <v>2</v>
      </c>
      <c r="O41" s="610">
        <v>15</v>
      </c>
      <c r="P41" s="479">
        <v>-63</v>
      </c>
      <c r="Q41" s="609">
        <v>1196.0205399500078</v>
      </c>
      <c r="R41" s="610">
        <v>1084.465291519997</v>
      </c>
      <c r="S41" s="606">
        <f t="shared" si="4"/>
        <v>-9.3000000000000007</v>
      </c>
      <c r="T41" s="609">
        <v>-6.9180000000000597</v>
      </c>
      <c r="U41" s="610">
        <f>U40+U34</f>
        <v>-17.428999999999942</v>
      </c>
      <c r="V41" s="610">
        <f>V40+V34</f>
        <v>144.30000000000001</v>
      </c>
      <c r="W41" s="609">
        <v>310.53589728999941</v>
      </c>
      <c r="X41" s="610">
        <f>X40+X34</f>
        <v>323.89508320999948</v>
      </c>
      <c r="Y41" s="606">
        <f t="shared" si="6"/>
        <v>4.3</v>
      </c>
      <c r="Z41" s="609">
        <v>337</v>
      </c>
      <c r="AA41" s="610">
        <f>AA40+AA34</f>
        <v>539</v>
      </c>
      <c r="AB41" s="606">
        <f t="shared" si="7"/>
        <v>59.9</v>
      </c>
      <c r="AC41" s="609">
        <v>4</v>
      </c>
      <c r="AD41" s="610">
        <v>7</v>
      </c>
      <c r="AE41" s="606">
        <f t="shared" si="8"/>
        <v>75</v>
      </c>
      <c r="AF41" s="610">
        <f>AF40+AF34</f>
        <v>-5.5416940600000268</v>
      </c>
      <c r="AG41" s="610"/>
      <c r="AH41" s="606">
        <f t="shared" si="15"/>
        <v>-100</v>
      </c>
      <c r="AI41" s="610">
        <f>AI40+AI34</f>
        <v>442.98551112999951</v>
      </c>
      <c r="AJ41" s="610">
        <f>AJ40+AJ34</f>
        <v>312.45704244000086</v>
      </c>
      <c r="AK41" s="606">
        <f t="shared" si="9"/>
        <v>-29.5</v>
      </c>
      <c r="AL41" s="609">
        <v>670.30000000000075</v>
      </c>
      <c r="AM41" s="610">
        <v>812</v>
      </c>
      <c r="AN41" s="606">
        <f t="shared" si="10"/>
        <v>21.1</v>
      </c>
      <c r="AO41" s="606">
        <f t="shared" si="13"/>
        <v>3792.6592543100101</v>
      </c>
      <c r="AP41" s="606">
        <f t="shared" si="13"/>
        <v>4257.3014171699961</v>
      </c>
      <c r="AQ41" s="606">
        <f t="shared" si="11"/>
        <v>12.3</v>
      </c>
      <c r="AR41" s="605">
        <f t="shared" si="18"/>
        <v>3798.6592543100101</v>
      </c>
      <c r="AS41" s="605">
        <f t="shared" si="18"/>
        <v>4279.3014171699961</v>
      </c>
      <c r="AT41" s="606">
        <f t="shared" si="19"/>
        <v>12.7</v>
      </c>
    </row>
    <row r="42" spans="1:46" s="615" customFormat="1" ht="18.75" customHeight="1" x14ac:dyDescent="0.3">
      <c r="A42" s="581" t="s">
        <v>367</v>
      </c>
      <c r="B42" s="582">
        <v>-14.468</v>
      </c>
      <c r="C42" s="583">
        <v>-15.273999999999999</v>
      </c>
      <c r="D42" s="584">
        <f t="shared" si="0"/>
        <v>5.6</v>
      </c>
      <c r="E42" s="582">
        <v>-139.46700000000001</v>
      </c>
      <c r="F42" s="583">
        <v>30.001999999999999</v>
      </c>
      <c r="G42" s="584">
        <f t="shared" si="1"/>
        <v>-121.5</v>
      </c>
      <c r="H42" s="582">
        <v>-14.438000000000001</v>
      </c>
      <c r="I42" s="583">
        <v>-9.1639999999999997</v>
      </c>
      <c r="J42" s="584">
        <f t="shared" si="2"/>
        <v>-36.5</v>
      </c>
      <c r="K42" s="582">
        <v>-12.972</v>
      </c>
      <c r="L42" s="583">
        <v>-13.5</v>
      </c>
      <c r="M42" s="584">
        <f t="shared" si="3"/>
        <v>4.0999999999999996</v>
      </c>
      <c r="N42" s="582"/>
      <c r="O42" s="583">
        <v>-3</v>
      </c>
      <c r="P42" s="496">
        <v>-100</v>
      </c>
      <c r="Q42" s="582">
        <v>255.53914500000002</v>
      </c>
      <c r="R42" s="583">
        <v>-194.235083</v>
      </c>
      <c r="S42" s="584">
        <f t="shared" si="4"/>
        <v>-176</v>
      </c>
      <c r="T42" s="582"/>
      <c r="U42" s="583"/>
      <c r="V42" s="584"/>
      <c r="W42" s="582">
        <v>-31</v>
      </c>
      <c r="X42" s="583">
        <v>-32.432433000000003</v>
      </c>
      <c r="Y42" s="584">
        <f t="shared" si="6"/>
        <v>4.5999999999999996</v>
      </c>
      <c r="Z42" s="582">
        <v>-99</v>
      </c>
      <c r="AA42" s="583">
        <v>-174</v>
      </c>
      <c r="AB42" s="584">
        <f t="shared" si="7"/>
        <v>75.8</v>
      </c>
      <c r="AC42" s="582"/>
      <c r="AD42" s="583"/>
      <c r="AE42" s="584"/>
      <c r="AF42" s="582"/>
      <c r="AG42" s="583"/>
      <c r="AH42" s="584"/>
      <c r="AI42" s="582">
        <v>-110.477844</v>
      </c>
      <c r="AJ42" s="583">
        <v>-73.864851399999992</v>
      </c>
      <c r="AK42" s="584">
        <f t="shared" si="9"/>
        <v>-33.1</v>
      </c>
      <c r="AL42" s="582">
        <v>7</v>
      </c>
      <c r="AM42" s="583">
        <v>-56</v>
      </c>
      <c r="AN42" s="584">
        <f t="shared" si="10"/>
        <v>-900</v>
      </c>
      <c r="AO42" s="584">
        <f t="shared" si="13"/>
        <v>-159.28369899999998</v>
      </c>
      <c r="AP42" s="584">
        <f t="shared" si="13"/>
        <v>-538.46836740000003</v>
      </c>
      <c r="AQ42" s="584">
        <f t="shared" si="11"/>
        <v>238.1</v>
      </c>
      <c r="AR42" s="586">
        <f t="shared" si="18"/>
        <v>-159.28369899999998</v>
      </c>
      <c r="AS42" s="586">
        <f t="shared" si="18"/>
        <v>-541.46836740000003</v>
      </c>
      <c r="AT42" s="584">
        <f t="shared" si="19"/>
        <v>239.9</v>
      </c>
    </row>
    <row r="43" spans="1:46" s="616" customFormat="1" ht="18.75" customHeight="1" x14ac:dyDescent="0.3">
      <c r="A43" s="608" t="s">
        <v>368</v>
      </c>
      <c r="B43" s="609">
        <f>B42+B41</f>
        <v>43.401999999999902</v>
      </c>
      <c r="C43" s="609">
        <f>C42+C41</f>
        <v>45.798999999999573</v>
      </c>
      <c r="D43" s="606">
        <f t="shared" si="0"/>
        <v>5.5</v>
      </c>
      <c r="E43" s="609">
        <v>540.88100000000281</v>
      </c>
      <c r="F43" s="610">
        <f>+F41+F42</f>
        <v>1070.3899999999994</v>
      </c>
      <c r="G43" s="606">
        <f t="shared" si="1"/>
        <v>97.9</v>
      </c>
      <c r="H43" s="610">
        <f>+H41+H42</f>
        <v>43.730999999999987</v>
      </c>
      <c r="I43" s="610">
        <f>+I41+I42</f>
        <v>38.057999999999907</v>
      </c>
      <c r="J43" s="606">
        <f t="shared" si="2"/>
        <v>-13</v>
      </c>
      <c r="K43" s="609">
        <v>38.917999999999999</v>
      </c>
      <c r="L43" s="610">
        <f>+L41+L42</f>
        <v>40.729999999999741</v>
      </c>
      <c r="M43" s="606">
        <f t="shared" si="3"/>
        <v>4.7</v>
      </c>
      <c r="N43" s="609">
        <v>2</v>
      </c>
      <c r="O43" s="610">
        <v>12</v>
      </c>
      <c r="P43" s="479">
        <v>-41.2</v>
      </c>
      <c r="Q43" s="609">
        <v>1451.5596849500077</v>
      </c>
      <c r="R43" s="610">
        <v>890.23020851999695</v>
      </c>
      <c r="S43" s="606">
        <f t="shared" si="4"/>
        <v>-38.700000000000003</v>
      </c>
      <c r="T43" s="609">
        <v>-6.9180000000000597</v>
      </c>
      <c r="U43" s="610">
        <f>U42+U41</f>
        <v>-17.428999999999942</v>
      </c>
      <c r="V43" s="606">
        <f t="shared" si="5"/>
        <v>151.9</v>
      </c>
      <c r="W43" s="609">
        <v>279.53589728999941</v>
      </c>
      <c r="X43" s="610">
        <f>X42+X41</f>
        <v>291.46265020999948</v>
      </c>
      <c r="Y43" s="606">
        <f t="shared" si="6"/>
        <v>4.3</v>
      </c>
      <c r="Z43" s="609">
        <v>238</v>
      </c>
      <c r="AA43" s="610">
        <f>AA42+AA41</f>
        <v>365</v>
      </c>
      <c r="AB43" s="606">
        <f t="shared" si="7"/>
        <v>53.4</v>
      </c>
      <c r="AC43" s="609">
        <v>4</v>
      </c>
      <c r="AD43" s="610">
        <v>7</v>
      </c>
      <c r="AE43" s="606">
        <f t="shared" si="8"/>
        <v>75</v>
      </c>
      <c r="AF43" s="610">
        <f>AF42+AF41</f>
        <v>-5.5416940600000268</v>
      </c>
      <c r="AG43" s="610"/>
      <c r="AH43" s="606">
        <f t="shared" si="15"/>
        <v>-100</v>
      </c>
      <c r="AI43" s="610">
        <f>AI42+AI41</f>
        <v>332.5076671299995</v>
      </c>
      <c r="AJ43" s="610">
        <f>AJ42+AJ41</f>
        <v>238.59219104000087</v>
      </c>
      <c r="AK43" s="606">
        <f t="shared" si="9"/>
        <v>-28.2</v>
      </c>
      <c r="AL43" s="609">
        <v>677.30000000000075</v>
      </c>
      <c r="AM43" s="610">
        <v>756</v>
      </c>
      <c r="AN43" s="606">
        <f t="shared" si="10"/>
        <v>11.6</v>
      </c>
      <c r="AO43" s="606">
        <f t="shared" si="13"/>
        <v>3633.37555531001</v>
      </c>
      <c r="AP43" s="606">
        <f t="shared" si="13"/>
        <v>3718.8330497699958</v>
      </c>
      <c r="AQ43" s="606">
        <f t="shared" si="11"/>
        <v>2.4</v>
      </c>
      <c r="AR43" s="605">
        <f t="shared" si="18"/>
        <v>3639.37555531001</v>
      </c>
      <c r="AS43" s="605">
        <f t="shared" si="18"/>
        <v>3737.8330497699958</v>
      </c>
      <c r="AT43" s="606">
        <f t="shared" si="19"/>
        <v>2.7</v>
      </c>
    </row>
    <row r="44" spans="1:46" s="615" customFormat="1" ht="18.75" customHeight="1" x14ac:dyDescent="0.3">
      <c r="A44" s="581" t="s">
        <v>369</v>
      </c>
      <c r="B44" s="582"/>
      <c r="C44" s="583"/>
      <c r="D44" s="584"/>
      <c r="E44" s="582"/>
      <c r="F44" s="583"/>
      <c r="G44" s="584"/>
      <c r="H44" s="582"/>
      <c r="I44" s="583"/>
      <c r="J44" s="584"/>
      <c r="K44" s="582"/>
      <c r="L44" s="583"/>
      <c r="M44" s="584"/>
      <c r="N44" s="582"/>
      <c r="O44" s="583"/>
      <c r="P44" s="496"/>
      <c r="Q44" s="582">
        <v>-59.174139000000004</v>
      </c>
      <c r="R44" s="583">
        <v>0</v>
      </c>
      <c r="S44" s="584">
        <f t="shared" si="4"/>
        <v>-100</v>
      </c>
      <c r="T44" s="582">
        <v>-1.0669999999999999</v>
      </c>
      <c r="U44" s="583">
        <v>0</v>
      </c>
      <c r="V44" s="584">
        <f t="shared" si="5"/>
        <v>-100</v>
      </c>
      <c r="W44" s="582"/>
      <c r="X44" s="583"/>
      <c r="Y44" s="584"/>
      <c r="Z44" s="582"/>
      <c r="AA44" s="583"/>
      <c r="AB44" s="584"/>
      <c r="AC44" s="582"/>
      <c r="AD44" s="583"/>
      <c r="AE44" s="584"/>
      <c r="AF44" s="582"/>
      <c r="AG44" s="583"/>
      <c r="AH44" s="584"/>
      <c r="AI44" s="582">
        <v>-91.993836720000004</v>
      </c>
      <c r="AJ44" s="583">
        <v>7.4491660099999999</v>
      </c>
      <c r="AK44" s="584">
        <f t="shared" si="9"/>
        <v>-108.1</v>
      </c>
      <c r="AL44" s="582">
        <v>-18</v>
      </c>
      <c r="AM44" s="583">
        <v>18</v>
      </c>
      <c r="AN44" s="584">
        <f t="shared" si="10"/>
        <v>-200</v>
      </c>
      <c r="AO44" s="584">
        <f t="shared" si="13"/>
        <v>-170.23497572000002</v>
      </c>
      <c r="AP44" s="584">
        <f t="shared" si="13"/>
        <v>25.449166009999999</v>
      </c>
      <c r="AQ44" s="584">
        <f t="shared" si="11"/>
        <v>-114.9</v>
      </c>
      <c r="AR44" s="586">
        <f t="shared" si="18"/>
        <v>-170.23497572000002</v>
      </c>
      <c r="AS44" s="586">
        <f t="shared" si="18"/>
        <v>25.449166009999999</v>
      </c>
      <c r="AT44" s="584">
        <f t="shared" si="19"/>
        <v>-114.9</v>
      </c>
    </row>
    <row r="45" spans="1:46" s="616" customFormat="1" ht="18.75" customHeight="1" x14ac:dyDescent="0.3">
      <c r="A45" s="602" t="s">
        <v>370</v>
      </c>
      <c r="B45" s="617">
        <f>B43+B44</f>
        <v>43.401999999999902</v>
      </c>
      <c r="C45" s="617">
        <f>C43+C44</f>
        <v>45.798999999999573</v>
      </c>
      <c r="D45" s="604">
        <f t="shared" si="0"/>
        <v>5.5</v>
      </c>
      <c r="E45" s="617">
        <v>540.88100000000281</v>
      </c>
      <c r="F45" s="618">
        <f>+F43+F44</f>
        <v>1070.3899999999994</v>
      </c>
      <c r="G45" s="604">
        <f t="shared" si="1"/>
        <v>97.9</v>
      </c>
      <c r="H45" s="618">
        <f>+H43+H44</f>
        <v>43.730999999999987</v>
      </c>
      <c r="I45" s="618">
        <f>+I43+I44</f>
        <v>38.057999999999907</v>
      </c>
      <c r="J45" s="604">
        <f t="shared" si="2"/>
        <v>-13</v>
      </c>
      <c r="K45" s="617">
        <v>38.917999999999999</v>
      </c>
      <c r="L45" s="618">
        <f>+L43+L44</f>
        <v>40.729999999999741</v>
      </c>
      <c r="M45" s="604">
        <f t="shared" si="3"/>
        <v>4.7</v>
      </c>
      <c r="N45" s="617">
        <v>2</v>
      </c>
      <c r="O45" s="618">
        <v>12</v>
      </c>
      <c r="P45" s="511">
        <v>-41.2</v>
      </c>
      <c r="Q45" s="617">
        <v>1392.3855459500078</v>
      </c>
      <c r="R45" s="618">
        <v>890.23020851999695</v>
      </c>
      <c r="S45" s="604">
        <f t="shared" si="4"/>
        <v>-36.1</v>
      </c>
      <c r="T45" s="617">
        <v>-7.9850000000000598</v>
      </c>
      <c r="U45" s="618">
        <f>U43+U44</f>
        <v>-17.428999999999942</v>
      </c>
      <c r="V45" s="604">
        <f t="shared" si="5"/>
        <v>118.3</v>
      </c>
      <c r="W45" s="617">
        <v>279.53589728999941</v>
      </c>
      <c r="X45" s="618">
        <f>X43+X44</f>
        <v>291.46265020999948</v>
      </c>
      <c r="Y45" s="604">
        <f t="shared" si="6"/>
        <v>4.3</v>
      </c>
      <c r="Z45" s="617">
        <v>238</v>
      </c>
      <c r="AA45" s="618">
        <f>AA43+AA44</f>
        <v>365</v>
      </c>
      <c r="AB45" s="604">
        <f t="shared" si="7"/>
        <v>53.4</v>
      </c>
      <c r="AC45" s="617">
        <v>4</v>
      </c>
      <c r="AD45" s="618">
        <v>7</v>
      </c>
      <c r="AE45" s="604">
        <f t="shared" si="8"/>
        <v>75</v>
      </c>
      <c r="AF45" s="618">
        <f>AF43+AF44</f>
        <v>-5.5416940600000268</v>
      </c>
      <c r="AG45" s="618"/>
      <c r="AH45" s="604">
        <f t="shared" si="15"/>
        <v>-100</v>
      </c>
      <c r="AI45" s="618">
        <f>AI43+AI44</f>
        <v>240.51383040999951</v>
      </c>
      <c r="AJ45" s="618">
        <f>AJ43+AJ44</f>
        <v>246.04135705000087</v>
      </c>
      <c r="AK45" s="604">
        <f t="shared" si="9"/>
        <v>2.2999999999999998</v>
      </c>
      <c r="AL45" s="617">
        <v>659.30000000000075</v>
      </c>
      <c r="AM45" s="618">
        <v>774</v>
      </c>
      <c r="AN45" s="604">
        <f t="shared" si="10"/>
        <v>17.399999999999999</v>
      </c>
      <c r="AO45" s="619">
        <f t="shared" si="13"/>
        <v>3463.1405795900105</v>
      </c>
      <c r="AP45" s="604">
        <f t="shared" si="13"/>
        <v>3744.282215779996</v>
      </c>
      <c r="AQ45" s="604">
        <f t="shared" si="11"/>
        <v>8.1</v>
      </c>
      <c r="AR45" s="605">
        <f t="shared" si="18"/>
        <v>3469.1405795900105</v>
      </c>
      <c r="AS45" s="605">
        <f>+C45+F45+I45+L45+O45+R45+U45+X45+AA45+AD45+AG45+AJ45+AM45</f>
        <v>3763.282215779996</v>
      </c>
      <c r="AT45" s="604">
        <f t="shared" si="19"/>
        <v>8.5</v>
      </c>
    </row>
    <row r="46" spans="1:46" s="616" customFormat="1" ht="18.75" customHeight="1" x14ac:dyDescent="0.3">
      <c r="A46" s="620"/>
      <c r="B46" s="621"/>
      <c r="C46" s="621"/>
      <c r="D46" s="622"/>
      <c r="E46" s="621"/>
      <c r="F46" s="621"/>
      <c r="G46" s="611"/>
      <c r="H46" s="621"/>
      <c r="I46" s="621"/>
      <c r="J46" s="611"/>
      <c r="K46" s="621"/>
      <c r="L46" s="621"/>
      <c r="M46" s="622"/>
      <c r="N46" s="621"/>
      <c r="O46" s="621"/>
      <c r="P46" s="611"/>
      <c r="Q46" s="621"/>
      <c r="R46" s="621"/>
      <c r="S46" s="611"/>
      <c r="T46" s="621"/>
      <c r="U46" s="621"/>
      <c r="V46" s="611"/>
      <c r="W46" s="621"/>
      <c r="X46" s="621"/>
      <c r="Y46" s="611"/>
      <c r="Z46" s="621"/>
      <c r="AA46" s="621"/>
      <c r="AB46" s="611"/>
      <c r="AC46" s="621"/>
      <c r="AD46" s="621"/>
      <c r="AE46" s="611"/>
      <c r="AF46" s="621"/>
      <c r="AG46" s="621"/>
      <c r="AH46" s="611"/>
      <c r="AI46" s="621"/>
      <c r="AJ46" s="621"/>
      <c r="AK46" s="611"/>
      <c r="AL46" s="621"/>
      <c r="AM46" s="621"/>
      <c r="AN46" s="611"/>
      <c r="AO46" s="622"/>
      <c r="AP46" s="622"/>
      <c r="AQ46" s="611"/>
      <c r="AR46" s="623"/>
      <c r="AS46" s="623"/>
      <c r="AT46" s="624"/>
    </row>
    <row r="47" spans="1:46" s="629" customFormat="1" ht="18.75" customHeight="1" x14ac:dyDescent="0.3">
      <c r="A47" s="625" t="s">
        <v>371</v>
      </c>
      <c r="B47" s="626"/>
      <c r="C47" s="626"/>
      <c r="D47" s="626"/>
      <c r="E47" s="627"/>
      <c r="F47" s="626"/>
      <c r="G47" s="626"/>
      <c r="H47" s="627"/>
      <c r="I47" s="626"/>
      <c r="J47" s="626"/>
      <c r="K47" s="627"/>
      <c r="L47" s="626"/>
      <c r="M47" s="626"/>
      <c r="N47" s="627"/>
      <c r="O47" s="626"/>
      <c r="P47" s="626"/>
      <c r="Q47" s="627"/>
      <c r="R47" s="626"/>
      <c r="S47" s="626"/>
      <c r="T47" s="627"/>
      <c r="U47" s="626"/>
      <c r="V47" s="626"/>
      <c r="W47" s="627"/>
      <c r="X47" s="626"/>
      <c r="Y47" s="626"/>
      <c r="Z47" s="627"/>
      <c r="AA47" s="626"/>
      <c r="AB47" s="626"/>
      <c r="AC47" s="627"/>
      <c r="AD47" s="626"/>
      <c r="AE47" s="626"/>
      <c r="AF47" s="627"/>
      <c r="AG47" s="626"/>
      <c r="AH47" s="626"/>
      <c r="AI47" s="627"/>
      <c r="AJ47" s="626"/>
      <c r="AK47" s="626"/>
      <c r="AL47" s="627"/>
      <c r="AM47" s="626"/>
      <c r="AN47" s="626"/>
      <c r="AO47" s="628"/>
      <c r="AP47" s="628"/>
      <c r="AQ47" s="626"/>
      <c r="AR47" s="626"/>
      <c r="AS47" s="626"/>
      <c r="AT47" s="626"/>
    </row>
    <row r="48" spans="1:46" s="631" customFormat="1" ht="18.75" customHeight="1" x14ac:dyDescent="0.3">
      <c r="A48" s="626" t="s">
        <v>372</v>
      </c>
      <c r="B48" s="626"/>
      <c r="C48" s="626"/>
      <c r="D48" s="626"/>
      <c r="E48" s="630"/>
      <c r="F48" s="626"/>
      <c r="G48" s="626"/>
      <c r="H48" s="630"/>
      <c r="I48" s="626"/>
      <c r="J48" s="626"/>
      <c r="K48" s="630"/>
      <c r="L48" s="626"/>
      <c r="M48" s="626"/>
      <c r="N48" s="630"/>
      <c r="O48" s="626"/>
      <c r="P48" s="626"/>
      <c r="Q48" s="630"/>
      <c r="R48" s="626"/>
      <c r="S48" s="626"/>
      <c r="T48" s="630"/>
      <c r="U48" s="626"/>
      <c r="V48" s="626"/>
      <c r="W48" s="630"/>
      <c r="X48" s="626"/>
      <c r="Y48" s="626"/>
      <c r="Z48" s="630"/>
      <c r="AA48" s="626"/>
      <c r="AB48" s="626"/>
      <c r="AC48" s="630"/>
      <c r="AD48" s="626"/>
      <c r="AE48" s="626"/>
      <c r="AF48" s="630"/>
      <c r="AG48" s="626"/>
      <c r="AH48" s="626"/>
      <c r="AI48" s="630"/>
      <c r="AJ48" s="626"/>
      <c r="AK48" s="626"/>
      <c r="AL48" s="630"/>
      <c r="AM48" s="626"/>
      <c r="AN48" s="626"/>
      <c r="AO48" s="628"/>
      <c r="AP48" s="628"/>
      <c r="AQ48" s="626"/>
      <c r="AR48" s="626"/>
      <c r="AS48" s="626"/>
      <c r="AT48" s="626"/>
    </row>
    <row r="49" spans="1:46" s="631" customFormat="1" ht="18.75" customHeight="1" x14ac:dyDescent="0.3">
      <c r="A49" s="626" t="s">
        <v>373</v>
      </c>
      <c r="B49" s="626"/>
      <c r="C49" s="626"/>
      <c r="D49" s="626"/>
      <c r="E49" s="630"/>
      <c r="F49" s="626"/>
      <c r="G49" s="626"/>
      <c r="H49" s="630"/>
      <c r="I49" s="626"/>
      <c r="J49" s="626"/>
      <c r="K49" s="630"/>
      <c r="L49" s="626"/>
      <c r="M49" s="626"/>
      <c r="N49" s="630"/>
      <c r="O49" s="626"/>
      <c r="P49" s="626"/>
      <c r="Q49" s="630"/>
      <c r="R49" s="626"/>
      <c r="S49" s="626"/>
      <c r="T49" s="630"/>
      <c r="U49" s="626"/>
      <c r="V49" s="626"/>
      <c r="W49" s="630"/>
      <c r="X49" s="626"/>
      <c r="Y49" s="626"/>
      <c r="Z49" s="630"/>
      <c r="AA49" s="626"/>
      <c r="AB49" s="626"/>
      <c r="AC49" s="630"/>
      <c r="AD49" s="626"/>
      <c r="AE49" s="626"/>
      <c r="AF49" s="630"/>
      <c r="AG49" s="626"/>
      <c r="AH49" s="626"/>
      <c r="AI49" s="630"/>
      <c r="AJ49" s="626"/>
      <c r="AK49" s="626"/>
      <c r="AL49" s="630"/>
      <c r="AM49" s="626"/>
      <c r="AN49" s="626"/>
      <c r="AO49" s="628"/>
      <c r="AP49" s="628"/>
      <c r="AQ49" s="626"/>
      <c r="AR49" s="626"/>
      <c r="AS49" s="626"/>
      <c r="AT49" s="626"/>
    </row>
    <row r="50" spans="1:46" s="631" customFormat="1" ht="18.75" customHeight="1" x14ac:dyDescent="0.3">
      <c r="A50" s="626" t="s">
        <v>374</v>
      </c>
      <c r="B50" s="626"/>
      <c r="C50" s="626"/>
      <c r="D50" s="626"/>
      <c r="E50" s="630"/>
      <c r="F50" s="626"/>
      <c r="G50" s="626"/>
      <c r="H50" s="630"/>
      <c r="I50" s="626"/>
      <c r="J50" s="626"/>
      <c r="K50" s="630"/>
      <c r="L50" s="626"/>
      <c r="M50" s="626"/>
      <c r="N50" s="630"/>
      <c r="O50" s="626"/>
      <c r="P50" s="626"/>
      <c r="Q50" s="630"/>
      <c r="R50" s="626"/>
      <c r="S50" s="626"/>
      <c r="T50" s="630"/>
      <c r="U50" s="626"/>
      <c r="V50" s="626"/>
      <c r="W50" s="630"/>
      <c r="X50" s="626"/>
      <c r="Y50" s="626"/>
      <c r="Z50" s="630"/>
      <c r="AA50" s="626"/>
      <c r="AB50" s="626"/>
      <c r="AC50" s="630"/>
      <c r="AD50" s="626"/>
      <c r="AE50" s="626"/>
      <c r="AF50" s="630"/>
      <c r="AG50" s="626"/>
      <c r="AH50" s="626"/>
      <c r="AI50" s="630"/>
      <c r="AJ50" s="626"/>
      <c r="AK50" s="626"/>
      <c r="AL50" s="630"/>
      <c r="AM50" s="626"/>
      <c r="AN50" s="626"/>
      <c r="AO50" s="628"/>
      <c r="AP50" s="628"/>
      <c r="AQ50" s="626"/>
      <c r="AR50" s="626"/>
      <c r="AS50" s="626"/>
      <c r="AT50" s="626"/>
    </row>
    <row r="51" spans="1:46" s="631" customFormat="1" ht="18.75" customHeight="1" x14ac:dyDescent="0.3">
      <c r="A51" s="626" t="s">
        <v>375</v>
      </c>
      <c r="B51" s="626"/>
      <c r="C51" s="626"/>
      <c r="D51" s="626"/>
      <c r="E51" s="630"/>
      <c r="F51" s="626"/>
      <c r="G51" s="626"/>
      <c r="H51" s="630"/>
      <c r="I51" s="626"/>
      <c r="J51" s="626"/>
      <c r="K51" s="630"/>
      <c r="L51" s="626"/>
      <c r="M51" s="626"/>
      <c r="N51" s="630"/>
      <c r="O51" s="626"/>
      <c r="P51" s="626"/>
      <c r="Q51" s="630"/>
      <c r="R51" s="626"/>
      <c r="S51" s="626"/>
      <c r="T51" s="630"/>
      <c r="U51" s="626"/>
      <c r="V51" s="626"/>
      <c r="W51" s="630"/>
      <c r="X51" s="626"/>
      <c r="Y51" s="626"/>
      <c r="Z51" s="630"/>
      <c r="AA51" s="626"/>
      <c r="AB51" s="626"/>
      <c r="AC51" s="630"/>
      <c r="AD51" s="626"/>
      <c r="AE51" s="626"/>
      <c r="AF51" s="630"/>
      <c r="AG51" s="626"/>
      <c r="AH51" s="626"/>
      <c r="AI51" s="630"/>
      <c r="AJ51" s="626"/>
      <c r="AK51" s="626"/>
      <c r="AL51" s="630"/>
      <c r="AM51" s="626"/>
      <c r="AN51" s="626"/>
      <c r="AO51" s="628"/>
      <c r="AP51" s="628"/>
      <c r="AQ51" s="626"/>
      <c r="AR51" s="626"/>
      <c r="AS51" s="626"/>
      <c r="AT51" s="626"/>
    </row>
    <row r="52" spans="1:46" s="631" customFormat="1" ht="18.75" customHeight="1" x14ac:dyDescent="0.3">
      <c r="A52" s="626" t="s">
        <v>376</v>
      </c>
      <c r="B52" s="626"/>
      <c r="C52" s="626"/>
      <c r="D52" s="626"/>
      <c r="E52" s="630"/>
      <c r="F52" s="626"/>
      <c r="G52" s="626"/>
      <c r="H52" s="630"/>
      <c r="I52" s="626"/>
      <c r="J52" s="626"/>
      <c r="K52" s="630"/>
      <c r="L52" s="626"/>
      <c r="M52" s="626"/>
      <c r="N52" s="630"/>
      <c r="O52" s="626"/>
      <c r="P52" s="626"/>
      <c r="Q52" s="630"/>
      <c r="R52" s="626"/>
      <c r="S52" s="626"/>
      <c r="T52" s="630"/>
      <c r="U52" s="626"/>
      <c r="V52" s="626"/>
      <c r="W52" s="630"/>
      <c r="X52" s="626"/>
      <c r="Y52" s="626"/>
      <c r="Z52" s="630"/>
      <c r="AA52" s="626"/>
      <c r="AB52" s="626"/>
      <c r="AC52" s="630"/>
      <c r="AD52" s="626"/>
      <c r="AE52" s="626"/>
      <c r="AF52" s="630"/>
      <c r="AG52" s="626"/>
      <c r="AH52" s="626"/>
      <c r="AI52" s="630"/>
      <c r="AJ52" s="626"/>
      <c r="AK52" s="626"/>
      <c r="AL52" s="630"/>
      <c r="AM52" s="626"/>
      <c r="AN52" s="626"/>
      <c r="AO52" s="628"/>
      <c r="AP52" s="628"/>
      <c r="AQ52" s="626"/>
      <c r="AR52" s="626"/>
      <c r="AS52" s="626"/>
      <c r="AT52" s="626"/>
    </row>
    <row r="53" spans="1:46" s="631" customFormat="1" ht="18.75" customHeight="1" x14ac:dyDescent="0.3">
      <c r="A53" s="626" t="s">
        <v>377</v>
      </c>
      <c r="B53" s="626"/>
      <c r="C53" s="626"/>
      <c r="D53" s="626"/>
      <c r="E53" s="630"/>
      <c r="F53" s="626"/>
      <c r="G53" s="626"/>
      <c r="H53" s="630"/>
      <c r="I53" s="626"/>
      <c r="J53" s="626"/>
      <c r="K53" s="630"/>
      <c r="L53" s="626"/>
      <c r="M53" s="626"/>
      <c r="N53" s="630"/>
      <c r="O53" s="626"/>
      <c r="P53" s="626"/>
      <c r="Q53" s="630"/>
      <c r="R53" s="626"/>
      <c r="S53" s="626"/>
      <c r="T53" s="630"/>
      <c r="U53" s="626"/>
      <c r="V53" s="626"/>
      <c r="W53" s="630"/>
      <c r="X53" s="626"/>
      <c r="Y53" s="626"/>
      <c r="Z53" s="630"/>
      <c r="AA53" s="626"/>
      <c r="AB53" s="626"/>
      <c r="AC53" s="630"/>
      <c r="AD53" s="626"/>
      <c r="AE53" s="626"/>
      <c r="AF53" s="630"/>
      <c r="AG53" s="626"/>
      <c r="AH53" s="626"/>
      <c r="AI53" s="630"/>
      <c r="AJ53" s="626"/>
      <c r="AK53" s="626"/>
      <c r="AL53" s="630"/>
      <c r="AM53" s="626"/>
      <c r="AN53" s="626"/>
      <c r="AO53" s="628"/>
      <c r="AP53" s="628"/>
      <c r="AQ53" s="626"/>
      <c r="AR53" s="626"/>
      <c r="AS53" s="626"/>
      <c r="AT53" s="626"/>
    </row>
    <row r="54" spans="1:46" s="631" customFormat="1" ht="18.75" customHeight="1" x14ac:dyDescent="0.3">
      <c r="A54" s="626" t="s">
        <v>378</v>
      </c>
      <c r="B54" s="626"/>
      <c r="C54" s="626"/>
      <c r="D54" s="626"/>
      <c r="E54" s="630"/>
      <c r="F54" s="626"/>
      <c r="G54" s="626"/>
      <c r="H54" s="630"/>
      <c r="I54" s="626"/>
      <c r="J54" s="626"/>
      <c r="K54" s="630"/>
      <c r="L54" s="626"/>
      <c r="M54" s="626"/>
      <c r="N54" s="630"/>
      <c r="O54" s="626"/>
      <c r="P54" s="626"/>
      <c r="Q54" s="630"/>
      <c r="R54" s="626"/>
      <c r="S54" s="626"/>
      <c r="T54" s="630"/>
      <c r="U54" s="626"/>
      <c r="V54" s="626"/>
      <c r="W54" s="630"/>
      <c r="X54" s="626"/>
      <c r="Y54" s="626"/>
      <c r="Z54" s="630"/>
      <c r="AA54" s="626"/>
      <c r="AB54" s="626"/>
      <c r="AC54" s="630"/>
      <c r="AD54" s="626"/>
      <c r="AE54" s="626"/>
      <c r="AF54" s="630"/>
      <c r="AG54" s="626"/>
      <c r="AH54" s="626"/>
      <c r="AI54" s="630"/>
      <c r="AJ54" s="626"/>
      <c r="AK54" s="626"/>
      <c r="AL54" s="630"/>
      <c r="AM54" s="626"/>
      <c r="AN54" s="626"/>
      <c r="AO54" s="628"/>
      <c r="AP54" s="628"/>
      <c r="AQ54" s="626"/>
      <c r="AR54" s="626"/>
      <c r="AS54" s="626"/>
      <c r="AT54" s="626"/>
    </row>
    <row r="55" spans="1:46" s="631" customFormat="1" ht="18.75" customHeight="1" x14ac:dyDescent="0.3">
      <c r="A55" s="626" t="s">
        <v>379</v>
      </c>
      <c r="B55" s="632"/>
      <c r="C55" s="626"/>
      <c r="D55" s="626"/>
      <c r="E55" s="630"/>
      <c r="F55" s="626"/>
      <c r="G55" s="626"/>
      <c r="H55" s="630"/>
      <c r="I55" s="626"/>
      <c r="J55" s="626"/>
      <c r="K55" s="630"/>
      <c r="L55" s="626"/>
      <c r="M55" s="626"/>
      <c r="N55" s="630"/>
      <c r="O55" s="626"/>
      <c r="P55" s="626"/>
      <c r="Q55" s="630"/>
      <c r="R55" s="626"/>
      <c r="S55" s="626"/>
      <c r="T55" s="630"/>
      <c r="U55" s="626"/>
      <c r="V55" s="626"/>
      <c r="W55" s="630"/>
      <c r="X55" s="626"/>
      <c r="Y55" s="626"/>
      <c r="Z55" s="630"/>
      <c r="AA55" s="626"/>
      <c r="AB55" s="626"/>
      <c r="AC55" s="630"/>
      <c r="AD55" s="626"/>
      <c r="AE55" s="626"/>
      <c r="AF55" s="630"/>
      <c r="AG55" s="626"/>
      <c r="AH55" s="626"/>
      <c r="AI55" s="630"/>
      <c r="AJ55" s="626"/>
      <c r="AK55" s="626"/>
      <c r="AL55" s="630"/>
      <c r="AM55" s="626"/>
      <c r="AN55" s="626"/>
      <c r="AO55" s="628"/>
      <c r="AP55" s="628"/>
      <c r="AQ55" s="626"/>
      <c r="AR55" s="626"/>
      <c r="AS55" s="626"/>
      <c r="AT55" s="626"/>
    </row>
    <row r="56" spans="1:46" s="631" customFormat="1" ht="18.75" customHeight="1" x14ac:dyDescent="0.3">
      <c r="A56" s="626" t="s">
        <v>380</v>
      </c>
      <c r="B56" s="632"/>
      <c r="C56" s="626"/>
      <c r="D56" s="626"/>
      <c r="E56" s="630"/>
      <c r="F56" s="626"/>
      <c r="G56" s="626"/>
      <c r="H56" s="630"/>
      <c r="I56" s="626"/>
      <c r="J56" s="626"/>
      <c r="K56" s="630"/>
      <c r="L56" s="626"/>
      <c r="M56" s="626"/>
      <c r="N56" s="630"/>
      <c r="O56" s="626"/>
      <c r="P56" s="626"/>
      <c r="Q56" s="630"/>
      <c r="R56" s="626"/>
      <c r="S56" s="626"/>
      <c r="T56" s="630"/>
      <c r="U56" s="626"/>
      <c r="V56" s="626"/>
      <c r="W56" s="630"/>
      <c r="X56" s="626"/>
      <c r="Y56" s="626"/>
      <c r="Z56" s="630"/>
      <c r="AA56" s="626"/>
      <c r="AB56" s="626"/>
      <c r="AC56" s="630"/>
      <c r="AD56" s="626"/>
      <c r="AE56" s="626"/>
      <c r="AF56" s="630"/>
      <c r="AG56" s="626"/>
      <c r="AH56" s="626"/>
      <c r="AI56" s="630"/>
      <c r="AJ56" s="626"/>
      <c r="AK56" s="626"/>
      <c r="AL56" s="630"/>
      <c r="AM56" s="626"/>
      <c r="AN56" s="626"/>
      <c r="AO56" s="628"/>
      <c r="AP56" s="628"/>
      <c r="AQ56" s="626"/>
      <c r="AR56" s="626"/>
      <c r="AS56" s="626"/>
      <c r="AT56" s="626"/>
    </row>
    <row r="57" spans="1:46" s="629" customFormat="1" ht="18.75" customHeight="1" x14ac:dyDescent="0.3">
      <c r="A57" s="633" t="s">
        <v>381</v>
      </c>
      <c r="B57" s="634"/>
      <c r="C57" s="635"/>
      <c r="D57" s="635"/>
      <c r="E57" s="636"/>
      <c r="F57" s="635"/>
      <c r="G57" s="635"/>
      <c r="H57" s="636"/>
      <c r="I57" s="635"/>
      <c r="J57" s="635"/>
      <c r="K57" s="636"/>
      <c r="L57" s="635"/>
      <c r="M57" s="635"/>
      <c r="N57" s="636"/>
      <c r="O57" s="635"/>
      <c r="P57" s="635"/>
      <c r="Q57" s="636"/>
      <c r="R57" s="635"/>
      <c r="S57" s="635"/>
      <c r="T57" s="636"/>
      <c r="U57" s="635"/>
      <c r="V57" s="635"/>
      <c r="W57" s="636"/>
      <c r="X57" s="635"/>
      <c r="Y57" s="635"/>
      <c r="Z57" s="636"/>
      <c r="AA57" s="635"/>
      <c r="AB57" s="635"/>
      <c r="AC57" s="636"/>
      <c r="AD57" s="635"/>
      <c r="AE57" s="635"/>
      <c r="AF57" s="636"/>
      <c r="AG57" s="635"/>
      <c r="AH57" s="635"/>
      <c r="AI57" s="636"/>
      <c r="AJ57" s="635"/>
      <c r="AK57" s="635"/>
      <c r="AL57" s="636"/>
      <c r="AM57" s="635"/>
      <c r="AN57" s="635"/>
      <c r="AO57" s="637"/>
      <c r="AP57" s="637"/>
      <c r="AQ57" s="635"/>
      <c r="AR57" s="635"/>
      <c r="AS57" s="635"/>
      <c r="AT57" s="635"/>
    </row>
    <row r="58" spans="1:46" s="639" customFormat="1" ht="18.75" customHeight="1" x14ac:dyDescent="0.3">
      <c r="A58" s="615" t="s">
        <v>273</v>
      </c>
      <c r="B58" s="615"/>
      <c r="C58" s="638"/>
      <c r="D58" s="638"/>
      <c r="E58" s="638"/>
      <c r="F58" s="638"/>
      <c r="G58" s="638"/>
      <c r="H58" s="638"/>
      <c r="I58" s="638"/>
      <c r="J58" s="638"/>
      <c r="K58" s="638"/>
      <c r="L58" s="638"/>
      <c r="M58" s="638"/>
      <c r="N58" s="638"/>
      <c r="O58" s="638"/>
      <c r="P58" s="638"/>
      <c r="Q58" s="638"/>
      <c r="R58" s="638"/>
      <c r="S58" s="638"/>
      <c r="T58" s="638"/>
      <c r="U58" s="638"/>
      <c r="V58" s="638"/>
      <c r="W58" s="638"/>
      <c r="X58" s="638"/>
      <c r="Y58" s="638"/>
      <c r="Z58" s="638"/>
      <c r="AA58" s="638"/>
      <c r="AB58" s="638"/>
      <c r="AC58" s="638"/>
      <c r="AD58" s="638"/>
      <c r="AE58" s="638"/>
      <c r="AF58" s="638"/>
      <c r="AG58" s="638"/>
      <c r="AH58" s="638"/>
      <c r="AI58" s="638"/>
      <c r="AJ58" s="638"/>
      <c r="AK58" s="638"/>
      <c r="AL58" s="638"/>
      <c r="AM58" s="638"/>
      <c r="AN58" s="638"/>
      <c r="AO58" s="638"/>
      <c r="AP58" s="638"/>
      <c r="AQ58" s="638"/>
      <c r="AR58" s="638"/>
      <c r="AS58" s="638"/>
    </row>
    <row r="59" spans="1:46" s="639" customFormat="1" ht="18.75" customHeight="1" x14ac:dyDescent="0.3">
      <c r="A59" s="615" t="s">
        <v>274</v>
      </c>
    </row>
    <row r="60" spans="1:46" s="639" customFormat="1" ht="18.75" customHeight="1" x14ac:dyDescent="0.3">
      <c r="A60" s="615" t="s">
        <v>275</v>
      </c>
    </row>
    <row r="61" spans="1:46" s="639" customFormat="1" ht="18.75" x14ac:dyDescent="0.3"/>
    <row r="62" spans="1:46" s="639" customFormat="1" ht="18.75" x14ac:dyDescent="0.3"/>
    <row r="63" spans="1:46" s="640" customFormat="1" ht="18.75" x14ac:dyDescent="0.3">
      <c r="B63" s="640" t="str">
        <f>IF(B14=B11+B12+B13,"","14≠11+12+13")</f>
        <v/>
      </c>
      <c r="C63" s="640" t="str">
        <f>IF(C14=C11+C12+C13,"","14≠11+12+13")</f>
        <v/>
      </c>
      <c r="E63" s="640" t="str">
        <f>IF(E14=E11+E12+E13,"","14≠11+12+13")</f>
        <v/>
      </c>
      <c r="F63" s="640" t="str">
        <f>IF(F14=F11+F12+F13,"","14≠11+12+13")</f>
        <v/>
      </c>
      <c r="H63" s="640" t="str">
        <f>IF(H14=H11+H12+H13,"","14≠11+12+13")</f>
        <v/>
      </c>
      <c r="I63" s="641" t="str">
        <f>IF(I14=I11+I12+I13,"","14≠11+12+13")</f>
        <v/>
      </c>
      <c r="K63" s="640" t="str">
        <f>IF(K14=K11+K12+K13,"","14≠11+12+13")</f>
        <v/>
      </c>
      <c r="L63" s="640" t="str">
        <f>IF(L14=L11+L12+L13,"","14≠11+12+13")</f>
        <v/>
      </c>
      <c r="N63" s="640" t="str">
        <f>IF(N14=N11+N12+N13,"","14≠11+12+13")</f>
        <v/>
      </c>
      <c r="O63" s="640" t="str">
        <f>IF(O14=O11+O12+O13,"","14≠11+12+13")</f>
        <v/>
      </c>
      <c r="Q63" s="640" t="str">
        <f>IF(Q14=Q11+Q12+Q13,"","14≠11+12+13")</f>
        <v/>
      </c>
      <c r="R63" s="640" t="str">
        <f>IF(R14=R11+R12+R13,"","14≠11+12+13")</f>
        <v/>
      </c>
      <c r="T63" s="640" t="str">
        <f>IF(T14=T11+T12+T13,"","14≠11+12+13")</f>
        <v/>
      </c>
      <c r="U63" s="640" t="str">
        <f>IF(U14=U11+U12+U13,"","14≠11+12+13")</f>
        <v/>
      </c>
      <c r="W63" s="640" t="str">
        <f>IF(W14=W11+W12+W13,"","14≠11+12+13")</f>
        <v/>
      </c>
      <c r="X63" s="640" t="str">
        <f>IF(X14=X11+X12+X13,"","14≠11+12+13")</f>
        <v/>
      </c>
      <c r="Z63" s="640" t="str">
        <f>IF(Z14=Z11+Z12+Z13,"","14≠11+12+13")</f>
        <v/>
      </c>
      <c r="AA63" s="640" t="str">
        <f>IF(AA14=AA11+AA12+AA13,"","14≠11+12+13")</f>
        <v/>
      </c>
      <c r="AC63" s="640" t="str">
        <f>IF(AC14=AC11+AC12+AC13,"","14≠11+12+13")</f>
        <v/>
      </c>
      <c r="AD63" s="640" t="str">
        <f>IF(AD14=AD11+AD12+AD13,"","14≠11+12+13")</f>
        <v/>
      </c>
      <c r="AF63" s="640" t="str">
        <f>IF(AF14=AF11+AF12+AF13,"","14≠11+12+13")</f>
        <v/>
      </c>
      <c r="AG63" s="640" t="str">
        <f>IF(AG14=AG11+AG12+AG13,"","14≠11+12+13")</f>
        <v/>
      </c>
      <c r="AI63" s="640" t="str">
        <f>IF(AI14=AI11+AI12+AI13,"","14≠11+12+13")</f>
        <v/>
      </c>
      <c r="AJ63" s="640" t="str">
        <f>IF(AJ14=AJ11+AJ12+AJ13,"","14≠11+12+13")</f>
        <v/>
      </c>
      <c r="AL63" s="640" t="str">
        <f>IF(AL14=AL11+AL12+AL13,"","14≠11+12+13")</f>
        <v/>
      </c>
      <c r="AM63" s="640" t="str">
        <f>IF(AM14=AM11+AM12+AM13,"","14≠11+12+13")</f>
        <v/>
      </c>
      <c r="AO63" s="640" t="str">
        <f>IF(AO14=AO11+AO12+AO13,"","14≠11+12+13")</f>
        <v/>
      </c>
      <c r="AP63" s="640" t="str">
        <f>IF(AP14=AP11+AP12+AP13,"","14≠11+12+13")</f>
        <v/>
      </c>
      <c r="AR63" s="640" t="str">
        <f>IF(AR14=AR11+AR12+AR13,"","14≠11+12+13")</f>
        <v/>
      </c>
      <c r="AS63" s="640" t="str">
        <f>IF(AS14=AS11+AS12+AS13,"","14≠11+12+13")</f>
        <v/>
      </c>
    </row>
    <row r="64" spans="1:46" x14ac:dyDescent="0.2">
      <c r="C64" s="643"/>
      <c r="R64" s="549"/>
      <c r="AI64" s="642"/>
      <c r="AJ64" s="549"/>
      <c r="AK64" s="549"/>
      <c r="AL64" s="549"/>
      <c r="AM64" s="549"/>
      <c r="AN64" s="549"/>
      <c r="AO64" s="549"/>
      <c r="AP64" s="549"/>
      <c r="AQ64" s="549"/>
      <c r="AR64" s="549"/>
      <c r="AS64" s="643"/>
    </row>
  </sheetData>
  <mergeCells count="28">
    <mergeCell ref="AO5:AQ5"/>
    <mergeCell ref="B5:D5"/>
    <mergeCell ref="E5:G5"/>
    <mergeCell ref="H5:J5"/>
    <mergeCell ref="K5:M5"/>
    <mergeCell ref="N5:P5"/>
    <mergeCell ref="Q5:S5"/>
    <mergeCell ref="AR6:AT6"/>
    <mergeCell ref="AR5:AT5"/>
    <mergeCell ref="B6:D6"/>
    <mergeCell ref="E6:G6"/>
    <mergeCell ref="H6:J6"/>
    <mergeCell ref="K6:M6"/>
    <mergeCell ref="N6:P6"/>
    <mergeCell ref="Q6:S6"/>
    <mergeCell ref="T6:V6"/>
    <mergeCell ref="W6:Y6"/>
    <mergeCell ref="Z6:AB6"/>
    <mergeCell ref="T5:V5"/>
    <mergeCell ref="Z5:AB5"/>
    <mergeCell ref="AF5:AH5"/>
    <mergeCell ref="AI5:AK5"/>
    <mergeCell ref="AL5:AN5"/>
    <mergeCell ref="AC6:AE6"/>
    <mergeCell ref="AF6:AH6"/>
    <mergeCell ref="AI6:AK6"/>
    <mergeCell ref="AL6:AN6"/>
    <mergeCell ref="AO6:AQ6"/>
  </mergeCells>
  <hyperlinks>
    <hyperlink ref="B1" location="Innhold!A1" display="Tilbak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97"/>
  <sheetViews>
    <sheetView showGridLines="0" zoomScale="60" zoomScaleNormal="60" workbookViewId="0">
      <pane xSplit="1" ySplit="8" topLeftCell="B9" activePane="bottomRight" state="frozen"/>
      <selection activeCell="Q118" sqref="Q118"/>
      <selection pane="topRight" activeCell="Q118" sqref="Q118"/>
      <selection pane="bottomLeft" activeCell="Q118" sqref="Q118"/>
      <selection pane="bottomRight" activeCell="A4" sqref="A4"/>
    </sheetView>
  </sheetViews>
  <sheetFormatPr baseColWidth="10" defaultRowHeight="12.75" x14ac:dyDescent="0.2"/>
  <cols>
    <col min="1" max="1" width="104.85546875" style="443" customWidth="1"/>
    <col min="2" max="2" width="14.5703125" style="443" customWidth="1"/>
    <col min="3" max="3" width="15.28515625" style="443" customWidth="1"/>
    <col min="4" max="4" width="11" style="443" customWidth="1"/>
    <col min="5" max="5" width="14.5703125" style="443" customWidth="1"/>
    <col min="6" max="11" width="11.42578125" style="443"/>
    <col min="12" max="12" width="16.140625" style="443" customWidth="1"/>
    <col min="13" max="16" width="11.42578125" style="443"/>
    <col min="17" max="17" width="14.28515625" style="443" customWidth="1"/>
    <col min="18" max="18" width="13.5703125" style="443" customWidth="1"/>
    <col min="19" max="40" width="11.42578125" style="443"/>
    <col min="41" max="41" width="16.140625" style="443" customWidth="1"/>
    <col min="42" max="42" width="16.5703125" style="443" customWidth="1"/>
    <col min="43" max="43" width="11.42578125" style="443"/>
    <col min="44" max="44" width="18.140625" style="443" customWidth="1"/>
    <col min="45" max="45" width="13.42578125" style="443" customWidth="1"/>
    <col min="46" max="16384" width="11.42578125" style="443"/>
  </cols>
  <sheetData>
    <row r="1" spans="1:63" ht="20.25" x14ac:dyDescent="0.3">
      <c r="A1" s="440" t="s">
        <v>189</v>
      </c>
      <c r="B1" s="441" t="s">
        <v>56</v>
      </c>
      <c r="C1" s="442"/>
      <c r="D1" s="442"/>
      <c r="E1" s="442"/>
      <c r="F1" s="442"/>
      <c r="G1" s="442"/>
      <c r="H1" s="442"/>
      <c r="I1" s="442"/>
      <c r="J1" s="442"/>
      <c r="AU1" s="444"/>
    </row>
    <row r="2" spans="1:63" ht="20.25" x14ac:dyDescent="0.3">
      <c r="A2" s="440" t="s">
        <v>190</v>
      </c>
      <c r="AU2" s="444"/>
    </row>
    <row r="3" spans="1:63" ht="18.75" x14ac:dyDescent="0.3">
      <c r="A3" s="445" t="s">
        <v>191</v>
      </c>
      <c r="B3" s="446"/>
      <c r="C3" s="446"/>
      <c r="D3" s="446"/>
      <c r="E3" s="446"/>
      <c r="F3" s="446"/>
      <c r="G3" s="446"/>
      <c r="H3" s="446"/>
      <c r="I3" s="446"/>
      <c r="J3" s="446"/>
      <c r="Q3" s="647"/>
      <c r="R3" s="647"/>
      <c r="S3" s="647"/>
      <c r="AU3" s="447"/>
    </row>
    <row r="4" spans="1:63" ht="15.75" x14ac:dyDescent="0.25">
      <c r="A4" s="448" t="s">
        <v>421</v>
      </c>
      <c r="B4" s="449"/>
      <c r="C4" s="449"/>
      <c r="D4" s="450"/>
      <c r="E4" s="449"/>
      <c r="F4" s="449"/>
      <c r="G4" s="450"/>
      <c r="H4" s="451"/>
      <c r="I4" s="449"/>
      <c r="J4" s="450"/>
      <c r="K4" s="452"/>
      <c r="L4" s="452"/>
      <c r="M4" s="452"/>
      <c r="N4" s="453"/>
      <c r="O4" s="452"/>
      <c r="P4" s="454"/>
      <c r="Q4" s="648"/>
      <c r="R4" s="649"/>
      <c r="S4" s="650"/>
      <c r="T4" s="453"/>
      <c r="U4" s="452"/>
      <c r="V4" s="454"/>
      <c r="W4" s="453"/>
      <c r="X4" s="452"/>
      <c r="Y4" s="454"/>
      <c r="Z4" s="453"/>
      <c r="AA4" s="452"/>
      <c r="AB4" s="454"/>
      <c r="AC4" s="453"/>
      <c r="AD4" s="452"/>
      <c r="AE4" s="454"/>
      <c r="AF4" s="453"/>
      <c r="AG4" s="452"/>
      <c r="AH4" s="454"/>
      <c r="AI4" s="453"/>
      <c r="AJ4" s="452"/>
      <c r="AK4" s="454"/>
      <c r="AL4" s="453"/>
      <c r="AM4" s="452"/>
      <c r="AN4" s="454"/>
      <c r="AO4" s="453"/>
      <c r="AP4" s="452"/>
      <c r="AQ4" s="454"/>
      <c r="AR4" s="453"/>
      <c r="AS4" s="452"/>
      <c r="AT4" s="454"/>
      <c r="AU4" s="455"/>
      <c r="AV4" s="456"/>
      <c r="AW4" s="456"/>
      <c r="AX4" s="456"/>
      <c r="AY4" s="456"/>
      <c r="AZ4" s="456"/>
      <c r="BA4" s="456"/>
      <c r="BB4" s="456"/>
      <c r="BC4" s="456"/>
      <c r="BD4" s="456"/>
      <c r="BE4" s="456"/>
      <c r="BF4" s="456"/>
      <c r="BG4" s="456"/>
      <c r="BH4" s="456"/>
      <c r="BI4" s="456"/>
      <c r="BJ4" s="456"/>
      <c r="BK4" s="456"/>
    </row>
    <row r="5" spans="1:63" ht="18.75" x14ac:dyDescent="0.3">
      <c r="A5" s="457" t="s">
        <v>115</v>
      </c>
      <c r="B5" s="695" t="s">
        <v>192</v>
      </c>
      <c r="C5" s="696"/>
      <c r="D5" s="697"/>
      <c r="E5" s="695" t="s">
        <v>193</v>
      </c>
      <c r="F5" s="696"/>
      <c r="G5" s="697"/>
      <c r="H5" s="695" t="s">
        <v>194</v>
      </c>
      <c r="I5" s="696"/>
      <c r="J5" s="697"/>
      <c r="K5" s="695" t="s">
        <v>195</v>
      </c>
      <c r="L5" s="696"/>
      <c r="M5" s="697"/>
      <c r="N5" s="695" t="s">
        <v>196</v>
      </c>
      <c r="O5" s="696"/>
      <c r="P5" s="697"/>
      <c r="Q5" s="644" t="s">
        <v>196</v>
      </c>
      <c r="R5" s="645"/>
      <c r="S5" s="646"/>
      <c r="T5" s="695" t="s">
        <v>68</v>
      </c>
      <c r="U5" s="696"/>
      <c r="V5" s="697"/>
      <c r="W5" s="458"/>
      <c r="X5" s="459"/>
      <c r="Y5" s="460"/>
      <c r="Z5" s="695" t="s">
        <v>197</v>
      </c>
      <c r="AA5" s="696"/>
      <c r="AB5" s="697"/>
      <c r="AC5" s="458"/>
      <c r="AD5" s="459"/>
      <c r="AE5" s="460"/>
      <c r="AF5" s="695" t="s">
        <v>80</v>
      </c>
      <c r="AG5" s="696"/>
      <c r="AH5" s="697"/>
      <c r="AI5" s="695"/>
      <c r="AJ5" s="696"/>
      <c r="AK5" s="697"/>
      <c r="AL5" s="695" t="s">
        <v>81</v>
      </c>
      <c r="AM5" s="696"/>
      <c r="AN5" s="697"/>
      <c r="AO5" s="695" t="s">
        <v>2</v>
      </c>
      <c r="AP5" s="696"/>
      <c r="AQ5" s="697"/>
      <c r="AR5" s="695" t="s">
        <v>2</v>
      </c>
      <c r="AS5" s="696"/>
      <c r="AT5" s="697"/>
      <c r="AU5" s="461"/>
      <c r="AV5" s="462"/>
      <c r="AW5" s="698"/>
      <c r="AX5" s="698"/>
      <c r="AY5" s="698"/>
      <c r="AZ5" s="698"/>
      <c r="BA5" s="698"/>
      <c r="BB5" s="698"/>
      <c r="BC5" s="698"/>
      <c r="BD5" s="698"/>
      <c r="BE5" s="698"/>
      <c r="BF5" s="698"/>
      <c r="BG5" s="698"/>
      <c r="BH5" s="698"/>
      <c r="BI5" s="698"/>
      <c r="BJ5" s="698"/>
      <c r="BK5" s="698"/>
    </row>
    <row r="6" spans="1:63" ht="21.75" x14ac:dyDescent="0.3">
      <c r="A6" s="463"/>
      <c r="B6" s="699" t="s">
        <v>198</v>
      </c>
      <c r="C6" s="700"/>
      <c r="D6" s="701"/>
      <c r="E6" s="699" t="s">
        <v>199</v>
      </c>
      <c r="F6" s="700"/>
      <c r="G6" s="701"/>
      <c r="H6" s="699" t="s">
        <v>199</v>
      </c>
      <c r="I6" s="700"/>
      <c r="J6" s="701"/>
      <c r="K6" s="699" t="s">
        <v>200</v>
      </c>
      <c r="L6" s="700"/>
      <c r="M6" s="701"/>
      <c r="N6" s="699" t="s">
        <v>101</v>
      </c>
      <c r="O6" s="700"/>
      <c r="P6" s="701"/>
      <c r="Q6" s="699" t="s">
        <v>68</v>
      </c>
      <c r="R6" s="700"/>
      <c r="S6" s="701"/>
      <c r="T6" s="699" t="s">
        <v>201</v>
      </c>
      <c r="U6" s="700"/>
      <c r="V6" s="701"/>
      <c r="W6" s="699" t="s">
        <v>73</v>
      </c>
      <c r="X6" s="700"/>
      <c r="Y6" s="701"/>
      <c r="Z6" s="699" t="s">
        <v>198</v>
      </c>
      <c r="AA6" s="700"/>
      <c r="AB6" s="701"/>
      <c r="AC6" s="699" t="s">
        <v>79</v>
      </c>
      <c r="AD6" s="700"/>
      <c r="AE6" s="701"/>
      <c r="AF6" s="699" t="s">
        <v>202</v>
      </c>
      <c r="AG6" s="700"/>
      <c r="AH6" s="701"/>
      <c r="AI6" s="699" t="s">
        <v>75</v>
      </c>
      <c r="AJ6" s="700"/>
      <c r="AK6" s="701"/>
      <c r="AL6" s="699" t="s">
        <v>199</v>
      </c>
      <c r="AM6" s="700"/>
      <c r="AN6" s="701"/>
      <c r="AO6" s="699" t="s">
        <v>203</v>
      </c>
      <c r="AP6" s="700"/>
      <c r="AQ6" s="701"/>
      <c r="AR6" s="699" t="s">
        <v>204</v>
      </c>
      <c r="AS6" s="700"/>
      <c r="AT6" s="701"/>
      <c r="AU6" s="461"/>
      <c r="AV6" s="462"/>
      <c r="AW6" s="698"/>
      <c r="AX6" s="698"/>
      <c r="AY6" s="698"/>
      <c r="AZ6" s="698"/>
      <c r="BA6" s="698"/>
      <c r="BB6" s="698"/>
      <c r="BC6" s="698"/>
      <c r="BD6" s="698"/>
      <c r="BE6" s="698"/>
      <c r="BF6" s="698"/>
      <c r="BG6" s="698"/>
      <c r="BH6" s="698"/>
      <c r="BI6" s="698"/>
      <c r="BJ6" s="698"/>
      <c r="BK6" s="698"/>
    </row>
    <row r="7" spans="1:63" ht="18.75" x14ac:dyDescent="0.3">
      <c r="A7" s="463"/>
      <c r="B7" s="463"/>
      <c r="C7" s="463"/>
      <c r="D7" s="464" t="s">
        <v>90</v>
      </c>
      <c r="E7" s="463"/>
      <c r="F7" s="463"/>
      <c r="G7" s="464" t="s">
        <v>90</v>
      </c>
      <c r="H7" s="463"/>
      <c r="I7" s="463"/>
      <c r="J7" s="464" t="s">
        <v>90</v>
      </c>
      <c r="K7" s="463"/>
      <c r="L7" s="463"/>
      <c r="M7" s="464" t="s">
        <v>90</v>
      </c>
      <c r="N7" s="463"/>
      <c r="O7" s="463"/>
      <c r="P7" s="464" t="s">
        <v>90</v>
      </c>
      <c r="Q7" s="463"/>
      <c r="R7" s="463"/>
      <c r="S7" s="464" t="s">
        <v>90</v>
      </c>
      <c r="T7" s="463"/>
      <c r="U7" s="463"/>
      <c r="V7" s="464" t="s">
        <v>90</v>
      </c>
      <c r="W7" s="463"/>
      <c r="X7" s="463"/>
      <c r="Y7" s="464" t="s">
        <v>90</v>
      </c>
      <c r="Z7" s="463"/>
      <c r="AA7" s="463"/>
      <c r="AB7" s="464" t="s">
        <v>90</v>
      </c>
      <c r="AC7" s="463"/>
      <c r="AD7" s="463"/>
      <c r="AE7" s="464" t="s">
        <v>90</v>
      </c>
      <c r="AF7" s="463"/>
      <c r="AG7" s="463"/>
      <c r="AH7" s="464" t="s">
        <v>90</v>
      </c>
      <c r="AI7" s="463"/>
      <c r="AJ7" s="463"/>
      <c r="AK7" s="464" t="s">
        <v>90</v>
      </c>
      <c r="AL7" s="463"/>
      <c r="AM7" s="463"/>
      <c r="AN7" s="464" t="s">
        <v>90</v>
      </c>
      <c r="AO7" s="463"/>
      <c r="AP7" s="463"/>
      <c r="AQ7" s="464" t="s">
        <v>90</v>
      </c>
      <c r="AR7" s="463"/>
      <c r="AS7" s="463"/>
      <c r="AT7" s="464" t="s">
        <v>90</v>
      </c>
      <c r="AU7" s="461"/>
      <c r="AV7" s="462"/>
      <c r="AW7" s="462"/>
      <c r="AX7" s="462"/>
      <c r="AY7" s="462"/>
      <c r="AZ7" s="462"/>
      <c r="BA7" s="462"/>
      <c r="BB7" s="462"/>
      <c r="BC7" s="462"/>
      <c r="BD7" s="462"/>
      <c r="BE7" s="462"/>
      <c r="BF7" s="462"/>
      <c r="BG7" s="462"/>
      <c r="BH7" s="462"/>
      <c r="BI7" s="462"/>
      <c r="BJ7" s="462"/>
      <c r="BK7" s="462"/>
    </row>
    <row r="8" spans="1:63" ht="15.75" x14ac:dyDescent="0.25">
      <c r="A8" s="465" t="s">
        <v>205</v>
      </c>
      <c r="B8" s="466">
        <v>2016</v>
      </c>
      <c r="C8" s="466">
        <v>2017</v>
      </c>
      <c r="D8" s="467" t="s">
        <v>92</v>
      </c>
      <c r="E8" s="466">
        <v>2016</v>
      </c>
      <c r="F8" s="466">
        <v>2017</v>
      </c>
      <c r="G8" s="467" t="s">
        <v>92</v>
      </c>
      <c r="H8" s="466">
        <v>2016</v>
      </c>
      <c r="I8" s="466">
        <v>2017</v>
      </c>
      <c r="J8" s="467" t="s">
        <v>92</v>
      </c>
      <c r="K8" s="466">
        <v>2016</v>
      </c>
      <c r="L8" s="466">
        <v>2017</v>
      </c>
      <c r="M8" s="467" t="s">
        <v>92</v>
      </c>
      <c r="N8" s="466">
        <v>2016</v>
      </c>
      <c r="O8" s="466">
        <v>2017</v>
      </c>
      <c r="P8" s="467" t="s">
        <v>92</v>
      </c>
      <c r="Q8" s="466">
        <v>2016</v>
      </c>
      <c r="R8" s="466">
        <v>2017</v>
      </c>
      <c r="S8" s="467" t="s">
        <v>92</v>
      </c>
      <c r="T8" s="466">
        <v>2016</v>
      </c>
      <c r="U8" s="466">
        <v>2017</v>
      </c>
      <c r="V8" s="467" t="s">
        <v>92</v>
      </c>
      <c r="W8" s="466">
        <v>2016</v>
      </c>
      <c r="X8" s="466">
        <v>2017</v>
      </c>
      <c r="Y8" s="467" t="s">
        <v>92</v>
      </c>
      <c r="Z8" s="466">
        <v>2016</v>
      </c>
      <c r="AA8" s="466">
        <v>2017</v>
      </c>
      <c r="AB8" s="467" t="s">
        <v>92</v>
      </c>
      <c r="AC8" s="466">
        <v>2016</v>
      </c>
      <c r="AD8" s="466">
        <v>2017</v>
      </c>
      <c r="AE8" s="467" t="s">
        <v>92</v>
      </c>
      <c r="AF8" s="466">
        <v>2016</v>
      </c>
      <c r="AG8" s="466">
        <v>2017</v>
      </c>
      <c r="AH8" s="467" t="s">
        <v>92</v>
      </c>
      <c r="AI8" s="466">
        <v>2016</v>
      </c>
      <c r="AJ8" s="466">
        <v>2017</v>
      </c>
      <c r="AK8" s="467" t="s">
        <v>92</v>
      </c>
      <c r="AL8" s="466">
        <v>2016</v>
      </c>
      <c r="AM8" s="466">
        <v>2017</v>
      </c>
      <c r="AN8" s="467" t="s">
        <v>92</v>
      </c>
      <c r="AO8" s="466">
        <v>2016</v>
      </c>
      <c r="AP8" s="466">
        <v>2017</v>
      </c>
      <c r="AQ8" s="467" t="s">
        <v>92</v>
      </c>
      <c r="AR8" s="466">
        <v>2016</v>
      </c>
      <c r="AS8" s="466">
        <v>2017</v>
      </c>
      <c r="AT8" s="467" t="s">
        <v>92</v>
      </c>
      <c r="AU8" s="461"/>
      <c r="AV8" s="468"/>
      <c r="AW8" s="469"/>
      <c r="AX8" s="469"/>
      <c r="AY8" s="468"/>
      <c r="AZ8" s="469"/>
      <c r="BA8" s="469"/>
      <c r="BB8" s="468"/>
      <c r="BC8" s="469"/>
      <c r="BD8" s="469"/>
      <c r="BE8" s="468"/>
      <c r="BF8" s="469"/>
      <c r="BG8" s="469"/>
      <c r="BH8" s="468"/>
      <c r="BI8" s="469"/>
      <c r="BJ8" s="469"/>
      <c r="BK8" s="468"/>
    </row>
    <row r="9" spans="1:63" ht="18.75" x14ac:dyDescent="0.3">
      <c r="A9" s="470"/>
      <c r="B9" s="471"/>
      <c r="C9" s="472"/>
      <c r="D9" s="472"/>
      <c r="E9" s="471"/>
      <c r="F9" s="472"/>
      <c r="G9" s="472"/>
      <c r="H9" s="471"/>
      <c r="I9" s="472"/>
      <c r="J9" s="472"/>
      <c r="K9" s="473"/>
      <c r="L9" s="474"/>
      <c r="M9" s="472"/>
      <c r="N9" s="475"/>
      <c r="O9" s="476"/>
      <c r="P9" s="472"/>
      <c r="Q9" s="473"/>
      <c r="R9" s="474"/>
      <c r="S9" s="472"/>
      <c r="T9" s="473"/>
      <c r="U9" s="474"/>
      <c r="V9" s="472"/>
      <c r="W9" s="473"/>
      <c r="X9" s="474"/>
      <c r="Y9" s="472"/>
      <c r="Z9" s="473"/>
      <c r="AA9" s="474"/>
      <c r="AB9" s="472"/>
      <c r="AC9" s="473"/>
      <c r="AD9" s="474"/>
      <c r="AE9" s="472"/>
      <c r="AF9" s="473"/>
      <c r="AG9" s="474"/>
      <c r="AH9" s="472"/>
      <c r="AI9" s="473"/>
      <c r="AJ9" s="474"/>
      <c r="AK9" s="472"/>
      <c r="AL9" s="473"/>
      <c r="AM9" s="474"/>
      <c r="AN9" s="472"/>
      <c r="AO9" s="474"/>
      <c r="AP9" s="474"/>
      <c r="AQ9" s="472"/>
      <c r="AR9" s="474"/>
      <c r="AS9" s="474"/>
      <c r="AT9" s="472"/>
      <c r="AU9" s="461"/>
      <c r="AV9" s="461"/>
    </row>
    <row r="10" spans="1:63" ht="18.75" x14ac:dyDescent="0.3">
      <c r="A10" s="477" t="s">
        <v>206</v>
      </c>
      <c r="B10" s="478"/>
      <c r="C10" s="479"/>
      <c r="D10" s="479"/>
      <c r="E10" s="478"/>
      <c r="F10" s="479"/>
      <c r="G10" s="479"/>
      <c r="H10" s="478"/>
      <c r="I10" s="479"/>
      <c r="J10" s="479"/>
      <c r="K10" s="473"/>
      <c r="L10" s="474"/>
      <c r="M10" s="479"/>
      <c r="N10" s="475"/>
      <c r="O10" s="476"/>
      <c r="P10" s="479"/>
      <c r="Q10" s="473"/>
      <c r="R10" s="474"/>
      <c r="S10" s="479"/>
      <c r="T10" s="473"/>
      <c r="U10" s="474"/>
      <c r="V10" s="479"/>
      <c r="W10" s="473"/>
      <c r="X10" s="474"/>
      <c r="Y10" s="479"/>
      <c r="Z10" s="473"/>
      <c r="AA10" s="474"/>
      <c r="AB10" s="479"/>
      <c r="AC10" s="473"/>
      <c r="AD10" s="474"/>
      <c r="AE10" s="479"/>
      <c r="AF10" s="473"/>
      <c r="AG10" s="474"/>
      <c r="AH10" s="479"/>
      <c r="AI10" s="473"/>
      <c r="AJ10" s="474"/>
      <c r="AK10" s="479"/>
      <c r="AL10" s="473"/>
      <c r="AM10" s="474"/>
      <c r="AN10" s="479"/>
      <c r="AO10" s="474"/>
      <c r="AP10" s="474"/>
      <c r="AQ10" s="479"/>
      <c r="AR10" s="474"/>
      <c r="AS10" s="474"/>
      <c r="AT10" s="479"/>
      <c r="AU10" s="480"/>
      <c r="AV10" s="480"/>
      <c r="AW10" s="481"/>
      <c r="AX10" s="481"/>
      <c r="AY10" s="481"/>
      <c r="AZ10" s="481"/>
      <c r="BA10" s="481"/>
      <c r="BB10" s="481"/>
      <c r="BC10" s="481"/>
      <c r="BD10" s="481"/>
      <c r="BE10" s="481"/>
      <c r="BF10" s="481"/>
      <c r="BG10" s="481"/>
      <c r="BH10" s="481"/>
      <c r="BI10" s="481"/>
      <c r="BJ10" s="481"/>
      <c r="BK10" s="481"/>
    </row>
    <row r="11" spans="1:63" ht="18.75" x14ac:dyDescent="0.3">
      <c r="A11" s="482"/>
      <c r="B11" s="478"/>
      <c r="C11" s="479"/>
      <c r="D11" s="479"/>
      <c r="E11" s="478"/>
      <c r="F11" s="479"/>
      <c r="G11" s="479"/>
      <c r="H11" s="478"/>
      <c r="I11" s="479"/>
      <c r="J11" s="479"/>
      <c r="K11" s="473"/>
      <c r="L11" s="474"/>
      <c r="M11" s="479"/>
      <c r="N11" s="475"/>
      <c r="O11" s="476"/>
      <c r="P11" s="479"/>
      <c r="Q11" s="473"/>
      <c r="R11" s="474"/>
      <c r="S11" s="479"/>
      <c r="T11" s="473"/>
      <c r="U11" s="474"/>
      <c r="V11" s="479"/>
      <c r="W11" s="473"/>
      <c r="X11" s="474"/>
      <c r="Y11" s="479"/>
      <c r="Z11" s="473"/>
      <c r="AA11" s="474"/>
      <c r="AB11" s="479"/>
      <c r="AC11" s="473"/>
      <c r="AD11" s="474"/>
      <c r="AE11" s="479"/>
      <c r="AF11" s="473"/>
      <c r="AG11" s="474"/>
      <c r="AH11" s="479"/>
      <c r="AI11" s="473"/>
      <c r="AJ11" s="474"/>
      <c r="AK11" s="479"/>
      <c r="AL11" s="473"/>
      <c r="AM11" s="474"/>
      <c r="AN11" s="479"/>
      <c r="AO11" s="474"/>
      <c r="AP11" s="474"/>
      <c r="AQ11" s="479"/>
      <c r="AR11" s="474"/>
      <c r="AS11" s="474"/>
      <c r="AT11" s="479"/>
      <c r="AU11" s="480"/>
      <c r="AV11" s="480"/>
      <c r="AW11" s="481"/>
      <c r="AX11" s="481"/>
      <c r="AY11" s="481"/>
      <c r="AZ11" s="481"/>
      <c r="BA11" s="481"/>
      <c r="BB11" s="481"/>
      <c r="BC11" s="481"/>
      <c r="BD11" s="481"/>
      <c r="BE11" s="481"/>
      <c r="BF11" s="481"/>
      <c r="BG11" s="481"/>
      <c r="BH11" s="481"/>
      <c r="BI11" s="481"/>
      <c r="BJ11" s="481"/>
      <c r="BK11" s="481"/>
    </row>
    <row r="12" spans="1:63" ht="18.75" x14ac:dyDescent="0.3">
      <c r="A12" s="477" t="s">
        <v>207</v>
      </c>
      <c r="B12" s="483"/>
      <c r="C12" s="484"/>
      <c r="D12" s="484"/>
      <c r="E12" s="483"/>
      <c r="F12" s="484"/>
      <c r="G12" s="484"/>
      <c r="H12" s="483"/>
      <c r="I12" s="484"/>
      <c r="J12" s="484"/>
      <c r="K12" s="473"/>
      <c r="L12" s="474"/>
      <c r="M12" s="484"/>
      <c r="N12" s="475"/>
      <c r="O12" s="476"/>
      <c r="P12" s="484"/>
      <c r="Q12" s="473"/>
      <c r="R12" s="474"/>
      <c r="S12" s="484"/>
      <c r="T12" s="473"/>
      <c r="U12" s="474"/>
      <c r="V12" s="484"/>
      <c r="W12" s="473"/>
      <c r="X12" s="474"/>
      <c r="Y12" s="484"/>
      <c r="Z12" s="473"/>
      <c r="AA12" s="474"/>
      <c r="AB12" s="484"/>
      <c r="AC12" s="473"/>
      <c r="AD12" s="474"/>
      <c r="AE12" s="484"/>
      <c r="AF12" s="473"/>
      <c r="AG12" s="474"/>
      <c r="AH12" s="484"/>
      <c r="AI12" s="473"/>
      <c r="AJ12" s="474"/>
      <c r="AK12" s="484"/>
      <c r="AL12" s="473"/>
      <c r="AM12" s="474"/>
      <c r="AN12" s="484"/>
      <c r="AO12" s="474"/>
      <c r="AP12" s="474"/>
      <c r="AQ12" s="484"/>
      <c r="AR12" s="474"/>
      <c r="AS12" s="474"/>
      <c r="AT12" s="484"/>
      <c r="AU12" s="480"/>
      <c r="AV12" s="480"/>
      <c r="AW12" s="481"/>
      <c r="AX12" s="481"/>
      <c r="AY12" s="481"/>
      <c r="AZ12" s="481"/>
      <c r="BA12" s="481"/>
      <c r="BB12" s="481"/>
      <c r="BC12" s="481"/>
      <c r="BD12" s="481"/>
      <c r="BE12" s="481"/>
      <c r="BF12" s="481"/>
      <c r="BG12" s="481"/>
      <c r="BH12" s="481"/>
      <c r="BI12" s="481"/>
      <c r="BJ12" s="481"/>
      <c r="BK12" s="481"/>
    </row>
    <row r="13" spans="1:63" ht="18.75" x14ac:dyDescent="0.3">
      <c r="A13" s="477" t="s">
        <v>208</v>
      </c>
      <c r="B13" s="485"/>
      <c r="C13" s="486"/>
      <c r="D13" s="486"/>
      <c r="E13" s="485"/>
      <c r="F13" s="486"/>
      <c r="G13" s="486"/>
      <c r="H13" s="485"/>
      <c r="I13" s="486"/>
      <c r="J13" s="486"/>
      <c r="K13" s="487"/>
      <c r="L13" s="488"/>
      <c r="M13" s="486"/>
      <c r="N13" s="489"/>
      <c r="O13" s="490"/>
      <c r="P13" s="486"/>
      <c r="Q13" s="487"/>
      <c r="R13" s="488"/>
      <c r="S13" s="486"/>
      <c r="T13" s="487"/>
      <c r="U13" s="488"/>
      <c r="V13" s="486"/>
      <c r="W13" s="487"/>
      <c r="X13" s="488"/>
      <c r="Y13" s="486"/>
      <c r="Z13" s="487"/>
      <c r="AA13" s="488"/>
      <c r="AB13" s="486"/>
      <c r="AC13" s="487"/>
      <c r="AD13" s="488"/>
      <c r="AE13" s="486"/>
      <c r="AF13" s="487"/>
      <c r="AG13" s="488"/>
      <c r="AH13" s="486"/>
      <c r="AI13" s="487"/>
      <c r="AJ13" s="488"/>
      <c r="AK13" s="486"/>
      <c r="AL13" s="487"/>
      <c r="AM13" s="488"/>
      <c r="AN13" s="486"/>
      <c r="AO13" s="488"/>
      <c r="AP13" s="488"/>
      <c r="AQ13" s="486"/>
      <c r="AR13" s="488"/>
      <c r="AS13" s="488"/>
      <c r="AT13" s="486"/>
      <c r="AU13" s="491"/>
      <c r="AV13" s="491"/>
      <c r="AW13" s="492"/>
      <c r="AX13" s="492"/>
      <c r="AY13" s="492"/>
      <c r="AZ13" s="492"/>
      <c r="BA13" s="492"/>
      <c r="BB13" s="492"/>
      <c r="BC13" s="492"/>
      <c r="BD13" s="492"/>
      <c r="BE13" s="492"/>
      <c r="BF13" s="492"/>
      <c r="BG13" s="492"/>
      <c r="BH13" s="492"/>
      <c r="BI13" s="492"/>
      <c r="BJ13" s="492"/>
      <c r="BK13" s="492"/>
    </row>
    <row r="14" spans="1:63" ht="18.75" x14ac:dyDescent="0.3">
      <c r="A14" s="493" t="s">
        <v>209</v>
      </c>
      <c r="B14" s="494"/>
      <c r="C14" s="495"/>
      <c r="D14" s="496"/>
      <c r="E14" s="494"/>
      <c r="F14" s="495"/>
      <c r="G14" s="496"/>
      <c r="H14" s="494"/>
      <c r="I14" s="495"/>
      <c r="J14" s="496"/>
      <c r="K14" s="487"/>
      <c r="L14" s="488"/>
      <c r="M14" s="496"/>
      <c r="N14" s="489"/>
      <c r="O14" s="490"/>
      <c r="P14" s="496"/>
      <c r="Q14" s="487">
        <v>1001.49134675</v>
      </c>
      <c r="R14" s="488">
        <v>1001.44895075</v>
      </c>
      <c r="S14" s="496">
        <f t="shared" ref="S14:S76" si="0">IF(Q14=0, "    ---- ", IF(ABS(ROUND(100/Q14*R14-100,1))&lt;999,ROUND(100/Q14*R14-100,1),IF(ROUND(100/Q14*R14-100,1)&gt;999,999,-999)))</f>
        <v>0</v>
      </c>
      <c r="T14" s="487"/>
      <c r="U14" s="488"/>
      <c r="V14" s="496"/>
      <c r="W14" s="487"/>
      <c r="X14" s="488"/>
      <c r="Y14" s="496"/>
      <c r="Z14" s="487"/>
      <c r="AA14" s="488"/>
      <c r="AB14" s="496"/>
      <c r="AC14" s="487"/>
      <c r="AD14" s="488"/>
      <c r="AE14" s="496"/>
      <c r="AF14" s="487"/>
      <c r="AG14" s="488"/>
      <c r="AH14" s="496"/>
      <c r="AI14" s="487">
        <v>1.57</v>
      </c>
      <c r="AJ14" s="488">
        <v>1.6040000000000001</v>
      </c>
      <c r="AK14" s="496">
        <f t="shared" ref="AK14:AK76" si="1">IF(AI14=0, "    ---- ", IF(ABS(ROUND(100/AI14*AJ14-100,1))&lt;999,ROUND(100/AI14*AJ14-100,1),IF(ROUND(100/AI14*AJ14-100,1)&gt;999,999,-999)))</f>
        <v>2.2000000000000002</v>
      </c>
      <c r="AL14" s="487"/>
      <c r="AM14" s="488"/>
      <c r="AN14" s="496"/>
      <c r="AO14" s="496">
        <f>B14+E14+H14+K14+Q14+T14+W14+Z14+AF14+AI14+AL14</f>
        <v>1003.0613467500001</v>
      </c>
      <c r="AP14" s="496">
        <f>C14+F14+I14+L14+R14+U14+X14+AA14+AG14+AJ14+AM14</f>
        <v>1003.05295075</v>
      </c>
      <c r="AQ14" s="496">
        <f t="shared" ref="AQ14:AQ77" si="2">IF(AO14=0, "    ---- ", IF(ABS(ROUND(100/AO14*AP14-100,1))&lt;999,ROUND(100/AO14*AP14-100,1),IF(ROUND(100/AO14*AP14-100,1)&gt;999,999,-999)))</f>
        <v>0</v>
      </c>
      <c r="AR14" s="496">
        <f>B14+E14+H14+K14+N14+Q14+T14+W14+Z14+AC14+AF14+AI14+AL14</f>
        <v>1003.0613467500001</v>
      </c>
      <c r="AS14" s="496">
        <f>F14+I14+L14+O14+U14+X14+AA14+AD14+AJ14+AM14+AP14</f>
        <v>1004.6569507500001</v>
      </c>
      <c r="AT14" s="496">
        <f t="shared" ref="AT14:AT77" si="3">IF(AR14=0, "    ---- ", IF(ABS(ROUND(100/AR14*AS14-100,1))&lt;999,ROUND(100/AR14*AS14-100,1),IF(ROUND(100/AR14*AS14-100,1)&gt;999,999,-999)))</f>
        <v>0.2</v>
      </c>
      <c r="AU14" s="491"/>
      <c r="AV14" s="491"/>
      <c r="AW14" s="492"/>
      <c r="AX14" s="492"/>
      <c r="AY14" s="492"/>
      <c r="AZ14" s="492"/>
      <c r="BA14" s="492"/>
      <c r="BB14" s="492"/>
      <c r="BC14" s="492"/>
      <c r="BD14" s="492"/>
      <c r="BE14" s="492"/>
      <c r="BF14" s="492"/>
      <c r="BG14" s="492"/>
      <c r="BH14" s="492"/>
      <c r="BI14" s="492"/>
      <c r="BJ14" s="492"/>
      <c r="BK14" s="492"/>
    </row>
    <row r="15" spans="1:63" ht="18.75" x14ac:dyDescent="0.3">
      <c r="A15" s="493" t="s">
        <v>210</v>
      </c>
      <c r="B15" s="494"/>
      <c r="C15" s="495"/>
      <c r="D15" s="496"/>
      <c r="E15" s="494">
        <v>57.826000000000001</v>
      </c>
      <c r="F15" s="495">
        <v>50.591999999999999</v>
      </c>
      <c r="G15" s="496">
        <f t="shared" ref="G15:G77" si="4">IF(E15=0, "    ---- ", IF(ABS(ROUND(100/E15*F15-100,1))&lt;999,ROUND(100/E15*F15-100,1),IF(ROUND(100/E15*F15-100,1)&gt;999,999,-999)))</f>
        <v>-12.5</v>
      </c>
      <c r="H15" s="494"/>
      <c r="I15" s="495"/>
      <c r="J15" s="496"/>
      <c r="K15" s="487"/>
      <c r="L15" s="488"/>
      <c r="M15" s="496"/>
      <c r="N15" s="489"/>
      <c r="O15" s="490"/>
      <c r="P15" s="496"/>
      <c r="Q15" s="487">
        <v>5617.4945321200003</v>
      </c>
      <c r="R15" s="488">
        <v>6298.7054187200001</v>
      </c>
      <c r="S15" s="496">
        <f t="shared" si="0"/>
        <v>12.1</v>
      </c>
      <c r="T15" s="487"/>
      <c r="U15" s="488"/>
      <c r="V15" s="496"/>
      <c r="W15" s="487"/>
      <c r="X15" s="488"/>
      <c r="Y15" s="496"/>
      <c r="Z15" s="487">
        <v>884</v>
      </c>
      <c r="AA15" s="488">
        <v>951</v>
      </c>
      <c r="AB15" s="496">
        <f t="shared" ref="AB15:AB77" si="5">IF(Z15=0, "    ---- ", IF(ABS(ROUND(100/Z15*AA15-100,1))&lt;999,ROUND(100/Z15*AA15-100,1),IF(ROUND(100/Z15*AA15-100,1)&gt;999,999,-999)))</f>
        <v>7.6</v>
      </c>
      <c r="AC15" s="487"/>
      <c r="AD15" s="488"/>
      <c r="AE15" s="496"/>
      <c r="AF15" s="487"/>
      <c r="AG15" s="488"/>
      <c r="AH15" s="496"/>
      <c r="AI15" s="487">
        <v>764.41700000000003</v>
      </c>
      <c r="AJ15" s="488">
        <v>960.50099999999998</v>
      </c>
      <c r="AK15" s="496">
        <f t="shared" si="1"/>
        <v>25.7</v>
      </c>
      <c r="AL15" s="487">
        <v>13694</v>
      </c>
      <c r="AM15" s="488">
        <v>13138</v>
      </c>
      <c r="AN15" s="496">
        <f t="shared" ref="AN15:AN77" si="6">IF(AL15=0, "    ---- ", IF(ABS(ROUND(100/AL15*AM15-100,1))&lt;999,ROUND(100/AL15*AM15-100,1),IF(ROUND(100/AL15*AM15-100,1)&gt;999,999,-999)))</f>
        <v>-4.0999999999999996</v>
      </c>
      <c r="AO15" s="496">
        <f t="shared" ref="AO15:AP77" si="7">B15+E15+H15+K15+Q15+T15+W15+Z15+AF15+AI15+AL15</f>
        <v>21017.737532120002</v>
      </c>
      <c r="AP15" s="496">
        <f t="shared" si="7"/>
        <v>21398.798418719998</v>
      </c>
      <c r="AQ15" s="496">
        <f t="shared" si="2"/>
        <v>1.8</v>
      </c>
      <c r="AR15" s="496">
        <f>B15+E15+H15+K15+N15+Q15+T15+W15+Z15+AC15+AF15+AI15+AL15</f>
        <v>21017.737532120002</v>
      </c>
      <c r="AS15" s="496">
        <f t="shared" ref="AS15:AS35" si="8">F15+I15+L15+O15+U15+X15+AA15+AD15+AJ15+AM15+AP15</f>
        <v>36498.891418719999</v>
      </c>
      <c r="AT15" s="496">
        <f t="shared" si="3"/>
        <v>73.7</v>
      </c>
      <c r="AU15" s="491"/>
      <c r="AV15" s="491"/>
      <c r="AW15" s="492"/>
      <c r="AX15" s="492"/>
      <c r="AY15" s="492"/>
      <c r="AZ15" s="492"/>
      <c r="BA15" s="492"/>
      <c r="BB15" s="492"/>
      <c r="BC15" s="492"/>
      <c r="BD15" s="492"/>
      <c r="BE15" s="492"/>
      <c r="BF15" s="492"/>
      <c r="BG15" s="492"/>
      <c r="BH15" s="492"/>
      <c r="BI15" s="492"/>
      <c r="BJ15" s="492"/>
      <c r="BK15" s="492"/>
    </row>
    <row r="16" spans="1:63" ht="18.75" x14ac:dyDescent="0.3">
      <c r="A16" s="493" t="s">
        <v>211</v>
      </c>
      <c r="B16" s="494"/>
      <c r="C16" s="495"/>
      <c r="D16" s="496"/>
      <c r="E16" s="494">
        <v>5430.0039999999999</v>
      </c>
      <c r="F16" s="495">
        <v>3880.6620000000003</v>
      </c>
      <c r="G16" s="496">
        <f t="shared" si="4"/>
        <v>-28.5</v>
      </c>
      <c r="H16" s="494">
        <v>28.254999999999999</v>
      </c>
      <c r="I16" s="495">
        <v>28.356000000000002</v>
      </c>
      <c r="J16" s="496"/>
      <c r="K16" s="487"/>
      <c r="L16" s="488"/>
      <c r="M16" s="496"/>
      <c r="N16" s="489"/>
      <c r="O16" s="490"/>
      <c r="P16" s="496"/>
      <c r="Q16" s="487">
        <v>13224.770467809998</v>
      </c>
      <c r="R16" s="488">
        <v>14309.53858636</v>
      </c>
      <c r="S16" s="496">
        <f t="shared" si="0"/>
        <v>8.1999999999999993</v>
      </c>
      <c r="T16" s="487">
        <v>148.78200000000001</v>
      </c>
      <c r="U16" s="488">
        <v>206.053</v>
      </c>
      <c r="V16" s="496">
        <f t="shared" ref="V16:V76" si="9">IF(T16=0, "    ---- ", IF(ABS(ROUND(100/T16*U16-100,1))&lt;999,ROUND(100/T16*U16-100,1),IF(ROUND(100/T16*U16-100,1)&gt;999,999,-999)))</f>
        <v>38.5</v>
      </c>
      <c r="W16" s="487"/>
      <c r="X16" s="488"/>
      <c r="Y16" s="496"/>
      <c r="Z16" s="487">
        <v>3849</v>
      </c>
      <c r="AA16" s="488">
        <v>4284</v>
      </c>
      <c r="AB16" s="496">
        <f t="shared" si="5"/>
        <v>11.3</v>
      </c>
      <c r="AC16" s="487"/>
      <c r="AD16" s="488"/>
      <c r="AE16" s="496"/>
      <c r="AF16" s="487"/>
      <c r="AG16" s="488"/>
      <c r="AH16" s="496"/>
      <c r="AI16" s="487">
        <v>894.47299999999996</v>
      </c>
      <c r="AJ16" s="488">
        <v>1114.529</v>
      </c>
      <c r="AK16" s="496">
        <f t="shared" si="1"/>
        <v>24.6</v>
      </c>
      <c r="AL16" s="487">
        <v>2767</v>
      </c>
      <c r="AM16" s="488">
        <v>3622</v>
      </c>
      <c r="AN16" s="496">
        <f t="shared" si="6"/>
        <v>30.9</v>
      </c>
      <c r="AO16" s="496">
        <f>B16+E16+H16+K16+Q16+T16+W16+Z16+AF16+AI16+AL16</f>
        <v>26342.284467809994</v>
      </c>
      <c r="AP16" s="496">
        <f t="shared" si="7"/>
        <v>27445.138586360001</v>
      </c>
      <c r="AQ16" s="496">
        <f t="shared" si="2"/>
        <v>4.2</v>
      </c>
      <c r="AR16" s="496">
        <f t="shared" ref="AR16:AR79" si="10">B16+E16+H16+K16+N16+Q16+T16+W16+Z16+AC16+AF16+AI16+AL16</f>
        <v>26342.284467809994</v>
      </c>
      <c r="AS16" s="496">
        <f t="shared" si="8"/>
        <v>40580.738586359999</v>
      </c>
      <c r="AT16" s="496">
        <f t="shared" si="3"/>
        <v>54.1</v>
      </c>
      <c r="AU16" s="491"/>
      <c r="AV16" s="491"/>
      <c r="AW16" s="492"/>
      <c r="AX16" s="492"/>
      <c r="AY16" s="492"/>
      <c r="AZ16" s="492"/>
      <c r="BA16" s="492"/>
      <c r="BB16" s="492"/>
      <c r="BC16" s="492"/>
      <c r="BD16" s="492"/>
      <c r="BE16" s="492"/>
      <c r="BF16" s="492"/>
      <c r="BG16" s="492"/>
      <c r="BH16" s="492"/>
      <c r="BI16" s="492"/>
      <c r="BJ16" s="492"/>
      <c r="BK16" s="492"/>
    </row>
    <row r="17" spans="1:49" ht="18.75" x14ac:dyDescent="0.3">
      <c r="A17" s="493" t="s">
        <v>212</v>
      </c>
      <c r="B17" s="494"/>
      <c r="C17" s="495"/>
      <c r="D17" s="496"/>
      <c r="E17" s="494">
        <v>3566.4380000000001</v>
      </c>
      <c r="F17" s="495">
        <v>2031.356</v>
      </c>
      <c r="G17" s="496">
        <f t="shared" si="4"/>
        <v>-43</v>
      </c>
      <c r="H17" s="494"/>
      <c r="I17" s="495"/>
      <c r="J17" s="496"/>
      <c r="K17" s="487"/>
      <c r="L17" s="488"/>
      <c r="M17" s="496"/>
      <c r="N17" s="489"/>
      <c r="O17" s="490"/>
      <c r="P17" s="496"/>
      <c r="Q17" s="487">
        <v>6693.3859269099994</v>
      </c>
      <c r="R17" s="488">
        <v>6717.77505784</v>
      </c>
      <c r="S17" s="496">
        <f t="shared" si="0"/>
        <v>0.4</v>
      </c>
      <c r="T17" s="487">
        <v>148.78200000000001</v>
      </c>
      <c r="U17" s="488">
        <v>206.053</v>
      </c>
      <c r="V17" s="496">
        <f t="shared" si="9"/>
        <v>38.5</v>
      </c>
      <c r="W17" s="487"/>
      <c r="X17" s="488"/>
      <c r="Y17" s="496"/>
      <c r="Z17" s="487">
        <v>306</v>
      </c>
      <c r="AA17" s="488">
        <v>287</v>
      </c>
      <c r="AB17" s="496">
        <f t="shared" si="5"/>
        <v>-6.2</v>
      </c>
      <c r="AC17" s="487"/>
      <c r="AD17" s="488"/>
      <c r="AE17" s="496"/>
      <c r="AF17" s="487"/>
      <c r="AG17" s="488"/>
      <c r="AH17" s="496"/>
      <c r="AI17" s="487">
        <v>215.126</v>
      </c>
      <c r="AJ17" s="488">
        <v>140.38900000000001</v>
      </c>
      <c r="AK17" s="496">
        <f t="shared" si="1"/>
        <v>-34.700000000000003</v>
      </c>
      <c r="AL17" s="487"/>
      <c r="AM17" s="488"/>
      <c r="AN17" s="496"/>
      <c r="AO17" s="496">
        <f t="shared" si="7"/>
        <v>10929.731926909999</v>
      </c>
      <c r="AP17" s="496">
        <f t="shared" si="7"/>
        <v>9382.5730578399998</v>
      </c>
      <c r="AQ17" s="496">
        <f t="shared" si="2"/>
        <v>-14.2</v>
      </c>
      <c r="AR17" s="496">
        <f t="shared" si="10"/>
        <v>10929.731926909999</v>
      </c>
      <c r="AS17" s="496">
        <f t="shared" si="8"/>
        <v>12047.371057840001</v>
      </c>
      <c r="AT17" s="496">
        <f t="shared" si="3"/>
        <v>10.199999999999999</v>
      </c>
      <c r="AU17" s="491"/>
      <c r="AV17" s="491"/>
      <c r="AW17" s="492"/>
    </row>
    <row r="18" spans="1:49" ht="18.75" x14ac:dyDescent="0.3">
      <c r="A18" s="493" t="s">
        <v>213</v>
      </c>
      <c r="B18" s="494"/>
      <c r="C18" s="495"/>
      <c r="D18" s="496"/>
      <c r="E18" s="494">
        <v>3566.4380000000001</v>
      </c>
      <c r="F18" s="495">
        <v>2031.356</v>
      </c>
      <c r="G18" s="496">
        <f t="shared" si="4"/>
        <v>-43</v>
      </c>
      <c r="H18" s="494"/>
      <c r="I18" s="495"/>
      <c r="J18" s="496"/>
      <c r="K18" s="487"/>
      <c r="L18" s="488"/>
      <c r="M18" s="496"/>
      <c r="N18" s="489"/>
      <c r="O18" s="490"/>
      <c r="P18" s="496"/>
      <c r="Q18" s="487">
        <v>6693.3859269099994</v>
      </c>
      <c r="R18" s="488">
        <v>6717.77505784</v>
      </c>
      <c r="S18" s="496">
        <f t="shared" si="0"/>
        <v>0.4</v>
      </c>
      <c r="T18" s="487"/>
      <c r="U18" s="488"/>
      <c r="V18" s="496"/>
      <c r="W18" s="487"/>
      <c r="X18" s="488"/>
      <c r="Y18" s="496"/>
      <c r="Z18" s="487"/>
      <c r="AA18" s="488"/>
      <c r="AB18" s="496"/>
      <c r="AC18" s="487"/>
      <c r="AD18" s="488"/>
      <c r="AE18" s="496"/>
      <c r="AF18" s="487"/>
      <c r="AG18" s="488"/>
      <c r="AH18" s="496"/>
      <c r="AI18" s="487">
        <v>46.460817660000018</v>
      </c>
      <c r="AJ18" s="488">
        <v>27.970407290000015</v>
      </c>
      <c r="AK18" s="496">
        <f t="shared" si="1"/>
        <v>-39.799999999999997</v>
      </c>
      <c r="AL18" s="487"/>
      <c r="AM18" s="488"/>
      <c r="AN18" s="496"/>
      <c r="AO18" s="496">
        <f t="shared" si="7"/>
        <v>10306.284744569999</v>
      </c>
      <c r="AP18" s="496">
        <f t="shared" si="7"/>
        <v>8777.1014651300011</v>
      </c>
      <c r="AQ18" s="496">
        <f t="shared" si="2"/>
        <v>-14.8</v>
      </c>
      <c r="AR18" s="496">
        <f t="shared" si="10"/>
        <v>10306.284744569999</v>
      </c>
      <c r="AS18" s="496">
        <f t="shared" si="8"/>
        <v>10836.427872420001</v>
      </c>
      <c r="AT18" s="496">
        <f t="shared" si="3"/>
        <v>5.0999999999999996</v>
      </c>
      <c r="AU18" s="491"/>
      <c r="AV18" s="491"/>
      <c r="AW18" s="492"/>
    </row>
    <row r="19" spans="1:49" ht="18.75" x14ac:dyDescent="0.3">
      <c r="A19" s="493" t="s">
        <v>214</v>
      </c>
      <c r="B19" s="494"/>
      <c r="C19" s="495"/>
      <c r="D19" s="496"/>
      <c r="E19" s="494">
        <v>1863.566</v>
      </c>
      <c r="F19" s="495">
        <v>1849.306</v>
      </c>
      <c r="G19" s="496">
        <f t="shared" si="4"/>
        <v>-0.8</v>
      </c>
      <c r="H19" s="494"/>
      <c r="I19" s="495"/>
      <c r="J19" s="496"/>
      <c r="K19" s="487"/>
      <c r="L19" s="488"/>
      <c r="M19" s="496"/>
      <c r="N19" s="489"/>
      <c r="O19" s="490"/>
      <c r="P19" s="496"/>
      <c r="Q19" s="487">
        <v>6531.3845408999996</v>
      </c>
      <c r="R19" s="488">
        <v>7591.7635285200004</v>
      </c>
      <c r="S19" s="496">
        <f t="shared" si="0"/>
        <v>16.2</v>
      </c>
      <c r="T19" s="487"/>
      <c r="U19" s="488"/>
      <c r="V19" s="496"/>
      <c r="W19" s="487"/>
      <c r="X19" s="488"/>
      <c r="Y19" s="496"/>
      <c r="Z19" s="487">
        <v>3543</v>
      </c>
      <c r="AA19" s="488">
        <v>3997</v>
      </c>
      <c r="AB19" s="496">
        <f t="shared" si="5"/>
        <v>12.8</v>
      </c>
      <c r="AC19" s="487"/>
      <c r="AD19" s="488"/>
      <c r="AE19" s="496"/>
      <c r="AF19" s="487"/>
      <c r="AG19" s="488"/>
      <c r="AH19" s="496"/>
      <c r="AI19" s="487">
        <v>679.34699999999998</v>
      </c>
      <c r="AJ19" s="488">
        <v>974.14</v>
      </c>
      <c r="AK19" s="496">
        <f t="shared" si="1"/>
        <v>43.4</v>
      </c>
      <c r="AL19" s="487">
        <v>2767</v>
      </c>
      <c r="AM19" s="488">
        <v>3622</v>
      </c>
      <c r="AN19" s="496">
        <f t="shared" si="6"/>
        <v>30.9</v>
      </c>
      <c r="AO19" s="496">
        <f t="shared" si="7"/>
        <v>15384.297540899999</v>
      </c>
      <c r="AP19" s="496">
        <f t="shared" si="7"/>
        <v>18034.209528519998</v>
      </c>
      <c r="AQ19" s="496">
        <f t="shared" si="2"/>
        <v>17.2</v>
      </c>
      <c r="AR19" s="496">
        <f t="shared" si="10"/>
        <v>15384.297540899999</v>
      </c>
      <c r="AS19" s="496">
        <f t="shared" si="8"/>
        <v>28476.655528519997</v>
      </c>
      <c r="AT19" s="496">
        <f t="shared" si="3"/>
        <v>85.1</v>
      </c>
      <c r="AU19" s="491"/>
      <c r="AV19" s="491"/>
      <c r="AW19" s="492"/>
    </row>
    <row r="20" spans="1:49" ht="18.75" x14ac:dyDescent="0.3">
      <c r="A20" s="493" t="s">
        <v>215</v>
      </c>
      <c r="B20" s="494">
        <v>154.60400000000001</v>
      </c>
      <c r="C20" s="495">
        <v>236.07</v>
      </c>
      <c r="D20" s="496">
        <f t="shared" ref="D20:D77" si="11">IF(B20=0, "    ---- ", IF(ABS(ROUND(100/B20*C20-100,1))&lt;999,ROUND(100/B20*C20-100,1),IF(ROUND(100/B20*C20-100,1)&gt;999,999,-999)))</f>
        <v>52.7</v>
      </c>
      <c r="E20" s="494">
        <v>23227.174999999996</v>
      </c>
      <c r="F20" s="495">
        <v>26383.56</v>
      </c>
      <c r="G20" s="496">
        <f t="shared" si="4"/>
        <v>13.6</v>
      </c>
      <c r="H20" s="494">
        <v>172.011</v>
      </c>
      <c r="I20" s="495">
        <v>150.374</v>
      </c>
      <c r="J20" s="496">
        <f t="shared" ref="J20:J77" si="12">IF(H20=0, "    ---- ", IF(ABS(ROUND(100/H20*I20-100,1))&lt;999,ROUND(100/H20*I20-100,1),IF(ROUND(100/H20*I20-100,1)&gt;999,999,-999)))</f>
        <v>-12.6</v>
      </c>
      <c r="K20" s="487">
        <v>681.56899999999996</v>
      </c>
      <c r="L20" s="488">
        <v>848.7</v>
      </c>
      <c r="M20" s="496">
        <f t="shared" ref="M20:M76" si="13">IF(K20=0, "    ---- ", IF(ABS(ROUND(100/K20*L20-100,1))&lt;999,ROUND(100/K20*L20-100,1),IF(ROUND(100/K20*L20-100,1)&gt;999,999,-999)))</f>
        <v>24.5</v>
      </c>
      <c r="N20" s="489">
        <v>138</v>
      </c>
      <c r="O20" s="490">
        <v>140</v>
      </c>
      <c r="P20" s="496">
        <f t="shared" ref="P20:P77" si="14">IF(N20=0, "    ---- ", IF(ABS(ROUND(100/N20*O20-100,1))&lt;999,ROUND(100/N20*O20-100,1),IF(ROUND(100/N20*O20-100,1)&gt;999,999,-999)))</f>
        <v>1.4</v>
      </c>
      <c r="Q20" s="487">
        <v>10273.787497180001</v>
      </c>
      <c r="R20" s="488">
        <v>11306.25670573</v>
      </c>
      <c r="S20" s="496">
        <f t="shared" si="0"/>
        <v>10</v>
      </c>
      <c r="T20" s="487">
        <v>174.97799999999998</v>
      </c>
      <c r="U20" s="488">
        <v>345.31900000000002</v>
      </c>
      <c r="V20" s="496">
        <f t="shared" si="9"/>
        <v>97.3</v>
      </c>
      <c r="W20" s="487">
        <v>8157.99</v>
      </c>
      <c r="X20" s="488">
        <v>8984.23</v>
      </c>
      <c r="Y20" s="496">
        <f t="shared" ref="Y20:Y76" si="15">IF(W20=0, "    ---- ", IF(ABS(ROUND(100/W20*X20-100,1))&lt;999,ROUND(100/W20*X20-100,1),IF(ROUND(100/W20*X20-100,1)&gt;999,999,-999)))</f>
        <v>10.1</v>
      </c>
      <c r="Z20" s="487">
        <v>2071</v>
      </c>
      <c r="AA20" s="488">
        <v>3064</v>
      </c>
      <c r="AB20" s="496">
        <f t="shared" si="5"/>
        <v>47.9</v>
      </c>
      <c r="AC20" s="487">
        <v>20</v>
      </c>
      <c r="AD20" s="488">
        <v>39</v>
      </c>
      <c r="AE20" s="496">
        <f t="shared" ref="AE20:AE69" si="16">IF(AC20=0, "    ---- ", IF(ABS(ROUND(100/AC20*AD20-100,1))&lt;999,ROUND(100/AC20*AD20-100,1),IF(ROUND(100/AC20*AD20-100,1)&gt;999,999,-999)))</f>
        <v>95</v>
      </c>
      <c r="AF20" s="487">
        <v>224.11489953</v>
      </c>
      <c r="AG20" s="488"/>
      <c r="AH20" s="496">
        <f t="shared" ref="AH20:AH75" si="17">IF(AF20=0, "    ---- ", IF(ABS(ROUND(100/AF20*AG20-100,1))&lt;999,ROUND(100/AF20*AG20-100,1),IF(ROUND(100/AF20*AG20-100,1)&gt;999,999,-999)))</f>
        <v>-100</v>
      </c>
      <c r="AI20" s="487">
        <v>2934.0640000000003</v>
      </c>
      <c r="AJ20" s="488">
        <v>3516.8509999999997</v>
      </c>
      <c r="AK20" s="496">
        <f t="shared" si="1"/>
        <v>19.899999999999999</v>
      </c>
      <c r="AL20" s="487">
        <v>13639</v>
      </c>
      <c r="AM20" s="488">
        <v>15622</v>
      </c>
      <c r="AN20" s="496">
        <f t="shared" si="6"/>
        <v>14.5</v>
      </c>
      <c r="AO20" s="496">
        <f t="shared" si="7"/>
        <v>61710.293396709996</v>
      </c>
      <c r="AP20" s="496">
        <f t="shared" si="7"/>
        <v>70457.360705730011</v>
      </c>
      <c r="AQ20" s="496">
        <f t="shared" si="2"/>
        <v>14.2</v>
      </c>
      <c r="AR20" s="496">
        <f t="shared" si="10"/>
        <v>61868.293396709996</v>
      </c>
      <c r="AS20" s="496">
        <f t="shared" si="8"/>
        <v>129551.39470573002</v>
      </c>
      <c r="AT20" s="496">
        <f t="shared" si="3"/>
        <v>109.4</v>
      </c>
      <c r="AU20" s="491"/>
      <c r="AV20" s="491"/>
      <c r="AW20" s="492"/>
    </row>
    <row r="21" spans="1:49" ht="18.75" x14ac:dyDescent="0.3">
      <c r="A21" s="493" t="s">
        <v>216</v>
      </c>
      <c r="B21" s="494">
        <v>2.4060000000000001</v>
      </c>
      <c r="C21" s="495">
        <v>3.06</v>
      </c>
      <c r="D21" s="496">
        <f t="shared" si="11"/>
        <v>27.2</v>
      </c>
      <c r="E21" s="494">
        <v>947.51</v>
      </c>
      <c r="F21" s="495">
        <v>1274.8409999999999</v>
      </c>
      <c r="G21" s="496"/>
      <c r="H21" s="494">
        <v>19.98</v>
      </c>
      <c r="I21" s="495">
        <v>16.948</v>
      </c>
      <c r="J21" s="496"/>
      <c r="K21" s="487">
        <v>3.468</v>
      </c>
      <c r="L21" s="488">
        <v>8.1999999999999993</v>
      </c>
      <c r="M21" s="496"/>
      <c r="N21" s="489"/>
      <c r="O21" s="490"/>
      <c r="P21" s="496"/>
      <c r="Q21" s="487">
        <v>406.99185</v>
      </c>
      <c r="R21" s="488">
        <v>526.58957499999997</v>
      </c>
      <c r="S21" s="496"/>
      <c r="T21" s="487">
        <v>160.24199999999999</v>
      </c>
      <c r="U21" s="488">
        <v>303.80500000000001</v>
      </c>
      <c r="V21" s="496"/>
      <c r="W21" s="487">
        <v>8.5</v>
      </c>
      <c r="X21" s="488">
        <v>4.5999999999999996</v>
      </c>
      <c r="Y21" s="496"/>
      <c r="Z21" s="487">
        <v>826</v>
      </c>
      <c r="AA21" s="488">
        <v>1457</v>
      </c>
      <c r="AB21" s="496"/>
      <c r="AC21" s="487"/>
      <c r="AD21" s="488"/>
      <c r="AE21" s="496"/>
      <c r="AF21" s="487">
        <v>-1.00000003352761E-7</v>
      </c>
      <c r="AG21" s="488"/>
      <c r="AH21" s="496"/>
      <c r="AI21" s="487">
        <v>1.3149999999999999</v>
      </c>
      <c r="AJ21" s="488">
        <v>1.278</v>
      </c>
      <c r="AK21" s="496"/>
      <c r="AL21" s="487">
        <v>71</v>
      </c>
      <c r="AM21" s="488">
        <v>75</v>
      </c>
      <c r="AN21" s="496"/>
      <c r="AO21" s="496"/>
      <c r="AP21" s="496"/>
      <c r="AQ21" s="496"/>
      <c r="AR21" s="496">
        <f t="shared" si="10"/>
        <v>2447.4128499000003</v>
      </c>
      <c r="AS21" s="496">
        <f t="shared" si="8"/>
        <v>3141.672</v>
      </c>
      <c r="AT21" s="496"/>
      <c r="AU21" s="491"/>
      <c r="AV21" s="491"/>
      <c r="AW21" s="492"/>
    </row>
    <row r="22" spans="1:49" ht="18.75" x14ac:dyDescent="0.3">
      <c r="A22" s="493" t="s">
        <v>217</v>
      </c>
      <c r="B22" s="494">
        <v>152.19800000000001</v>
      </c>
      <c r="C22" s="495">
        <v>233.01</v>
      </c>
      <c r="D22" s="496">
        <f t="shared" si="11"/>
        <v>53.1</v>
      </c>
      <c r="E22" s="494">
        <v>22252.794999999998</v>
      </c>
      <c r="F22" s="495">
        <v>25079.267</v>
      </c>
      <c r="G22" s="496">
        <f t="shared" si="4"/>
        <v>12.7</v>
      </c>
      <c r="H22" s="494">
        <v>133.535</v>
      </c>
      <c r="I22" s="495">
        <v>115.589</v>
      </c>
      <c r="J22" s="496">
        <f t="shared" si="12"/>
        <v>-13.4</v>
      </c>
      <c r="K22" s="487">
        <v>582.84299999999996</v>
      </c>
      <c r="L22" s="488">
        <v>743.8</v>
      </c>
      <c r="M22" s="496">
        <f t="shared" si="13"/>
        <v>27.6</v>
      </c>
      <c r="N22" s="489"/>
      <c r="O22" s="490"/>
      <c r="P22" s="496"/>
      <c r="Q22" s="487">
        <v>7588.8222950600002</v>
      </c>
      <c r="R22" s="488">
        <v>9034.93243841</v>
      </c>
      <c r="S22" s="496">
        <f t="shared" si="0"/>
        <v>19.100000000000001</v>
      </c>
      <c r="T22" s="487"/>
      <c r="U22" s="488"/>
      <c r="V22" s="496"/>
      <c r="W22" s="487">
        <v>8148.46</v>
      </c>
      <c r="X22" s="488">
        <v>8979.2999999999993</v>
      </c>
      <c r="Y22" s="496">
        <f t="shared" si="15"/>
        <v>10.199999999999999</v>
      </c>
      <c r="Z22" s="487">
        <v>1261</v>
      </c>
      <c r="AA22" s="488">
        <v>1610</v>
      </c>
      <c r="AB22" s="496">
        <f t="shared" si="5"/>
        <v>27.7</v>
      </c>
      <c r="AC22" s="487"/>
      <c r="AD22" s="488"/>
      <c r="AE22" s="496"/>
      <c r="AF22" s="487">
        <v>223.45485061000005</v>
      </c>
      <c r="AG22" s="488"/>
      <c r="AH22" s="496">
        <f t="shared" si="17"/>
        <v>-100</v>
      </c>
      <c r="AI22" s="487">
        <v>2578.6680000000001</v>
      </c>
      <c r="AJ22" s="488">
        <v>3367.857</v>
      </c>
      <c r="AK22" s="496">
        <f t="shared" si="1"/>
        <v>30.6</v>
      </c>
      <c r="AL22" s="487">
        <v>11956</v>
      </c>
      <c r="AM22" s="488">
        <v>14588</v>
      </c>
      <c r="AN22" s="496">
        <f t="shared" si="6"/>
        <v>22</v>
      </c>
      <c r="AO22" s="496">
        <f t="shared" si="7"/>
        <v>54877.776145670003</v>
      </c>
      <c r="AP22" s="496">
        <f t="shared" si="7"/>
        <v>63751.755438410008</v>
      </c>
      <c r="AQ22" s="496">
        <f t="shared" si="2"/>
        <v>16.2</v>
      </c>
      <c r="AR22" s="496">
        <f t="shared" si="10"/>
        <v>54877.776145670003</v>
      </c>
      <c r="AS22" s="496">
        <f t="shared" si="8"/>
        <v>118235.56843841</v>
      </c>
      <c r="AT22" s="496">
        <f t="shared" si="3"/>
        <v>115.5</v>
      </c>
      <c r="AU22" s="491"/>
      <c r="AV22" s="491"/>
      <c r="AW22" s="492"/>
    </row>
    <row r="23" spans="1:49" ht="18.75" x14ac:dyDescent="0.3">
      <c r="A23" s="493" t="s">
        <v>218</v>
      </c>
      <c r="B23" s="494"/>
      <c r="C23" s="495"/>
      <c r="D23" s="496"/>
      <c r="E23" s="494">
        <v>4.6769999999999996</v>
      </c>
      <c r="F23" s="495">
        <v>41.981999999999999</v>
      </c>
      <c r="G23" s="496">
        <f t="shared" si="4"/>
        <v>797.6</v>
      </c>
      <c r="H23" s="494"/>
      <c r="I23" s="495"/>
      <c r="J23" s="496"/>
      <c r="K23" s="487"/>
      <c r="L23" s="488"/>
      <c r="M23" s="496"/>
      <c r="N23" s="489"/>
      <c r="O23" s="490"/>
      <c r="P23" s="496"/>
      <c r="Q23" s="487">
        <v>1222.93356369</v>
      </c>
      <c r="R23" s="488">
        <v>1142.0592833599999</v>
      </c>
      <c r="S23" s="496">
        <f t="shared" si="0"/>
        <v>-6.6</v>
      </c>
      <c r="T23" s="487">
        <v>14.736000000000001</v>
      </c>
      <c r="U23" s="488">
        <v>41.395000000000003</v>
      </c>
      <c r="V23" s="496">
        <f t="shared" si="9"/>
        <v>180.9</v>
      </c>
      <c r="W23" s="487">
        <v>1.03</v>
      </c>
      <c r="X23" s="488">
        <v>0.33</v>
      </c>
      <c r="Y23" s="496">
        <f t="shared" si="15"/>
        <v>-68</v>
      </c>
      <c r="Z23" s="487"/>
      <c r="AA23" s="488"/>
      <c r="AB23" s="496"/>
      <c r="AC23" s="487"/>
      <c r="AD23" s="488"/>
      <c r="AE23" s="496"/>
      <c r="AF23" s="487">
        <v>0.66004901999999999</v>
      </c>
      <c r="AG23" s="488"/>
      <c r="AH23" s="496">
        <f t="shared" si="17"/>
        <v>-100</v>
      </c>
      <c r="AI23" s="487"/>
      <c r="AJ23" s="488"/>
      <c r="AK23" s="496"/>
      <c r="AL23" s="487"/>
      <c r="AM23" s="488"/>
      <c r="AN23" s="496"/>
      <c r="AO23" s="496">
        <f t="shared" si="7"/>
        <v>1244.0366127100001</v>
      </c>
      <c r="AP23" s="496">
        <f t="shared" si="7"/>
        <v>1225.7662833599998</v>
      </c>
      <c r="AQ23" s="496">
        <f t="shared" si="2"/>
        <v>-1.5</v>
      </c>
      <c r="AR23" s="496">
        <f t="shared" si="10"/>
        <v>1244.0366127100001</v>
      </c>
      <c r="AS23" s="496">
        <f t="shared" si="8"/>
        <v>1309.4732833599999</v>
      </c>
      <c r="AT23" s="496">
        <f t="shared" si="3"/>
        <v>5.3</v>
      </c>
      <c r="AU23" s="491"/>
      <c r="AV23" s="491"/>
      <c r="AW23" s="492"/>
    </row>
    <row r="24" spans="1:49" ht="18.75" x14ac:dyDescent="0.3">
      <c r="A24" s="493" t="s">
        <v>219</v>
      </c>
      <c r="B24" s="494"/>
      <c r="C24" s="495"/>
      <c r="D24" s="496"/>
      <c r="E24" s="494"/>
      <c r="F24" s="495"/>
      <c r="G24" s="496"/>
      <c r="H24" s="494"/>
      <c r="I24" s="495"/>
      <c r="J24" s="496"/>
      <c r="K24" s="487"/>
      <c r="L24" s="488"/>
      <c r="M24" s="496"/>
      <c r="N24" s="489"/>
      <c r="O24" s="490"/>
      <c r="P24" s="496"/>
      <c r="Q24" s="487">
        <v>905.40057279999996</v>
      </c>
      <c r="R24" s="488">
        <v>601.28937840000003</v>
      </c>
      <c r="S24" s="496">
        <f t="shared" si="0"/>
        <v>-33.6</v>
      </c>
      <c r="T24" s="487"/>
      <c r="U24" s="488"/>
      <c r="V24" s="496"/>
      <c r="W24" s="487"/>
      <c r="X24" s="488"/>
      <c r="Y24" s="496"/>
      <c r="Z24" s="487">
        <v>-16</v>
      </c>
      <c r="AA24" s="488">
        <v>-3</v>
      </c>
      <c r="AB24" s="496">
        <f t="shared" si="5"/>
        <v>-81.3</v>
      </c>
      <c r="AC24" s="487"/>
      <c r="AD24" s="488"/>
      <c r="AE24" s="496"/>
      <c r="AF24" s="487"/>
      <c r="AG24" s="488"/>
      <c r="AH24" s="496"/>
      <c r="AI24" s="487"/>
      <c r="AJ24" s="488"/>
      <c r="AK24" s="496"/>
      <c r="AL24" s="487">
        <v>1095</v>
      </c>
      <c r="AM24" s="488">
        <v>959</v>
      </c>
      <c r="AN24" s="496">
        <f t="shared" si="6"/>
        <v>-12.4</v>
      </c>
      <c r="AO24" s="496">
        <f t="shared" si="7"/>
        <v>1984.4005728</v>
      </c>
      <c r="AP24" s="496">
        <f t="shared" si="7"/>
        <v>1557.2893784</v>
      </c>
      <c r="AQ24" s="496">
        <f t="shared" si="2"/>
        <v>-21.5</v>
      </c>
      <c r="AR24" s="496">
        <f t="shared" si="10"/>
        <v>1984.4005728</v>
      </c>
      <c r="AS24" s="496">
        <f t="shared" si="8"/>
        <v>2513.2893783999998</v>
      </c>
      <c r="AT24" s="496">
        <f t="shared" si="3"/>
        <v>26.7</v>
      </c>
      <c r="AU24" s="491"/>
      <c r="AV24" s="491"/>
      <c r="AW24" s="492"/>
    </row>
    <row r="25" spans="1:49" ht="18.75" x14ac:dyDescent="0.3">
      <c r="A25" s="493" t="s">
        <v>220</v>
      </c>
      <c r="B25" s="494"/>
      <c r="C25" s="495"/>
      <c r="D25" s="496"/>
      <c r="E25" s="494">
        <v>22.193000000000001</v>
      </c>
      <c r="F25" s="495">
        <v>-12.53</v>
      </c>
      <c r="G25" s="496">
        <f t="shared" si="4"/>
        <v>-156.5</v>
      </c>
      <c r="H25" s="494">
        <v>18.495999999999999</v>
      </c>
      <c r="I25" s="495">
        <v>17.427</v>
      </c>
      <c r="J25" s="496">
        <f t="shared" si="12"/>
        <v>-5.8</v>
      </c>
      <c r="K25" s="487">
        <v>95.257999999999996</v>
      </c>
      <c r="L25" s="488">
        <v>96.7</v>
      </c>
      <c r="M25" s="496">
        <f t="shared" si="13"/>
        <v>1.5</v>
      </c>
      <c r="N25" s="489">
        <v>138</v>
      </c>
      <c r="O25" s="490">
        <v>140</v>
      </c>
      <c r="P25" s="496">
        <f t="shared" si="14"/>
        <v>1.4</v>
      </c>
      <c r="Q25" s="487">
        <v>149.63921563</v>
      </c>
      <c r="R25" s="488">
        <v>1.38603056</v>
      </c>
      <c r="S25" s="496">
        <f t="shared" si="0"/>
        <v>-99.1</v>
      </c>
      <c r="T25" s="487"/>
      <c r="U25" s="488"/>
      <c r="V25" s="496"/>
      <c r="W25" s="487"/>
      <c r="X25" s="488"/>
      <c r="Y25" s="496"/>
      <c r="Z25" s="487"/>
      <c r="AA25" s="488"/>
      <c r="AB25" s="496"/>
      <c r="AC25" s="487">
        <v>20</v>
      </c>
      <c r="AD25" s="488">
        <v>39</v>
      </c>
      <c r="AE25" s="496">
        <f t="shared" si="16"/>
        <v>95</v>
      </c>
      <c r="AF25" s="487"/>
      <c r="AG25" s="488"/>
      <c r="AH25" s="496"/>
      <c r="AI25" s="487">
        <v>354.08100000000002</v>
      </c>
      <c r="AJ25" s="488">
        <v>147.71600000000001</v>
      </c>
      <c r="AK25" s="496">
        <f t="shared" si="1"/>
        <v>-58.3</v>
      </c>
      <c r="AL25" s="487">
        <v>517</v>
      </c>
      <c r="AM25" s="488"/>
      <c r="AN25" s="496">
        <f t="shared" si="6"/>
        <v>-100</v>
      </c>
      <c r="AO25" s="496">
        <f t="shared" si="7"/>
        <v>1156.6672156300001</v>
      </c>
      <c r="AP25" s="496">
        <f t="shared" si="7"/>
        <v>250.69903056000001</v>
      </c>
      <c r="AQ25" s="496">
        <f t="shared" si="2"/>
        <v>-78.3</v>
      </c>
      <c r="AR25" s="496">
        <f t="shared" si="10"/>
        <v>1314.6672156300001</v>
      </c>
      <c r="AS25" s="496">
        <f t="shared" si="8"/>
        <v>679.01203055999997</v>
      </c>
      <c r="AT25" s="496">
        <f t="shared" si="3"/>
        <v>-48.4</v>
      </c>
      <c r="AU25" s="491"/>
      <c r="AV25" s="491"/>
      <c r="AW25" s="492"/>
    </row>
    <row r="26" spans="1:49" ht="18.75" x14ac:dyDescent="0.3">
      <c r="A26" s="493" t="s">
        <v>221</v>
      </c>
      <c r="B26" s="494"/>
      <c r="C26" s="495"/>
      <c r="D26" s="496"/>
      <c r="E26" s="494"/>
      <c r="F26" s="495">
        <v>0</v>
      </c>
      <c r="G26" s="496"/>
      <c r="H26" s="494"/>
      <c r="I26" s="495"/>
      <c r="J26" s="496"/>
      <c r="K26" s="487"/>
      <c r="L26" s="488"/>
      <c r="M26" s="496"/>
      <c r="N26" s="489"/>
      <c r="O26" s="490"/>
      <c r="P26" s="496"/>
      <c r="Q26" s="487"/>
      <c r="R26" s="488"/>
      <c r="S26" s="496"/>
      <c r="T26" s="487"/>
      <c r="U26" s="488"/>
      <c r="V26" s="496"/>
      <c r="W26" s="487"/>
      <c r="X26" s="488"/>
      <c r="Y26" s="496"/>
      <c r="Z26" s="487"/>
      <c r="AA26" s="488"/>
      <c r="AB26" s="496"/>
      <c r="AC26" s="487"/>
      <c r="AD26" s="488"/>
      <c r="AE26" s="496"/>
      <c r="AF26" s="487">
        <v>2.5431509600000006</v>
      </c>
      <c r="AG26" s="488"/>
      <c r="AH26" s="496"/>
      <c r="AI26" s="487"/>
      <c r="AJ26" s="488"/>
      <c r="AK26" s="496"/>
      <c r="AL26" s="487"/>
      <c r="AM26" s="488"/>
      <c r="AN26" s="496"/>
      <c r="AO26" s="496"/>
      <c r="AP26" s="496"/>
      <c r="AQ26" s="496"/>
      <c r="AR26" s="496">
        <f t="shared" si="10"/>
        <v>2.5431509600000006</v>
      </c>
      <c r="AS26" s="496">
        <f t="shared" si="8"/>
        <v>0</v>
      </c>
      <c r="AT26" s="496"/>
      <c r="AU26" s="491"/>
      <c r="AV26" s="491"/>
      <c r="AW26" s="492"/>
    </row>
    <row r="27" spans="1:49" ht="18.75" x14ac:dyDescent="0.3">
      <c r="A27" s="497" t="s">
        <v>222</v>
      </c>
      <c r="B27" s="494">
        <v>154.60400000000001</v>
      </c>
      <c r="C27" s="495">
        <v>236.07</v>
      </c>
      <c r="D27" s="496">
        <f t="shared" si="11"/>
        <v>52.7</v>
      </c>
      <c r="E27" s="494">
        <v>28715.004999999997</v>
      </c>
      <c r="F27" s="495">
        <v>30314.814000000002</v>
      </c>
      <c r="G27" s="496">
        <f t="shared" si="4"/>
        <v>5.6</v>
      </c>
      <c r="H27" s="494">
        <v>200.26599999999999</v>
      </c>
      <c r="I27" s="495">
        <v>178.73</v>
      </c>
      <c r="J27" s="496">
        <f t="shared" si="12"/>
        <v>-10.8</v>
      </c>
      <c r="K27" s="487">
        <v>681.56899999999996</v>
      </c>
      <c r="L27" s="488">
        <v>848.7</v>
      </c>
      <c r="M27" s="496">
        <f t="shared" si="13"/>
        <v>24.5</v>
      </c>
      <c r="N27" s="489">
        <v>138</v>
      </c>
      <c r="O27" s="490">
        <v>140</v>
      </c>
      <c r="P27" s="496">
        <f t="shared" si="14"/>
        <v>1.4</v>
      </c>
      <c r="Q27" s="487">
        <v>30117.543843859999</v>
      </c>
      <c r="R27" s="488">
        <v>32915.94966156</v>
      </c>
      <c r="S27" s="496">
        <f t="shared" si="0"/>
        <v>9.3000000000000007</v>
      </c>
      <c r="T27" s="487">
        <v>323.76</v>
      </c>
      <c r="U27" s="488">
        <v>551.37099999999998</v>
      </c>
      <c r="V27" s="496">
        <f t="shared" si="9"/>
        <v>70.3</v>
      </c>
      <c r="W27" s="487">
        <v>8157.99</v>
      </c>
      <c r="X27" s="488">
        <v>8984.23</v>
      </c>
      <c r="Y27" s="496">
        <f t="shared" si="15"/>
        <v>10.1</v>
      </c>
      <c r="Z27" s="487">
        <v>6804</v>
      </c>
      <c r="AA27" s="488">
        <v>8299</v>
      </c>
      <c r="AB27" s="496">
        <f t="shared" si="5"/>
        <v>22</v>
      </c>
      <c r="AC27" s="487">
        <v>20</v>
      </c>
      <c r="AD27" s="488">
        <v>39</v>
      </c>
      <c r="AE27" s="496">
        <f t="shared" si="16"/>
        <v>95</v>
      </c>
      <c r="AF27" s="487">
        <v>226.65805049000005</v>
      </c>
      <c r="AG27" s="488"/>
      <c r="AH27" s="496">
        <f t="shared" si="17"/>
        <v>-100</v>
      </c>
      <c r="AI27" s="487">
        <v>4594.5240000000003</v>
      </c>
      <c r="AJ27" s="488">
        <v>5593.4849999999997</v>
      </c>
      <c r="AK27" s="496">
        <f t="shared" si="1"/>
        <v>21.7</v>
      </c>
      <c r="AL27" s="487">
        <v>30100</v>
      </c>
      <c r="AM27" s="488">
        <v>32382</v>
      </c>
      <c r="AN27" s="496">
        <f t="shared" si="6"/>
        <v>7.6</v>
      </c>
      <c r="AO27" s="496">
        <f t="shared" si="7"/>
        <v>110075.91989435001</v>
      </c>
      <c r="AP27" s="496">
        <f t="shared" si="7"/>
        <v>120304.34966156</v>
      </c>
      <c r="AQ27" s="496">
        <f t="shared" si="2"/>
        <v>9.3000000000000007</v>
      </c>
      <c r="AR27" s="496">
        <f t="shared" si="10"/>
        <v>110233.91989435001</v>
      </c>
      <c r="AS27" s="496">
        <f t="shared" si="8"/>
        <v>207635.67966155999</v>
      </c>
      <c r="AT27" s="496">
        <f t="shared" si="3"/>
        <v>88.4</v>
      </c>
      <c r="AU27" s="491"/>
      <c r="AV27" s="491"/>
      <c r="AW27" s="492"/>
    </row>
    <row r="28" spans="1:49" ht="18.75" x14ac:dyDescent="0.3">
      <c r="A28" s="493" t="s">
        <v>223</v>
      </c>
      <c r="B28" s="494">
        <v>158.84299999999999</v>
      </c>
      <c r="C28" s="495">
        <v>162.91400000000002</v>
      </c>
      <c r="D28" s="496">
        <f t="shared" si="11"/>
        <v>2.6</v>
      </c>
      <c r="E28" s="494">
        <v>762.40699999999993</v>
      </c>
      <c r="F28" s="495">
        <v>829.52600000000007</v>
      </c>
      <c r="G28" s="496">
        <f t="shared" si="4"/>
        <v>8.8000000000000007</v>
      </c>
      <c r="H28" s="494">
        <v>296.41899999999998</v>
      </c>
      <c r="I28" s="495">
        <v>323.74099999999999</v>
      </c>
      <c r="J28" s="496">
        <f t="shared" si="12"/>
        <v>9.1999999999999993</v>
      </c>
      <c r="K28" s="487">
        <v>323.30900000000003</v>
      </c>
      <c r="L28" s="488">
        <v>226.4</v>
      </c>
      <c r="M28" s="496">
        <f t="shared" si="13"/>
        <v>-30</v>
      </c>
      <c r="N28" s="489">
        <v>2</v>
      </c>
      <c r="O28" s="490"/>
      <c r="P28" s="496">
        <f t="shared" si="14"/>
        <v>-100</v>
      </c>
      <c r="Q28" s="487">
        <v>8644.1815521499993</v>
      </c>
      <c r="R28" s="488">
        <v>4888.9806054799992</v>
      </c>
      <c r="S28" s="496">
        <f t="shared" si="0"/>
        <v>-43.4</v>
      </c>
      <c r="T28" s="487">
        <v>26.995999999999999</v>
      </c>
      <c r="U28" s="488">
        <v>38.880000000000003</v>
      </c>
      <c r="V28" s="496">
        <f t="shared" si="9"/>
        <v>44</v>
      </c>
      <c r="W28" s="487">
        <v>594</v>
      </c>
      <c r="X28" s="488">
        <v>1293</v>
      </c>
      <c r="Y28" s="496">
        <f t="shared" si="15"/>
        <v>117.7</v>
      </c>
      <c r="Z28" s="487">
        <v>1209</v>
      </c>
      <c r="AA28" s="488">
        <v>959</v>
      </c>
      <c r="AB28" s="496">
        <f t="shared" si="5"/>
        <v>-20.7</v>
      </c>
      <c r="AC28" s="487">
        <v>5</v>
      </c>
      <c r="AD28" s="488"/>
      <c r="AE28" s="496">
        <f t="shared" si="16"/>
        <v>-100</v>
      </c>
      <c r="AF28" s="487">
        <v>204.38969107000003</v>
      </c>
      <c r="AG28" s="488"/>
      <c r="AH28" s="496">
        <f t="shared" si="17"/>
        <v>-100</v>
      </c>
      <c r="AI28" s="487">
        <v>664.79</v>
      </c>
      <c r="AJ28" s="488">
        <v>675.73900000000003</v>
      </c>
      <c r="AK28" s="496">
        <f t="shared" si="1"/>
        <v>1.6</v>
      </c>
      <c r="AL28" s="487">
        <v>3015.7000000000003</v>
      </c>
      <c r="AM28" s="488">
        <v>2222</v>
      </c>
      <c r="AN28" s="496">
        <f t="shared" si="6"/>
        <v>-26.3</v>
      </c>
      <c r="AO28" s="496">
        <f t="shared" si="7"/>
        <v>15900.035243219998</v>
      </c>
      <c r="AP28" s="496">
        <f t="shared" si="7"/>
        <v>11620.180605479998</v>
      </c>
      <c r="AQ28" s="496">
        <f t="shared" si="2"/>
        <v>-26.9</v>
      </c>
      <c r="AR28" s="496">
        <f t="shared" si="10"/>
        <v>15907.035243219998</v>
      </c>
      <c r="AS28" s="496">
        <f t="shared" si="8"/>
        <v>18188.466605479996</v>
      </c>
      <c r="AT28" s="496">
        <f t="shared" si="3"/>
        <v>14.3</v>
      </c>
      <c r="AU28" s="491"/>
      <c r="AV28" s="491"/>
      <c r="AW28" s="492"/>
    </row>
    <row r="29" spans="1:49" ht="18.75" x14ac:dyDescent="0.3">
      <c r="A29" s="493" t="s">
        <v>224</v>
      </c>
      <c r="B29" s="494">
        <v>313.447</v>
      </c>
      <c r="C29" s="495">
        <v>398.98399999999998</v>
      </c>
      <c r="D29" s="496">
        <f t="shared" si="11"/>
        <v>27.3</v>
      </c>
      <c r="E29" s="494">
        <v>29477.411999999997</v>
      </c>
      <c r="F29" s="495">
        <v>31144.340000000004</v>
      </c>
      <c r="G29" s="496">
        <f t="shared" si="4"/>
        <v>5.7</v>
      </c>
      <c r="H29" s="494">
        <v>496.68499999999995</v>
      </c>
      <c r="I29" s="495">
        <v>502.471</v>
      </c>
      <c r="J29" s="496">
        <f t="shared" si="12"/>
        <v>1.2</v>
      </c>
      <c r="K29" s="494">
        <v>1004.8779999999999</v>
      </c>
      <c r="L29" s="495">
        <v>1075.1000000000001</v>
      </c>
      <c r="M29" s="496">
        <f t="shared" si="13"/>
        <v>7</v>
      </c>
      <c r="N29" s="494">
        <v>140</v>
      </c>
      <c r="O29" s="495">
        <v>140</v>
      </c>
      <c r="P29" s="496">
        <f t="shared" si="14"/>
        <v>0</v>
      </c>
      <c r="Q29" s="494">
        <v>38761.725396009999</v>
      </c>
      <c r="R29" s="495">
        <v>37804.930267039999</v>
      </c>
      <c r="S29" s="496">
        <f t="shared" si="0"/>
        <v>-2.5</v>
      </c>
      <c r="T29" s="494">
        <v>350.75599999999997</v>
      </c>
      <c r="U29" s="495">
        <v>590.25099999999998</v>
      </c>
      <c r="V29" s="496">
        <f t="shared" si="9"/>
        <v>68.3</v>
      </c>
      <c r="W29" s="494">
        <v>8751.99</v>
      </c>
      <c r="X29" s="495">
        <v>10277.23</v>
      </c>
      <c r="Y29" s="496">
        <f t="shared" si="15"/>
        <v>17.399999999999999</v>
      </c>
      <c r="Z29" s="494">
        <v>8013</v>
      </c>
      <c r="AA29" s="495">
        <v>9258</v>
      </c>
      <c r="AB29" s="496">
        <f t="shared" si="5"/>
        <v>15.5</v>
      </c>
      <c r="AC29" s="494">
        <v>25</v>
      </c>
      <c r="AD29" s="495">
        <v>39</v>
      </c>
      <c r="AE29" s="496">
        <f t="shared" si="16"/>
        <v>56</v>
      </c>
      <c r="AF29" s="494">
        <v>431.04774156000008</v>
      </c>
      <c r="AG29" s="495"/>
      <c r="AH29" s="496">
        <f t="shared" si="17"/>
        <v>-100</v>
      </c>
      <c r="AI29" s="494">
        <v>5259.3140000000003</v>
      </c>
      <c r="AJ29" s="495">
        <v>6269.2240000000002</v>
      </c>
      <c r="AK29" s="496">
        <f t="shared" si="1"/>
        <v>19.2</v>
      </c>
      <c r="AL29" s="494">
        <v>33115.699999999997</v>
      </c>
      <c r="AM29" s="495">
        <v>34604.5</v>
      </c>
      <c r="AN29" s="496">
        <f t="shared" si="6"/>
        <v>4.5</v>
      </c>
      <c r="AO29" s="496">
        <f t="shared" si="7"/>
        <v>125975.95513757</v>
      </c>
      <c r="AP29" s="496">
        <f t="shared" si="7"/>
        <v>131925.03026704001</v>
      </c>
      <c r="AQ29" s="496">
        <f t="shared" si="2"/>
        <v>4.7</v>
      </c>
      <c r="AR29" s="496">
        <f t="shared" si="10"/>
        <v>126140.95513757</v>
      </c>
      <c r="AS29" s="496">
        <f t="shared" si="8"/>
        <v>225825.14626704002</v>
      </c>
      <c r="AT29" s="496">
        <f t="shared" si="3"/>
        <v>79</v>
      </c>
      <c r="AU29" s="491"/>
      <c r="AV29" s="491"/>
      <c r="AW29" s="498"/>
    </row>
    <row r="30" spans="1:49" ht="18.75" x14ac:dyDescent="0.3">
      <c r="A30" s="493"/>
      <c r="B30" s="473"/>
      <c r="C30" s="474"/>
      <c r="D30" s="496"/>
      <c r="E30" s="473"/>
      <c r="F30" s="474"/>
      <c r="G30" s="496"/>
      <c r="H30" s="473"/>
      <c r="I30" s="474"/>
      <c r="J30" s="496"/>
      <c r="K30" s="499"/>
      <c r="L30" s="500"/>
      <c r="M30" s="496"/>
      <c r="N30" s="473"/>
      <c r="O30" s="474"/>
      <c r="P30" s="496"/>
      <c r="Q30" s="473"/>
      <c r="R30" s="474"/>
      <c r="S30" s="496"/>
      <c r="T30" s="473"/>
      <c r="U30" s="474"/>
      <c r="V30" s="496"/>
      <c r="W30" s="473"/>
      <c r="X30" s="474"/>
      <c r="Y30" s="496"/>
      <c r="Z30" s="473"/>
      <c r="AA30" s="474"/>
      <c r="AB30" s="496"/>
      <c r="AC30" s="473"/>
      <c r="AD30" s="474"/>
      <c r="AE30" s="496"/>
      <c r="AF30" s="473"/>
      <c r="AG30" s="474"/>
      <c r="AH30" s="496"/>
      <c r="AI30" s="473"/>
      <c r="AJ30" s="474"/>
      <c r="AK30" s="496"/>
      <c r="AL30" s="473"/>
      <c r="AM30" s="474"/>
      <c r="AN30" s="496"/>
      <c r="AO30" s="496"/>
      <c r="AP30" s="496"/>
      <c r="AQ30" s="496"/>
      <c r="AR30" s="496"/>
      <c r="AS30" s="496"/>
      <c r="AT30" s="496"/>
      <c r="AU30" s="480"/>
      <c r="AV30" s="480"/>
      <c r="AW30" s="481"/>
    </row>
    <row r="31" spans="1:49" ht="18.75" x14ac:dyDescent="0.3">
      <c r="A31" s="477" t="s">
        <v>225</v>
      </c>
      <c r="B31" s="499"/>
      <c r="C31" s="500"/>
      <c r="D31" s="496"/>
      <c r="E31" s="499"/>
      <c r="F31" s="500"/>
      <c r="G31" s="496"/>
      <c r="H31" s="499"/>
      <c r="I31" s="500"/>
      <c r="J31" s="496"/>
      <c r="K31" s="499"/>
      <c r="L31" s="500"/>
      <c r="M31" s="496"/>
      <c r="N31" s="499"/>
      <c r="O31" s="500"/>
      <c r="P31" s="496"/>
      <c r="Q31" s="499"/>
      <c r="R31" s="500"/>
      <c r="S31" s="496"/>
      <c r="T31" s="499"/>
      <c r="U31" s="500"/>
      <c r="V31" s="496"/>
      <c r="W31" s="499"/>
      <c r="X31" s="500"/>
      <c r="Y31" s="496"/>
      <c r="Z31" s="499"/>
      <c r="AA31" s="500"/>
      <c r="AB31" s="496"/>
      <c r="AC31" s="499"/>
      <c r="AD31" s="500"/>
      <c r="AE31" s="496"/>
      <c r="AF31" s="499"/>
      <c r="AG31" s="500"/>
      <c r="AH31" s="496"/>
      <c r="AI31" s="499"/>
      <c r="AJ31" s="500"/>
      <c r="AK31" s="496"/>
      <c r="AL31" s="499"/>
      <c r="AM31" s="500"/>
      <c r="AN31" s="496"/>
      <c r="AO31" s="496"/>
      <c r="AP31" s="496"/>
      <c r="AQ31" s="496"/>
      <c r="AR31" s="496"/>
      <c r="AS31" s="496"/>
      <c r="AT31" s="496"/>
      <c r="AU31" s="480"/>
      <c r="AV31" s="480"/>
      <c r="AW31" s="481"/>
    </row>
    <row r="32" spans="1:49" ht="18.75" x14ac:dyDescent="0.3">
      <c r="A32" s="477" t="s">
        <v>226</v>
      </c>
      <c r="B32" s="499"/>
      <c r="C32" s="500"/>
      <c r="D32" s="496"/>
      <c r="E32" s="499"/>
      <c r="F32" s="500"/>
      <c r="G32" s="496"/>
      <c r="H32" s="499"/>
      <c r="I32" s="500"/>
      <c r="J32" s="496"/>
      <c r="K32" s="499"/>
      <c r="L32" s="500"/>
      <c r="M32" s="496"/>
      <c r="N32" s="499"/>
      <c r="O32" s="500"/>
      <c r="P32" s="496"/>
      <c r="Q32" s="499"/>
      <c r="R32" s="500"/>
      <c r="S32" s="496"/>
      <c r="T32" s="499"/>
      <c r="U32" s="500"/>
      <c r="V32" s="496"/>
      <c r="W32" s="499"/>
      <c r="X32" s="500"/>
      <c r="Y32" s="496"/>
      <c r="Z32" s="499"/>
      <c r="AA32" s="500"/>
      <c r="AB32" s="496"/>
      <c r="AC32" s="499"/>
      <c r="AD32" s="500"/>
      <c r="AE32" s="496"/>
      <c r="AF32" s="499"/>
      <c r="AG32" s="500"/>
      <c r="AH32" s="496"/>
      <c r="AI32" s="499"/>
      <c r="AJ32" s="500"/>
      <c r="AK32" s="496"/>
      <c r="AL32" s="499"/>
      <c r="AM32" s="500"/>
      <c r="AN32" s="496"/>
      <c r="AO32" s="496"/>
      <c r="AP32" s="496"/>
      <c r="AQ32" s="496"/>
      <c r="AR32" s="496"/>
      <c r="AS32" s="496"/>
      <c r="AT32" s="496"/>
      <c r="AU32" s="480"/>
      <c r="AV32" s="480"/>
      <c r="AW32" s="481"/>
    </row>
    <row r="33" spans="1:49" ht="18.75" x14ac:dyDescent="0.3">
      <c r="A33" s="493" t="s">
        <v>227</v>
      </c>
      <c r="B33" s="499"/>
      <c r="C33" s="500"/>
      <c r="D33" s="496"/>
      <c r="E33" s="499">
        <v>15.327</v>
      </c>
      <c r="F33" s="500">
        <v>33.473999999999997</v>
      </c>
      <c r="G33" s="496">
        <f t="shared" si="4"/>
        <v>118.4</v>
      </c>
      <c r="H33" s="499"/>
      <c r="I33" s="500"/>
      <c r="J33" s="496"/>
      <c r="K33" s="499"/>
      <c r="L33" s="500"/>
      <c r="M33" s="496"/>
      <c r="N33" s="499"/>
      <c r="O33" s="500"/>
      <c r="P33" s="496"/>
      <c r="Q33" s="499"/>
      <c r="R33" s="500"/>
      <c r="S33" s="496"/>
      <c r="T33" s="499"/>
      <c r="U33" s="500"/>
      <c r="V33" s="496"/>
      <c r="W33" s="499"/>
      <c r="X33" s="500"/>
      <c r="Y33" s="496"/>
      <c r="Z33" s="499"/>
      <c r="AA33" s="500"/>
      <c r="AB33" s="496"/>
      <c r="AC33" s="499"/>
      <c r="AD33" s="500"/>
      <c r="AE33" s="496"/>
      <c r="AF33" s="499"/>
      <c r="AG33" s="500"/>
      <c r="AH33" s="496"/>
      <c r="AI33" s="499">
        <v>1.0149999999999999</v>
      </c>
      <c r="AJ33" s="500">
        <v>0.98099999999999998</v>
      </c>
      <c r="AK33" s="496">
        <f t="shared" si="1"/>
        <v>-3.3</v>
      </c>
      <c r="AL33" s="499"/>
      <c r="AM33" s="500"/>
      <c r="AN33" s="496"/>
      <c r="AO33" s="496">
        <f t="shared" si="7"/>
        <v>16.341999999999999</v>
      </c>
      <c r="AP33" s="496">
        <f t="shared" si="7"/>
        <v>34.454999999999998</v>
      </c>
      <c r="AQ33" s="496">
        <f t="shared" si="2"/>
        <v>110.8</v>
      </c>
      <c r="AR33" s="496">
        <f t="shared" si="10"/>
        <v>16.341999999999999</v>
      </c>
      <c r="AS33" s="496">
        <f t="shared" si="8"/>
        <v>68.91</v>
      </c>
      <c r="AT33" s="496">
        <f t="shared" si="3"/>
        <v>321.7</v>
      </c>
      <c r="AU33" s="480"/>
      <c r="AV33" s="480"/>
      <c r="AW33" s="501"/>
    </row>
    <row r="34" spans="1:49" ht="18.75" x14ac:dyDescent="0.3">
      <c r="A34" s="493" t="s">
        <v>228</v>
      </c>
      <c r="B34" s="499"/>
      <c r="C34" s="500"/>
      <c r="D34" s="496"/>
      <c r="E34" s="499">
        <v>20515.152999999998</v>
      </c>
      <c r="F34" s="500">
        <v>21135.629000000001</v>
      </c>
      <c r="G34" s="496">
        <f t="shared" si="4"/>
        <v>3</v>
      </c>
      <c r="H34" s="499"/>
      <c r="I34" s="500"/>
      <c r="J34" s="496"/>
      <c r="K34" s="499"/>
      <c r="L34" s="500"/>
      <c r="M34" s="496"/>
      <c r="N34" s="499"/>
      <c r="O34" s="500"/>
      <c r="P34" s="496"/>
      <c r="Q34" s="499">
        <v>52987.143974480001</v>
      </c>
      <c r="R34" s="500">
        <v>56808.279629080003</v>
      </c>
      <c r="S34" s="496">
        <f t="shared" si="0"/>
        <v>7.2</v>
      </c>
      <c r="T34" s="499">
        <v>179.13300000000001</v>
      </c>
      <c r="U34" s="500">
        <v>189.69</v>
      </c>
      <c r="V34" s="496">
        <f t="shared" si="9"/>
        <v>5.9</v>
      </c>
      <c r="W34" s="499">
        <v>7582.68565218</v>
      </c>
      <c r="X34" s="500">
        <v>5203.7934827399995</v>
      </c>
      <c r="Y34" s="496">
        <f t="shared" si="15"/>
        <v>-31.4</v>
      </c>
      <c r="Z34" s="499">
        <v>11842</v>
      </c>
      <c r="AA34" s="500">
        <v>13124</v>
      </c>
      <c r="AB34" s="496">
        <f t="shared" si="5"/>
        <v>10.8</v>
      </c>
      <c r="AC34" s="499"/>
      <c r="AD34" s="500"/>
      <c r="AE34" s="496"/>
      <c r="AF34" s="499"/>
      <c r="AG34" s="500"/>
      <c r="AH34" s="496"/>
      <c r="AI34" s="499">
        <v>3544.5859999999998</v>
      </c>
      <c r="AJ34" s="500">
        <v>3578.5259999999998</v>
      </c>
      <c r="AK34" s="496">
        <f t="shared" si="1"/>
        <v>1</v>
      </c>
      <c r="AL34" s="499">
        <v>20528</v>
      </c>
      <c r="AM34" s="500">
        <v>21849</v>
      </c>
      <c r="AN34" s="496">
        <f t="shared" si="6"/>
        <v>6.4</v>
      </c>
      <c r="AO34" s="496">
        <f t="shared" si="7"/>
        <v>117178.70162666</v>
      </c>
      <c r="AP34" s="496">
        <f t="shared" si="7"/>
        <v>121888.91811182001</v>
      </c>
      <c r="AQ34" s="496">
        <f t="shared" si="2"/>
        <v>4</v>
      </c>
      <c r="AR34" s="496">
        <f t="shared" si="10"/>
        <v>117178.70162666</v>
      </c>
      <c r="AS34" s="496">
        <f t="shared" si="8"/>
        <v>186969.55659456001</v>
      </c>
      <c r="AT34" s="496">
        <f t="shared" si="3"/>
        <v>59.6</v>
      </c>
      <c r="AU34" s="480"/>
      <c r="AV34" s="480"/>
      <c r="AW34" s="501"/>
    </row>
    <row r="35" spans="1:49" ht="18.75" x14ac:dyDescent="0.3">
      <c r="A35" s="493" t="s">
        <v>229</v>
      </c>
      <c r="B35" s="499"/>
      <c r="C35" s="500"/>
      <c r="D35" s="496"/>
      <c r="E35" s="499">
        <v>105991.673</v>
      </c>
      <c r="F35" s="500">
        <v>112434.46</v>
      </c>
      <c r="G35" s="496">
        <f t="shared" si="4"/>
        <v>6.1</v>
      </c>
      <c r="H35" s="499">
        <v>95.504999999999995</v>
      </c>
      <c r="I35" s="500">
        <v>135.92500000000001</v>
      </c>
      <c r="J35" s="496">
        <f t="shared" si="12"/>
        <v>42.3</v>
      </c>
      <c r="K35" s="499">
        <v>3033.308</v>
      </c>
      <c r="L35" s="500">
        <v>4249.4000000000005</v>
      </c>
      <c r="M35" s="496">
        <f t="shared" si="13"/>
        <v>40.1</v>
      </c>
      <c r="N35" s="499"/>
      <c r="O35" s="500"/>
      <c r="P35" s="496"/>
      <c r="Q35" s="499">
        <v>165144.55870486997</v>
      </c>
      <c r="R35" s="500">
        <v>181483.63088595003</v>
      </c>
      <c r="S35" s="496">
        <f t="shared" si="0"/>
        <v>9.9</v>
      </c>
      <c r="T35" s="499">
        <v>728.62699999999995</v>
      </c>
      <c r="U35" s="500">
        <v>775.37199999999996</v>
      </c>
      <c r="V35" s="496">
        <f t="shared" si="9"/>
        <v>6.4</v>
      </c>
      <c r="W35" s="499">
        <v>22698.238055289898</v>
      </c>
      <c r="X35" s="500">
        <v>27882.990487039999</v>
      </c>
      <c r="Y35" s="496">
        <f t="shared" si="15"/>
        <v>22.8</v>
      </c>
      <c r="Z35" s="499">
        <v>18528</v>
      </c>
      <c r="AA35" s="500">
        <v>20029</v>
      </c>
      <c r="AB35" s="496">
        <f t="shared" si="5"/>
        <v>8.1</v>
      </c>
      <c r="AC35" s="499"/>
      <c r="AD35" s="500"/>
      <c r="AE35" s="496"/>
      <c r="AF35" s="499">
        <v>1746.9717468100002</v>
      </c>
      <c r="AG35" s="500"/>
      <c r="AH35" s="496">
        <f t="shared" si="17"/>
        <v>-100</v>
      </c>
      <c r="AI35" s="499">
        <v>6891.7380000000003</v>
      </c>
      <c r="AJ35" s="500">
        <v>7824.4949999999999</v>
      </c>
      <c r="AK35" s="496">
        <f t="shared" si="1"/>
        <v>13.5</v>
      </c>
      <c r="AL35" s="499">
        <v>100044.4</v>
      </c>
      <c r="AM35" s="500">
        <v>120911</v>
      </c>
      <c r="AN35" s="496">
        <f t="shared" si="6"/>
        <v>20.9</v>
      </c>
      <c r="AO35" s="496">
        <f t="shared" si="7"/>
        <v>424903.01950696984</v>
      </c>
      <c r="AP35" s="496">
        <f t="shared" si="7"/>
        <v>475726.27337299002</v>
      </c>
      <c r="AQ35" s="496">
        <f t="shared" si="2"/>
        <v>12</v>
      </c>
      <c r="AR35" s="496">
        <f t="shared" si="10"/>
        <v>424903.01950696984</v>
      </c>
      <c r="AS35" s="496">
        <f t="shared" si="8"/>
        <v>769968.9158600301</v>
      </c>
      <c r="AT35" s="496">
        <f t="shared" si="3"/>
        <v>81.2</v>
      </c>
      <c r="AU35" s="480"/>
      <c r="AV35" s="480"/>
      <c r="AW35" s="501"/>
    </row>
    <row r="36" spans="1:49" ht="18.75" x14ac:dyDescent="0.3">
      <c r="A36" s="493" t="s">
        <v>230</v>
      </c>
      <c r="B36" s="499"/>
      <c r="C36" s="500"/>
      <c r="D36" s="496"/>
      <c r="E36" s="499">
        <v>81846.717999999993</v>
      </c>
      <c r="F36" s="500">
        <v>77084.793000000005</v>
      </c>
      <c r="G36" s="496">
        <f t="shared" si="4"/>
        <v>-5.8</v>
      </c>
      <c r="H36" s="499">
        <v>95.504999999999995</v>
      </c>
      <c r="I36" s="500">
        <v>135.92500000000001</v>
      </c>
      <c r="J36" s="496">
        <f t="shared" si="12"/>
        <v>42.3</v>
      </c>
      <c r="K36" s="499">
        <v>56.154000000000003</v>
      </c>
      <c r="L36" s="500">
        <v>29.6</v>
      </c>
      <c r="M36" s="496">
        <f t="shared" si="13"/>
        <v>-47.3</v>
      </c>
      <c r="N36" s="499"/>
      <c r="O36" s="500"/>
      <c r="P36" s="496"/>
      <c r="Q36" s="499">
        <v>26387.366017689998</v>
      </c>
      <c r="R36" s="500">
        <v>25870.109030529999</v>
      </c>
      <c r="S36" s="496">
        <f t="shared" si="0"/>
        <v>-2</v>
      </c>
      <c r="T36" s="499">
        <v>103.26600000000001</v>
      </c>
      <c r="U36" s="500">
        <v>81.793000000000006</v>
      </c>
      <c r="V36" s="496">
        <f t="shared" si="9"/>
        <v>-20.8</v>
      </c>
      <c r="W36" s="499">
        <v>1048.45778387</v>
      </c>
      <c r="X36" s="500">
        <v>817.21656446999998</v>
      </c>
      <c r="Y36" s="496">
        <f t="shared" si="15"/>
        <v>-22.1</v>
      </c>
      <c r="Z36" s="499">
        <v>2911</v>
      </c>
      <c r="AA36" s="500">
        <v>1842</v>
      </c>
      <c r="AB36" s="496">
        <f t="shared" si="5"/>
        <v>-36.700000000000003</v>
      </c>
      <c r="AC36" s="499"/>
      <c r="AD36" s="500"/>
      <c r="AE36" s="496"/>
      <c r="AF36" s="499"/>
      <c r="AG36" s="500"/>
      <c r="AH36" s="496"/>
      <c r="AI36" s="499">
        <v>2040.415</v>
      </c>
      <c r="AJ36" s="500">
        <v>1412.87</v>
      </c>
      <c r="AK36" s="496">
        <f t="shared" si="1"/>
        <v>-30.8</v>
      </c>
      <c r="AL36" s="499">
        <v>15619.5</v>
      </c>
      <c r="AM36" s="500">
        <v>15615</v>
      </c>
      <c r="AN36" s="496">
        <f t="shared" si="6"/>
        <v>0</v>
      </c>
      <c r="AO36" s="496">
        <f>B36+E36+H36+K36+Q36+T36+W36+Z36+AF36+AI36+AL36</f>
        <v>130108.38180156</v>
      </c>
      <c r="AP36" s="496">
        <f>C36+F36+I36+L36+R36+U36+X36+AA36+AG36+AJ36+AM36</f>
        <v>122889.30659500002</v>
      </c>
      <c r="AQ36" s="496">
        <f t="shared" si="2"/>
        <v>-5.5</v>
      </c>
      <c r="AR36" s="496">
        <f t="shared" si="10"/>
        <v>130108.38180156</v>
      </c>
      <c r="AS36" s="496">
        <f>F36+I36+L36+O36+U36+X36+AA36+AD36+AJ36+AM36+AP36</f>
        <v>219908.50415947003</v>
      </c>
      <c r="AT36" s="496">
        <f t="shared" si="3"/>
        <v>69</v>
      </c>
      <c r="AU36" s="480"/>
      <c r="AV36" s="480"/>
      <c r="AW36" s="501"/>
    </row>
    <row r="37" spans="1:49" ht="18.75" x14ac:dyDescent="0.3">
      <c r="A37" s="493" t="s">
        <v>213</v>
      </c>
      <c r="B37" s="499"/>
      <c r="C37" s="500"/>
      <c r="D37" s="495"/>
      <c r="E37" s="499">
        <v>81846.717999999993</v>
      </c>
      <c r="F37" s="500">
        <v>77084.793000000005</v>
      </c>
      <c r="G37" s="495">
        <f t="shared" si="4"/>
        <v>-5.8</v>
      </c>
      <c r="H37" s="499"/>
      <c r="I37" s="500"/>
      <c r="J37" s="495"/>
      <c r="K37" s="499">
        <v>56.154000000000003</v>
      </c>
      <c r="L37" s="500">
        <v>29.6</v>
      </c>
      <c r="M37" s="495">
        <f t="shared" si="13"/>
        <v>-47.3</v>
      </c>
      <c r="N37" s="499"/>
      <c r="O37" s="500"/>
      <c r="P37" s="495"/>
      <c r="Q37" s="499">
        <v>26387.366017689998</v>
      </c>
      <c r="R37" s="500">
        <v>25870.109030529999</v>
      </c>
      <c r="S37" s="495">
        <f t="shared" si="0"/>
        <v>-2</v>
      </c>
      <c r="T37" s="499"/>
      <c r="U37" s="500"/>
      <c r="V37" s="495"/>
      <c r="W37" s="499">
        <v>1048.45778387</v>
      </c>
      <c r="X37" s="500">
        <v>817.21656446999998</v>
      </c>
      <c r="Y37" s="495">
        <f t="shared" si="15"/>
        <v>-22.1</v>
      </c>
      <c r="Z37" s="499"/>
      <c r="AA37" s="500"/>
      <c r="AB37" s="495"/>
      <c r="AC37" s="499"/>
      <c r="AD37" s="500"/>
      <c r="AE37" s="495"/>
      <c r="AF37" s="499"/>
      <c r="AG37" s="500"/>
      <c r="AH37" s="495"/>
      <c r="AI37" s="499">
        <v>280.86177849999984</v>
      </c>
      <c r="AJ37" s="500">
        <v>180.96228113999928</v>
      </c>
      <c r="AK37" s="495">
        <f t="shared" si="1"/>
        <v>-35.6</v>
      </c>
      <c r="AL37" s="499">
        <v>15619.5</v>
      </c>
      <c r="AM37" s="500">
        <v>15615</v>
      </c>
      <c r="AN37" s="495">
        <f t="shared" si="6"/>
        <v>0</v>
      </c>
      <c r="AO37" s="496">
        <f t="shared" si="7"/>
        <v>125239.05758005999</v>
      </c>
      <c r="AP37" s="496">
        <f t="shared" si="7"/>
        <v>119597.68087614002</v>
      </c>
      <c r="AQ37" s="495">
        <f t="shared" si="2"/>
        <v>-4.5</v>
      </c>
      <c r="AR37" s="496">
        <f t="shared" si="10"/>
        <v>125239.05758005999</v>
      </c>
      <c r="AS37" s="496">
        <f t="shared" ref="AS37:AS55" si="18">F37+I37+L37+O37+U37+X37+AA37+AD37+AJ37+AM37+AP37</f>
        <v>213325.25272175003</v>
      </c>
      <c r="AT37" s="495">
        <f t="shared" si="3"/>
        <v>70.3</v>
      </c>
      <c r="AU37" s="480"/>
      <c r="AV37" s="480"/>
      <c r="AW37" s="501"/>
    </row>
    <row r="38" spans="1:49" ht="18.75" x14ac:dyDescent="0.3">
      <c r="A38" s="493" t="s">
        <v>231</v>
      </c>
      <c r="B38" s="499"/>
      <c r="C38" s="500"/>
      <c r="D38" s="496"/>
      <c r="E38" s="499">
        <v>24144.955000000002</v>
      </c>
      <c r="F38" s="500">
        <v>35349.667000000001</v>
      </c>
      <c r="G38" s="496">
        <f t="shared" si="4"/>
        <v>46.4</v>
      </c>
      <c r="H38" s="499"/>
      <c r="I38" s="500"/>
      <c r="J38" s="496"/>
      <c r="K38" s="499">
        <v>2977.154</v>
      </c>
      <c r="L38" s="500">
        <v>4219.8</v>
      </c>
      <c r="M38" s="496">
        <f t="shared" si="13"/>
        <v>41.7</v>
      </c>
      <c r="N38" s="499"/>
      <c r="O38" s="500"/>
      <c r="P38" s="496"/>
      <c r="Q38" s="499">
        <v>138757.19268717998</v>
      </c>
      <c r="R38" s="500">
        <v>155613.52185542003</v>
      </c>
      <c r="S38" s="496">
        <f t="shared" si="0"/>
        <v>12.1</v>
      </c>
      <c r="T38" s="499">
        <v>625.36099999999999</v>
      </c>
      <c r="U38" s="500">
        <v>693.57899999999995</v>
      </c>
      <c r="V38" s="496">
        <f t="shared" si="9"/>
        <v>10.9</v>
      </c>
      <c r="W38" s="499">
        <v>21649.780271419899</v>
      </c>
      <c r="X38" s="500">
        <v>27065.773922569999</v>
      </c>
      <c r="Y38" s="496">
        <f t="shared" si="15"/>
        <v>25</v>
      </c>
      <c r="Z38" s="499">
        <v>15617</v>
      </c>
      <c r="AA38" s="500">
        <v>18187</v>
      </c>
      <c r="AB38" s="496">
        <f t="shared" si="5"/>
        <v>16.5</v>
      </c>
      <c r="AC38" s="499"/>
      <c r="AD38" s="500"/>
      <c r="AE38" s="496"/>
      <c r="AF38" s="499">
        <v>1746.9717468100002</v>
      </c>
      <c r="AG38" s="500"/>
      <c r="AH38" s="496">
        <f t="shared" si="17"/>
        <v>-100</v>
      </c>
      <c r="AI38" s="499">
        <v>4851.3230000000003</v>
      </c>
      <c r="AJ38" s="500">
        <v>6411.625</v>
      </c>
      <c r="AK38" s="496">
        <f t="shared" si="1"/>
        <v>32.200000000000003</v>
      </c>
      <c r="AL38" s="499">
        <v>84424.9</v>
      </c>
      <c r="AM38" s="500">
        <v>105296</v>
      </c>
      <c r="AN38" s="496">
        <f t="shared" si="6"/>
        <v>24.7</v>
      </c>
      <c r="AO38" s="496">
        <f t="shared" si="7"/>
        <v>294794.6377054099</v>
      </c>
      <c r="AP38" s="496">
        <f t="shared" si="7"/>
        <v>352836.96677798999</v>
      </c>
      <c r="AQ38" s="496">
        <f t="shared" si="2"/>
        <v>19.7</v>
      </c>
      <c r="AR38" s="496">
        <f t="shared" si="10"/>
        <v>294794.6377054099</v>
      </c>
      <c r="AS38" s="496">
        <f t="shared" si="18"/>
        <v>550060.41170056001</v>
      </c>
      <c r="AT38" s="496">
        <f t="shared" si="3"/>
        <v>86.6</v>
      </c>
      <c r="AU38" s="480"/>
      <c r="AV38" s="480"/>
      <c r="AW38" s="501"/>
    </row>
    <row r="39" spans="1:49" ht="18.75" x14ac:dyDescent="0.3">
      <c r="A39" s="493" t="s">
        <v>232</v>
      </c>
      <c r="B39" s="499">
        <v>910.11699999999996</v>
      </c>
      <c r="C39" s="500">
        <v>981.72799999999995</v>
      </c>
      <c r="D39" s="496">
        <f t="shared" si="11"/>
        <v>7.9</v>
      </c>
      <c r="E39" s="499">
        <v>85251.453000000009</v>
      </c>
      <c r="F39" s="500">
        <v>76427.091</v>
      </c>
      <c r="G39" s="496">
        <f t="shared" si="4"/>
        <v>-10.4</v>
      </c>
      <c r="H39" s="499">
        <v>581.40900000000011</v>
      </c>
      <c r="I39" s="500">
        <v>720.81899999999996</v>
      </c>
      <c r="J39" s="496">
        <f t="shared" si="12"/>
        <v>24</v>
      </c>
      <c r="K39" s="499">
        <v>2108.471</v>
      </c>
      <c r="L39" s="500">
        <v>1454.537</v>
      </c>
      <c r="M39" s="496">
        <f t="shared" si="13"/>
        <v>-31</v>
      </c>
      <c r="N39" s="499"/>
      <c r="O39" s="500"/>
      <c r="P39" s="496"/>
      <c r="Q39" s="499">
        <v>226073.05727838998</v>
      </c>
      <c r="R39" s="500">
        <v>237937.28160435002</v>
      </c>
      <c r="S39" s="496">
        <f t="shared" si="0"/>
        <v>5.2</v>
      </c>
      <c r="T39" s="499">
        <v>601.50699999999995</v>
      </c>
      <c r="U39" s="500">
        <v>634.40099999999995</v>
      </c>
      <c r="V39" s="496">
        <f t="shared" si="9"/>
        <v>5.5</v>
      </c>
      <c r="W39" s="499">
        <v>18577.811312059999</v>
      </c>
      <c r="X39" s="500">
        <v>17069.640372420003</v>
      </c>
      <c r="Y39" s="496">
        <f t="shared" si="15"/>
        <v>-8.1</v>
      </c>
      <c r="Z39" s="499">
        <v>41059</v>
      </c>
      <c r="AA39" s="500">
        <v>45018</v>
      </c>
      <c r="AB39" s="496">
        <f t="shared" si="5"/>
        <v>9.6</v>
      </c>
      <c r="AC39" s="499"/>
      <c r="AD39" s="500"/>
      <c r="AE39" s="496"/>
      <c r="AF39" s="499">
        <v>6832.8815072699999</v>
      </c>
      <c r="AG39" s="500"/>
      <c r="AH39" s="496">
        <f t="shared" si="17"/>
        <v>-100</v>
      </c>
      <c r="AI39" s="499">
        <v>9731.616</v>
      </c>
      <c r="AJ39" s="500">
        <v>10261.82</v>
      </c>
      <c r="AK39" s="496">
        <f t="shared" si="1"/>
        <v>5.4</v>
      </c>
      <c r="AL39" s="499">
        <v>62483.6</v>
      </c>
      <c r="AM39" s="500">
        <v>44070</v>
      </c>
      <c r="AN39" s="496">
        <f t="shared" si="6"/>
        <v>-29.5</v>
      </c>
      <c r="AO39" s="496">
        <f t="shared" si="7"/>
        <v>454210.9230977199</v>
      </c>
      <c r="AP39" s="496">
        <f t="shared" si="7"/>
        <v>434575.31797677005</v>
      </c>
      <c r="AQ39" s="496">
        <f t="shared" si="2"/>
        <v>-4.3</v>
      </c>
      <c r="AR39" s="496">
        <f t="shared" si="10"/>
        <v>454210.9230977199</v>
      </c>
      <c r="AS39" s="496">
        <f t="shared" si="18"/>
        <v>630231.62634919002</v>
      </c>
      <c r="AT39" s="496">
        <f t="shared" si="3"/>
        <v>38.799999999999997</v>
      </c>
      <c r="AU39" s="480"/>
      <c r="AV39" s="480"/>
      <c r="AW39" s="501"/>
    </row>
    <row r="40" spans="1:49" ht="18.75" x14ac:dyDescent="0.3">
      <c r="A40" s="493" t="s">
        <v>233</v>
      </c>
      <c r="B40" s="499">
        <v>19.911999999999999</v>
      </c>
      <c r="C40" s="500">
        <v>23.847999999999999</v>
      </c>
      <c r="D40" s="496">
        <f t="shared" si="11"/>
        <v>19.8</v>
      </c>
      <c r="E40" s="499">
        <v>11746.627</v>
      </c>
      <c r="F40" s="500">
        <v>15909.77</v>
      </c>
      <c r="G40" s="496">
        <f t="shared" si="4"/>
        <v>35.4</v>
      </c>
      <c r="H40" s="499">
        <v>67.534000000000006</v>
      </c>
      <c r="I40" s="500">
        <v>83.203999999999994</v>
      </c>
      <c r="J40" s="496">
        <f t="shared" si="12"/>
        <v>23.2</v>
      </c>
      <c r="K40" s="499">
        <v>161.96700000000001</v>
      </c>
      <c r="L40" s="500">
        <v>740.7</v>
      </c>
      <c r="M40" s="496">
        <f t="shared" si="13"/>
        <v>357.3</v>
      </c>
      <c r="N40" s="499"/>
      <c r="O40" s="500"/>
      <c r="P40" s="496"/>
      <c r="Q40" s="499">
        <v>84305.946611110005</v>
      </c>
      <c r="R40" s="500">
        <v>100550.71199318</v>
      </c>
      <c r="S40" s="496">
        <f t="shared" si="0"/>
        <v>19.3</v>
      </c>
      <c r="T40" s="499">
        <v>595.149</v>
      </c>
      <c r="U40" s="500">
        <v>619.79700000000003</v>
      </c>
      <c r="V40" s="496">
        <f t="shared" si="9"/>
        <v>4.0999999999999996</v>
      </c>
      <c r="W40" s="499">
        <v>4660.1033228400001</v>
      </c>
      <c r="X40" s="500">
        <v>5250.97056901</v>
      </c>
      <c r="Y40" s="496">
        <f t="shared" si="15"/>
        <v>12.7</v>
      </c>
      <c r="Z40" s="499">
        <v>21379</v>
      </c>
      <c r="AA40" s="500">
        <v>24752</v>
      </c>
      <c r="AB40" s="496">
        <f t="shared" si="5"/>
        <v>15.8</v>
      </c>
      <c r="AC40" s="499"/>
      <c r="AD40" s="500"/>
      <c r="AE40" s="496"/>
      <c r="AF40" s="499">
        <v>1177.3089292299999</v>
      </c>
      <c r="AG40" s="500"/>
      <c r="AH40" s="496">
        <f t="shared" si="17"/>
        <v>-100</v>
      </c>
      <c r="AI40" s="499">
        <v>2594.0549999999998</v>
      </c>
      <c r="AJ40" s="500">
        <v>2923.703</v>
      </c>
      <c r="AK40" s="496">
        <f t="shared" si="1"/>
        <v>12.7</v>
      </c>
      <c r="AL40" s="499">
        <v>10164</v>
      </c>
      <c r="AM40" s="500">
        <v>11317</v>
      </c>
      <c r="AN40" s="496">
        <f t="shared" si="6"/>
        <v>11.3</v>
      </c>
      <c r="AO40" s="496">
        <f t="shared" si="7"/>
        <v>136871.60286318001</v>
      </c>
      <c r="AP40" s="496">
        <f t="shared" si="7"/>
        <v>162171.70456219002</v>
      </c>
      <c r="AQ40" s="496">
        <f t="shared" si="2"/>
        <v>18.5</v>
      </c>
      <c r="AR40" s="496">
        <f t="shared" si="10"/>
        <v>136871.60286318001</v>
      </c>
      <c r="AS40" s="496">
        <f t="shared" si="18"/>
        <v>223768.84913120003</v>
      </c>
      <c r="AT40" s="496">
        <f t="shared" si="3"/>
        <v>63.5</v>
      </c>
      <c r="AU40" s="480"/>
      <c r="AV40" s="480"/>
      <c r="AW40" s="501"/>
    </row>
    <row r="41" spans="1:49" ht="18.75" x14ac:dyDescent="0.3">
      <c r="A41" s="493" t="s">
        <v>234</v>
      </c>
      <c r="B41" s="499">
        <v>892.47699999999998</v>
      </c>
      <c r="C41" s="500">
        <v>904.92</v>
      </c>
      <c r="D41" s="496">
        <f t="shared" si="11"/>
        <v>1.4</v>
      </c>
      <c r="E41" s="499">
        <v>64779.78</v>
      </c>
      <c r="F41" s="500">
        <v>55726.521999999997</v>
      </c>
      <c r="G41" s="496">
        <f t="shared" si="4"/>
        <v>-14</v>
      </c>
      <c r="H41" s="499">
        <v>451.35700000000003</v>
      </c>
      <c r="I41" s="500">
        <v>554.07799999999997</v>
      </c>
      <c r="J41" s="496">
        <f t="shared" si="12"/>
        <v>22.8</v>
      </c>
      <c r="K41" s="499">
        <v>1426.9749999999999</v>
      </c>
      <c r="L41" s="500">
        <v>646.5</v>
      </c>
      <c r="M41" s="496">
        <f t="shared" si="13"/>
        <v>-54.7</v>
      </c>
      <c r="N41" s="499"/>
      <c r="O41" s="500"/>
      <c r="P41" s="496"/>
      <c r="Q41" s="499">
        <v>116491.15711185</v>
      </c>
      <c r="R41" s="500">
        <v>122436.09897699</v>
      </c>
      <c r="S41" s="496">
        <f t="shared" si="0"/>
        <v>5.0999999999999996</v>
      </c>
      <c r="T41" s="499"/>
      <c r="U41" s="500"/>
      <c r="V41" s="496"/>
      <c r="W41" s="499">
        <v>12627.08324623</v>
      </c>
      <c r="X41" s="500">
        <v>11299.752418010001</v>
      </c>
      <c r="Y41" s="496">
        <f t="shared" si="15"/>
        <v>-10.5</v>
      </c>
      <c r="Z41" s="499">
        <v>18510</v>
      </c>
      <c r="AA41" s="500">
        <v>18208</v>
      </c>
      <c r="AB41" s="496">
        <f t="shared" si="5"/>
        <v>-1.6</v>
      </c>
      <c r="AC41" s="499"/>
      <c r="AD41" s="500"/>
      <c r="AE41" s="496"/>
      <c r="AF41" s="499">
        <v>5222.56837473</v>
      </c>
      <c r="AG41" s="500"/>
      <c r="AH41" s="496">
        <f t="shared" si="17"/>
        <v>-100</v>
      </c>
      <c r="AI41" s="499">
        <v>7088.1490000000003</v>
      </c>
      <c r="AJ41" s="500">
        <v>7244.1809999999996</v>
      </c>
      <c r="AK41" s="496">
        <f t="shared" si="1"/>
        <v>2.2000000000000002</v>
      </c>
      <c r="AL41" s="499">
        <v>49332.6</v>
      </c>
      <c r="AM41" s="500">
        <v>32384</v>
      </c>
      <c r="AN41" s="496">
        <f t="shared" si="6"/>
        <v>-34.4</v>
      </c>
      <c r="AO41" s="496">
        <f t="shared" si="7"/>
        <v>276822.14673281001</v>
      </c>
      <c r="AP41" s="496">
        <f t="shared" si="7"/>
        <v>249404.05239500001</v>
      </c>
      <c r="AQ41" s="496">
        <f t="shared" si="2"/>
        <v>-9.9</v>
      </c>
      <c r="AR41" s="496">
        <f t="shared" si="10"/>
        <v>276822.14673281001</v>
      </c>
      <c r="AS41" s="496">
        <f t="shared" si="18"/>
        <v>375467.08581301</v>
      </c>
      <c r="AT41" s="496">
        <f t="shared" si="3"/>
        <v>35.6</v>
      </c>
      <c r="AU41" s="480"/>
      <c r="AV41" s="480"/>
      <c r="AW41" s="501"/>
    </row>
    <row r="42" spans="1:49" ht="18.75" x14ac:dyDescent="0.3">
      <c r="A42" s="493" t="s">
        <v>235</v>
      </c>
      <c r="B42" s="499"/>
      <c r="C42" s="500"/>
      <c r="D42" s="496"/>
      <c r="E42" s="499">
        <v>5413.652</v>
      </c>
      <c r="F42" s="500">
        <v>3591.67</v>
      </c>
      <c r="G42" s="496">
        <f t="shared" si="4"/>
        <v>-33.700000000000003</v>
      </c>
      <c r="H42" s="499"/>
      <c r="I42" s="500"/>
      <c r="J42" s="496"/>
      <c r="K42" s="499">
        <v>7.3390000000000004</v>
      </c>
      <c r="L42" s="500">
        <v>1.2370000000000001</v>
      </c>
      <c r="M42" s="496">
        <f t="shared" si="13"/>
        <v>-83.1</v>
      </c>
      <c r="N42" s="499"/>
      <c r="O42" s="500"/>
      <c r="P42" s="496"/>
      <c r="Q42" s="499">
        <v>10576.419623739999</v>
      </c>
      <c r="R42" s="500">
        <v>10285.800617360001</v>
      </c>
      <c r="S42" s="496">
        <f t="shared" si="0"/>
        <v>-2.7</v>
      </c>
      <c r="T42" s="499">
        <v>6.3579999999999997</v>
      </c>
      <c r="U42" s="500">
        <v>14.603999999999999</v>
      </c>
      <c r="V42" s="496">
        <f t="shared" si="9"/>
        <v>129.69999999999999</v>
      </c>
      <c r="W42" s="499"/>
      <c r="X42" s="500"/>
      <c r="Y42" s="496"/>
      <c r="Z42" s="499">
        <v>207</v>
      </c>
      <c r="AA42" s="500">
        <v>54</v>
      </c>
      <c r="AB42" s="496">
        <f t="shared" si="5"/>
        <v>-73.900000000000006</v>
      </c>
      <c r="AC42" s="499"/>
      <c r="AD42" s="500"/>
      <c r="AE42" s="496"/>
      <c r="AF42" s="499">
        <v>5.4363553200000005</v>
      </c>
      <c r="AG42" s="500"/>
      <c r="AH42" s="496">
        <f t="shared" si="17"/>
        <v>-100</v>
      </c>
      <c r="AI42" s="499"/>
      <c r="AJ42" s="500"/>
      <c r="AK42" s="496"/>
      <c r="AL42" s="499"/>
      <c r="AM42" s="500"/>
      <c r="AN42" s="496"/>
      <c r="AO42" s="496">
        <f t="shared" si="7"/>
        <v>16216.204979059999</v>
      </c>
      <c r="AP42" s="496">
        <f t="shared" si="7"/>
        <v>13947.311617359999</v>
      </c>
      <c r="AQ42" s="496">
        <f t="shared" si="2"/>
        <v>-14</v>
      </c>
      <c r="AR42" s="496">
        <f t="shared" si="10"/>
        <v>16216.204979059999</v>
      </c>
      <c r="AS42" s="496">
        <f t="shared" si="18"/>
        <v>17608.822617359998</v>
      </c>
      <c r="AT42" s="496">
        <f t="shared" si="3"/>
        <v>8.6</v>
      </c>
      <c r="AU42" s="480"/>
      <c r="AV42" s="480"/>
      <c r="AW42" s="501"/>
    </row>
    <row r="43" spans="1:49" ht="18.75" x14ac:dyDescent="0.3">
      <c r="A43" s="493" t="s">
        <v>236</v>
      </c>
      <c r="B43" s="499">
        <v>2.1509999999999998</v>
      </c>
      <c r="C43" s="500">
        <v>1.0760000000000001</v>
      </c>
      <c r="D43" s="496">
        <f t="shared" si="11"/>
        <v>-50</v>
      </c>
      <c r="E43" s="499">
        <v>353.51</v>
      </c>
      <c r="F43" s="500">
        <v>211.55699999999999</v>
      </c>
      <c r="G43" s="496">
        <f t="shared" si="4"/>
        <v>-40.200000000000003</v>
      </c>
      <c r="H43" s="499"/>
      <c r="I43" s="500"/>
      <c r="J43" s="496"/>
      <c r="K43" s="499"/>
      <c r="L43" s="500"/>
      <c r="M43" s="496"/>
      <c r="N43" s="499"/>
      <c r="O43" s="500"/>
      <c r="P43" s="496"/>
      <c r="Q43" s="499">
        <v>1903.47594144</v>
      </c>
      <c r="R43" s="500">
        <v>1164.7737033199999</v>
      </c>
      <c r="S43" s="496">
        <f t="shared" si="0"/>
        <v>-38.799999999999997</v>
      </c>
      <c r="T43" s="499"/>
      <c r="U43" s="500"/>
      <c r="V43" s="496"/>
      <c r="W43" s="499">
        <v>290.48906608999999</v>
      </c>
      <c r="X43" s="500">
        <v>171.92192478999999</v>
      </c>
      <c r="Y43" s="496">
        <f t="shared" si="15"/>
        <v>-40.799999999999997</v>
      </c>
      <c r="Z43" s="499">
        <v>6</v>
      </c>
      <c r="AA43" s="500">
        <v>65</v>
      </c>
      <c r="AB43" s="496">
        <f t="shared" si="5"/>
        <v>983.3</v>
      </c>
      <c r="AC43" s="499"/>
      <c r="AD43" s="500"/>
      <c r="AE43" s="496"/>
      <c r="AF43" s="499"/>
      <c r="AG43" s="500"/>
      <c r="AH43" s="496"/>
      <c r="AI43" s="499">
        <v>10.369</v>
      </c>
      <c r="AJ43" s="500">
        <v>23.800999999999998</v>
      </c>
      <c r="AK43" s="496">
        <f t="shared" si="1"/>
        <v>129.5</v>
      </c>
      <c r="AL43" s="499">
        <v>553</v>
      </c>
      <c r="AM43" s="500">
        <v>369</v>
      </c>
      <c r="AN43" s="496">
        <f t="shared" si="6"/>
        <v>-33.299999999999997</v>
      </c>
      <c r="AO43" s="496">
        <f t="shared" si="7"/>
        <v>3118.9950075300003</v>
      </c>
      <c r="AP43" s="496">
        <f t="shared" si="7"/>
        <v>2007.1296281099999</v>
      </c>
      <c r="AQ43" s="496">
        <f t="shared" si="2"/>
        <v>-35.6</v>
      </c>
      <c r="AR43" s="496">
        <f t="shared" si="10"/>
        <v>3118.9950075300003</v>
      </c>
      <c r="AS43" s="496">
        <f t="shared" si="18"/>
        <v>2848.4095528999997</v>
      </c>
      <c r="AT43" s="496">
        <f t="shared" si="3"/>
        <v>-8.6999999999999993</v>
      </c>
      <c r="AU43" s="480"/>
      <c r="AV43" s="480"/>
      <c r="AW43" s="501"/>
    </row>
    <row r="44" spans="1:49" ht="18.75" x14ac:dyDescent="0.3">
      <c r="A44" s="493" t="s">
        <v>237</v>
      </c>
      <c r="B44" s="499">
        <v>-4.423</v>
      </c>
      <c r="C44" s="500">
        <v>51.884</v>
      </c>
      <c r="D44" s="496">
        <f t="shared" si="11"/>
        <v>-999</v>
      </c>
      <c r="E44" s="499">
        <v>2957.884</v>
      </c>
      <c r="F44" s="500">
        <v>987.572</v>
      </c>
      <c r="G44" s="496">
        <f t="shared" si="4"/>
        <v>-66.599999999999994</v>
      </c>
      <c r="H44" s="499">
        <v>62.518000000000001</v>
      </c>
      <c r="I44" s="500">
        <v>83.537000000000006</v>
      </c>
      <c r="J44" s="496">
        <f t="shared" si="12"/>
        <v>33.6</v>
      </c>
      <c r="K44" s="499">
        <v>512.19000000000005</v>
      </c>
      <c r="L44" s="500">
        <v>66.099999999999994</v>
      </c>
      <c r="M44" s="496">
        <f t="shared" si="13"/>
        <v>-87.1</v>
      </c>
      <c r="N44" s="499"/>
      <c r="O44" s="500"/>
      <c r="P44" s="496"/>
      <c r="Q44" s="499">
        <v>12796.057990249999</v>
      </c>
      <c r="R44" s="500">
        <v>3499.8963134999999</v>
      </c>
      <c r="S44" s="496">
        <f t="shared" si="0"/>
        <v>-72.599999999999994</v>
      </c>
      <c r="T44" s="499"/>
      <c r="U44" s="500"/>
      <c r="V44" s="496"/>
      <c r="W44" s="499">
        <v>1000.1356769</v>
      </c>
      <c r="X44" s="500">
        <v>346.99546061000001</v>
      </c>
      <c r="Y44" s="496">
        <f t="shared" si="15"/>
        <v>-65.3</v>
      </c>
      <c r="Z44" s="499">
        <v>957</v>
      </c>
      <c r="AA44" s="500">
        <v>1939</v>
      </c>
      <c r="AB44" s="496">
        <f t="shared" si="5"/>
        <v>102.6</v>
      </c>
      <c r="AC44" s="499"/>
      <c r="AD44" s="500"/>
      <c r="AE44" s="496"/>
      <c r="AF44" s="499">
        <v>427.56784799000002</v>
      </c>
      <c r="AG44" s="500"/>
      <c r="AH44" s="496">
        <f t="shared" si="17"/>
        <v>-100</v>
      </c>
      <c r="AI44" s="499">
        <v>39.042999999999999</v>
      </c>
      <c r="AJ44" s="500">
        <v>70.135000000000005</v>
      </c>
      <c r="AK44" s="496">
        <f t="shared" si="1"/>
        <v>79.599999999999994</v>
      </c>
      <c r="AL44" s="499">
        <v>2434</v>
      </c>
      <c r="AM44" s="500"/>
      <c r="AN44" s="496">
        <f t="shared" si="6"/>
        <v>-100</v>
      </c>
      <c r="AO44" s="496">
        <f t="shared" si="7"/>
        <v>21181.973515140002</v>
      </c>
      <c r="AP44" s="496">
        <f t="shared" si="7"/>
        <v>7045.1197741100004</v>
      </c>
      <c r="AQ44" s="496">
        <f t="shared" si="2"/>
        <v>-66.7</v>
      </c>
      <c r="AR44" s="496">
        <f t="shared" si="10"/>
        <v>21181.973515140002</v>
      </c>
      <c r="AS44" s="496">
        <f t="shared" si="18"/>
        <v>10538.459234720001</v>
      </c>
      <c r="AT44" s="496">
        <f t="shared" si="3"/>
        <v>-50.2</v>
      </c>
      <c r="AU44" s="480"/>
      <c r="AV44" s="480"/>
      <c r="AW44" s="501"/>
    </row>
    <row r="45" spans="1:49" ht="18.75" x14ac:dyDescent="0.3">
      <c r="A45" s="497" t="s">
        <v>238</v>
      </c>
      <c r="B45" s="499">
        <v>910.11699999999996</v>
      </c>
      <c r="C45" s="500">
        <v>981.72799999999995</v>
      </c>
      <c r="D45" s="496">
        <f t="shared" si="11"/>
        <v>7.9</v>
      </c>
      <c r="E45" s="499">
        <v>211773.606</v>
      </c>
      <c r="F45" s="500">
        <v>210030.65399999998</v>
      </c>
      <c r="G45" s="496"/>
      <c r="H45" s="499">
        <v>676.9140000000001</v>
      </c>
      <c r="I45" s="500">
        <v>856.74400000000003</v>
      </c>
      <c r="J45" s="496">
        <f t="shared" si="12"/>
        <v>26.6</v>
      </c>
      <c r="K45" s="499">
        <v>5141.7790000000005</v>
      </c>
      <c r="L45" s="500">
        <v>5703.9370000000008</v>
      </c>
      <c r="M45" s="496">
        <f t="shared" si="13"/>
        <v>10.9</v>
      </c>
      <c r="N45" s="499"/>
      <c r="O45" s="500"/>
      <c r="P45" s="496"/>
      <c r="Q45" s="499">
        <v>444204.75995773997</v>
      </c>
      <c r="R45" s="500">
        <v>476229.19211938005</v>
      </c>
      <c r="S45" s="496">
        <f t="shared" si="0"/>
        <v>7.2</v>
      </c>
      <c r="T45" s="499">
        <v>1509.2669999999998</v>
      </c>
      <c r="U45" s="500">
        <v>1599.463</v>
      </c>
      <c r="V45" s="496">
        <f t="shared" si="9"/>
        <v>6</v>
      </c>
      <c r="W45" s="499">
        <v>48858.7</v>
      </c>
      <c r="X45" s="500">
        <v>50156.424344170002</v>
      </c>
      <c r="Y45" s="496">
        <f t="shared" si="15"/>
        <v>2.7</v>
      </c>
      <c r="Z45" s="499">
        <v>71429</v>
      </c>
      <c r="AA45" s="500">
        <v>78171</v>
      </c>
      <c r="AB45" s="496">
        <f t="shared" si="5"/>
        <v>9.4</v>
      </c>
      <c r="AC45" s="499"/>
      <c r="AD45" s="500"/>
      <c r="AE45" s="496"/>
      <c r="AF45" s="499">
        <v>8579.8532540800006</v>
      </c>
      <c r="AG45" s="500"/>
      <c r="AH45" s="496">
        <f t="shared" si="17"/>
        <v>-100</v>
      </c>
      <c r="AI45" s="499">
        <v>20168.955000000002</v>
      </c>
      <c r="AJ45" s="500">
        <v>21665.822</v>
      </c>
      <c r="AK45" s="496">
        <f t="shared" si="1"/>
        <v>7.4</v>
      </c>
      <c r="AL45" s="499">
        <v>183056</v>
      </c>
      <c r="AM45" s="500">
        <v>186830</v>
      </c>
      <c r="AN45" s="496">
        <f t="shared" si="6"/>
        <v>2.1</v>
      </c>
      <c r="AO45" s="496">
        <f t="shared" si="7"/>
        <v>996308.95121181989</v>
      </c>
      <c r="AP45" s="496">
        <f t="shared" si="7"/>
        <v>1032224.9644635501</v>
      </c>
      <c r="AQ45" s="496">
        <f t="shared" si="2"/>
        <v>3.6</v>
      </c>
      <c r="AR45" s="496">
        <f t="shared" si="10"/>
        <v>996308.95121181989</v>
      </c>
      <c r="AS45" s="496">
        <f t="shared" si="18"/>
        <v>1587239.0088077202</v>
      </c>
      <c r="AT45" s="496">
        <f t="shared" si="3"/>
        <v>59.3</v>
      </c>
      <c r="AU45" s="480"/>
      <c r="AV45" s="480"/>
      <c r="AW45" s="501"/>
    </row>
    <row r="46" spans="1:49" ht="18.75" x14ac:dyDescent="0.3">
      <c r="A46" s="477" t="s">
        <v>384</v>
      </c>
      <c r="B46" s="499">
        <v>104.636</v>
      </c>
      <c r="C46" s="500">
        <v>110.919</v>
      </c>
      <c r="D46" s="496">
        <f t="shared" si="11"/>
        <v>6</v>
      </c>
      <c r="E46" s="499"/>
      <c r="F46" s="500"/>
      <c r="G46" s="496"/>
      <c r="H46" s="499">
        <v>82.64</v>
      </c>
      <c r="I46" s="500">
        <v>100.21299999999999</v>
      </c>
      <c r="J46" s="496">
        <f t="shared" si="12"/>
        <v>21.3</v>
      </c>
      <c r="K46" s="499">
        <v>17.05</v>
      </c>
      <c r="L46" s="500">
        <v>28.6</v>
      </c>
      <c r="M46" s="496">
        <f t="shared" si="13"/>
        <v>67.7</v>
      </c>
      <c r="N46" s="499"/>
      <c r="O46" s="500"/>
      <c r="P46" s="496"/>
      <c r="Q46" s="499"/>
      <c r="R46" s="500"/>
      <c r="S46" s="496"/>
      <c r="T46" s="499"/>
      <c r="U46" s="500"/>
      <c r="V46" s="496"/>
      <c r="W46" s="499">
        <v>85.36</v>
      </c>
      <c r="X46" s="500">
        <v>89.03</v>
      </c>
      <c r="Y46" s="496">
        <f t="shared" si="15"/>
        <v>4.3</v>
      </c>
      <c r="Z46" s="499"/>
      <c r="AA46" s="500"/>
      <c r="AB46" s="496"/>
      <c r="AC46" s="499"/>
      <c r="AD46" s="500"/>
      <c r="AE46" s="496"/>
      <c r="AF46" s="499">
        <v>28.064532199999999</v>
      </c>
      <c r="AG46" s="500"/>
      <c r="AH46" s="496">
        <f t="shared" si="17"/>
        <v>-100</v>
      </c>
      <c r="AI46" s="499">
        <v>386.00299999999999</v>
      </c>
      <c r="AJ46" s="500">
        <v>425.45800000000003</v>
      </c>
      <c r="AK46" s="496">
        <f t="shared" si="1"/>
        <v>10.199999999999999</v>
      </c>
      <c r="AL46" s="499"/>
      <c r="AM46" s="500">
        <v>68</v>
      </c>
      <c r="AN46" s="496" t="str">
        <f t="shared" si="6"/>
        <v xml:space="preserve">    ---- </v>
      </c>
      <c r="AO46" s="496">
        <f t="shared" si="7"/>
        <v>703.7535322</v>
      </c>
      <c r="AP46" s="496">
        <f t="shared" si="7"/>
        <v>822.22</v>
      </c>
      <c r="AQ46" s="496">
        <f t="shared" si="2"/>
        <v>16.8</v>
      </c>
      <c r="AR46" s="496">
        <f t="shared" si="10"/>
        <v>703.7535322</v>
      </c>
      <c r="AS46" s="496">
        <f t="shared" si="18"/>
        <v>1533.5210000000002</v>
      </c>
      <c r="AT46" s="496">
        <f t="shared" si="3"/>
        <v>117.9</v>
      </c>
      <c r="AU46" s="480"/>
      <c r="AV46" s="480"/>
      <c r="AW46" s="501"/>
    </row>
    <row r="47" spans="1:49" ht="18.75" x14ac:dyDescent="0.3">
      <c r="A47" s="477" t="s">
        <v>239</v>
      </c>
      <c r="B47" s="499"/>
      <c r="C47" s="500"/>
      <c r="D47" s="496"/>
      <c r="E47" s="499"/>
      <c r="F47" s="500"/>
      <c r="G47" s="496"/>
      <c r="H47" s="499"/>
      <c r="I47" s="500"/>
      <c r="J47" s="496"/>
      <c r="K47" s="499"/>
      <c r="L47" s="500"/>
      <c r="M47" s="496"/>
      <c r="N47" s="499"/>
      <c r="O47" s="500"/>
      <c r="P47" s="496"/>
      <c r="Q47" s="499"/>
      <c r="R47" s="500"/>
      <c r="S47" s="496"/>
      <c r="T47" s="499"/>
      <c r="U47" s="500"/>
      <c r="V47" s="496"/>
      <c r="W47" s="499"/>
      <c r="X47" s="500"/>
      <c r="Y47" s="496"/>
      <c r="Z47" s="499"/>
      <c r="AA47" s="500"/>
      <c r="AB47" s="496"/>
      <c r="AC47" s="499"/>
      <c r="AD47" s="500"/>
      <c r="AE47" s="496"/>
      <c r="AF47" s="499"/>
      <c r="AG47" s="500"/>
      <c r="AH47" s="496"/>
      <c r="AI47" s="499"/>
      <c r="AJ47" s="500"/>
      <c r="AK47" s="496"/>
      <c r="AL47" s="499"/>
      <c r="AM47" s="500"/>
      <c r="AN47" s="496"/>
      <c r="AO47" s="496"/>
      <c r="AP47" s="496"/>
      <c r="AQ47" s="496"/>
      <c r="AR47" s="496"/>
      <c r="AS47" s="496"/>
      <c r="AT47" s="496"/>
      <c r="AU47" s="480"/>
      <c r="AV47" s="480"/>
      <c r="AW47" s="501"/>
    </row>
    <row r="48" spans="1:49" ht="18.75" x14ac:dyDescent="0.3">
      <c r="A48" s="493" t="s">
        <v>240</v>
      </c>
      <c r="B48" s="499"/>
      <c r="C48" s="500"/>
      <c r="D48" s="496"/>
      <c r="E48" s="499"/>
      <c r="F48" s="500"/>
      <c r="G48" s="496"/>
      <c r="H48" s="499"/>
      <c r="I48" s="500"/>
      <c r="J48" s="496"/>
      <c r="K48" s="499"/>
      <c r="L48" s="500"/>
      <c r="M48" s="496"/>
      <c r="N48" s="499"/>
      <c r="O48" s="500"/>
      <c r="P48" s="496"/>
      <c r="Q48" s="499"/>
      <c r="R48" s="500"/>
      <c r="S48" s="496"/>
      <c r="T48" s="499"/>
      <c r="U48" s="500"/>
      <c r="V48" s="496"/>
      <c r="W48" s="499"/>
      <c r="X48" s="500"/>
      <c r="Y48" s="496"/>
      <c r="Z48" s="499"/>
      <c r="AA48" s="500"/>
      <c r="AB48" s="496"/>
      <c r="AC48" s="499"/>
      <c r="AD48" s="500"/>
      <c r="AE48" s="496"/>
      <c r="AF48" s="499"/>
      <c r="AG48" s="500"/>
      <c r="AH48" s="496"/>
      <c r="AI48" s="499"/>
      <c r="AJ48" s="500"/>
      <c r="AK48" s="496"/>
      <c r="AL48" s="499"/>
      <c r="AM48" s="500"/>
      <c r="AN48" s="496"/>
      <c r="AO48" s="496"/>
      <c r="AP48" s="496"/>
      <c r="AQ48" s="496"/>
      <c r="AR48" s="496"/>
      <c r="AS48" s="496"/>
      <c r="AT48" s="496"/>
      <c r="AU48" s="480"/>
      <c r="AV48" s="480"/>
      <c r="AW48" s="501"/>
    </row>
    <row r="49" spans="1:49" ht="18.75" x14ac:dyDescent="0.3">
      <c r="A49" s="493" t="s">
        <v>241</v>
      </c>
      <c r="B49" s="499"/>
      <c r="C49" s="500"/>
      <c r="D49" s="496"/>
      <c r="E49" s="499"/>
      <c r="F49" s="500"/>
      <c r="G49" s="496"/>
      <c r="H49" s="499"/>
      <c r="I49" s="500"/>
      <c r="J49" s="496"/>
      <c r="K49" s="499"/>
      <c r="L49" s="500"/>
      <c r="M49" s="496"/>
      <c r="N49" s="499"/>
      <c r="O49" s="500"/>
      <c r="P49" s="496"/>
      <c r="Q49" s="499">
        <v>260.03066388000002</v>
      </c>
      <c r="R49" s="500">
        <v>277.80190687999999</v>
      </c>
      <c r="S49" s="496">
        <f t="shared" si="0"/>
        <v>6.8</v>
      </c>
      <c r="T49" s="499"/>
      <c r="U49" s="500"/>
      <c r="V49" s="496"/>
      <c r="W49" s="499"/>
      <c r="X49" s="500"/>
      <c r="Y49" s="496"/>
      <c r="Z49" s="499"/>
      <c r="AA49" s="500"/>
      <c r="AB49" s="496"/>
      <c r="AC49" s="499"/>
      <c r="AD49" s="500"/>
      <c r="AE49" s="496"/>
      <c r="AF49" s="499"/>
      <c r="AG49" s="500"/>
      <c r="AH49" s="496"/>
      <c r="AI49" s="499"/>
      <c r="AJ49" s="500"/>
      <c r="AK49" s="496"/>
      <c r="AL49" s="499">
        <v>2643.1</v>
      </c>
      <c r="AM49" s="500">
        <v>3278</v>
      </c>
      <c r="AN49" s="496">
        <f t="shared" si="6"/>
        <v>24</v>
      </c>
      <c r="AO49" s="496">
        <f t="shared" si="7"/>
        <v>2903.1306638799997</v>
      </c>
      <c r="AP49" s="496">
        <f t="shared" si="7"/>
        <v>3555.8019068799999</v>
      </c>
      <c r="AQ49" s="496">
        <f t="shared" si="2"/>
        <v>22.5</v>
      </c>
      <c r="AR49" s="496">
        <f t="shared" si="10"/>
        <v>2903.1306638799997</v>
      </c>
      <c r="AS49" s="496">
        <f t="shared" si="18"/>
        <v>6833.8019068800004</v>
      </c>
      <c r="AT49" s="496">
        <f t="shared" si="3"/>
        <v>135.4</v>
      </c>
      <c r="AU49" s="480"/>
      <c r="AV49" s="480"/>
      <c r="AW49" s="501"/>
    </row>
    <row r="50" spans="1:49" ht="18.75" x14ac:dyDescent="0.3">
      <c r="A50" s="493" t="s">
        <v>242</v>
      </c>
      <c r="B50" s="499"/>
      <c r="C50" s="500"/>
      <c r="D50" s="496"/>
      <c r="E50" s="499"/>
      <c r="F50" s="500"/>
      <c r="G50" s="496"/>
      <c r="H50" s="499"/>
      <c r="I50" s="500"/>
      <c r="J50" s="496"/>
      <c r="K50" s="499"/>
      <c r="L50" s="500"/>
      <c r="M50" s="496"/>
      <c r="N50" s="499"/>
      <c r="O50" s="500"/>
      <c r="P50" s="496"/>
      <c r="Q50" s="499">
        <v>693.70529238999984</v>
      </c>
      <c r="R50" s="500">
        <v>784.01551219999999</v>
      </c>
      <c r="S50" s="496">
        <f t="shared" si="0"/>
        <v>13</v>
      </c>
      <c r="T50" s="499"/>
      <c r="U50" s="500"/>
      <c r="V50" s="496"/>
      <c r="W50" s="499"/>
      <c r="X50" s="500"/>
      <c r="Y50" s="496"/>
      <c r="Z50" s="499"/>
      <c r="AA50" s="500"/>
      <c r="AB50" s="496"/>
      <c r="AC50" s="499"/>
      <c r="AD50" s="500"/>
      <c r="AE50" s="496"/>
      <c r="AF50" s="499"/>
      <c r="AG50" s="500"/>
      <c r="AH50" s="496"/>
      <c r="AI50" s="499"/>
      <c r="AJ50" s="500"/>
      <c r="AK50" s="496"/>
      <c r="AL50" s="499"/>
      <c r="AM50" s="500">
        <v>1125</v>
      </c>
      <c r="AN50" s="496" t="str">
        <f t="shared" si="6"/>
        <v xml:space="preserve">    ---- </v>
      </c>
      <c r="AO50" s="496">
        <f t="shared" si="7"/>
        <v>693.70529238999984</v>
      </c>
      <c r="AP50" s="496">
        <f t="shared" si="7"/>
        <v>1909.0155122000001</v>
      </c>
      <c r="AQ50" s="496">
        <f t="shared" si="2"/>
        <v>175.2</v>
      </c>
      <c r="AR50" s="496">
        <f t="shared" si="10"/>
        <v>693.70529238999984</v>
      </c>
      <c r="AS50" s="496">
        <f t="shared" si="18"/>
        <v>3034.0155122000001</v>
      </c>
      <c r="AT50" s="496">
        <f t="shared" si="3"/>
        <v>337.4</v>
      </c>
      <c r="AU50" s="480"/>
      <c r="AV50" s="480"/>
      <c r="AW50" s="501"/>
    </row>
    <row r="51" spans="1:49" ht="18.75" x14ac:dyDescent="0.3">
      <c r="A51" s="493" t="s">
        <v>243</v>
      </c>
      <c r="B51" s="499"/>
      <c r="C51" s="500"/>
      <c r="D51" s="496"/>
      <c r="E51" s="499"/>
      <c r="F51" s="500"/>
      <c r="G51" s="496"/>
      <c r="H51" s="499"/>
      <c r="I51" s="500"/>
      <c r="J51" s="496"/>
      <c r="K51" s="499"/>
      <c r="L51" s="500"/>
      <c r="M51" s="496"/>
      <c r="N51" s="499"/>
      <c r="O51" s="500"/>
      <c r="P51" s="496"/>
      <c r="Q51" s="499">
        <v>140.11259684999999</v>
      </c>
      <c r="R51" s="500">
        <v>111.65853041</v>
      </c>
      <c r="S51" s="496">
        <f t="shared" si="0"/>
        <v>-20.3</v>
      </c>
      <c r="T51" s="499"/>
      <c r="U51" s="500"/>
      <c r="V51" s="496"/>
      <c r="W51" s="499"/>
      <c r="X51" s="500"/>
      <c r="Y51" s="496"/>
      <c r="Z51" s="499"/>
      <c r="AA51" s="500"/>
      <c r="AB51" s="496"/>
      <c r="AC51" s="499"/>
      <c r="AD51" s="500"/>
      <c r="AE51" s="496"/>
      <c r="AF51" s="499"/>
      <c r="AG51" s="500"/>
      <c r="AH51" s="496"/>
      <c r="AI51" s="499"/>
      <c r="AJ51" s="500"/>
      <c r="AK51" s="496"/>
      <c r="AL51" s="499"/>
      <c r="AM51" s="500"/>
      <c r="AN51" s="496"/>
      <c r="AO51" s="496">
        <f t="shared" si="7"/>
        <v>140.11259684999999</v>
      </c>
      <c r="AP51" s="496">
        <f t="shared" si="7"/>
        <v>111.65853041</v>
      </c>
      <c r="AQ51" s="496">
        <f t="shared" si="2"/>
        <v>-20.3</v>
      </c>
      <c r="AR51" s="496">
        <f t="shared" si="10"/>
        <v>140.11259684999999</v>
      </c>
      <c r="AS51" s="496">
        <f t="shared" si="18"/>
        <v>111.65853041</v>
      </c>
      <c r="AT51" s="496">
        <f t="shared" si="3"/>
        <v>-20.3</v>
      </c>
      <c r="AU51" s="480"/>
      <c r="AV51" s="480"/>
      <c r="AW51" s="501"/>
    </row>
    <row r="52" spans="1:49" ht="18.75" x14ac:dyDescent="0.3">
      <c r="A52" s="493" t="s">
        <v>213</v>
      </c>
      <c r="B52" s="494"/>
      <c r="C52" s="495"/>
      <c r="D52" s="496"/>
      <c r="E52" s="494"/>
      <c r="F52" s="495"/>
      <c r="G52" s="496"/>
      <c r="H52" s="494"/>
      <c r="I52" s="495"/>
      <c r="J52" s="496"/>
      <c r="K52" s="494"/>
      <c r="L52" s="495"/>
      <c r="M52" s="496"/>
      <c r="N52" s="494"/>
      <c r="O52" s="495"/>
      <c r="P52" s="496"/>
      <c r="Q52" s="494"/>
      <c r="R52" s="495">
        <v>111.65853041</v>
      </c>
      <c r="S52" s="496" t="str">
        <f t="shared" si="0"/>
        <v xml:space="preserve">    ---- </v>
      </c>
      <c r="T52" s="494"/>
      <c r="U52" s="495"/>
      <c r="V52" s="496"/>
      <c r="W52" s="494"/>
      <c r="X52" s="495"/>
      <c r="Y52" s="496"/>
      <c r="Z52" s="494"/>
      <c r="AA52" s="495"/>
      <c r="AB52" s="496"/>
      <c r="AC52" s="494"/>
      <c r="AD52" s="495"/>
      <c r="AE52" s="496"/>
      <c r="AF52" s="494"/>
      <c r="AG52" s="495"/>
      <c r="AH52" s="496"/>
      <c r="AI52" s="494"/>
      <c r="AJ52" s="495"/>
      <c r="AK52" s="496"/>
      <c r="AL52" s="494"/>
      <c r="AM52" s="495"/>
      <c r="AN52" s="496"/>
      <c r="AO52" s="496">
        <f t="shared" si="7"/>
        <v>0</v>
      </c>
      <c r="AP52" s="496">
        <f t="shared" si="7"/>
        <v>111.65853041</v>
      </c>
      <c r="AQ52" s="496" t="str">
        <f t="shared" si="2"/>
        <v xml:space="preserve">    ---- </v>
      </c>
      <c r="AR52" s="496">
        <f t="shared" si="10"/>
        <v>0</v>
      </c>
      <c r="AS52" s="496">
        <f t="shared" si="18"/>
        <v>111.65853041</v>
      </c>
      <c r="AT52" s="496" t="str">
        <f t="shared" si="3"/>
        <v xml:space="preserve">    ---- </v>
      </c>
      <c r="AU52" s="491"/>
      <c r="AV52" s="491"/>
      <c r="AW52" s="498"/>
    </row>
    <row r="53" spans="1:49" ht="18.75" x14ac:dyDescent="0.3">
      <c r="A53" s="493" t="s">
        <v>244</v>
      </c>
      <c r="B53" s="499"/>
      <c r="C53" s="500"/>
      <c r="D53" s="496"/>
      <c r="E53" s="499"/>
      <c r="F53" s="500"/>
      <c r="G53" s="496"/>
      <c r="H53" s="499"/>
      <c r="I53" s="500"/>
      <c r="J53" s="496"/>
      <c r="K53" s="499"/>
      <c r="L53" s="500"/>
      <c r="M53" s="496"/>
      <c r="N53" s="499"/>
      <c r="O53" s="500"/>
      <c r="P53" s="496"/>
      <c r="Q53" s="499">
        <v>553.59269553999991</v>
      </c>
      <c r="R53" s="500">
        <v>672.35698178999996</v>
      </c>
      <c r="S53" s="496">
        <f t="shared" si="0"/>
        <v>21.5</v>
      </c>
      <c r="T53" s="499"/>
      <c r="U53" s="500"/>
      <c r="V53" s="496"/>
      <c r="W53" s="499"/>
      <c r="X53" s="500"/>
      <c r="Y53" s="496"/>
      <c r="Z53" s="499"/>
      <c r="AA53" s="500"/>
      <c r="AB53" s="496"/>
      <c r="AC53" s="499"/>
      <c r="AD53" s="500"/>
      <c r="AE53" s="496"/>
      <c r="AF53" s="499"/>
      <c r="AG53" s="500"/>
      <c r="AH53" s="496"/>
      <c r="AI53" s="499"/>
      <c r="AJ53" s="500"/>
      <c r="AK53" s="496"/>
      <c r="AL53" s="499"/>
      <c r="AM53" s="500">
        <v>1125</v>
      </c>
      <c r="AN53" s="496" t="str">
        <f t="shared" si="6"/>
        <v xml:space="preserve">    ---- </v>
      </c>
      <c r="AO53" s="496">
        <f t="shared" si="7"/>
        <v>553.59269553999991</v>
      </c>
      <c r="AP53" s="496">
        <f t="shared" si="7"/>
        <v>1797.35698179</v>
      </c>
      <c r="AQ53" s="496">
        <f t="shared" si="2"/>
        <v>224.7</v>
      </c>
      <c r="AR53" s="496">
        <f t="shared" si="10"/>
        <v>553.59269553999991</v>
      </c>
      <c r="AS53" s="496">
        <f t="shared" si="18"/>
        <v>2922.3569817899997</v>
      </c>
      <c r="AT53" s="496">
        <f t="shared" si="3"/>
        <v>427.9</v>
      </c>
      <c r="AU53" s="480"/>
      <c r="AV53" s="480"/>
      <c r="AW53" s="501"/>
    </row>
    <row r="54" spans="1:49" ht="18.75" x14ac:dyDescent="0.3">
      <c r="A54" s="493" t="s">
        <v>245</v>
      </c>
      <c r="B54" s="499">
        <v>12599.531000000001</v>
      </c>
      <c r="C54" s="500">
        <v>15516.241</v>
      </c>
      <c r="D54" s="496">
        <f t="shared" si="11"/>
        <v>23.1</v>
      </c>
      <c r="E54" s="499">
        <v>52892.824999999997</v>
      </c>
      <c r="F54" s="500">
        <v>67680.359000000011</v>
      </c>
      <c r="G54" s="496">
        <f t="shared" si="4"/>
        <v>28</v>
      </c>
      <c r="H54" s="499">
        <v>2394.875</v>
      </c>
      <c r="I54" s="500">
        <v>2925.2689999999998</v>
      </c>
      <c r="J54" s="496">
        <f t="shared" si="12"/>
        <v>22.1</v>
      </c>
      <c r="K54" s="499">
        <v>16013.493</v>
      </c>
      <c r="L54" s="500">
        <v>20522.599999999999</v>
      </c>
      <c r="M54" s="496">
        <f t="shared" si="13"/>
        <v>28.2</v>
      </c>
      <c r="N54" s="499"/>
      <c r="O54" s="500"/>
      <c r="P54" s="496"/>
      <c r="Q54" s="499">
        <v>1151.1614637199998</v>
      </c>
      <c r="R54" s="500">
        <v>1231.1899732100001</v>
      </c>
      <c r="S54" s="496">
        <f t="shared" si="0"/>
        <v>7</v>
      </c>
      <c r="T54" s="499">
        <v>1361.8420000000001</v>
      </c>
      <c r="U54" s="500">
        <v>2183.0149999999999</v>
      </c>
      <c r="V54" s="496">
        <f t="shared" si="9"/>
        <v>60.3</v>
      </c>
      <c r="W54" s="499">
        <v>42006.53</v>
      </c>
      <c r="X54" s="500">
        <v>52390.619999999995</v>
      </c>
      <c r="Y54" s="496">
        <f t="shared" si="15"/>
        <v>24.7</v>
      </c>
      <c r="Z54" s="499"/>
      <c r="AA54" s="500"/>
      <c r="AB54" s="496"/>
      <c r="AC54" s="499">
        <v>1571</v>
      </c>
      <c r="AD54" s="500">
        <v>1904</v>
      </c>
      <c r="AE54" s="496">
        <f t="shared" si="16"/>
        <v>21.2</v>
      </c>
      <c r="AF54" s="499">
        <v>539.16758709999976</v>
      </c>
      <c r="AG54" s="500"/>
      <c r="AH54" s="496">
        <f t="shared" si="17"/>
        <v>-100</v>
      </c>
      <c r="AI54" s="499">
        <v>16805.651999999998</v>
      </c>
      <c r="AJ54" s="500">
        <v>21802.566999999999</v>
      </c>
      <c r="AK54" s="496">
        <f t="shared" si="1"/>
        <v>29.7</v>
      </c>
      <c r="AL54" s="499">
        <v>55564.4</v>
      </c>
      <c r="AM54" s="500">
        <v>66828</v>
      </c>
      <c r="AN54" s="496">
        <f t="shared" si="6"/>
        <v>20.3</v>
      </c>
      <c r="AO54" s="496">
        <f t="shared" si="7"/>
        <v>201329.47705081999</v>
      </c>
      <c r="AP54" s="496">
        <f t="shared" si="7"/>
        <v>251079.86097321002</v>
      </c>
      <c r="AQ54" s="496">
        <f t="shared" si="2"/>
        <v>24.7</v>
      </c>
      <c r="AR54" s="496">
        <f t="shared" si="10"/>
        <v>202900.47705081999</v>
      </c>
      <c r="AS54" s="496">
        <f t="shared" si="18"/>
        <v>487316.29097321001</v>
      </c>
      <c r="AT54" s="496">
        <f t="shared" si="3"/>
        <v>140.19999999999999</v>
      </c>
      <c r="AU54" s="480"/>
      <c r="AV54" s="480"/>
      <c r="AW54" s="501"/>
    </row>
    <row r="55" spans="1:49" ht="18.75" x14ac:dyDescent="0.3">
      <c r="A55" s="493" t="s">
        <v>246</v>
      </c>
      <c r="B55" s="499">
        <v>7188.4160000000002</v>
      </c>
      <c r="C55" s="500">
        <v>9195.6689999999999</v>
      </c>
      <c r="D55" s="496">
        <f t="shared" si="11"/>
        <v>27.9</v>
      </c>
      <c r="E55" s="499">
        <v>27078.832999999999</v>
      </c>
      <c r="F55" s="500">
        <v>36171.338000000003</v>
      </c>
      <c r="G55" s="496">
        <f t="shared" si="4"/>
        <v>33.6</v>
      </c>
      <c r="H55" s="499">
        <v>1467.92</v>
      </c>
      <c r="I55" s="500">
        <v>1896.3459999999998</v>
      </c>
      <c r="J55" s="496">
        <f t="shared" si="12"/>
        <v>29.2</v>
      </c>
      <c r="K55" s="499">
        <v>14430.08</v>
      </c>
      <c r="L55" s="500">
        <v>18254.5</v>
      </c>
      <c r="M55" s="496">
        <f t="shared" si="13"/>
        <v>26.5</v>
      </c>
      <c r="N55" s="499"/>
      <c r="O55" s="500"/>
      <c r="P55" s="496"/>
      <c r="Q55" s="499">
        <v>460.99406398000002</v>
      </c>
      <c r="R55" s="500">
        <v>579.04001096000002</v>
      </c>
      <c r="S55" s="496">
        <f t="shared" si="0"/>
        <v>25.6</v>
      </c>
      <c r="T55" s="499">
        <v>1358.4880000000001</v>
      </c>
      <c r="U55" s="500">
        <v>2166.8040000000001</v>
      </c>
      <c r="V55" s="496">
        <f t="shared" si="9"/>
        <v>59.5</v>
      </c>
      <c r="W55" s="499">
        <v>41936.51</v>
      </c>
      <c r="X55" s="500">
        <v>52406.2</v>
      </c>
      <c r="Y55" s="496">
        <f t="shared" si="15"/>
        <v>25</v>
      </c>
      <c r="Z55" s="499"/>
      <c r="AA55" s="500"/>
      <c r="AB55" s="496"/>
      <c r="AC55" s="499">
        <v>1571</v>
      </c>
      <c r="AD55" s="500">
        <v>1904</v>
      </c>
      <c r="AE55" s="496">
        <f t="shared" si="16"/>
        <v>21.2</v>
      </c>
      <c r="AF55" s="499">
        <v>255.65374857999996</v>
      </c>
      <c r="AG55" s="500"/>
      <c r="AH55" s="496">
        <f t="shared" si="17"/>
        <v>-100</v>
      </c>
      <c r="AI55" s="499">
        <v>9268.2369999999992</v>
      </c>
      <c r="AJ55" s="500">
        <v>12525.384</v>
      </c>
      <c r="AK55" s="496">
        <f t="shared" si="1"/>
        <v>35.1</v>
      </c>
      <c r="AL55" s="499">
        <v>33942.5</v>
      </c>
      <c r="AM55" s="500">
        <v>43117</v>
      </c>
      <c r="AN55" s="496">
        <f t="shared" si="6"/>
        <v>27</v>
      </c>
      <c r="AO55" s="496">
        <f t="shared" si="7"/>
        <v>137387.63181255999</v>
      </c>
      <c r="AP55" s="496">
        <f t="shared" si="7"/>
        <v>176312.28101096</v>
      </c>
      <c r="AQ55" s="496">
        <f t="shared" si="2"/>
        <v>28.3</v>
      </c>
      <c r="AR55" s="496">
        <f t="shared" si="10"/>
        <v>138958.63181255999</v>
      </c>
      <c r="AS55" s="496">
        <f t="shared" si="18"/>
        <v>344753.85301095998</v>
      </c>
      <c r="AT55" s="496">
        <f t="shared" si="3"/>
        <v>148.1</v>
      </c>
      <c r="AU55" s="480"/>
      <c r="AV55" s="480"/>
      <c r="AW55" s="501"/>
    </row>
    <row r="56" spans="1:49" ht="18.75" x14ac:dyDescent="0.3">
      <c r="A56" s="493" t="s">
        <v>247</v>
      </c>
      <c r="B56" s="499">
        <v>5359.21</v>
      </c>
      <c r="C56" s="500">
        <v>6258.2809999999999</v>
      </c>
      <c r="D56" s="496">
        <f t="shared" si="11"/>
        <v>16.8</v>
      </c>
      <c r="E56" s="499">
        <v>24118.616999999998</v>
      </c>
      <c r="F56" s="500">
        <v>29910.267</v>
      </c>
      <c r="G56" s="496">
        <f t="shared" si="4"/>
        <v>24</v>
      </c>
      <c r="H56" s="499"/>
      <c r="I56" s="500"/>
      <c r="J56" s="496"/>
      <c r="K56" s="499">
        <v>1546.298</v>
      </c>
      <c r="L56" s="500">
        <v>2218</v>
      </c>
      <c r="M56" s="496">
        <f t="shared" si="13"/>
        <v>43.4</v>
      </c>
      <c r="N56" s="499"/>
      <c r="O56" s="500"/>
      <c r="P56" s="496"/>
      <c r="Q56" s="499">
        <v>622.49188314000003</v>
      </c>
      <c r="R56" s="500">
        <v>595.32950208</v>
      </c>
      <c r="S56" s="496">
        <f t="shared" si="0"/>
        <v>-4.4000000000000004</v>
      </c>
      <c r="T56" s="499"/>
      <c r="U56" s="500"/>
      <c r="V56" s="496"/>
      <c r="W56" s="499"/>
      <c r="X56" s="500"/>
      <c r="Y56" s="496"/>
      <c r="Z56" s="499"/>
      <c r="AA56" s="500"/>
      <c r="AB56" s="496"/>
      <c r="AC56" s="499"/>
      <c r="AD56" s="500"/>
      <c r="AE56" s="496"/>
      <c r="AF56" s="499">
        <v>258.34925563999997</v>
      </c>
      <c r="AG56" s="500"/>
      <c r="AH56" s="496">
        <f t="shared" si="17"/>
        <v>-100</v>
      </c>
      <c r="AI56" s="499">
        <v>7505.4</v>
      </c>
      <c r="AJ56" s="500">
        <v>9169.8389999999999</v>
      </c>
      <c r="AK56" s="496">
        <f t="shared" si="1"/>
        <v>22.2</v>
      </c>
      <c r="AL56" s="499">
        <v>21275.5</v>
      </c>
      <c r="AM56" s="500">
        <v>23458</v>
      </c>
      <c r="AN56" s="496">
        <f t="shared" si="6"/>
        <v>10.3</v>
      </c>
      <c r="AO56" s="496">
        <f>B56+E56+H56+K56+Q56+T56+W56+Z56+AF56+AI56+AL56</f>
        <v>60685.866138779995</v>
      </c>
      <c r="AP56" s="496">
        <f>C56+F56+I56+L56+R56+U56+X56+AA56+AG56+AJ56+AM56</f>
        <v>71609.716502080002</v>
      </c>
      <c r="AQ56" s="496">
        <f t="shared" si="2"/>
        <v>18</v>
      </c>
      <c r="AR56" s="496">
        <f t="shared" si="10"/>
        <v>60685.866138779995</v>
      </c>
      <c r="AS56" s="496">
        <f>F56+I56+L56+O56+U56+X56+AA56+AD56+AJ56+AM56+AP56</f>
        <v>136365.82250208</v>
      </c>
      <c r="AT56" s="496">
        <f t="shared" si="3"/>
        <v>124.7</v>
      </c>
      <c r="AU56" s="480"/>
      <c r="AV56" s="480"/>
      <c r="AW56" s="501"/>
    </row>
    <row r="57" spans="1:49" ht="18.75" x14ac:dyDescent="0.3">
      <c r="A57" s="493" t="s">
        <v>248</v>
      </c>
      <c r="B57" s="499"/>
      <c r="C57" s="500"/>
      <c r="D57" s="496"/>
      <c r="E57" s="499">
        <v>1695.375</v>
      </c>
      <c r="F57" s="500">
        <v>1598.7539999999999</v>
      </c>
      <c r="G57" s="496">
        <f t="shared" si="4"/>
        <v>-5.7</v>
      </c>
      <c r="H57" s="499"/>
      <c r="I57" s="500"/>
      <c r="J57" s="496"/>
      <c r="K57" s="499">
        <v>29.073</v>
      </c>
      <c r="L57" s="500">
        <v>37.799999999999997</v>
      </c>
      <c r="M57" s="496">
        <f t="shared" si="13"/>
        <v>30</v>
      </c>
      <c r="N57" s="499"/>
      <c r="O57" s="500"/>
      <c r="P57" s="496"/>
      <c r="Q57" s="499">
        <v>64.314904009999992</v>
      </c>
      <c r="R57" s="500">
        <v>51.404872759999996</v>
      </c>
      <c r="S57" s="496">
        <f t="shared" si="0"/>
        <v>-20.100000000000001</v>
      </c>
      <c r="T57" s="499">
        <v>3.3540000000000001</v>
      </c>
      <c r="U57" s="500">
        <v>16.210999999999999</v>
      </c>
      <c r="V57" s="496">
        <f t="shared" si="9"/>
        <v>383.3</v>
      </c>
      <c r="W57" s="499"/>
      <c r="X57" s="500"/>
      <c r="Y57" s="496"/>
      <c r="Z57" s="499"/>
      <c r="AA57" s="500"/>
      <c r="AB57" s="496"/>
      <c r="AC57" s="499"/>
      <c r="AD57" s="500"/>
      <c r="AE57" s="496"/>
      <c r="AF57" s="499">
        <v>0.33145192000000001</v>
      </c>
      <c r="AG57" s="500"/>
      <c r="AH57" s="496">
        <f t="shared" si="17"/>
        <v>-100</v>
      </c>
      <c r="AI57" s="499"/>
      <c r="AJ57" s="500"/>
      <c r="AK57" s="496"/>
      <c r="AL57" s="499"/>
      <c r="AM57" s="500"/>
      <c r="AN57" s="496"/>
      <c r="AO57" s="496">
        <f t="shared" si="7"/>
        <v>1792.4483559300002</v>
      </c>
      <c r="AP57" s="496">
        <f t="shared" si="7"/>
        <v>1704.1698727599999</v>
      </c>
      <c r="AQ57" s="496">
        <f t="shared" si="2"/>
        <v>-4.9000000000000004</v>
      </c>
      <c r="AR57" s="496">
        <f t="shared" si="10"/>
        <v>1792.4483559300002</v>
      </c>
      <c r="AS57" s="496">
        <f t="shared" ref="AS57:AS62" si="19">F57+I57+L57+O57+U57+X57+AA57+AD57+AJ57+AM57+AP57</f>
        <v>3356.93487276</v>
      </c>
      <c r="AT57" s="496">
        <f t="shared" si="3"/>
        <v>87.3</v>
      </c>
      <c r="AU57" s="480"/>
      <c r="AV57" s="480"/>
      <c r="AW57" s="501"/>
    </row>
    <row r="58" spans="1:49" ht="18.75" x14ac:dyDescent="0.3">
      <c r="A58" s="493" t="s">
        <v>249</v>
      </c>
      <c r="B58" s="499"/>
      <c r="C58" s="500"/>
      <c r="D58" s="496"/>
      <c r="E58" s="499"/>
      <c r="F58" s="500"/>
      <c r="G58" s="496"/>
      <c r="H58" s="499"/>
      <c r="I58" s="500"/>
      <c r="J58" s="496"/>
      <c r="K58" s="499"/>
      <c r="L58" s="500"/>
      <c r="M58" s="496"/>
      <c r="N58" s="499"/>
      <c r="O58" s="500"/>
      <c r="P58" s="496"/>
      <c r="Q58" s="499">
        <v>3.2046546</v>
      </c>
      <c r="R58" s="500">
        <v>4.5686979400000007</v>
      </c>
      <c r="S58" s="496">
        <f t="shared" si="0"/>
        <v>42.6</v>
      </c>
      <c r="T58" s="499"/>
      <c r="U58" s="500"/>
      <c r="V58" s="496"/>
      <c r="W58" s="499"/>
      <c r="X58" s="500"/>
      <c r="Y58" s="496"/>
      <c r="Z58" s="499"/>
      <c r="AA58" s="500"/>
      <c r="AB58" s="496"/>
      <c r="AC58" s="499"/>
      <c r="AD58" s="500"/>
      <c r="AE58" s="496"/>
      <c r="AF58" s="499"/>
      <c r="AG58" s="500"/>
      <c r="AH58" s="496"/>
      <c r="AI58" s="499"/>
      <c r="AJ58" s="500">
        <v>55.784999999999997</v>
      </c>
      <c r="AK58" s="496" t="str">
        <f t="shared" si="1"/>
        <v xml:space="preserve">    ---- </v>
      </c>
      <c r="AL58" s="499">
        <v>176.6</v>
      </c>
      <c r="AM58" s="500">
        <v>253</v>
      </c>
      <c r="AN58" s="496">
        <f t="shared" si="6"/>
        <v>43.3</v>
      </c>
      <c r="AO58" s="496">
        <f t="shared" si="7"/>
        <v>179.80465459999999</v>
      </c>
      <c r="AP58" s="496">
        <f t="shared" si="7"/>
        <v>313.35369794000002</v>
      </c>
      <c r="AQ58" s="496">
        <f t="shared" si="2"/>
        <v>74.3</v>
      </c>
      <c r="AR58" s="496">
        <f t="shared" si="10"/>
        <v>179.80465459999999</v>
      </c>
      <c r="AS58" s="496">
        <f t="shared" si="19"/>
        <v>622.13869793999993</v>
      </c>
      <c r="AT58" s="496">
        <f t="shared" si="3"/>
        <v>246</v>
      </c>
      <c r="AU58" s="480"/>
      <c r="AV58" s="480"/>
      <c r="AW58" s="501"/>
    </row>
    <row r="59" spans="1:49" ht="18.75" x14ac:dyDescent="0.3">
      <c r="A59" s="493" t="s">
        <v>250</v>
      </c>
      <c r="B59" s="499">
        <v>51.905000000000001</v>
      </c>
      <c r="C59" s="500">
        <v>62.290999999999997</v>
      </c>
      <c r="D59" s="496">
        <f t="shared" si="11"/>
        <v>20</v>
      </c>
      <c r="E59" s="499"/>
      <c r="F59" s="500"/>
      <c r="G59" s="496"/>
      <c r="H59" s="499">
        <v>926.95500000000004</v>
      </c>
      <c r="I59" s="500">
        <v>1028.923</v>
      </c>
      <c r="J59" s="496">
        <f t="shared" si="12"/>
        <v>11</v>
      </c>
      <c r="K59" s="499">
        <v>8.0419999999999998</v>
      </c>
      <c r="L59" s="500">
        <v>12.3</v>
      </c>
      <c r="M59" s="496">
        <f t="shared" si="13"/>
        <v>52.9</v>
      </c>
      <c r="N59" s="499"/>
      <c r="O59" s="500"/>
      <c r="P59" s="496"/>
      <c r="Q59" s="499">
        <v>0.15595798999999999</v>
      </c>
      <c r="R59" s="500">
        <v>0.84688946999999992</v>
      </c>
      <c r="S59" s="496">
        <f t="shared" si="0"/>
        <v>443</v>
      </c>
      <c r="T59" s="499"/>
      <c r="U59" s="500"/>
      <c r="V59" s="496"/>
      <c r="W59" s="499">
        <v>70.02</v>
      </c>
      <c r="X59" s="500">
        <v>-15.58</v>
      </c>
      <c r="Y59" s="496">
        <f t="shared" si="15"/>
        <v>-122.3</v>
      </c>
      <c r="Z59" s="499"/>
      <c r="AA59" s="500"/>
      <c r="AB59" s="496"/>
      <c r="AC59" s="499"/>
      <c r="AD59" s="500"/>
      <c r="AE59" s="496"/>
      <c r="AF59" s="499">
        <v>24.833130960000002</v>
      </c>
      <c r="AG59" s="500"/>
      <c r="AH59" s="496">
        <f t="shared" si="17"/>
        <v>-100</v>
      </c>
      <c r="AI59" s="499">
        <v>32.015000000000001</v>
      </c>
      <c r="AJ59" s="500">
        <v>51.558999999999997</v>
      </c>
      <c r="AK59" s="496">
        <f t="shared" si="1"/>
        <v>61</v>
      </c>
      <c r="AL59" s="499">
        <v>169.8</v>
      </c>
      <c r="AM59" s="500"/>
      <c r="AN59" s="496">
        <f t="shared" si="6"/>
        <v>-100</v>
      </c>
      <c r="AO59" s="496">
        <f t="shared" si="7"/>
        <v>1283.7260889500003</v>
      </c>
      <c r="AP59" s="496">
        <f t="shared" si="7"/>
        <v>1140.3398894699999</v>
      </c>
      <c r="AQ59" s="496">
        <f t="shared" si="2"/>
        <v>-11.2</v>
      </c>
      <c r="AR59" s="496">
        <f t="shared" si="10"/>
        <v>1283.7260889500003</v>
      </c>
      <c r="AS59" s="496">
        <f t="shared" si="19"/>
        <v>2217.5418894699997</v>
      </c>
      <c r="AT59" s="496">
        <f t="shared" si="3"/>
        <v>72.7</v>
      </c>
      <c r="AU59" s="480"/>
      <c r="AV59" s="480"/>
      <c r="AW59" s="501"/>
    </row>
    <row r="60" spans="1:49" ht="18.75" x14ac:dyDescent="0.3">
      <c r="A60" s="497" t="s">
        <v>251</v>
      </c>
      <c r="B60" s="499">
        <v>12599.531000000001</v>
      </c>
      <c r="C60" s="500">
        <v>15516.241</v>
      </c>
      <c r="D60" s="496">
        <f t="shared" si="11"/>
        <v>23.1</v>
      </c>
      <c r="E60" s="499">
        <v>52892.824999999997</v>
      </c>
      <c r="F60" s="500">
        <v>67680.359000000011</v>
      </c>
      <c r="G60" s="496">
        <f t="shared" si="4"/>
        <v>28</v>
      </c>
      <c r="H60" s="499">
        <v>2394.875</v>
      </c>
      <c r="I60" s="500">
        <v>2925.2689999999998</v>
      </c>
      <c r="J60" s="496">
        <f t="shared" si="12"/>
        <v>22.1</v>
      </c>
      <c r="K60" s="499">
        <v>16013.493</v>
      </c>
      <c r="L60" s="500">
        <v>20522.599999999999</v>
      </c>
      <c r="M60" s="496">
        <f t="shared" si="13"/>
        <v>28.2</v>
      </c>
      <c r="N60" s="499"/>
      <c r="O60" s="500"/>
      <c r="P60" s="496"/>
      <c r="Q60" s="499">
        <v>2104.8974199899994</v>
      </c>
      <c r="R60" s="500">
        <v>2293.0073922900001</v>
      </c>
      <c r="S60" s="496">
        <f t="shared" si="0"/>
        <v>8.9</v>
      </c>
      <c r="T60" s="499">
        <v>1361.8420000000001</v>
      </c>
      <c r="U60" s="500">
        <v>2183.0149999999999</v>
      </c>
      <c r="V60" s="496">
        <f t="shared" si="9"/>
        <v>60.3</v>
      </c>
      <c r="W60" s="499">
        <v>42006.53</v>
      </c>
      <c r="X60" s="500">
        <v>52390.619999999995</v>
      </c>
      <c r="Y60" s="496">
        <f t="shared" si="15"/>
        <v>24.7</v>
      </c>
      <c r="Z60" s="499"/>
      <c r="AA60" s="500"/>
      <c r="AB60" s="496"/>
      <c r="AC60" s="499">
        <v>1571</v>
      </c>
      <c r="AD60" s="500">
        <v>1904</v>
      </c>
      <c r="AE60" s="496">
        <f t="shared" si="16"/>
        <v>21.2</v>
      </c>
      <c r="AF60" s="499">
        <v>539.16758709999976</v>
      </c>
      <c r="AG60" s="500"/>
      <c r="AH60" s="496">
        <f t="shared" si="17"/>
        <v>-100</v>
      </c>
      <c r="AI60" s="499">
        <v>16805.651999999998</v>
      </c>
      <c r="AJ60" s="500">
        <v>21802.566999999999</v>
      </c>
      <c r="AK60" s="496">
        <f t="shared" si="1"/>
        <v>29.7</v>
      </c>
      <c r="AL60" s="499">
        <v>58207.5</v>
      </c>
      <c r="AM60" s="500">
        <v>71231</v>
      </c>
      <c r="AN60" s="496">
        <f t="shared" si="6"/>
        <v>22.4</v>
      </c>
      <c r="AO60" s="496">
        <f t="shared" si="7"/>
        <v>204926.31300709001</v>
      </c>
      <c r="AP60" s="496">
        <f t="shared" si="7"/>
        <v>256544.67839229002</v>
      </c>
      <c r="AQ60" s="496">
        <f t="shared" si="2"/>
        <v>25.2</v>
      </c>
      <c r="AR60" s="496">
        <f t="shared" si="10"/>
        <v>206497.31300709001</v>
      </c>
      <c r="AS60" s="496">
        <f t="shared" si="19"/>
        <v>497184.10839229007</v>
      </c>
      <c r="AT60" s="496">
        <f t="shared" si="3"/>
        <v>140.80000000000001</v>
      </c>
      <c r="AU60" s="480"/>
      <c r="AV60" s="480"/>
      <c r="AW60" s="501"/>
    </row>
    <row r="61" spans="1:49" ht="18.75" x14ac:dyDescent="0.3">
      <c r="A61" s="477" t="s">
        <v>385</v>
      </c>
      <c r="B61" s="499"/>
      <c r="C61" s="500"/>
      <c r="D61" s="495"/>
      <c r="E61" s="499"/>
      <c r="F61" s="500"/>
      <c r="G61" s="495"/>
      <c r="H61" s="499"/>
      <c r="I61" s="500"/>
      <c r="J61" s="495"/>
      <c r="K61" s="499"/>
      <c r="L61" s="500"/>
      <c r="M61" s="495"/>
      <c r="N61" s="499"/>
      <c r="O61" s="500"/>
      <c r="P61" s="495"/>
      <c r="Q61" s="499"/>
      <c r="R61" s="500"/>
      <c r="S61" s="495"/>
      <c r="T61" s="499"/>
      <c r="U61" s="500"/>
      <c r="V61" s="495"/>
      <c r="W61" s="499"/>
      <c r="X61" s="500"/>
      <c r="Y61" s="495"/>
      <c r="Z61" s="499"/>
      <c r="AA61" s="500"/>
      <c r="AB61" s="495"/>
      <c r="AC61" s="499"/>
      <c r="AD61" s="500"/>
      <c r="AE61" s="495"/>
      <c r="AF61" s="499">
        <v>0.77905791000000002</v>
      </c>
      <c r="AG61" s="500"/>
      <c r="AH61" s="495">
        <f t="shared" si="17"/>
        <v>-100</v>
      </c>
      <c r="AI61" s="499"/>
      <c r="AJ61" s="500"/>
      <c r="AK61" s="495"/>
      <c r="AL61" s="499"/>
      <c r="AM61" s="500"/>
      <c r="AN61" s="495"/>
      <c r="AO61" s="496">
        <f t="shared" si="7"/>
        <v>0.77905791000000002</v>
      </c>
      <c r="AP61" s="496">
        <f t="shared" si="7"/>
        <v>0</v>
      </c>
      <c r="AQ61" s="495">
        <f t="shared" si="2"/>
        <v>-100</v>
      </c>
      <c r="AR61" s="496">
        <f t="shared" si="10"/>
        <v>0.77905791000000002</v>
      </c>
      <c r="AS61" s="496">
        <f t="shared" si="19"/>
        <v>0</v>
      </c>
      <c r="AT61" s="495">
        <f t="shared" si="3"/>
        <v>-100</v>
      </c>
      <c r="AU61" s="480"/>
      <c r="AV61" s="480"/>
      <c r="AW61" s="501"/>
    </row>
    <row r="62" spans="1:49" ht="18.75" x14ac:dyDescent="0.3">
      <c r="A62" s="493" t="s">
        <v>252</v>
      </c>
      <c r="B62" s="499">
        <v>13614.284000000001</v>
      </c>
      <c r="C62" s="500">
        <v>16608.887999999999</v>
      </c>
      <c r="D62" s="496">
        <f t="shared" si="11"/>
        <v>22</v>
      </c>
      <c r="E62" s="499">
        <v>264666.43099999998</v>
      </c>
      <c r="F62" s="500">
        <v>277711.01299999998</v>
      </c>
      <c r="G62" s="496">
        <f t="shared" si="4"/>
        <v>4.9000000000000004</v>
      </c>
      <c r="H62" s="499">
        <v>3154.4290000000001</v>
      </c>
      <c r="I62" s="500">
        <v>3882.2260000000001</v>
      </c>
      <c r="J62" s="496">
        <f t="shared" si="12"/>
        <v>23.1</v>
      </c>
      <c r="K62" s="499">
        <v>21172.322</v>
      </c>
      <c r="L62" s="500">
        <v>26255.3</v>
      </c>
      <c r="M62" s="496">
        <f t="shared" si="13"/>
        <v>24</v>
      </c>
      <c r="N62" s="499"/>
      <c r="O62" s="500"/>
      <c r="P62" s="496"/>
      <c r="Q62" s="499">
        <v>446309.65737772995</v>
      </c>
      <c r="R62" s="500">
        <v>478522.19951167004</v>
      </c>
      <c r="S62" s="496">
        <f t="shared" si="0"/>
        <v>7.2</v>
      </c>
      <c r="T62" s="499">
        <v>2871.1089999999999</v>
      </c>
      <c r="U62" s="500">
        <v>3782.4780000000001</v>
      </c>
      <c r="V62" s="496">
        <f t="shared" si="9"/>
        <v>31.7</v>
      </c>
      <c r="W62" s="499">
        <v>90950.625021499902</v>
      </c>
      <c r="X62" s="500">
        <v>102636.07434416999</v>
      </c>
      <c r="Y62" s="496">
        <f t="shared" si="15"/>
        <v>12.8</v>
      </c>
      <c r="Z62" s="499">
        <v>71429</v>
      </c>
      <c r="AA62" s="500">
        <v>78171</v>
      </c>
      <c r="AB62" s="496">
        <f t="shared" si="5"/>
        <v>9.4</v>
      </c>
      <c r="AC62" s="499">
        <v>1571</v>
      </c>
      <c r="AD62" s="500">
        <v>1904</v>
      </c>
      <c r="AE62" s="496">
        <f t="shared" si="16"/>
        <v>21.2</v>
      </c>
      <c r="AF62" s="499">
        <v>9147.8644312899996</v>
      </c>
      <c r="AG62" s="500"/>
      <c r="AH62" s="496">
        <f t="shared" si="17"/>
        <v>-100</v>
      </c>
      <c r="AI62" s="499">
        <v>37360.61</v>
      </c>
      <c r="AJ62" s="500">
        <v>43893.846999999994</v>
      </c>
      <c r="AK62" s="496">
        <f t="shared" si="1"/>
        <v>17.5</v>
      </c>
      <c r="AL62" s="499">
        <v>241263.5</v>
      </c>
      <c r="AM62" s="500">
        <v>258128.5</v>
      </c>
      <c r="AN62" s="496">
        <f t="shared" si="6"/>
        <v>7</v>
      </c>
      <c r="AO62" s="496">
        <f t="shared" si="7"/>
        <v>1201939.8318305197</v>
      </c>
      <c r="AP62" s="496">
        <f t="shared" si="7"/>
        <v>1289591.5258558397</v>
      </c>
      <c r="AQ62" s="496">
        <f t="shared" si="2"/>
        <v>7.3</v>
      </c>
      <c r="AR62" s="496">
        <f t="shared" si="10"/>
        <v>1203510.8318305197</v>
      </c>
      <c r="AS62" s="496">
        <f t="shared" si="19"/>
        <v>2085955.9642000096</v>
      </c>
      <c r="AT62" s="496">
        <f t="shared" si="3"/>
        <v>73.3</v>
      </c>
      <c r="AU62" s="480"/>
      <c r="AV62" s="502"/>
      <c r="AW62" s="501"/>
    </row>
    <row r="63" spans="1:49" ht="18.75" x14ac:dyDescent="0.3">
      <c r="A63" s="477"/>
      <c r="B63" s="483"/>
      <c r="C63" s="484"/>
      <c r="D63" s="496"/>
      <c r="E63" s="483"/>
      <c r="F63" s="484"/>
      <c r="G63" s="496"/>
      <c r="H63" s="483"/>
      <c r="I63" s="484"/>
      <c r="J63" s="496"/>
      <c r="K63" s="483"/>
      <c r="L63" s="484"/>
      <c r="M63" s="496"/>
      <c r="N63" s="483"/>
      <c r="O63" s="484"/>
      <c r="P63" s="496"/>
      <c r="Q63" s="483"/>
      <c r="R63" s="484"/>
      <c r="S63" s="496"/>
      <c r="T63" s="483"/>
      <c r="U63" s="484"/>
      <c r="V63" s="496"/>
      <c r="W63" s="483"/>
      <c r="X63" s="484"/>
      <c r="Y63" s="496"/>
      <c r="Z63" s="483"/>
      <c r="AA63" s="484"/>
      <c r="AB63" s="496"/>
      <c r="AC63" s="483"/>
      <c r="AD63" s="484"/>
      <c r="AE63" s="496"/>
      <c r="AF63" s="483"/>
      <c r="AG63" s="484"/>
      <c r="AH63" s="496"/>
      <c r="AI63" s="483"/>
      <c r="AJ63" s="484"/>
      <c r="AK63" s="496"/>
      <c r="AL63" s="483"/>
      <c r="AM63" s="484"/>
      <c r="AN63" s="496"/>
      <c r="AO63" s="496"/>
      <c r="AP63" s="496"/>
      <c r="AQ63" s="496"/>
      <c r="AR63" s="496"/>
      <c r="AS63" s="496"/>
      <c r="AT63" s="496"/>
      <c r="AU63" s="503"/>
      <c r="AV63" s="503"/>
      <c r="AW63" s="504"/>
    </row>
    <row r="64" spans="1:49" s="505" customFormat="1" ht="18.75" x14ac:dyDescent="0.3">
      <c r="A64" s="477" t="s">
        <v>253</v>
      </c>
      <c r="B64" s="483">
        <v>13927.731000000002</v>
      </c>
      <c r="C64" s="483">
        <v>17007.871999999999</v>
      </c>
      <c r="D64" s="479">
        <f t="shared" si="11"/>
        <v>22.1</v>
      </c>
      <c r="E64" s="483">
        <v>294143.84299999999</v>
      </c>
      <c r="F64" s="484">
        <v>308855.353</v>
      </c>
      <c r="G64" s="479">
        <f t="shared" si="4"/>
        <v>5</v>
      </c>
      <c r="H64" s="483">
        <v>3651.114</v>
      </c>
      <c r="I64" s="484">
        <v>4384.6959999999999</v>
      </c>
      <c r="J64" s="479">
        <f t="shared" si="12"/>
        <v>20.100000000000001</v>
      </c>
      <c r="K64" s="483">
        <v>22177.200000000001</v>
      </c>
      <c r="L64" s="483">
        <v>27330.399999999998</v>
      </c>
      <c r="M64" s="479">
        <f t="shared" si="13"/>
        <v>23.2</v>
      </c>
      <c r="N64" s="483">
        <v>140</v>
      </c>
      <c r="O64" s="483">
        <v>140</v>
      </c>
      <c r="P64" s="479">
        <f t="shared" si="14"/>
        <v>0</v>
      </c>
      <c r="Q64" s="483">
        <v>485071.38277373993</v>
      </c>
      <c r="R64" s="484">
        <v>516327.12977871002</v>
      </c>
      <c r="S64" s="479">
        <f t="shared" si="0"/>
        <v>6.4</v>
      </c>
      <c r="T64" s="483">
        <v>3221.8649999999998</v>
      </c>
      <c r="U64" s="484">
        <v>4372.7290000000003</v>
      </c>
      <c r="V64" s="479">
        <f t="shared" si="9"/>
        <v>35.700000000000003</v>
      </c>
      <c r="W64" s="483">
        <v>99702.615021499907</v>
      </c>
      <c r="X64" s="483">
        <v>112913.30434416998</v>
      </c>
      <c r="Y64" s="479">
        <f t="shared" si="15"/>
        <v>13.3</v>
      </c>
      <c r="Z64" s="483">
        <v>79442</v>
      </c>
      <c r="AA64" s="483">
        <v>87429</v>
      </c>
      <c r="AB64" s="479">
        <f t="shared" si="5"/>
        <v>10.1</v>
      </c>
      <c r="AC64" s="483">
        <v>1596</v>
      </c>
      <c r="AD64" s="483">
        <v>1943</v>
      </c>
      <c r="AE64" s="479">
        <f t="shared" si="16"/>
        <v>21.7</v>
      </c>
      <c r="AF64" s="483">
        <v>9578.9121728499995</v>
      </c>
      <c r="AG64" s="483">
        <v>0</v>
      </c>
      <c r="AH64" s="479">
        <f t="shared" si="17"/>
        <v>-100</v>
      </c>
      <c r="AI64" s="483">
        <v>42619.923999999999</v>
      </c>
      <c r="AJ64" s="483">
        <v>50163.070999999996</v>
      </c>
      <c r="AK64" s="479">
        <f t="shared" si="1"/>
        <v>17.7</v>
      </c>
      <c r="AL64" s="483">
        <v>274379.2</v>
      </c>
      <c r="AM64" s="484">
        <v>292733</v>
      </c>
      <c r="AN64" s="479">
        <f t="shared" si="6"/>
        <v>6.7</v>
      </c>
      <c r="AO64" s="479">
        <f>B64+E64+H64+K64+Q64+T64+W64+Z64+AF64+AI64+AL64</f>
        <v>1327915.7869680899</v>
      </c>
      <c r="AP64" s="479">
        <f>C64+F64+I64+L64+R64+U64+X64+AA64+AG64+AJ64+AM64</f>
        <v>1421516.55512288</v>
      </c>
      <c r="AQ64" s="479">
        <f t="shared" si="2"/>
        <v>7</v>
      </c>
      <c r="AR64" s="479">
        <f t="shared" si="10"/>
        <v>1329651.7869680899</v>
      </c>
      <c r="AS64" s="479">
        <f>F64+I64+L64+O64+U64+X64+AA64+AD64+AJ64+AM64+AP64</f>
        <v>2311781.1084670499</v>
      </c>
      <c r="AT64" s="479">
        <f t="shared" si="3"/>
        <v>73.900000000000006</v>
      </c>
      <c r="AU64" s="503"/>
      <c r="AV64" s="503"/>
      <c r="AW64" s="504"/>
    </row>
    <row r="65" spans="1:49" ht="18.75" x14ac:dyDescent="0.3">
      <c r="A65" s="506"/>
      <c r="B65" s="499"/>
      <c r="C65" s="500"/>
      <c r="D65" s="496"/>
      <c r="E65" s="499"/>
      <c r="F65" s="500"/>
      <c r="G65" s="496"/>
      <c r="H65" s="499"/>
      <c r="I65" s="500"/>
      <c r="J65" s="496"/>
      <c r="K65" s="499"/>
      <c r="L65" s="500"/>
      <c r="M65" s="496"/>
      <c r="N65" s="499"/>
      <c r="O65" s="500"/>
      <c r="P65" s="496"/>
      <c r="Q65" s="499"/>
      <c r="R65" s="500"/>
      <c r="S65" s="496"/>
      <c r="T65" s="499"/>
      <c r="U65" s="500"/>
      <c r="V65" s="496"/>
      <c r="W65" s="499"/>
      <c r="X65" s="500"/>
      <c r="Y65" s="496"/>
      <c r="Z65" s="499"/>
      <c r="AA65" s="500"/>
      <c r="AB65" s="496"/>
      <c r="AC65" s="499"/>
      <c r="AD65" s="500"/>
      <c r="AE65" s="496"/>
      <c r="AF65" s="499"/>
      <c r="AG65" s="500"/>
      <c r="AH65" s="496"/>
      <c r="AI65" s="499"/>
      <c r="AJ65" s="500"/>
      <c r="AK65" s="496"/>
      <c r="AL65" s="499"/>
      <c r="AM65" s="500"/>
      <c r="AN65" s="496"/>
      <c r="AO65" s="496"/>
      <c r="AP65" s="496"/>
      <c r="AQ65" s="496"/>
      <c r="AR65" s="496"/>
      <c r="AS65" s="496"/>
      <c r="AT65" s="496"/>
      <c r="AU65" s="480"/>
      <c r="AV65" s="480"/>
      <c r="AW65" s="501"/>
    </row>
    <row r="66" spans="1:49" s="505" customFormat="1" ht="18.75" x14ac:dyDescent="0.3">
      <c r="A66" s="477" t="s">
        <v>254</v>
      </c>
      <c r="B66" s="483"/>
      <c r="C66" s="484"/>
      <c r="D66" s="479"/>
      <c r="E66" s="483"/>
      <c r="F66" s="484"/>
      <c r="G66" s="479"/>
      <c r="H66" s="483"/>
      <c r="I66" s="484"/>
      <c r="J66" s="479"/>
      <c r="K66" s="483"/>
      <c r="L66" s="484"/>
      <c r="M66" s="479"/>
      <c r="N66" s="483"/>
      <c r="O66" s="484"/>
      <c r="P66" s="479"/>
      <c r="Q66" s="483"/>
      <c r="R66" s="484"/>
      <c r="S66" s="479"/>
      <c r="T66" s="483"/>
      <c r="U66" s="484"/>
      <c r="V66" s="479"/>
      <c r="W66" s="483"/>
      <c r="X66" s="484"/>
      <c r="Y66" s="479"/>
      <c r="Z66" s="483"/>
      <c r="AA66" s="484"/>
      <c r="AB66" s="479"/>
      <c r="AC66" s="483"/>
      <c r="AD66" s="484"/>
      <c r="AE66" s="479"/>
      <c r="AF66" s="483"/>
      <c r="AG66" s="484"/>
      <c r="AH66" s="479"/>
      <c r="AI66" s="483"/>
      <c r="AJ66" s="484"/>
      <c r="AK66" s="479"/>
      <c r="AL66" s="483"/>
      <c r="AM66" s="484"/>
      <c r="AN66" s="479"/>
      <c r="AO66" s="479"/>
      <c r="AP66" s="479"/>
      <c r="AQ66" s="479"/>
      <c r="AR66" s="479"/>
      <c r="AS66" s="479"/>
      <c r="AT66" s="479"/>
      <c r="AU66" s="503"/>
      <c r="AV66" s="503"/>
      <c r="AW66" s="504"/>
    </row>
    <row r="67" spans="1:49" ht="18.75" x14ac:dyDescent="0.3">
      <c r="A67" s="477"/>
      <c r="B67" s="499"/>
      <c r="C67" s="500"/>
      <c r="D67" s="496"/>
      <c r="E67" s="499"/>
      <c r="F67" s="500"/>
      <c r="G67" s="496"/>
      <c r="H67" s="499"/>
      <c r="I67" s="500"/>
      <c r="J67" s="496"/>
      <c r="K67" s="499"/>
      <c r="L67" s="500"/>
      <c r="M67" s="496"/>
      <c r="N67" s="499"/>
      <c r="O67" s="500"/>
      <c r="P67" s="496"/>
      <c r="Q67" s="499"/>
      <c r="R67" s="500"/>
      <c r="S67" s="496"/>
      <c r="T67" s="499"/>
      <c r="U67" s="500"/>
      <c r="V67" s="496"/>
      <c r="W67" s="499"/>
      <c r="X67" s="500"/>
      <c r="Y67" s="496"/>
      <c r="Z67" s="499"/>
      <c r="AA67" s="500"/>
      <c r="AB67" s="496"/>
      <c r="AC67" s="499"/>
      <c r="AD67" s="500"/>
      <c r="AE67" s="496"/>
      <c r="AF67" s="499"/>
      <c r="AG67" s="500"/>
      <c r="AH67" s="496"/>
      <c r="AI67" s="499"/>
      <c r="AJ67" s="500"/>
      <c r="AK67" s="496"/>
      <c r="AL67" s="499"/>
      <c r="AM67" s="500"/>
      <c r="AN67" s="496"/>
      <c r="AO67" s="496"/>
      <c r="AP67" s="496"/>
      <c r="AQ67" s="496"/>
      <c r="AR67" s="496"/>
      <c r="AS67" s="496"/>
      <c r="AT67" s="496"/>
      <c r="AU67" s="480"/>
      <c r="AV67" s="480"/>
      <c r="AW67" s="501"/>
    </row>
    <row r="68" spans="1:49" ht="18.75" x14ac:dyDescent="0.3">
      <c r="A68" s="493" t="s">
        <v>255</v>
      </c>
      <c r="B68" s="499">
        <v>141.16</v>
      </c>
      <c r="C68" s="500">
        <v>141.16</v>
      </c>
      <c r="D68" s="496">
        <f t="shared" si="11"/>
        <v>0</v>
      </c>
      <c r="E68" s="499">
        <v>7765.924</v>
      </c>
      <c r="F68" s="500">
        <v>7765.924</v>
      </c>
      <c r="G68" s="496">
        <f t="shared" si="4"/>
        <v>0</v>
      </c>
      <c r="H68" s="499">
        <v>175</v>
      </c>
      <c r="I68" s="500">
        <v>175</v>
      </c>
      <c r="J68" s="496">
        <f t="shared" si="12"/>
        <v>0</v>
      </c>
      <c r="K68" s="499">
        <v>119.646</v>
      </c>
      <c r="L68" s="500">
        <v>119.74</v>
      </c>
      <c r="M68" s="496">
        <f t="shared" si="13"/>
        <v>0.1</v>
      </c>
      <c r="N68" s="499">
        <v>5</v>
      </c>
      <c r="O68" s="500">
        <v>5</v>
      </c>
      <c r="P68" s="496">
        <f t="shared" si="14"/>
        <v>0</v>
      </c>
      <c r="Q68" s="499">
        <v>10423.6994</v>
      </c>
      <c r="R68" s="500">
        <v>11770.564155</v>
      </c>
      <c r="S68" s="496">
        <f t="shared" si="0"/>
        <v>12.9</v>
      </c>
      <c r="T68" s="499">
        <v>501.25</v>
      </c>
      <c r="U68" s="500">
        <v>741.25</v>
      </c>
      <c r="V68" s="496">
        <f t="shared" si="9"/>
        <v>47.9</v>
      </c>
      <c r="W68" s="499">
        <v>1126.96</v>
      </c>
      <c r="X68" s="500">
        <v>1126.76</v>
      </c>
      <c r="Y68" s="496">
        <f t="shared" si="15"/>
        <v>0</v>
      </c>
      <c r="Z68" s="499">
        <v>1430</v>
      </c>
      <c r="AA68" s="500">
        <v>1430</v>
      </c>
      <c r="AB68" s="496">
        <f t="shared" si="5"/>
        <v>0</v>
      </c>
      <c r="AC68" s="499">
        <v>49</v>
      </c>
      <c r="AD68" s="500">
        <v>49</v>
      </c>
      <c r="AE68" s="496">
        <f t="shared" si="16"/>
        <v>0</v>
      </c>
      <c r="AF68" s="499">
        <v>419.73989618000007</v>
      </c>
      <c r="AG68" s="500"/>
      <c r="AH68" s="496">
        <f t="shared" si="17"/>
        <v>-100</v>
      </c>
      <c r="AI68" s="499">
        <v>2491.1880000000001</v>
      </c>
      <c r="AJ68" s="500">
        <v>2491.1880000000001</v>
      </c>
      <c r="AK68" s="496">
        <f t="shared" si="1"/>
        <v>0</v>
      </c>
      <c r="AL68" s="499">
        <v>13251</v>
      </c>
      <c r="AM68" s="500">
        <v>13251</v>
      </c>
      <c r="AN68" s="496">
        <f t="shared" si="6"/>
        <v>0</v>
      </c>
      <c r="AO68" s="496">
        <f t="shared" si="7"/>
        <v>37845.567296180001</v>
      </c>
      <c r="AP68" s="496">
        <f t="shared" si="7"/>
        <v>39012.586154999997</v>
      </c>
      <c r="AQ68" s="496">
        <f t="shared" si="2"/>
        <v>3.1</v>
      </c>
      <c r="AR68" s="496">
        <f t="shared" si="10"/>
        <v>37899.567296180001</v>
      </c>
      <c r="AS68" s="496">
        <f t="shared" ref="AS68:AS91" si="20">F68+I68+L68+O68+U68+X68+AA68+AD68+AJ68+AM68+AP68</f>
        <v>66167.448154999991</v>
      </c>
      <c r="AT68" s="496">
        <f t="shared" si="3"/>
        <v>74.599999999999994</v>
      </c>
      <c r="AU68" s="480"/>
      <c r="AV68" s="480"/>
      <c r="AW68" s="501"/>
    </row>
    <row r="69" spans="1:49" ht="18.75" x14ac:dyDescent="0.3">
      <c r="A69" s="493" t="s">
        <v>256</v>
      </c>
      <c r="B69" s="499">
        <v>173.36699999999999</v>
      </c>
      <c r="C69" s="500">
        <v>264.82799999999997</v>
      </c>
      <c r="D69" s="496">
        <f t="shared" si="11"/>
        <v>52.8</v>
      </c>
      <c r="E69" s="499">
        <v>14024.34</v>
      </c>
      <c r="F69" s="500">
        <v>15876.273999999999</v>
      </c>
      <c r="G69" s="496">
        <f t="shared" si="4"/>
        <v>13.2</v>
      </c>
      <c r="H69" s="499">
        <v>100.755</v>
      </c>
      <c r="I69" s="500">
        <v>128.672</v>
      </c>
      <c r="J69" s="496">
        <f t="shared" si="12"/>
        <v>27.7</v>
      </c>
      <c r="K69" s="499">
        <v>487.55700000000002</v>
      </c>
      <c r="L69" s="500">
        <v>574.29999999999995</v>
      </c>
      <c r="M69" s="496">
        <f t="shared" si="13"/>
        <v>17.8</v>
      </c>
      <c r="N69" s="499">
        <v>47</v>
      </c>
      <c r="O69" s="500">
        <v>57</v>
      </c>
      <c r="P69" s="496">
        <f t="shared" si="14"/>
        <v>21.3</v>
      </c>
      <c r="Q69" s="499">
        <v>14578.678533209999</v>
      </c>
      <c r="R69" s="500">
        <v>16950.11895661</v>
      </c>
      <c r="S69" s="496">
        <f t="shared" si="0"/>
        <v>16.3</v>
      </c>
      <c r="T69" s="499">
        <v>-173.15600000000001</v>
      </c>
      <c r="U69" s="500">
        <v>-210.18700000000001</v>
      </c>
      <c r="V69" s="496">
        <f t="shared" si="9"/>
        <v>21.4</v>
      </c>
      <c r="W69" s="499">
        <v>4679.05</v>
      </c>
      <c r="X69" s="500">
        <v>5712.82</v>
      </c>
      <c r="Y69" s="496">
        <f t="shared" si="15"/>
        <v>22.1</v>
      </c>
      <c r="Z69" s="499">
        <v>5300</v>
      </c>
      <c r="AA69" s="500">
        <v>6034</v>
      </c>
      <c r="AB69" s="496">
        <f t="shared" si="5"/>
        <v>13.8</v>
      </c>
      <c r="AC69" s="499">
        <v>-25</v>
      </c>
      <c r="AD69" s="500">
        <v>-14</v>
      </c>
      <c r="AE69" s="496">
        <f t="shared" si="16"/>
        <v>-44</v>
      </c>
      <c r="AF69" s="499">
        <v>-5.5416940599999949</v>
      </c>
      <c r="AG69" s="500"/>
      <c r="AH69" s="496">
        <f t="shared" si="17"/>
        <v>-100</v>
      </c>
      <c r="AI69" s="499">
        <v>1323.934</v>
      </c>
      <c r="AJ69" s="500">
        <v>1329.461</v>
      </c>
      <c r="AK69" s="496">
        <f>IF(AI69=0, "    ---- ", IF(ABS(ROUND(100/AI69*AJ69-100,1))&lt;999,ROUND(100/AI69*AJ69-100,1),IF(ROUND(100/AI69*AJ69-100,1)&gt;999,999,-999)))</f>
        <v>0.4</v>
      </c>
      <c r="AL69" s="499">
        <v>10646</v>
      </c>
      <c r="AM69" s="500">
        <v>11960</v>
      </c>
      <c r="AN69" s="496">
        <f t="shared" si="6"/>
        <v>12.3</v>
      </c>
      <c r="AO69" s="496">
        <f t="shared" si="7"/>
        <v>51134.983839150002</v>
      </c>
      <c r="AP69" s="496">
        <f t="shared" si="7"/>
        <v>58620.286956610005</v>
      </c>
      <c r="AQ69" s="496">
        <f t="shared" si="2"/>
        <v>14.6</v>
      </c>
      <c r="AR69" s="496">
        <f t="shared" si="10"/>
        <v>51156.983839150002</v>
      </c>
      <c r="AS69" s="496">
        <f t="shared" si="20"/>
        <v>100068.62695661001</v>
      </c>
      <c r="AT69" s="496">
        <f t="shared" si="3"/>
        <v>95.6</v>
      </c>
      <c r="AU69" s="480"/>
      <c r="AV69" s="480"/>
      <c r="AW69" s="501"/>
    </row>
    <row r="70" spans="1:49" ht="18.75" x14ac:dyDescent="0.3">
      <c r="A70" s="493" t="s">
        <v>257</v>
      </c>
      <c r="B70" s="499">
        <v>3.4529999999999998</v>
      </c>
      <c r="C70" s="500">
        <v>3.4529999999999998</v>
      </c>
      <c r="D70" s="496">
        <f t="shared" si="11"/>
        <v>0</v>
      </c>
      <c r="E70" s="499">
        <v>319.24599999999998</v>
      </c>
      <c r="F70" s="500">
        <v>406.78399999999999</v>
      </c>
      <c r="G70" s="496">
        <f t="shared" si="4"/>
        <v>27.4</v>
      </c>
      <c r="H70" s="499">
        <v>35.170999999999999</v>
      </c>
      <c r="I70" s="500">
        <v>47</v>
      </c>
      <c r="J70" s="496">
        <f t="shared" si="12"/>
        <v>33.6</v>
      </c>
      <c r="K70" s="499"/>
      <c r="L70" s="500"/>
      <c r="M70" s="496"/>
      <c r="N70" s="499"/>
      <c r="O70" s="500"/>
      <c r="P70" s="496"/>
      <c r="Q70" s="499">
        <v>3363.8486469999998</v>
      </c>
      <c r="R70" s="500">
        <v>3906.7875840000002</v>
      </c>
      <c r="S70" s="496">
        <f t="shared" si="0"/>
        <v>16.100000000000001</v>
      </c>
      <c r="T70" s="499">
        <v>4.0640000000000001</v>
      </c>
      <c r="U70" s="500">
        <v>0</v>
      </c>
      <c r="V70" s="496">
        <f t="shared" si="9"/>
        <v>-100</v>
      </c>
      <c r="W70" s="499">
        <v>125.19</v>
      </c>
      <c r="X70" s="500">
        <v>102.28</v>
      </c>
      <c r="Y70" s="496">
        <f t="shared" si="15"/>
        <v>-18.3</v>
      </c>
      <c r="Z70" s="499"/>
      <c r="AA70" s="500"/>
      <c r="AB70" s="496"/>
      <c r="AC70" s="499"/>
      <c r="AD70" s="500"/>
      <c r="AE70" s="496"/>
      <c r="AF70" s="499"/>
      <c r="AG70" s="500"/>
      <c r="AH70" s="496"/>
      <c r="AI70" s="499">
        <v>67.730999999999995</v>
      </c>
      <c r="AJ70" s="500">
        <v>36.554000000000002</v>
      </c>
      <c r="AK70" s="496">
        <f t="shared" si="1"/>
        <v>-46</v>
      </c>
      <c r="AL70" s="499">
        <v>136.30000000000001</v>
      </c>
      <c r="AM70" s="500">
        <v>144</v>
      </c>
      <c r="AN70" s="496">
        <f t="shared" si="6"/>
        <v>5.6</v>
      </c>
      <c r="AO70" s="496">
        <f t="shared" si="7"/>
        <v>4055.0036469999995</v>
      </c>
      <c r="AP70" s="496">
        <f t="shared" si="7"/>
        <v>4646.8585839999996</v>
      </c>
      <c r="AQ70" s="496">
        <f t="shared" si="2"/>
        <v>14.6</v>
      </c>
      <c r="AR70" s="496">
        <f t="shared" si="10"/>
        <v>4055.0036469999995</v>
      </c>
      <c r="AS70" s="496">
        <f t="shared" si="20"/>
        <v>5383.476584</v>
      </c>
      <c r="AT70" s="496">
        <f t="shared" si="3"/>
        <v>32.799999999999997</v>
      </c>
      <c r="AU70" s="480"/>
      <c r="AV70" s="480"/>
      <c r="AW70" s="501"/>
    </row>
    <row r="71" spans="1:49" ht="18.75" x14ac:dyDescent="0.3">
      <c r="A71" s="493" t="s">
        <v>258</v>
      </c>
      <c r="B71" s="499"/>
      <c r="C71" s="500"/>
      <c r="D71" s="496"/>
      <c r="E71" s="499">
        <v>5500</v>
      </c>
      <c r="F71" s="500">
        <v>5500</v>
      </c>
      <c r="G71" s="496">
        <f t="shared" si="4"/>
        <v>0</v>
      </c>
      <c r="H71" s="499"/>
      <c r="I71" s="500"/>
      <c r="J71" s="496"/>
      <c r="K71" s="499">
        <v>300</v>
      </c>
      <c r="L71" s="500">
        <v>299.5</v>
      </c>
      <c r="M71" s="496">
        <f t="shared" si="13"/>
        <v>-0.2</v>
      </c>
      <c r="N71" s="499"/>
      <c r="O71" s="500"/>
      <c r="P71" s="496"/>
      <c r="Q71" s="499">
        <v>8199.3387294700005</v>
      </c>
      <c r="R71" s="500">
        <v>8002.1378217399997</v>
      </c>
      <c r="S71" s="496">
        <f t="shared" si="0"/>
        <v>-2.4</v>
      </c>
      <c r="T71" s="499"/>
      <c r="U71" s="500"/>
      <c r="V71" s="496"/>
      <c r="W71" s="499">
        <v>2830</v>
      </c>
      <c r="X71" s="500">
        <v>2830</v>
      </c>
      <c r="Y71" s="496">
        <f t="shared" si="15"/>
        <v>0</v>
      </c>
      <c r="Z71" s="499">
        <v>1240</v>
      </c>
      <c r="AA71" s="500">
        <v>1240</v>
      </c>
      <c r="AB71" s="496">
        <f t="shared" si="5"/>
        <v>0</v>
      </c>
      <c r="AC71" s="499"/>
      <c r="AD71" s="500"/>
      <c r="AE71" s="496"/>
      <c r="AF71" s="499"/>
      <c r="AG71" s="500"/>
      <c r="AH71" s="496"/>
      <c r="AI71" s="499"/>
      <c r="AJ71" s="500">
        <v>1000</v>
      </c>
      <c r="AK71" s="496" t="str">
        <f t="shared" si="1"/>
        <v xml:space="preserve">    ---- </v>
      </c>
      <c r="AL71" s="499">
        <v>6645</v>
      </c>
      <c r="AM71" s="500">
        <v>7405</v>
      </c>
      <c r="AN71" s="496">
        <f t="shared" si="6"/>
        <v>11.4</v>
      </c>
      <c r="AO71" s="496">
        <f t="shared" si="7"/>
        <v>24714.338729470001</v>
      </c>
      <c r="AP71" s="496">
        <f t="shared" si="7"/>
        <v>26276.637821739998</v>
      </c>
      <c r="AQ71" s="496">
        <f t="shared" si="2"/>
        <v>6.3</v>
      </c>
      <c r="AR71" s="496">
        <f t="shared" si="10"/>
        <v>24714.338729470001</v>
      </c>
      <c r="AS71" s="496">
        <f t="shared" si="20"/>
        <v>44551.137821739998</v>
      </c>
      <c r="AT71" s="496">
        <f t="shared" si="3"/>
        <v>80.3</v>
      </c>
      <c r="AU71" s="480"/>
      <c r="AV71" s="481"/>
      <c r="AW71" s="501"/>
    </row>
    <row r="72" spans="1:49" ht="18.75" x14ac:dyDescent="0.3">
      <c r="A72" s="493" t="s">
        <v>259</v>
      </c>
      <c r="B72" s="499"/>
      <c r="C72" s="500"/>
      <c r="D72" s="496"/>
      <c r="E72" s="499"/>
      <c r="F72" s="500"/>
      <c r="G72" s="496"/>
      <c r="H72" s="499"/>
      <c r="I72" s="500"/>
      <c r="J72" s="496"/>
      <c r="K72" s="499"/>
      <c r="L72" s="500"/>
      <c r="M72" s="496"/>
      <c r="N72" s="499"/>
      <c r="O72" s="500"/>
      <c r="P72" s="496"/>
      <c r="Q72" s="499"/>
      <c r="R72" s="500"/>
      <c r="S72" s="496"/>
      <c r="T72" s="499"/>
      <c r="U72" s="500"/>
      <c r="V72" s="496"/>
      <c r="W72" s="499"/>
      <c r="X72" s="500"/>
      <c r="Y72" s="496"/>
      <c r="Z72" s="499"/>
      <c r="AA72" s="500"/>
      <c r="AB72" s="496"/>
      <c r="AC72" s="499"/>
      <c r="AD72" s="500"/>
      <c r="AE72" s="496"/>
      <c r="AF72" s="499"/>
      <c r="AG72" s="500"/>
      <c r="AH72" s="496"/>
      <c r="AI72" s="499"/>
      <c r="AJ72" s="500"/>
      <c r="AK72" s="496"/>
      <c r="AL72" s="499"/>
      <c r="AM72" s="500"/>
      <c r="AN72" s="496"/>
      <c r="AO72" s="496"/>
      <c r="AP72" s="496"/>
      <c r="AQ72" s="496"/>
      <c r="AR72" s="496"/>
      <c r="AS72" s="496"/>
      <c r="AT72" s="496"/>
      <c r="AU72" s="480"/>
      <c r="AV72" s="480"/>
      <c r="AW72" s="501"/>
    </row>
    <row r="73" spans="1:49" ht="18.75" x14ac:dyDescent="0.3">
      <c r="A73" s="493" t="s">
        <v>260</v>
      </c>
      <c r="B73" s="499">
        <v>800.94200000000001</v>
      </c>
      <c r="C73" s="500">
        <v>865.41000000000008</v>
      </c>
      <c r="D73" s="496">
        <f t="shared" si="11"/>
        <v>8</v>
      </c>
      <c r="E73" s="499">
        <v>199919.33800000002</v>
      </c>
      <c r="F73" s="500">
        <v>197963.51300000001</v>
      </c>
      <c r="G73" s="496">
        <f t="shared" si="4"/>
        <v>-1</v>
      </c>
      <c r="H73" s="499">
        <v>893.66499999999996</v>
      </c>
      <c r="I73" s="500">
        <v>1044.058</v>
      </c>
      <c r="J73" s="496">
        <f t="shared" si="12"/>
        <v>16.8</v>
      </c>
      <c r="K73" s="499">
        <v>4972.2119999999995</v>
      </c>
      <c r="L73" s="500">
        <v>5502.1</v>
      </c>
      <c r="M73" s="496">
        <f t="shared" si="13"/>
        <v>10.7</v>
      </c>
      <c r="N73" s="499">
        <v>61</v>
      </c>
      <c r="O73" s="500">
        <v>72</v>
      </c>
      <c r="P73" s="496">
        <f t="shared" si="14"/>
        <v>18</v>
      </c>
      <c r="Q73" s="499">
        <v>368440.28970388003</v>
      </c>
      <c r="R73" s="500">
        <v>390712.70437231002</v>
      </c>
      <c r="S73" s="496">
        <f t="shared" si="0"/>
        <v>6</v>
      </c>
      <c r="T73" s="499">
        <v>1385.604</v>
      </c>
      <c r="U73" s="500">
        <v>1461.6880000000001</v>
      </c>
      <c r="V73" s="496">
        <f t="shared" si="9"/>
        <v>5.5</v>
      </c>
      <c r="W73" s="499">
        <v>45380.705021499794</v>
      </c>
      <c r="X73" s="500">
        <v>45958.09</v>
      </c>
      <c r="Y73" s="496">
        <f t="shared" si="15"/>
        <v>1.3</v>
      </c>
      <c r="Z73" s="499">
        <v>56140</v>
      </c>
      <c r="AA73" s="500">
        <v>58581</v>
      </c>
      <c r="AB73" s="496">
        <f t="shared" si="5"/>
        <v>4.3</v>
      </c>
      <c r="AC73" s="499"/>
      <c r="AD73" s="500"/>
      <c r="AE73" s="496"/>
      <c r="AF73" s="499">
        <v>8254.6379190200005</v>
      </c>
      <c r="AG73" s="500"/>
      <c r="AH73" s="496">
        <f t="shared" si="17"/>
        <v>-100</v>
      </c>
      <c r="AI73" s="499">
        <v>17678.453999999998</v>
      </c>
      <c r="AJ73" s="500">
        <v>18884.760999999999</v>
      </c>
      <c r="AK73" s="496">
        <f t="shared" si="1"/>
        <v>6.8</v>
      </c>
      <c r="AL73" s="499">
        <v>166897</v>
      </c>
      <c r="AM73" s="500">
        <v>169649</v>
      </c>
      <c r="AN73" s="496">
        <f t="shared" si="6"/>
        <v>1.6</v>
      </c>
      <c r="AO73" s="496">
        <f t="shared" si="7"/>
        <v>870762.84764439997</v>
      </c>
      <c r="AP73" s="496">
        <f t="shared" si="7"/>
        <v>890622.32437230996</v>
      </c>
      <c r="AQ73" s="496">
        <f t="shared" si="2"/>
        <v>2.2999999999999998</v>
      </c>
      <c r="AR73" s="496">
        <f t="shared" si="10"/>
        <v>870823.84764439997</v>
      </c>
      <c r="AS73" s="496">
        <f t="shared" si="20"/>
        <v>1389738.5343723099</v>
      </c>
      <c r="AT73" s="496">
        <f t="shared" si="3"/>
        <v>59.6</v>
      </c>
      <c r="AU73" s="480"/>
      <c r="AV73" s="480"/>
      <c r="AW73" s="501"/>
    </row>
    <row r="74" spans="1:49" ht="18.75" x14ac:dyDescent="0.3">
      <c r="A74" s="493" t="s">
        <v>261</v>
      </c>
      <c r="B74" s="499">
        <v>14.391</v>
      </c>
      <c r="C74" s="500">
        <v>14.696</v>
      </c>
      <c r="D74" s="496">
        <f t="shared" si="11"/>
        <v>2.1</v>
      </c>
      <c r="E74" s="499">
        <v>6036.1260000000002</v>
      </c>
      <c r="F74" s="500">
        <v>6573.9040000000005</v>
      </c>
      <c r="G74" s="496">
        <f t="shared" si="4"/>
        <v>8.9</v>
      </c>
      <c r="H74" s="499">
        <v>0.24</v>
      </c>
      <c r="I74" s="500">
        <v>1.587</v>
      </c>
      <c r="J74" s="496">
        <f>IF(H74=0, "    ---- ", IF(ABS(ROUND(100/H74*I74-100,1))&lt;999,ROUND(100/H74*I74-100,1),IF(ROUND(100/H74*I74-100,1)&gt;999,999,-999)))</f>
        <v>561.29999999999995</v>
      </c>
      <c r="K74" s="499">
        <v>142.88300000000001</v>
      </c>
      <c r="L74" s="500">
        <v>165.3</v>
      </c>
      <c r="M74" s="496">
        <f t="shared" si="13"/>
        <v>15.7</v>
      </c>
      <c r="N74" s="499"/>
      <c r="O74" s="500"/>
      <c r="P74" s="496"/>
      <c r="Q74" s="499">
        <v>20258.436636999999</v>
      </c>
      <c r="R74" s="500">
        <v>24291.524097000001</v>
      </c>
      <c r="S74" s="496">
        <f t="shared" si="0"/>
        <v>19.899999999999999</v>
      </c>
      <c r="T74" s="499">
        <v>37.454000000000001</v>
      </c>
      <c r="U74" s="500">
        <v>46.45</v>
      </c>
      <c r="V74" s="496">
        <f t="shared" si="9"/>
        <v>24</v>
      </c>
      <c r="W74" s="499">
        <v>1172.0999999999999</v>
      </c>
      <c r="X74" s="500">
        <v>1303.71</v>
      </c>
      <c r="Y74" s="496">
        <f t="shared" si="15"/>
        <v>11.2</v>
      </c>
      <c r="Z74" s="499">
        <v>2093</v>
      </c>
      <c r="AA74" s="500">
        <v>4068</v>
      </c>
      <c r="AB74" s="496">
        <f t="shared" si="5"/>
        <v>94.4</v>
      </c>
      <c r="AC74" s="499"/>
      <c r="AD74" s="500"/>
      <c r="AE74" s="496"/>
      <c r="AF74" s="499">
        <v>127.22173923</v>
      </c>
      <c r="AG74" s="500"/>
      <c r="AH74" s="496">
        <f t="shared" si="17"/>
        <v>-100</v>
      </c>
      <c r="AI74" s="499">
        <v>539.62400000000002</v>
      </c>
      <c r="AJ74" s="500">
        <v>605.97900000000004</v>
      </c>
      <c r="AK74" s="496">
        <f t="shared" si="1"/>
        <v>12.3</v>
      </c>
      <c r="AL74" s="499">
        <v>5197.8</v>
      </c>
      <c r="AM74" s="500">
        <v>6736</v>
      </c>
      <c r="AN74" s="496">
        <f t="shared" si="6"/>
        <v>29.6</v>
      </c>
      <c r="AO74" s="496">
        <f t="shared" si="7"/>
        <v>35619.276376230002</v>
      </c>
      <c r="AP74" s="496">
        <f t="shared" si="7"/>
        <v>43807.150096999998</v>
      </c>
      <c r="AQ74" s="496">
        <f t="shared" si="2"/>
        <v>23</v>
      </c>
      <c r="AR74" s="496">
        <f t="shared" si="10"/>
        <v>35619.276376230002</v>
      </c>
      <c r="AS74" s="496">
        <f t="shared" si="20"/>
        <v>63308.080096999998</v>
      </c>
      <c r="AT74" s="496">
        <f t="shared" si="3"/>
        <v>77.7</v>
      </c>
      <c r="AU74" s="480"/>
      <c r="AV74" s="480"/>
      <c r="AW74" s="501"/>
    </row>
    <row r="75" spans="1:49" ht="18.75" x14ac:dyDescent="0.3">
      <c r="A75" s="493" t="s">
        <v>262</v>
      </c>
      <c r="B75" s="499">
        <v>28.446999999999999</v>
      </c>
      <c r="C75" s="500">
        <v>34.515000000000001</v>
      </c>
      <c r="D75" s="496">
        <f t="shared" si="11"/>
        <v>21.3</v>
      </c>
      <c r="E75" s="499">
        <v>2454.4769999999999</v>
      </c>
      <c r="F75" s="500">
        <v>3452.8429999999998</v>
      </c>
      <c r="G75" s="496">
        <f t="shared" si="4"/>
        <v>40.700000000000003</v>
      </c>
      <c r="H75" s="499"/>
      <c r="I75" s="500"/>
      <c r="J75" s="496"/>
      <c r="K75" s="499">
        <v>1.32</v>
      </c>
      <c r="L75" s="500">
        <v>39.299999999999997</v>
      </c>
      <c r="M75" s="496">
        <f t="shared" si="13"/>
        <v>999</v>
      </c>
      <c r="N75" s="499"/>
      <c r="O75" s="500"/>
      <c r="P75" s="496"/>
      <c r="Q75" s="499">
        <v>23990.960118999999</v>
      </c>
      <c r="R75" s="500">
        <v>35417.039918000002</v>
      </c>
      <c r="S75" s="496">
        <f t="shared" si="0"/>
        <v>47.6</v>
      </c>
      <c r="T75" s="499">
        <v>67.284000000000006</v>
      </c>
      <c r="U75" s="500">
        <v>78.111000000000004</v>
      </c>
      <c r="V75" s="496">
        <f t="shared" si="9"/>
        <v>16.100000000000001</v>
      </c>
      <c r="W75" s="499">
        <v>837.21</v>
      </c>
      <c r="X75" s="500">
        <v>1383.99</v>
      </c>
      <c r="Y75" s="496">
        <f t="shared" si="15"/>
        <v>65.3</v>
      </c>
      <c r="Z75" s="499">
        <v>8985</v>
      </c>
      <c r="AA75" s="500">
        <v>11021</v>
      </c>
      <c r="AB75" s="496">
        <f t="shared" si="5"/>
        <v>22.7</v>
      </c>
      <c r="AC75" s="499"/>
      <c r="AD75" s="500"/>
      <c r="AE75" s="496"/>
      <c r="AF75" s="499">
        <v>231.01741529</v>
      </c>
      <c r="AG75" s="500"/>
      <c r="AH75" s="496">
        <f t="shared" si="17"/>
        <v>-100</v>
      </c>
      <c r="AI75" s="499">
        <v>1662.2539999999999</v>
      </c>
      <c r="AJ75" s="500">
        <v>2172.5500000000002</v>
      </c>
      <c r="AK75" s="496">
        <f t="shared" si="1"/>
        <v>30.7</v>
      </c>
      <c r="AL75" s="499">
        <v>5244</v>
      </c>
      <c r="AM75" s="500">
        <v>2158</v>
      </c>
      <c r="AN75" s="496">
        <f t="shared" si="6"/>
        <v>-58.8</v>
      </c>
      <c r="AO75" s="496">
        <f t="shared" si="7"/>
        <v>43501.969534289994</v>
      </c>
      <c r="AP75" s="496">
        <f t="shared" si="7"/>
        <v>55757.348918000003</v>
      </c>
      <c r="AQ75" s="496">
        <f t="shared" si="2"/>
        <v>28.2</v>
      </c>
      <c r="AR75" s="496">
        <f t="shared" si="10"/>
        <v>43501.969534289994</v>
      </c>
      <c r="AS75" s="496">
        <f t="shared" si="20"/>
        <v>76063.142917999998</v>
      </c>
      <c r="AT75" s="496">
        <f t="shared" si="3"/>
        <v>74.8</v>
      </c>
      <c r="AU75" s="480"/>
      <c r="AV75" s="480"/>
      <c r="AW75" s="501"/>
    </row>
    <row r="76" spans="1:49" ht="18.75" x14ac:dyDescent="0.3">
      <c r="A76" s="493" t="s">
        <v>422</v>
      </c>
      <c r="B76" s="499">
        <v>17.114000000000001</v>
      </c>
      <c r="C76" s="500">
        <v>16.385000000000002</v>
      </c>
      <c r="D76" s="496">
        <f t="shared" si="11"/>
        <v>-4.3</v>
      </c>
      <c r="E76" s="499">
        <v>1403.2950000000001</v>
      </c>
      <c r="F76" s="500">
        <v>0</v>
      </c>
      <c r="G76" s="496">
        <f t="shared" si="4"/>
        <v>-100</v>
      </c>
      <c r="H76" s="499"/>
      <c r="I76" s="500"/>
      <c r="J76" s="496"/>
      <c r="K76" s="499">
        <v>0.45900000000000002</v>
      </c>
      <c r="L76" s="500">
        <v>1</v>
      </c>
      <c r="M76" s="496">
        <f t="shared" si="13"/>
        <v>117.9</v>
      </c>
      <c r="N76" s="499"/>
      <c r="O76" s="500"/>
      <c r="P76" s="496"/>
      <c r="Q76" s="499">
        <v>15343.513548000001</v>
      </c>
      <c r="R76" s="500">
        <v>15642.648593</v>
      </c>
      <c r="S76" s="496">
        <f t="shared" si="0"/>
        <v>1.9</v>
      </c>
      <c r="T76" s="499">
        <v>12.763999999999999</v>
      </c>
      <c r="U76" s="500">
        <v>20.7</v>
      </c>
      <c r="V76" s="496">
        <f t="shared" si="9"/>
        <v>62.2</v>
      </c>
      <c r="W76" s="499">
        <v>674.75</v>
      </c>
      <c r="X76" s="500">
        <v>681.19</v>
      </c>
      <c r="Y76" s="496">
        <f t="shared" si="15"/>
        <v>1</v>
      </c>
      <c r="Z76" s="499">
        <v>2132</v>
      </c>
      <c r="AA76" s="500">
        <v>2042</v>
      </c>
      <c r="AB76" s="496">
        <f t="shared" si="5"/>
        <v>-4.2</v>
      </c>
      <c r="AC76" s="499"/>
      <c r="AD76" s="500"/>
      <c r="AE76" s="496"/>
      <c r="AF76" s="499"/>
      <c r="AG76" s="500"/>
      <c r="AH76" s="496"/>
      <c r="AI76" s="499">
        <v>331.25299999999999</v>
      </c>
      <c r="AJ76" s="500">
        <v>339.44499999999999</v>
      </c>
      <c r="AK76" s="496">
        <f t="shared" si="1"/>
        <v>2.5</v>
      </c>
      <c r="AL76" s="499">
        <v>2422</v>
      </c>
      <c r="AM76" s="500">
        <v>2424</v>
      </c>
      <c r="AN76" s="496">
        <f t="shared" si="6"/>
        <v>0.1</v>
      </c>
      <c r="AO76" s="496">
        <f t="shared" si="7"/>
        <v>22337.148548000001</v>
      </c>
      <c r="AP76" s="496">
        <f t="shared" si="7"/>
        <v>21167.368592999999</v>
      </c>
      <c r="AQ76" s="496">
        <f t="shared" si="2"/>
        <v>-5.2</v>
      </c>
      <c r="AR76" s="496">
        <f t="shared" si="10"/>
        <v>22337.148548000001</v>
      </c>
      <c r="AS76" s="496">
        <f t="shared" si="20"/>
        <v>26675.703592999998</v>
      </c>
      <c r="AT76" s="496">
        <f t="shared" si="3"/>
        <v>19.399999999999999</v>
      </c>
      <c r="AU76" s="480"/>
      <c r="AV76" s="480"/>
      <c r="AW76" s="501"/>
    </row>
    <row r="77" spans="1:49" ht="18.75" x14ac:dyDescent="0.3">
      <c r="A77" s="493" t="s">
        <v>423</v>
      </c>
      <c r="B77" s="499">
        <v>49.222999999999999</v>
      </c>
      <c r="C77" s="500">
        <v>50.286999999999999</v>
      </c>
      <c r="D77" s="496">
        <f t="shared" si="11"/>
        <v>2.2000000000000002</v>
      </c>
      <c r="E77" s="499">
        <v>241.01499999999999</v>
      </c>
      <c r="F77" s="500">
        <v>1027.385</v>
      </c>
      <c r="G77" s="496">
        <f t="shared" si="4"/>
        <v>326.3</v>
      </c>
      <c r="H77" s="499">
        <v>18.704000000000001</v>
      </c>
      <c r="I77" s="500">
        <v>22.242999999999999</v>
      </c>
      <c r="J77" s="496">
        <f t="shared" si="12"/>
        <v>18.899999999999999</v>
      </c>
      <c r="K77" s="499"/>
      <c r="L77" s="500"/>
      <c r="M77" s="496"/>
      <c r="N77" s="499">
        <v>23</v>
      </c>
      <c r="O77" s="500"/>
      <c r="P77" s="496">
        <f t="shared" si="14"/>
        <v>-100</v>
      </c>
      <c r="Q77" s="499"/>
      <c r="R77" s="500"/>
      <c r="S77" s="496"/>
      <c r="T77" s="499"/>
      <c r="U77" s="500"/>
      <c r="V77" s="496"/>
      <c r="W77" s="499"/>
      <c r="X77" s="500"/>
      <c r="Y77" s="496"/>
      <c r="Z77" s="499">
        <v>464</v>
      </c>
      <c r="AA77" s="500">
        <v>486</v>
      </c>
      <c r="AB77" s="496">
        <f t="shared" si="5"/>
        <v>4.7</v>
      </c>
      <c r="AC77" s="499"/>
      <c r="AD77" s="500"/>
      <c r="AE77" s="496"/>
      <c r="AF77" s="499"/>
      <c r="AG77" s="500"/>
      <c r="AH77" s="496"/>
      <c r="AI77" s="499">
        <v>0</v>
      </c>
      <c r="AJ77" s="500"/>
      <c r="AK77" s="496"/>
      <c r="AL77" s="499">
        <v>1482</v>
      </c>
      <c r="AM77" s="500">
        <v>644</v>
      </c>
      <c r="AN77" s="496">
        <f t="shared" si="6"/>
        <v>-56.5</v>
      </c>
      <c r="AO77" s="496">
        <f t="shared" si="7"/>
        <v>2254.942</v>
      </c>
      <c r="AP77" s="496"/>
      <c r="AQ77" s="496">
        <f t="shared" si="2"/>
        <v>-100</v>
      </c>
      <c r="AR77" s="496">
        <f t="shared" si="10"/>
        <v>2277.942</v>
      </c>
      <c r="AS77" s="496">
        <f t="shared" si="20"/>
        <v>2179.6279999999997</v>
      </c>
      <c r="AT77" s="496">
        <f t="shared" si="3"/>
        <v>-4.3</v>
      </c>
      <c r="AU77" s="480"/>
      <c r="AV77" s="480"/>
      <c r="AW77" s="501"/>
    </row>
    <row r="78" spans="1:49" ht="18.75" x14ac:dyDescent="0.3">
      <c r="A78" s="493" t="s">
        <v>263</v>
      </c>
      <c r="B78" s="499"/>
      <c r="C78" s="500"/>
      <c r="D78" s="496"/>
      <c r="E78" s="499"/>
      <c r="F78" s="500">
        <v>212.49199999999999</v>
      </c>
      <c r="G78" s="496" t="str">
        <f t="shared" ref="G78:G91" si="21">IF(E78=0, "    ---- ", IF(ABS(ROUND(100/E78*F78-100,1))&lt;999,ROUND(100/E78*F78-100,1),IF(ROUND(100/E78*F78-100,1)&gt;999,999,-999)))</f>
        <v xml:space="preserve">    ---- </v>
      </c>
      <c r="H78" s="499"/>
      <c r="I78" s="500"/>
      <c r="J78" s="496"/>
      <c r="K78" s="499">
        <v>30.11</v>
      </c>
      <c r="L78" s="500">
        <v>19</v>
      </c>
      <c r="M78" s="496">
        <f t="shared" ref="M78:M91" si="22">IF(K78=0, "    ---- ", IF(ABS(ROUND(100/K78*L78-100,1))&lt;999,ROUND(100/K78*L78-100,1),IF(ROUND(100/K78*L78-100,1)&gt;999,999,-999)))</f>
        <v>-36.9</v>
      </c>
      <c r="N78" s="499"/>
      <c r="O78" s="500"/>
      <c r="P78" s="496"/>
      <c r="Q78" s="499">
        <v>3992.6236319999998</v>
      </c>
      <c r="R78" s="500">
        <v>1598.9305999999999</v>
      </c>
      <c r="S78" s="496">
        <f t="shared" ref="S78:S91" si="23">IF(Q78=0, "    ---- ", IF(ABS(ROUND(100/Q78*R78-100,1))&lt;999,ROUND(100/Q78*R78-100,1),IF(ROUND(100/Q78*R78-100,1)&gt;999,999,-999)))</f>
        <v>-60</v>
      </c>
      <c r="T78" s="499">
        <v>8.4760000000000009</v>
      </c>
      <c r="U78" s="500">
        <v>5.9039999999999999</v>
      </c>
      <c r="V78" s="496">
        <f t="shared" ref="V78:V91" si="24">IF(T78=0, "    ---- ", IF(ABS(ROUND(100/T78*U78-100,1))&lt;999,ROUND(100/T78*U78-100,1),IF(ROUND(100/T78*U78-100,1)&gt;999,999,-999)))</f>
        <v>-30.3</v>
      </c>
      <c r="W78" s="499"/>
      <c r="X78" s="500"/>
      <c r="Y78" s="496"/>
      <c r="Z78" s="499">
        <v>742</v>
      </c>
      <c r="AA78" s="500">
        <v>1374</v>
      </c>
      <c r="AB78" s="496">
        <f t="shared" ref="AB78:AB91" si="25">IF(Z78=0, "    ---- ", IF(ABS(ROUND(100/Z78*AA78-100,1))&lt;999,ROUND(100/Z78*AA78-100,1),IF(ROUND(100/Z78*AA78-100,1)&gt;999,999,-999)))</f>
        <v>85.2</v>
      </c>
      <c r="AC78" s="499"/>
      <c r="AD78" s="500"/>
      <c r="AE78" s="496"/>
      <c r="AF78" s="499"/>
      <c r="AG78" s="500"/>
      <c r="AH78" s="496"/>
      <c r="AI78" s="499">
        <v>111.7044930000002</v>
      </c>
      <c r="AJ78" s="500">
        <v>96.176598000000197</v>
      </c>
      <c r="AK78" s="496">
        <f t="shared" ref="AK78:AK91" si="26">IF(AI78=0, "    ---- ", IF(ABS(ROUND(100/AI78*AJ78-100,1))&lt;999,ROUND(100/AI78*AJ78-100,1),IF(ROUND(100/AI78*AJ78-100,1)&gt;999,999,-999)))</f>
        <v>-13.9</v>
      </c>
      <c r="AL78" s="499">
        <v>676</v>
      </c>
      <c r="AM78" s="500">
        <v>2642</v>
      </c>
      <c r="AN78" s="496">
        <f t="shared" ref="AN78:AN91" si="27">IF(AL78=0, "    ---- ", IF(ABS(ROUND(100/AL78*AM78-100,1))&lt;999,ROUND(100/AL78*AM78-100,1),IF(ROUND(100/AL78*AM78-100,1)&gt;999,999,-999)))</f>
        <v>290.8</v>
      </c>
      <c r="AO78" s="496">
        <f t="shared" ref="AO78:AP89" si="28">B78+E78+H78+K78+Q78+T78+W78+Z78+AF78+AI78+AL78</f>
        <v>5560.9141250000002</v>
      </c>
      <c r="AP78" s="496">
        <f t="shared" si="28"/>
        <v>5948.5031980000003</v>
      </c>
      <c r="AQ78" s="496">
        <f t="shared" ref="AQ78:AQ91" si="29">IF(AO78=0, "    ---- ", IF(ABS(ROUND(100/AO78*AP78-100,1))&lt;999,ROUND(100/AO78*AP78-100,1),IF(ROUND(100/AO78*AP78-100,1)&gt;999,999,-999)))</f>
        <v>7</v>
      </c>
      <c r="AR78" s="496">
        <f t="shared" si="10"/>
        <v>5560.9141250000002</v>
      </c>
      <c r="AS78" s="496">
        <f t="shared" si="20"/>
        <v>10298.075796000001</v>
      </c>
      <c r="AT78" s="496">
        <f t="shared" ref="AT78:AT91" si="30">IF(AR78=0, "    ---- ", IF(ABS(ROUND(100/AR78*AS78-100,1))&lt;999,ROUND(100/AR78*AS78-100,1),IF(ROUND(100/AR78*AS78-100,1)&gt;999,999,-999)))</f>
        <v>85.2</v>
      </c>
      <c r="AU78" s="480"/>
      <c r="AV78" s="480"/>
      <c r="AW78" s="501"/>
    </row>
    <row r="79" spans="1:49" ht="18.75" x14ac:dyDescent="0.3">
      <c r="A79" s="497" t="s">
        <v>264</v>
      </c>
      <c r="B79" s="499">
        <v>910.11700000000008</v>
      </c>
      <c r="C79" s="500">
        <v>981.72799999999995</v>
      </c>
      <c r="D79" s="496">
        <f t="shared" ref="D79:D91" si="31">IF(B79=0, "    ---- ", IF(ABS(ROUND(100/B79*C79-100,1))&lt;999,ROUND(100/B79*C79-100,1),IF(ROUND(100/B79*C79-100,1)&gt;999,999,-999)))</f>
        <v>7.9</v>
      </c>
      <c r="E79" s="499">
        <v>210054.25100000005</v>
      </c>
      <c r="F79" s="500">
        <v>209230.13700000002</v>
      </c>
      <c r="G79" s="496">
        <f t="shared" si="21"/>
        <v>-0.4</v>
      </c>
      <c r="H79" s="499">
        <v>912.60899999999992</v>
      </c>
      <c r="I79" s="500">
        <v>1067.8879999999999</v>
      </c>
      <c r="J79" s="496">
        <f t="shared" ref="J79:J91" si="32">IF(H79=0, "    ---- ", IF(ABS(ROUND(100/H79*I79-100,1))&lt;999,ROUND(100/H79*I79-100,1),IF(ROUND(100/H79*I79-100,1)&gt;999,999,-999)))</f>
        <v>17</v>
      </c>
      <c r="K79" s="499">
        <v>5146.9839999999986</v>
      </c>
      <c r="L79" s="500">
        <v>5726.7</v>
      </c>
      <c r="M79" s="496">
        <f t="shared" si="22"/>
        <v>11.3</v>
      </c>
      <c r="N79" s="499">
        <v>84</v>
      </c>
      <c r="O79" s="500">
        <v>72</v>
      </c>
      <c r="P79" s="496">
        <f t="shared" ref="P79:P91" si="33">IF(N79=0, "    ---- ", IF(ABS(ROUND(100/N79*O79-100,1))&lt;999,ROUND(100/N79*O79-100,1),IF(ROUND(100/N79*O79-100,1)&gt;999,999,-999)))</f>
        <v>-14.3</v>
      </c>
      <c r="Q79" s="499">
        <v>432025.82363988005</v>
      </c>
      <c r="R79" s="500">
        <v>467662.84758031007</v>
      </c>
      <c r="S79" s="496">
        <f t="shared" si="23"/>
        <v>8.1999999999999993</v>
      </c>
      <c r="T79" s="499">
        <v>1511.5820000000001</v>
      </c>
      <c r="U79" s="500">
        <v>1612.8530000000001</v>
      </c>
      <c r="V79" s="496">
        <f t="shared" si="24"/>
        <v>6.7</v>
      </c>
      <c r="W79" s="499">
        <v>48064.765021499901</v>
      </c>
      <c r="X79" s="500">
        <v>49326.979999999996</v>
      </c>
      <c r="Y79" s="496">
        <f t="shared" ref="Y79:Y91" si="34">IF(W79=0, "    ---- ", IF(ABS(ROUND(100/W79*X79-100,1))&lt;999,ROUND(100/W79*X79-100,1),IF(ROUND(100/W79*X79-100,1)&gt;999,999,-999)))</f>
        <v>2.6</v>
      </c>
      <c r="Z79" s="499">
        <v>70556</v>
      </c>
      <c r="AA79" s="500">
        <v>77572</v>
      </c>
      <c r="AB79" s="496">
        <f t="shared" si="25"/>
        <v>9.9</v>
      </c>
      <c r="AC79" s="499"/>
      <c r="AD79" s="500"/>
      <c r="AE79" s="496"/>
      <c r="AF79" s="499">
        <v>8612.8770735400012</v>
      </c>
      <c r="AG79" s="500"/>
      <c r="AH79" s="496">
        <f t="shared" ref="AH79:AH91" si="35">IF(AF79=0, "    ---- ", IF(ABS(ROUND(100/AF79*AG79-100,1))&lt;999,ROUND(100/AF79*AG79-100,1),IF(ROUND(100/AF79*AG79-100,1)&gt;999,999,-999)))</f>
        <v>-100</v>
      </c>
      <c r="AI79" s="499">
        <v>20323.289493</v>
      </c>
      <c r="AJ79" s="500">
        <v>22098.911597999999</v>
      </c>
      <c r="AK79" s="496">
        <f t="shared" si="26"/>
        <v>8.6999999999999993</v>
      </c>
      <c r="AL79" s="499">
        <v>181918.8</v>
      </c>
      <c r="AM79" s="500">
        <v>184253</v>
      </c>
      <c r="AN79" s="496">
        <f t="shared" si="27"/>
        <v>1.3</v>
      </c>
      <c r="AO79" s="496">
        <f>B79+E79+H79+K79+Q79+T79+W79+Z79+AF79+AI79+AL79</f>
        <v>980037.09822792001</v>
      </c>
      <c r="AP79" s="496">
        <f t="shared" si="28"/>
        <v>1019533.0451783101</v>
      </c>
      <c r="AQ79" s="496">
        <f t="shared" si="29"/>
        <v>4</v>
      </c>
      <c r="AR79" s="496">
        <f t="shared" si="10"/>
        <v>980121.09822792001</v>
      </c>
      <c r="AS79" s="496">
        <f t="shared" si="20"/>
        <v>1570493.51477631</v>
      </c>
      <c r="AT79" s="496">
        <f t="shared" si="30"/>
        <v>60.2</v>
      </c>
      <c r="AU79" s="480"/>
      <c r="AV79" s="480"/>
      <c r="AW79" s="501"/>
    </row>
    <row r="80" spans="1:49" ht="18.75" x14ac:dyDescent="0.3">
      <c r="A80" s="493" t="s">
        <v>265</v>
      </c>
      <c r="B80" s="499"/>
      <c r="C80" s="500"/>
      <c r="D80" s="496"/>
      <c r="E80" s="499"/>
      <c r="F80" s="500"/>
      <c r="G80" s="496"/>
      <c r="H80" s="499"/>
      <c r="I80" s="500"/>
      <c r="J80" s="496"/>
      <c r="K80" s="499"/>
      <c r="L80" s="500"/>
      <c r="M80" s="496"/>
      <c r="N80" s="499"/>
      <c r="O80" s="500"/>
      <c r="P80" s="496"/>
      <c r="Q80" s="499"/>
      <c r="R80" s="500"/>
      <c r="S80" s="496"/>
      <c r="T80" s="499"/>
      <c r="U80" s="500"/>
      <c r="V80" s="496"/>
      <c r="W80" s="499"/>
      <c r="X80" s="500"/>
      <c r="Y80" s="496"/>
      <c r="Z80" s="499"/>
      <c r="AA80" s="500"/>
      <c r="AB80" s="496"/>
      <c r="AC80" s="499"/>
      <c r="AD80" s="500"/>
      <c r="AE80" s="496"/>
      <c r="AF80" s="499"/>
      <c r="AG80" s="500"/>
      <c r="AH80" s="496"/>
      <c r="AI80" s="499"/>
      <c r="AJ80" s="500"/>
      <c r="AK80" s="496"/>
      <c r="AL80" s="499"/>
      <c r="AM80" s="500"/>
      <c r="AN80" s="496"/>
      <c r="AO80" s="496"/>
      <c r="AP80" s="496"/>
      <c r="AQ80" s="496"/>
      <c r="AR80" s="496"/>
      <c r="AS80" s="496"/>
      <c r="AT80" s="496"/>
      <c r="AU80" s="480"/>
      <c r="AV80" s="480"/>
      <c r="AW80" s="501"/>
    </row>
    <row r="81" spans="1:74" ht="18.75" x14ac:dyDescent="0.3">
      <c r="A81" s="493" t="s">
        <v>266</v>
      </c>
      <c r="B81" s="499">
        <v>12498.489</v>
      </c>
      <c r="C81" s="500">
        <v>15431.614</v>
      </c>
      <c r="D81" s="496">
        <f t="shared" si="31"/>
        <v>23.5</v>
      </c>
      <c r="E81" s="499">
        <v>52228.535000000003</v>
      </c>
      <c r="F81" s="500">
        <v>66960.414999999994</v>
      </c>
      <c r="G81" s="496">
        <f t="shared" si="21"/>
        <v>28.2</v>
      </c>
      <c r="H81" s="499">
        <v>2394.875</v>
      </c>
      <c r="I81" s="500">
        <v>2925.2689999999998</v>
      </c>
      <c r="J81" s="496">
        <f t="shared" si="32"/>
        <v>22.1</v>
      </c>
      <c r="K81" s="499">
        <v>15714.099</v>
      </c>
      <c r="L81" s="500">
        <v>20184.5</v>
      </c>
      <c r="M81" s="496">
        <f t="shared" si="22"/>
        <v>28.4</v>
      </c>
      <c r="N81" s="499"/>
      <c r="O81" s="500"/>
      <c r="P81" s="496"/>
      <c r="Q81" s="499">
        <v>1738.7670021500001</v>
      </c>
      <c r="R81" s="500">
        <v>1822.35388515</v>
      </c>
      <c r="S81" s="496">
        <f t="shared" si="23"/>
        <v>4.8</v>
      </c>
      <c r="T81" s="499">
        <v>1353.5550000000001</v>
      </c>
      <c r="U81" s="500">
        <v>2174.0369999999998</v>
      </c>
      <c r="V81" s="496">
        <f t="shared" si="24"/>
        <v>60.6</v>
      </c>
      <c r="W81" s="499">
        <v>42006.581099999996</v>
      </c>
      <c r="X81" s="500">
        <v>52390.62</v>
      </c>
      <c r="Y81" s="496">
        <f t="shared" si="34"/>
        <v>24.7</v>
      </c>
      <c r="Z81" s="499"/>
      <c r="AA81" s="500"/>
      <c r="AB81" s="496"/>
      <c r="AC81" s="499">
        <v>1571</v>
      </c>
      <c r="AD81" s="500">
        <v>1904</v>
      </c>
      <c r="AE81" s="496">
        <f t="shared" ref="AE81:AE91" si="36">IF(AC81=0, "    ---- ", IF(ABS(ROUND(100/AC81*AD81-100,1))&lt;999,ROUND(100/AC81*AD81-100,1),IF(ROUND(100/AC81*AD81-100,1)&gt;999,999,-999)))</f>
        <v>21.2</v>
      </c>
      <c r="AF81" s="499">
        <v>515.69420324999999</v>
      </c>
      <c r="AG81" s="500"/>
      <c r="AH81" s="496">
        <f t="shared" si="35"/>
        <v>-100</v>
      </c>
      <c r="AI81" s="499">
        <v>16553.573</v>
      </c>
      <c r="AJ81" s="500">
        <v>21393.569</v>
      </c>
      <c r="AK81" s="496">
        <f t="shared" si="26"/>
        <v>29.2</v>
      </c>
      <c r="AL81" s="499">
        <v>58094.400000000001</v>
      </c>
      <c r="AM81" s="500">
        <v>71312</v>
      </c>
      <c r="AN81" s="496">
        <f t="shared" si="27"/>
        <v>22.8</v>
      </c>
      <c r="AO81" s="496">
        <f>B81+E81+H81+K81+Q81+T81+W81+Z81+AF81+AI81+AL81</f>
        <v>203098.56830539997</v>
      </c>
      <c r="AP81" s="496">
        <f t="shared" si="28"/>
        <v>254594.37788515</v>
      </c>
      <c r="AQ81" s="496">
        <f t="shared" si="29"/>
        <v>25.4</v>
      </c>
      <c r="AR81" s="496">
        <f t="shared" ref="AR81:AR91" si="37">B81+E81+H81+K81+N81+Q81+T81+W81+Z81+AC81+AF81+AI81+AL81</f>
        <v>204669.56830539997</v>
      </c>
      <c r="AS81" s="496">
        <f t="shared" si="20"/>
        <v>493838.78788514994</v>
      </c>
      <c r="AT81" s="496">
        <f t="shared" si="30"/>
        <v>141.30000000000001</v>
      </c>
      <c r="AU81" s="480"/>
      <c r="AV81" s="480"/>
      <c r="AW81" s="501"/>
    </row>
    <row r="82" spans="1:74" ht="18.75" x14ac:dyDescent="0.3">
      <c r="A82" s="493" t="s">
        <v>424</v>
      </c>
      <c r="B82" s="499"/>
      <c r="C82" s="500"/>
      <c r="D82" s="496"/>
      <c r="E82" s="499"/>
      <c r="F82" s="500"/>
      <c r="G82" s="496"/>
      <c r="H82" s="499"/>
      <c r="I82" s="500"/>
      <c r="J82" s="496"/>
      <c r="K82" s="499"/>
      <c r="L82" s="500"/>
      <c r="M82" s="496"/>
      <c r="N82" s="499"/>
      <c r="O82" s="500"/>
      <c r="P82" s="496"/>
      <c r="Q82" s="499">
        <v>114.136776</v>
      </c>
      <c r="R82" s="500">
        <v>134.53005400000001</v>
      </c>
      <c r="S82" s="496">
        <f t="shared" si="23"/>
        <v>17.899999999999999</v>
      </c>
      <c r="T82" s="499"/>
      <c r="U82" s="500"/>
      <c r="V82" s="496"/>
      <c r="W82" s="499"/>
      <c r="X82" s="500"/>
      <c r="Y82" s="496"/>
      <c r="Z82" s="499"/>
      <c r="AA82" s="500"/>
      <c r="AB82" s="496"/>
      <c r="AC82" s="499"/>
      <c r="AD82" s="500"/>
      <c r="AE82" s="496"/>
      <c r="AF82" s="499"/>
      <c r="AG82" s="500"/>
      <c r="AH82" s="496"/>
      <c r="AI82" s="499"/>
      <c r="AJ82" s="500"/>
      <c r="AK82" s="496"/>
      <c r="AL82" s="499"/>
      <c r="AM82" s="500"/>
      <c r="AN82" s="496"/>
      <c r="AO82" s="496">
        <f>B82+E82+H82+K82+Q82+T82+W82+Z82+AF82+AI82+AL82</f>
        <v>114.136776</v>
      </c>
      <c r="AP82" s="496">
        <f t="shared" si="28"/>
        <v>134.53005400000001</v>
      </c>
      <c r="AQ82" s="496">
        <f t="shared" si="29"/>
        <v>17.899999999999999</v>
      </c>
      <c r="AR82" s="496">
        <f t="shared" si="37"/>
        <v>114.136776</v>
      </c>
      <c r="AS82" s="496">
        <f t="shared" si="20"/>
        <v>134.53005400000001</v>
      </c>
      <c r="AT82" s="496">
        <f t="shared" si="30"/>
        <v>17.899999999999999</v>
      </c>
      <c r="AU82" s="480"/>
      <c r="AV82" s="480"/>
      <c r="AW82" s="501"/>
    </row>
    <row r="83" spans="1:74" ht="18.75" x14ac:dyDescent="0.3">
      <c r="A83" s="493" t="s">
        <v>425</v>
      </c>
      <c r="B83" s="507">
        <v>101.042</v>
      </c>
      <c r="C83" s="496">
        <v>84.626999999999995</v>
      </c>
      <c r="D83" s="496">
        <f t="shared" si="31"/>
        <v>-16.2</v>
      </c>
      <c r="E83" s="507">
        <v>664.29</v>
      </c>
      <c r="F83" s="496">
        <v>719.94399999999996</v>
      </c>
      <c r="G83" s="496">
        <f t="shared" si="21"/>
        <v>8.4</v>
      </c>
      <c r="H83" s="507"/>
      <c r="I83" s="496"/>
      <c r="J83" s="496"/>
      <c r="K83" s="507">
        <v>299.39400000000001</v>
      </c>
      <c r="L83" s="496">
        <v>338.1</v>
      </c>
      <c r="M83" s="496">
        <f t="shared" si="22"/>
        <v>12.9</v>
      </c>
      <c r="N83" s="507"/>
      <c r="O83" s="496"/>
      <c r="P83" s="496"/>
      <c r="Q83" s="507">
        <v>240.45331300000001</v>
      </c>
      <c r="R83" s="496">
        <v>287.777378</v>
      </c>
      <c r="S83" s="496">
        <f t="shared" si="23"/>
        <v>19.7</v>
      </c>
      <c r="T83" s="507">
        <v>8.2870000000000008</v>
      </c>
      <c r="U83" s="496">
        <v>8.9779999999999998</v>
      </c>
      <c r="V83" s="496">
        <f t="shared" si="24"/>
        <v>8.3000000000000007</v>
      </c>
      <c r="W83" s="507"/>
      <c r="X83" s="496"/>
      <c r="Y83" s="496"/>
      <c r="Z83" s="507"/>
      <c r="AA83" s="496"/>
      <c r="AB83" s="496"/>
      <c r="AC83" s="507"/>
      <c r="AD83" s="496"/>
      <c r="AE83" s="496"/>
      <c r="AF83" s="507"/>
      <c r="AG83" s="496"/>
      <c r="AH83" s="496"/>
      <c r="AI83" s="507">
        <v>375.31200000000001</v>
      </c>
      <c r="AJ83" s="496">
        <v>408.99799999999999</v>
      </c>
      <c r="AK83" s="496">
        <f t="shared" si="26"/>
        <v>9</v>
      </c>
      <c r="AL83" s="507"/>
      <c r="AM83" s="496"/>
      <c r="AN83" s="496"/>
      <c r="AO83" s="496">
        <f>B83+E83+H83+K83+Q83+T83+W83+Z83+AF83+AI83+AL83</f>
        <v>1688.7783130000003</v>
      </c>
      <c r="AP83" s="496">
        <f t="shared" si="28"/>
        <v>1848.4243779999999</v>
      </c>
      <c r="AQ83" s="496">
        <f t="shared" si="29"/>
        <v>9.5</v>
      </c>
      <c r="AR83" s="496">
        <f t="shared" si="37"/>
        <v>1688.7783130000003</v>
      </c>
      <c r="AS83" s="496">
        <f t="shared" si="20"/>
        <v>3324.4443780000001</v>
      </c>
      <c r="AT83" s="496">
        <f t="shared" si="30"/>
        <v>96.9</v>
      </c>
      <c r="AU83" s="480"/>
      <c r="AV83" s="480"/>
      <c r="AW83" s="501"/>
    </row>
    <row r="84" spans="1:74" ht="18.75" x14ac:dyDescent="0.3">
      <c r="A84" s="493" t="s">
        <v>263</v>
      </c>
      <c r="B84" s="499"/>
      <c r="C84" s="500"/>
      <c r="D84" s="496"/>
      <c r="E84" s="499"/>
      <c r="F84" s="500"/>
      <c r="G84" s="496"/>
      <c r="H84" s="499"/>
      <c r="I84" s="500"/>
      <c r="J84" s="496"/>
      <c r="K84" s="499"/>
      <c r="L84" s="500"/>
      <c r="M84" s="496"/>
      <c r="N84" s="499"/>
      <c r="O84" s="500"/>
      <c r="P84" s="496"/>
      <c r="Q84" s="499">
        <v>26.861871000000001</v>
      </c>
      <c r="R84" s="500">
        <v>44.17794</v>
      </c>
      <c r="S84" s="496">
        <f t="shared" si="23"/>
        <v>64.5</v>
      </c>
      <c r="T84" s="499"/>
      <c r="U84" s="500"/>
      <c r="V84" s="496"/>
      <c r="W84" s="499"/>
      <c r="X84" s="500"/>
      <c r="Y84" s="496"/>
      <c r="Z84" s="499"/>
      <c r="AA84" s="500"/>
      <c r="AB84" s="496"/>
      <c r="AC84" s="499"/>
      <c r="AD84" s="500"/>
      <c r="AE84" s="496"/>
      <c r="AF84" s="499"/>
      <c r="AG84" s="500"/>
      <c r="AH84" s="496"/>
      <c r="AI84" s="499"/>
      <c r="AJ84" s="500"/>
      <c r="AK84" s="496"/>
      <c r="AL84" s="499"/>
      <c r="AM84" s="500"/>
      <c r="AN84" s="496"/>
      <c r="AO84" s="496">
        <f>B84+E84+H84+K84+Q84+T84+W84+Z84+AF84+AI84+AL84</f>
        <v>26.861871000000001</v>
      </c>
      <c r="AP84" s="496">
        <f t="shared" si="28"/>
        <v>44.17794</v>
      </c>
      <c r="AQ84" s="496">
        <f t="shared" si="29"/>
        <v>64.5</v>
      </c>
      <c r="AR84" s="496">
        <f t="shared" si="37"/>
        <v>26.861871000000001</v>
      </c>
      <c r="AS84" s="496">
        <f t="shared" si="20"/>
        <v>44.17794</v>
      </c>
      <c r="AT84" s="496">
        <f t="shared" si="30"/>
        <v>64.5</v>
      </c>
      <c r="AU84" s="480"/>
      <c r="AV84" s="480"/>
      <c r="AW84" s="501"/>
    </row>
    <row r="85" spans="1:74" ht="18.75" x14ac:dyDescent="0.3">
      <c r="A85" s="497" t="s">
        <v>267</v>
      </c>
      <c r="B85" s="499">
        <v>12599.530999999999</v>
      </c>
      <c r="C85" s="500">
        <v>15516.241</v>
      </c>
      <c r="D85" s="496">
        <f t="shared" si="31"/>
        <v>23.1</v>
      </c>
      <c r="E85" s="499">
        <v>52892.825000000004</v>
      </c>
      <c r="F85" s="500">
        <v>67680.358999999997</v>
      </c>
      <c r="G85" s="496">
        <f t="shared" si="21"/>
        <v>28</v>
      </c>
      <c r="H85" s="499">
        <v>2394.875</v>
      </c>
      <c r="I85" s="500">
        <v>2925.2689999999998</v>
      </c>
      <c r="J85" s="496">
        <f t="shared" si="32"/>
        <v>22.1</v>
      </c>
      <c r="K85" s="499">
        <v>16013.493</v>
      </c>
      <c r="L85" s="500">
        <v>20522.7</v>
      </c>
      <c r="M85" s="496">
        <f t="shared" si="22"/>
        <v>28.2</v>
      </c>
      <c r="N85" s="499"/>
      <c r="O85" s="500"/>
      <c r="P85" s="496"/>
      <c r="Q85" s="499">
        <v>2120.2189621500002</v>
      </c>
      <c r="R85" s="500">
        <v>2288.8392571500003</v>
      </c>
      <c r="S85" s="496">
        <f t="shared" si="23"/>
        <v>8</v>
      </c>
      <c r="T85" s="499">
        <v>1361.8420000000001</v>
      </c>
      <c r="U85" s="500">
        <v>2183.0149999999999</v>
      </c>
      <c r="V85" s="496">
        <f t="shared" si="24"/>
        <v>60.3</v>
      </c>
      <c r="W85" s="499">
        <v>42006.581100000003</v>
      </c>
      <c r="X85" s="500">
        <v>52390.62</v>
      </c>
      <c r="Y85" s="496">
        <f t="shared" si="34"/>
        <v>24.7</v>
      </c>
      <c r="Z85" s="499"/>
      <c r="AA85" s="500"/>
      <c r="AB85" s="496"/>
      <c r="AC85" s="499">
        <v>1571</v>
      </c>
      <c r="AD85" s="500">
        <v>1904</v>
      </c>
      <c r="AE85" s="496">
        <f t="shared" si="36"/>
        <v>21.2</v>
      </c>
      <c r="AF85" s="499">
        <v>515.69420324999999</v>
      </c>
      <c r="AG85" s="500"/>
      <c r="AH85" s="496">
        <f t="shared" si="35"/>
        <v>-100</v>
      </c>
      <c r="AI85" s="499">
        <v>16928.885000000002</v>
      </c>
      <c r="AJ85" s="500">
        <v>21802.566999999999</v>
      </c>
      <c r="AK85" s="496">
        <f t="shared" si="26"/>
        <v>28.8</v>
      </c>
      <c r="AL85" s="499">
        <v>58094.400000000001</v>
      </c>
      <c r="AM85" s="500">
        <v>71312</v>
      </c>
      <c r="AN85" s="496">
        <f t="shared" si="27"/>
        <v>22.8</v>
      </c>
      <c r="AO85" s="496">
        <f t="shared" si="28"/>
        <v>204928.34526540001</v>
      </c>
      <c r="AP85" s="496">
        <f t="shared" si="28"/>
        <v>256621.61025714999</v>
      </c>
      <c r="AQ85" s="496">
        <f t="shared" si="29"/>
        <v>25.2</v>
      </c>
      <c r="AR85" s="496">
        <f t="shared" si="37"/>
        <v>206499.34526540001</v>
      </c>
      <c r="AS85" s="496">
        <f t="shared" si="20"/>
        <v>497342.14025714999</v>
      </c>
      <c r="AT85" s="496">
        <f t="shared" si="30"/>
        <v>140.80000000000001</v>
      </c>
      <c r="AU85" s="480"/>
      <c r="AV85" s="480"/>
      <c r="AW85" s="501"/>
    </row>
    <row r="86" spans="1:74" ht="18.75" x14ac:dyDescent="0.3">
      <c r="A86" s="493" t="s">
        <v>268</v>
      </c>
      <c r="B86" s="499">
        <v>27.413</v>
      </c>
      <c r="C86" s="500">
        <v>22.07</v>
      </c>
      <c r="D86" s="496">
        <f t="shared" si="31"/>
        <v>-19.5</v>
      </c>
      <c r="E86" s="499">
        <v>898.50300000000004</v>
      </c>
      <c r="F86" s="500">
        <v>824.79499999999996</v>
      </c>
      <c r="G86" s="496">
        <f t="shared" si="21"/>
        <v>-8.1999999999999993</v>
      </c>
      <c r="H86" s="499">
        <v>54.741</v>
      </c>
      <c r="I86" s="500">
        <v>66.772999999999996</v>
      </c>
      <c r="J86" s="496">
        <f t="shared" si="32"/>
        <v>22</v>
      </c>
      <c r="K86" s="499">
        <v>30.451000000000001</v>
      </c>
      <c r="L86" s="500">
        <v>16.5</v>
      </c>
      <c r="M86" s="496">
        <f t="shared" si="22"/>
        <v>-45.8</v>
      </c>
      <c r="N86" s="499">
        <v>1</v>
      </c>
      <c r="O86" s="500">
        <v>1</v>
      </c>
      <c r="P86" s="496">
        <f t="shared" si="33"/>
        <v>0</v>
      </c>
      <c r="Q86" s="499">
        <v>662.60305119000009</v>
      </c>
      <c r="R86" s="500">
        <v>485.51940683999999</v>
      </c>
      <c r="S86" s="496">
        <f t="shared" si="23"/>
        <v>-26.7</v>
      </c>
      <c r="T86" s="499">
        <v>7.0419999999999998</v>
      </c>
      <c r="U86" s="500">
        <v>6.4630000000000001</v>
      </c>
      <c r="V86" s="496">
        <f t="shared" si="24"/>
        <v>-8.1999999999999993</v>
      </c>
      <c r="W86" s="499">
        <v>349.56</v>
      </c>
      <c r="X86" s="500">
        <v>432.75</v>
      </c>
      <c r="Y86" s="496">
        <f t="shared" si="34"/>
        <v>23.8</v>
      </c>
      <c r="Z86" s="499"/>
      <c r="AA86" s="500"/>
      <c r="AB86" s="496"/>
      <c r="AC86" s="499"/>
      <c r="AD86" s="500"/>
      <c r="AE86" s="496"/>
      <c r="AF86" s="499">
        <v>16.22373438</v>
      </c>
      <c r="AG86" s="500"/>
      <c r="AH86" s="496">
        <f t="shared" si="35"/>
        <v>-100</v>
      </c>
      <c r="AI86" s="499">
        <v>789.60400000000004</v>
      </c>
      <c r="AJ86" s="500">
        <v>701.63300000000004</v>
      </c>
      <c r="AK86" s="496">
        <f t="shared" si="26"/>
        <v>-11.1</v>
      </c>
      <c r="AL86" s="499">
        <v>123</v>
      </c>
      <c r="AM86" s="500">
        <v>58</v>
      </c>
      <c r="AN86" s="496">
        <f t="shared" si="27"/>
        <v>-52.8</v>
      </c>
      <c r="AO86" s="496">
        <f t="shared" si="28"/>
        <v>2959.1407855699999</v>
      </c>
      <c r="AP86" s="496">
        <f t="shared" si="28"/>
        <v>2614.50340684</v>
      </c>
      <c r="AQ86" s="496">
        <f t="shared" si="29"/>
        <v>-11.6</v>
      </c>
      <c r="AR86" s="496">
        <f t="shared" si="37"/>
        <v>2960.1407855699999</v>
      </c>
      <c r="AS86" s="496">
        <f t="shared" si="20"/>
        <v>4722.4174068399998</v>
      </c>
      <c r="AT86" s="496">
        <f t="shared" si="30"/>
        <v>59.5</v>
      </c>
      <c r="AU86" s="480"/>
      <c r="AV86" s="480"/>
      <c r="AW86" s="501"/>
    </row>
    <row r="87" spans="1:74" ht="18.75" x14ac:dyDescent="0.3">
      <c r="A87" s="493" t="s">
        <v>269</v>
      </c>
      <c r="B87" s="499"/>
      <c r="C87" s="500"/>
      <c r="D87" s="496"/>
      <c r="E87" s="499"/>
      <c r="F87" s="500"/>
      <c r="G87" s="496"/>
      <c r="H87" s="499"/>
      <c r="I87" s="500"/>
      <c r="J87" s="496"/>
      <c r="K87" s="499"/>
      <c r="L87" s="500"/>
      <c r="M87" s="496"/>
      <c r="N87" s="499"/>
      <c r="O87" s="500"/>
      <c r="P87" s="496"/>
      <c r="Q87" s="499"/>
      <c r="R87" s="500"/>
      <c r="S87" s="496"/>
      <c r="T87" s="499"/>
      <c r="U87" s="500"/>
      <c r="V87" s="496"/>
      <c r="W87" s="499"/>
      <c r="X87" s="500"/>
      <c r="Y87" s="496"/>
      <c r="Z87" s="499"/>
      <c r="AA87" s="500"/>
      <c r="AB87" s="496"/>
      <c r="AC87" s="499"/>
      <c r="AD87" s="500"/>
      <c r="AE87" s="496"/>
      <c r="AF87" s="499">
        <v>2.5431509600000002</v>
      </c>
      <c r="AG87" s="500"/>
      <c r="AH87" s="496">
        <f t="shared" si="35"/>
        <v>-100</v>
      </c>
      <c r="AI87" s="499">
        <v>237.29300000000001</v>
      </c>
      <c r="AJ87" s="500">
        <v>259.80799999999999</v>
      </c>
      <c r="AK87" s="496">
        <f t="shared" si="26"/>
        <v>9.5</v>
      </c>
      <c r="AL87" s="499"/>
      <c r="AM87" s="500"/>
      <c r="AN87" s="496"/>
      <c r="AO87" s="496">
        <f t="shared" si="28"/>
        <v>239.83615096</v>
      </c>
      <c r="AP87" s="496">
        <f t="shared" si="28"/>
        <v>259.80799999999999</v>
      </c>
      <c r="AQ87" s="496">
        <f t="shared" si="29"/>
        <v>8.3000000000000007</v>
      </c>
      <c r="AR87" s="496">
        <f t="shared" si="37"/>
        <v>239.83615096</v>
      </c>
      <c r="AS87" s="496">
        <f t="shared" si="20"/>
        <v>519.61599999999999</v>
      </c>
      <c r="AT87" s="496">
        <f t="shared" si="30"/>
        <v>116.7</v>
      </c>
      <c r="AU87" s="480"/>
      <c r="AV87" s="480"/>
      <c r="AW87" s="501"/>
    </row>
    <row r="88" spans="1:74" ht="18.75" x14ac:dyDescent="0.3">
      <c r="A88" s="493" t="s">
        <v>270</v>
      </c>
      <c r="B88" s="499">
        <v>65.015000000000001</v>
      </c>
      <c r="C88" s="500">
        <v>60.262</v>
      </c>
      <c r="D88" s="496">
        <f t="shared" si="31"/>
        <v>-7.3</v>
      </c>
      <c r="E88" s="499">
        <v>2738.4029999999998</v>
      </c>
      <c r="F88" s="500">
        <v>1770.3579999999999</v>
      </c>
      <c r="G88" s="496">
        <f t="shared" si="21"/>
        <v>-35.4</v>
      </c>
      <c r="H88" s="499"/>
      <c r="I88" s="500"/>
      <c r="J88" s="496"/>
      <c r="K88" s="499">
        <v>67.239000000000004</v>
      </c>
      <c r="L88" s="500">
        <v>56</v>
      </c>
      <c r="M88" s="496">
        <f t="shared" si="22"/>
        <v>-16.7</v>
      </c>
      <c r="N88" s="499">
        <v>2</v>
      </c>
      <c r="O88" s="500">
        <v>4</v>
      </c>
      <c r="P88" s="496">
        <f t="shared" si="33"/>
        <v>100</v>
      </c>
      <c r="Q88" s="499">
        <v>16984.296850719998</v>
      </c>
      <c r="R88" s="500">
        <v>9055.7387736100009</v>
      </c>
      <c r="S88" s="496">
        <f t="shared" si="23"/>
        <v>-46.7</v>
      </c>
      <c r="T88" s="499">
        <v>6.0309999999999997</v>
      </c>
      <c r="U88" s="500">
        <v>30.222000000000001</v>
      </c>
      <c r="V88" s="496">
        <f t="shared" si="24"/>
        <v>401.1</v>
      </c>
      <c r="W88" s="499">
        <v>602.58000000000004</v>
      </c>
      <c r="X88" s="500">
        <v>1041.99</v>
      </c>
      <c r="Y88" s="496">
        <f t="shared" si="34"/>
        <v>72.900000000000006</v>
      </c>
      <c r="Z88" s="499">
        <v>823</v>
      </c>
      <c r="AA88" s="500">
        <v>1153</v>
      </c>
      <c r="AB88" s="496">
        <f t="shared" si="25"/>
        <v>40.1</v>
      </c>
      <c r="AC88" s="499">
        <v>1</v>
      </c>
      <c r="AD88" s="500">
        <v>4</v>
      </c>
      <c r="AE88" s="496">
        <f t="shared" si="36"/>
        <v>300</v>
      </c>
      <c r="AF88" s="499">
        <v>13.530041189999995</v>
      </c>
      <c r="AG88" s="500"/>
      <c r="AH88" s="496">
        <f t="shared" si="35"/>
        <v>-100</v>
      </c>
      <c r="AI88" s="499">
        <v>418.05599999999998</v>
      </c>
      <c r="AJ88" s="500">
        <v>369.82499999999999</v>
      </c>
      <c r="AK88" s="496">
        <f t="shared" si="26"/>
        <v>-11.5</v>
      </c>
      <c r="AL88" s="499">
        <v>3484</v>
      </c>
      <c r="AM88" s="500">
        <v>4312</v>
      </c>
      <c r="AN88" s="496">
        <f t="shared" si="27"/>
        <v>23.8</v>
      </c>
      <c r="AO88" s="496">
        <f t="shared" si="28"/>
        <v>25202.150891909998</v>
      </c>
      <c r="AP88" s="496">
        <f t="shared" si="28"/>
        <v>17849.395773610002</v>
      </c>
      <c r="AQ88" s="496">
        <f t="shared" si="29"/>
        <v>-29.2</v>
      </c>
      <c r="AR88" s="496">
        <f t="shared" si="37"/>
        <v>25205.150891909998</v>
      </c>
      <c r="AS88" s="496">
        <f t="shared" si="20"/>
        <v>26590.790773610002</v>
      </c>
      <c r="AT88" s="496">
        <f t="shared" si="30"/>
        <v>5.5</v>
      </c>
      <c r="AU88" s="480"/>
      <c r="AV88" s="480"/>
      <c r="AW88" s="501"/>
    </row>
    <row r="89" spans="1:74" ht="18.75" x14ac:dyDescent="0.3">
      <c r="A89" s="493" t="s">
        <v>271</v>
      </c>
      <c r="B89" s="499">
        <v>11.127000000000001</v>
      </c>
      <c r="C89" s="500">
        <v>21.582999999999998</v>
      </c>
      <c r="D89" s="496">
        <f t="shared" si="31"/>
        <v>94</v>
      </c>
      <c r="E89" s="499">
        <v>269.59699999999998</v>
      </c>
      <c r="F89" s="500">
        <v>207.506</v>
      </c>
      <c r="G89" s="496">
        <f t="shared" si="21"/>
        <v>-23</v>
      </c>
      <c r="H89" s="499">
        <v>13.132999999999999</v>
      </c>
      <c r="I89" s="500">
        <v>21.094999999999999</v>
      </c>
      <c r="J89" s="496">
        <f t="shared" si="32"/>
        <v>60.6</v>
      </c>
      <c r="K89" s="499">
        <v>11.831</v>
      </c>
      <c r="L89" s="500">
        <v>15</v>
      </c>
      <c r="M89" s="496">
        <f t="shared" si="22"/>
        <v>26.8</v>
      </c>
      <c r="N89" s="499">
        <v>1</v>
      </c>
      <c r="O89" s="500">
        <v>1</v>
      </c>
      <c r="P89" s="496">
        <f t="shared" si="33"/>
        <v>0</v>
      </c>
      <c r="Q89" s="499">
        <v>76.723607189999996</v>
      </c>
      <c r="R89" s="500">
        <v>111.36382837000001</v>
      </c>
      <c r="S89" s="496">
        <f t="shared" si="23"/>
        <v>45.1</v>
      </c>
      <c r="T89" s="499">
        <v>7.274</v>
      </c>
      <c r="U89" s="500">
        <v>9.1129999999999995</v>
      </c>
      <c r="V89" s="496">
        <f t="shared" si="24"/>
        <v>25.3</v>
      </c>
      <c r="W89" s="499">
        <v>43.12</v>
      </c>
      <c r="X89" s="500">
        <v>51.38</v>
      </c>
      <c r="Y89" s="496">
        <f t="shared" si="34"/>
        <v>19.2</v>
      </c>
      <c r="Z89" s="499">
        <v>93</v>
      </c>
      <c r="AA89" s="500"/>
      <c r="AB89" s="496">
        <f t="shared" si="25"/>
        <v>-100</v>
      </c>
      <c r="AC89" s="499"/>
      <c r="AD89" s="500"/>
      <c r="AE89" s="496"/>
      <c r="AF89" s="499">
        <v>3.8457674100000001</v>
      </c>
      <c r="AG89" s="500"/>
      <c r="AH89" s="496">
        <f t="shared" si="35"/>
        <v>-100</v>
      </c>
      <c r="AI89" s="499">
        <v>107.67400000000001</v>
      </c>
      <c r="AJ89" s="500">
        <v>109.67700000000001</v>
      </c>
      <c r="AK89" s="496">
        <f t="shared" si="26"/>
        <v>1.9</v>
      </c>
      <c r="AL89" s="499">
        <v>217</v>
      </c>
      <c r="AM89" s="500">
        <v>182</v>
      </c>
      <c r="AN89" s="496">
        <f t="shared" si="27"/>
        <v>-16.100000000000001</v>
      </c>
      <c r="AO89" s="496">
        <f t="shared" si="28"/>
        <v>854.32537460000003</v>
      </c>
      <c r="AP89" s="496">
        <f t="shared" si="28"/>
        <v>728.71782837000001</v>
      </c>
      <c r="AQ89" s="496">
        <f t="shared" si="29"/>
        <v>-14.7</v>
      </c>
      <c r="AR89" s="496">
        <f t="shared" si="37"/>
        <v>855.32537460000003</v>
      </c>
      <c r="AS89" s="496">
        <f t="shared" si="20"/>
        <v>1325.48882837</v>
      </c>
      <c r="AT89" s="496">
        <f t="shared" si="30"/>
        <v>55</v>
      </c>
      <c r="AU89" s="480"/>
      <c r="AV89" s="480"/>
      <c r="AW89" s="501"/>
    </row>
    <row r="90" spans="1:74" ht="18.75" x14ac:dyDescent="0.3">
      <c r="A90" s="493"/>
      <c r="B90" s="499"/>
      <c r="C90" s="500"/>
      <c r="D90" s="496"/>
      <c r="E90" s="499"/>
      <c r="F90" s="500"/>
      <c r="G90" s="496"/>
      <c r="H90" s="499"/>
      <c r="I90" s="500"/>
      <c r="J90" s="496"/>
      <c r="K90" s="499"/>
      <c r="L90" s="500"/>
      <c r="M90" s="496"/>
      <c r="N90" s="499"/>
      <c r="O90" s="500"/>
      <c r="P90" s="496"/>
      <c r="Q90" s="499"/>
      <c r="R90" s="500"/>
      <c r="S90" s="496"/>
      <c r="T90" s="499"/>
      <c r="U90" s="500"/>
      <c r="V90" s="496"/>
      <c r="W90" s="499"/>
      <c r="X90" s="500"/>
      <c r="Y90" s="496"/>
      <c r="Z90" s="499"/>
      <c r="AA90" s="500"/>
      <c r="AB90" s="496"/>
      <c r="AC90" s="499"/>
      <c r="AD90" s="500"/>
      <c r="AE90" s="496"/>
      <c r="AF90" s="499"/>
      <c r="AG90" s="500"/>
      <c r="AH90" s="496"/>
      <c r="AI90" s="499"/>
      <c r="AJ90" s="500"/>
      <c r="AK90" s="496"/>
      <c r="AL90" s="499"/>
      <c r="AM90" s="500"/>
      <c r="AN90" s="496"/>
      <c r="AO90" s="496"/>
      <c r="AP90" s="496"/>
      <c r="AQ90" s="496"/>
      <c r="AR90" s="496"/>
      <c r="AS90" s="496"/>
      <c r="AT90" s="496"/>
      <c r="AU90" s="480"/>
      <c r="AV90" s="480"/>
      <c r="AW90" s="501"/>
    </row>
    <row r="91" spans="1:74" s="505" customFormat="1" ht="18.75" x14ac:dyDescent="0.3">
      <c r="A91" s="508" t="s">
        <v>272</v>
      </c>
      <c r="B91" s="509">
        <v>13927.73</v>
      </c>
      <c r="C91" s="510">
        <v>17007.871999999996</v>
      </c>
      <c r="D91" s="511">
        <f t="shared" si="31"/>
        <v>22.1</v>
      </c>
      <c r="E91" s="509">
        <v>294143.84300000005</v>
      </c>
      <c r="F91" s="510">
        <v>308855.353</v>
      </c>
      <c r="G91" s="511">
        <f t="shared" si="21"/>
        <v>5</v>
      </c>
      <c r="H91" s="509">
        <v>3651.1129999999998</v>
      </c>
      <c r="I91" s="510">
        <v>4384.6970000000001</v>
      </c>
      <c r="J91" s="511">
        <f t="shared" si="32"/>
        <v>20.100000000000001</v>
      </c>
      <c r="K91" s="509">
        <v>22177.201000000001</v>
      </c>
      <c r="L91" s="510">
        <v>27330.440000000002</v>
      </c>
      <c r="M91" s="511">
        <f t="shared" si="22"/>
        <v>23.2</v>
      </c>
      <c r="N91" s="509">
        <v>140</v>
      </c>
      <c r="O91" s="510">
        <v>140</v>
      </c>
      <c r="P91" s="511">
        <f t="shared" si="33"/>
        <v>0</v>
      </c>
      <c r="Q91" s="509">
        <v>485071.38277381007</v>
      </c>
      <c r="R91" s="510">
        <v>516327.12977963005</v>
      </c>
      <c r="S91" s="511">
        <f t="shared" si="23"/>
        <v>6.4</v>
      </c>
      <c r="T91" s="509">
        <v>3221.8649999999998</v>
      </c>
      <c r="U91" s="510">
        <v>4372.7290000000003</v>
      </c>
      <c r="V91" s="511">
        <f t="shared" si="24"/>
        <v>35.700000000000003</v>
      </c>
      <c r="W91" s="509">
        <v>99702.616121499901</v>
      </c>
      <c r="X91" s="510">
        <v>112913.3</v>
      </c>
      <c r="Y91" s="511">
        <f t="shared" si="34"/>
        <v>13.3</v>
      </c>
      <c r="Z91" s="509">
        <v>79442</v>
      </c>
      <c r="AA91" s="510">
        <v>87429</v>
      </c>
      <c r="AB91" s="511">
        <f t="shared" si="25"/>
        <v>10.1</v>
      </c>
      <c r="AC91" s="509">
        <v>1596</v>
      </c>
      <c r="AD91" s="510">
        <v>1943</v>
      </c>
      <c r="AE91" s="511">
        <f t="shared" si="36"/>
        <v>21.7</v>
      </c>
      <c r="AF91" s="509">
        <v>9578.9121728500013</v>
      </c>
      <c r="AG91" s="510">
        <v>0</v>
      </c>
      <c r="AH91" s="511">
        <f t="shared" si="35"/>
        <v>-100</v>
      </c>
      <c r="AI91" s="509">
        <v>42619.923492999995</v>
      </c>
      <c r="AJ91" s="510">
        <v>50163.070597999998</v>
      </c>
      <c r="AK91" s="511">
        <f t="shared" si="26"/>
        <v>17.7</v>
      </c>
      <c r="AL91" s="509">
        <v>274379.2</v>
      </c>
      <c r="AM91" s="510">
        <v>292733</v>
      </c>
      <c r="AN91" s="511">
        <f t="shared" si="27"/>
        <v>6.7</v>
      </c>
      <c r="AO91" s="511">
        <f>B91+E91+H91+K91+Q91+T91+W91+Z91+AF91+AI91+AL91</f>
        <v>1327915.7865611601</v>
      </c>
      <c r="AP91" s="511">
        <f>C91+F91+I91+L91+R91+U91+X91+AA91+AG91+AJ91+AM91</f>
        <v>1421516.5913776301</v>
      </c>
      <c r="AQ91" s="511">
        <f t="shared" si="29"/>
        <v>7</v>
      </c>
      <c r="AR91" s="511">
        <f t="shared" si="37"/>
        <v>1329651.7865611601</v>
      </c>
      <c r="AS91" s="511">
        <f t="shared" si="20"/>
        <v>2311781.1809756299</v>
      </c>
      <c r="AT91" s="511">
        <f t="shared" si="30"/>
        <v>73.900000000000006</v>
      </c>
      <c r="AU91" s="503"/>
      <c r="AV91" s="503"/>
      <c r="AW91" s="504"/>
    </row>
    <row r="92" spans="1:74" ht="18.75" x14ac:dyDescent="0.3">
      <c r="A92" s="512"/>
      <c r="B92" s="512"/>
      <c r="Q92" s="512"/>
      <c r="X92" s="513"/>
      <c r="Y92" s="513"/>
      <c r="Z92" s="513"/>
      <c r="AA92" s="513"/>
      <c r="AB92" s="513"/>
      <c r="AC92" s="513"/>
      <c r="AD92" s="513"/>
      <c r="AE92" s="513"/>
      <c r="AF92" s="513"/>
      <c r="AG92" s="513"/>
      <c r="AH92" s="513"/>
      <c r="AI92" s="512"/>
      <c r="AL92" s="512"/>
    </row>
    <row r="93" spans="1:74" ht="18.75" x14ac:dyDescent="0.3">
      <c r="A93" s="512" t="s">
        <v>274</v>
      </c>
      <c r="Q93" s="512"/>
      <c r="X93" s="513"/>
      <c r="Y93" s="513"/>
      <c r="Z93" s="513"/>
      <c r="AA93" s="513"/>
      <c r="AB93" s="513"/>
      <c r="AC93" s="513"/>
      <c r="AD93" s="513"/>
      <c r="AE93" s="513"/>
      <c r="AF93" s="513"/>
      <c r="AG93" s="513"/>
      <c r="AH93" s="513"/>
      <c r="AI93" s="512"/>
      <c r="AL93" s="512"/>
    </row>
    <row r="94" spans="1:74" ht="18.75" x14ac:dyDescent="0.3">
      <c r="A94" s="512" t="s">
        <v>275</v>
      </c>
      <c r="B94" s="514"/>
      <c r="C94" s="514"/>
      <c r="D94" s="514"/>
      <c r="E94" s="514"/>
      <c r="F94" s="514"/>
      <c r="G94" s="514"/>
      <c r="H94" s="514"/>
      <c r="I94" s="514"/>
      <c r="J94" s="514"/>
      <c r="K94" s="514"/>
      <c r="L94" s="514"/>
      <c r="M94" s="514"/>
      <c r="N94" s="514"/>
      <c r="O94" s="514"/>
      <c r="P94" s="514"/>
      <c r="Q94" s="514"/>
      <c r="R94" s="514"/>
      <c r="S94" s="514"/>
      <c r="T94" s="514"/>
      <c r="U94" s="514"/>
      <c r="V94" s="514"/>
      <c r="W94" s="514"/>
      <c r="X94" s="514"/>
      <c r="Y94" s="515"/>
      <c r="Z94" s="515"/>
      <c r="AA94" s="515"/>
      <c r="AB94" s="515"/>
      <c r="AC94" s="515"/>
      <c r="AD94" s="515"/>
      <c r="AE94" s="515"/>
      <c r="AF94" s="515"/>
      <c r="AG94" s="515"/>
      <c r="AH94" s="515"/>
      <c r="AI94" s="514"/>
      <c r="AJ94" s="514"/>
      <c r="AK94" s="514"/>
      <c r="AL94" s="514"/>
      <c r="AM94" s="514"/>
      <c r="AN94" s="514"/>
      <c r="AO94" s="514"/>
      <c r="AP94" s="514"/>
      <c r="AQ94" s="514"/>
      <c r="AR94" s="514"/>
      <c r="AS94" s="514"/>
      <c r="AT94" s="514"/>
      <c r="AU94" s="516"/>
      <c r="AV94" s="516"/>
      <c r="AW94" s="514"/>
      <c r="AX94" s="514"/>
      <c r="AY94" s="514"/>
      <c r="AZ94" s="514"/>
      <c r="BA94" s="514"/>
      <c r="BB94" s="514"/>
      <c r="BC94" s="514"/>
      <c r="BD94" s="514"/>
      <c r="BE94" s="514"/>
      <c r="BF94" s="514"/>
      <c r="BG94" s="514"/>
      <c r="BH94" s="514"/>
      <c r="BI94" s="514"/>
      <c r="BJ94" s="514"/>
      <c r="BK94" s="514"/>
      <c r="BL94" s="514"/>
      <c r="BM94" s="514"/>
      <c r="BN94" s="514"/>
      <c r="BO94" s="514"/>
      <c r="BP94" s="514"/>
      <c r="BQ94" s="514"/>
      <c r="BR94" s="514"/>
      <c r="BS94" s="514"/>
      <c r="BT94" s="514"/>
      <c r="BU94" s="514"/>
      <c r="BV94" s="514"/>
    </row>
    <row r="95" spans="1:74" ht="18.75" x14ac:dyDescent="0.3">
      <c r="A95" s="514"/>
      <c r="B95" s="514"/>
      <c r="C95" s="514"/>
      <c r="D95" s="514"/>
      <c r="E95" s="514"/>
      <c r="F95" s="514"/>
      <c r="G95" s="514"/>
      <c r="H95" s="514"/>
      <c r="I95" s="514"/>
      <c r="J95" s="514"/>
      <c r="K95" s="514"/>
      <c r="L95" s="514"/>
      <c r="M95" s="514"/>
      <c r="N95" s="514"/>
      <c r="O95" s="514"/>
      <c r="P95" s="514"/>
      <c r="Q95" s="514"/>
      <c r="R95" s="514"/>
      <c r="S95" s="514"/>
      <c r="T95" s="514"/>
      <c r="U95" s="514"/>
      <c r="V95" s="514"/>
      <c r="W95" s="514"/>
      <c r="X95" s="514"/>
      <c r="Y95" s="514"/>
      <c r="Z95" s="514"/>
      <c r="AA95" s="514"/>
      <c r="AB95" s="514"/>
      <c r="AC95" s="514"/>
      <c r="AD95" s="514"/>
      <c r="AE95" s="514"/>
      <c r="AF95" s="514"/>
      <c r="AG95" s="514"/>
      <c r="AH95" s="514"/>
      <c r="AI95" s="514"/>
      <c r="AJ95" s="514"/>
      <c r="AK95" s="514"/>
      <c r="AL95" s="514"/>
      <c r="AM95" s="514"/>
      <c r="AN95" s="514"/>
      <c r="AO95" s="514"/>
      <c r="AP95" s="514"/>
      <c r="AQ95" s="514"/>
      <c r="AR95" s="514"/>
      <c r="AS95" s="514"/>
      <c r="AT95" s="514"/>
      <c r="AU95" s="516"/>
      <c r="AV95" s="516"/>
      <c r="AW95" s="514"/>
      <c r="AX95" s="514"/>
      <c r="AY95" s="514"/>
      <c r="AZ95" s="514"/>
      <c r="BA95" s="514"/>
      <c r="BB95" s="514"/>
      <c r="BC95" s="514"/>
      <c r="BD95" s="514"/>
      <c r="BE95" s="514"/>
      <c r="BF95" s="514"/>
      <c r="BG95" s="514"/>
      <c r="BH95" s="514"/>
      <c r="BI95" s="514"/>
      <c r="BJ95" s="514"/>
      <c r="BK95" s="514"/>
      <c r="BL95" s="514"/>
      <c r="BM95" s="514"/>
      <c r="BN95" s="514"/>
      <c r="BO95" s="514"/>
      <c r="BP95" s="514"/>
      <c r="BQ95" s="514"/>
      <c r="BR95" s="514"/>
      <c r="BS95" s="514"/>
      <c r="BT95" s="514"/>
      <c r="BU95" s="514"/>
      <c r="BV95" s="514"/>
    </row>
    <row r="96" spans="1:74" ht="18.75" x14ac:dyDescent="0.3">
      <c r="A96" s="517"/>
      <c r="B96" s="518" t="str">
        <f>IF(ROUND(B35,1)=ROUND(B36+B38,1),"","35≠36+38")</f>
        <v/>
      </c>
      <c r="C96" s="518" t="str">
        <f>IF(C35=C36+C38,"","35≠36+38")</f>
        <v/>
      </c>
      <c r="D96" s="517"/>
      <c r="E96" s="518" t="str">
        <f t="shared" ref="E96:F96" si="38">IF(E35=E36+E38,"","35≠36+38")</f>
        <v/>
      </c>
      <c r="F96" s="518" t="str">
        <f t="shared" si="38"/>
        <v/>
      </c>
      <c r="G96" s="517"/>
      <c r="H96" s="518" t="str">
        <f t="shared" ref="H96:I96" si="39">IF(H35=H36+H38,"","35≠36+38")</f>
        <v/>
      </c>
      <c r="I96" s="518" t="str">
        <f t="shared" si="39"/>
        <v/>
      </c>
      <c r="J96" s="517"/>
      <c r="K96" s="518" t="str">
        <f t="shared" ref="K96:L96" si="40">IF(K35=K36+K38,"","35≠36+38")</f>
        <v/>
      </c>
      <c r="L96" s="518" t="str">
        <f t="shared" si="40"/>
        <v/>
      </c>
      <c r="M96" s="517"/>
      <c r="N96" s="518" t="str">
        <f t="shared" ref="N96:O96" si="41">IF(N35=N36+N38,"","35≠36+38")</f>
        <v/>
      </c>
      <c r="O96" s="518" t="str">
        <f t="shared" si="41"/>
        <v/>
      </c>
      <c r="P96" s="517"/>
      <c r="Q96" s="518" t="str">
        <f t="shared" ref="Q96:R96" si="42">IF(Q35=Q36+Q38,"","35≠36+38")</f>
        <v/>
      </c>
      <c r="R96" s="518" t="str">
        <f t="shared" si="42"/>
        <v/>
      </c>
      <c r="S96" s="517"/>
      <c r="T96" s="518" t="str">
        <f t="shared" ref="T96:U96" si="43">IF(T35=T36+T38,"","35≠36+38")</f>
        <v/>
      </c>
      <c r="U96" s="518" t="str">
        <f t="shared" si="43"/>
        <v/>
      </c>
      <c r="V96" s="517"/>
      <c r="W96" s="518" t="str">
        <f t="shared" ref="W96:X96" si="44">IF(W35=W36+W38,"","35≠36+38")</f>
        <v/>
      </c>
      <c r="X96" s="518" t="str">
        <f t="shared" si="44"/>
        <v/>
      </c>
      <c r="Y96" s="517"/>
      <c r="Z96" s="518" t="str">
        <f t="shared" ref="Z96:AA96" si="45">IF(Z35=Z36+Z38,"","35≠36+38")</f>
        <v/>
      </c>
      <c r="AA96" s="518" t="str">
        <f t="shared" si="45"/>
        <v/>
      </c>
      <c r="AB96" s="517"/>
      <c r="AC96" s="518" t="str">
        <f t="shared" ref="AC96:AD96" si="46">IF(AC35=AC36+AC38,"","35≠36+38")</f>
        <v/>
      </c>
      <c r="AD96" s="518" t="str">
        <f t="shared" si="46"/>
        <v/>
      </c>
      <c r="AE96" s="517"/>
      <c r="AF96" s="518" t="str">
        <f t="shared" ref="AF96:AG96" si="47">IF(AF35=AF36+AF38,"","35≠36+38")</f>
        <v/>
      </c>
      <c r="AG96" s="518" t="str">
        <f t="shared" si="47"/>
        <v/>
      </c>
      <c r="AH96" s="517"/>
      <c r="AI96" s="518" t="str">
        <f t="shared" ref="AI96:AJ96" si="48">IF(AI35=AI36+AI38,"","35≠36+38")</f>
        <v/>
      </c>
      <c r="AJ96" s="518" t="str">
        <f t="shared" si="48"/>
        <v/>
      </c>
      <c r="AK96" s="517"/>
      <c r="AL96" s="518" t="str">
        <f t="shared" ref="AL96:AM96" si="49">IF(AL35=AL36+AL38,"","35≠36+38")</f>
        <v/>
      </c>
      <c r="AM96" s="518" t="str">
        <f t="shared" si="49"/>
        <v/>
      </c>
      <c r="AN96" s="517"/>
      <c r="AO96" s="518" t="str">
        <f t="shared" ref="AO96:AP96" si="50">IF(AO35=AO36+AO38,"","35≠36+38")</f>
        <v/>
      </c>
      <c r="AP96" s="518" t="str">
        <f t="shared" si="50"/>
        <v/>
      </c>
      <c r="AQ96" s="517"/>
      <c r="AR96" s="518" t="str">
        <f t="shared" ref="AR96:AS96" si="51">IF(AR35=AR36+AR38,"","35≠36+38")</f>
        <v/>
      </c>
      <c r="AS96" s="518" t="str">
        <f t="shared" si="51"/>
        <v/>
      </c>
      <c r="AT96" s="517"/>
      <c r="AU96" s="514"/>
      <c r="AV96" s="516"/>
      <c r="AW96" s="514"/>
      <c r="AX96" s="514"/>
      <c r="AY96" s="514"/>
      <c r="AZ96" s="514"/>
      <c r="BA96" s="514"/>
      <c r="BB96" s="514"/>
      <c r="BC96" s="514"/>
      <c r="BD96" s="514"/>
      <c r="BE96" s="514"/>
      <c r="BF96" s="514"/>
      <c r="BG96" s="514"/>
      <c r="BH96" s="514"/>
      <c r="BI96" s="514"/>
      <c r="BJ96" s="514"/>
      <c r="BK96" s="514"/>
      <c r="BL96" s="514"/>
      <c r="BM96" s="514"/>
      <c r="BN96" s="514"/>
      <c r="BO96" s="514"/>
      <c r="BP96" s="514"/>
      <c r="BQ96" s="514"/>
      <c r="BR96" s="514"/>
      <c r="BS96" s="514"/>
      <c r="BT96" s="514"/>
      <c r="BU96" s="514"/>
      <c r="BV96" s="514"/>
    </row>
    <row r="97" spans="1:74" ht="18.75" x14ac:dyDescent="0.3">
      <c r="A97" s="514"/>
      <c r="B97" s="514"/>
      <c r="C97" s="514"/>
      <c r="D97" s="514"/>
      <c r="E97" s="514"/>
      <c r="F97" s="514"/>
      <c r="G97" s="514"/>
      <c r="H97" s="514"/>
      <c r="I97" s="514"/>
      <c r="J97" s="514"/>
      <c r="K97" s="514"/>
      <c r="L97" s="514"/>
      <c r="M97" s="514"/>
      <c r="N97" s="514"/>
      <c r="O97" s="514"/>
      <c r="P97" s="514"/>
      <c r="Q97" s="514"/>
      <c r="R97" s="514"/>
      <c r="S97" s="514"/>
      <c r="T97" s="514"/>
      <c r="U97" s="514"/>
      <c r="V97" s="514"/>
      <c r="W97" s="514"/>
      <c r="X97" s="514"/>
      <c r="Y97" s="514"/>
      <c r="Z97" s="514"/>
      <c r="AA97" s="514"/>
      <c r="AB97" s="514"/>
      <c r="AC97" s="514"/>
      <c r="AD97" s="514"/>
      <c r="AE97" s="514"/>
      <c r="AF97" s="514"/>
      <c r="AG97" s="514"/>
      <c r="AH97" s="514"/>
      <c r="AI97" s="514"/>
      <c r="AJ97" s="514"/>
      <c r="AK97" s="514"/>
      <c r="AL97" s="514"/>
      <c r="AM97" s="514"/>
      <c r="AN97" s="514"/>
      <c r="AO97" s="514"/>
      <c r="AP97" s="514"/>
      <c r="AQ97" s="514"/>
      <c r="AR97" s="514"/>
      <c r="AS97" s="514"/>
      <c r="AT97" s="514"/>
      <c r="AU97" s="514"/>
      <c r="AV97" s="514"/>
      <c r="AW97" s="514"/>
      <c r="AX97" s="514"/>
      <c r="AY97" s="514"/>
      <c r="AZ97" s="514"/>
      <c r="BA97" s="514"/>
      <c r="BB97" s="514"/>
      <c r="BC97" s="514"/>
      <c r="BD97" s="514"/>
      <c r="BE97" s="514"/>
      <c r="BF97" s="514"/>
      <c r="BG97" s="514"/>
      <c r="BH97" s="514"/>
      <c r="BI97" s="514"/>
      <c r="BJ97" s="514"/>
      <c r="BK97" s="514"/>
      <c r="BL97" s="514"/>
      <c r="BM97" s="514"/>
      <c r="BN97" s="514"/>
      <c r="BO97" s="514"/>
      <c r="BP97" s="514"/>
      <c r="BQ97" s="514"/>
      <c r="BR97" s="514"/>
      <c r="BS97" s="514"/>
      <c r="BT97" s="514"/>
      <c r="BU97" s="514"/>
      <c r="BV97" s="514"/>
    </row>
  </sheetData>
  <mergeCells count="37">
    <mergeCell ref="BI6:BK6"/>
    <mergeCell ref="AI6:AK6"/>
    <mergeCell ref="AL6:AN6"/>
    <mergeCell ref="AO6:AQ6"/>
    <mergeCell ref="AR6:AT6"/>
    <mergeCell ref="AW6:AY6"/>
    <mergeCell ref="AZ6:BB6"/>
    <mergeCell ref="B5:D5"/>
    <mergeCell ref="E5:G5"/>
    <mergeCell ref="BC5:BE5"/>
    <mergeCell ref="BF5:BH5"/>
    <mergeCell ref="Q6:S6"/>
    <mergeCell ref="T6:V6"/>
    <mergeCell ref="W6:Y6"/>
    <mergeCell ref="Z6:AB6"/>
    <mergeCell ref="AC6:AE6"/>
    <mergeCell ref="BC6:BE6"/>
    <mergeCell ref="BF6:BH6"/>
    <mergeCell ref="AF6:AH6"/>
    <mergeCell ref="AW5:AY5"/>
    <mergeCell ref="AZ5:BB5"/>
    <mergeCell ref="B6:D6"/>
    <mergeCell ref="E6:G6"/>
    <mergeCell ref="H6:J6"/>
    <mergeCell ref="K6:M6"/>
    <mergeCell ref="N6:P6"/>
    <mergeCell ref="H5:J5"/>
    <mergeCell ref="K5:M5"/>
    <mergeCell ref="N5:P5"/>
    <mergeCell ref="T5:V5"/>
    <mergeCell ref="BI5:BK5"/>
    <mergeCell ref="Z5:AB5"/>
    <mergeCell ref="AF5:AH5"/>
    <mergeCell ref="AI5:AK5"/>
    <mergeCell ref="AL5:AN5"/>
    <mergeCell ref="AO5:AQ5"/>
    <mergeCell ref="AR5:AT5"/>
  </mergeCells>
  <hyperlinks>
    <hyperlink ref="B1" location="Innhold!A1" display="Tilbake"/>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8"/>
  <sheetViews>
    <sheetView showGridLines="0" zoomScale="60" zoomScaleNormal="60" workbookViewId="0">
      <pane xSplit="1" ySplit="8" topLeftCell="B9" activePane="bottomRight" state="frozen"/>
      <selection pane="topRight" activeCell="B1" sqref="B1"/>
      <selection pane="bottomLeft" activeCell="A9" sqref="A9"/>
      <selection pane="bottomRight" activeCell="A4" sqref="A4"/>
    </sheetView>
  </sheetViews>
  <sheetFormatPr baseColWidth="10" defaultRowHeight="12.75" x14ac:dyDescent="0.2"/>
  <cols>
    <col min="1" max="1" width="45.140625" style="519" customWidth="1"/>
    <col min="2" max="34" width="11.42578125" style="519"/>
    <col min="35" max="35" width="11.7109375" style="519" customWidth="1"/>
    <col min="36" max="16384" width="11.42578125" style="519"/>
  </cols>
  <sheetData>
    <row r="1" spans="1:54" ht="20.25" x14ac:dyDescent="0.3">
      <c r="A1" s="440" t="s">
        <v>189</v>
      </c>
      <c r="B1" s="441" t="s">
        <v>56</v>
      </c>
      <c r="AL1" s="444"/>
    </row>
    <row r="2" spans="1:54" ht="20.25" x14ac:dyDescent="0.3">
      <c r="A2" s="440" t="s">
        <v>290</v>
      </c>
      <c r="AL2" s="444"/>
    </row>
    <row r="3" spans="1:54" ht="18.75" x14ac:dyDescent="0.3">
      <c r="A3" s="520" t="s">
        <v>382</v>
      </c>
      <c r="AL3" s="447"/>
    </row>
    <row r="4" spans="1:54" ht="18.75" x14ac:dyDescent="0.3">
      <c r="A4" s="448" t="s">
        <v>421</v>
      </c>
      <c r="B4" s="453"/>
      <c r="C4" s="452"/>
      <c r="D4" s="454"/>
      <c r="E4" s="453"/>
      <c r="F4" s="452"/>
      <c r="G4" s="454"/>
      <c r="H4" s="452"/>
      <c r="I4" s="452"/>
      <c r="J4" s="454"/>
      <c r="K4" s="453"/>
      <c r="L4" s="452"/>
      <c r="M4" s="454"/>
      <c r="N4" s="453"/>
      <c r="O4" s="452"/>
      <c r="P4" s="454"/>
      <c r="Q4" s="453"/>
      <c r="R4" s="452"/>
      <c r="S4" s="454"/>
      <c r="T4" s="453"/>
      <c r="U4" s="452"/>
      <c r="V4" s="454"/>
      <c r="W4" s="453"/>
      <c r="X4" s="452"/>
      <c r="Y4" s="454"/>
      <c r="Z4" s="453"/>
      <c r="AA4" s="452"/>
      <c r="AB4" s="454"/>
      <c r="AC4" s="453"/>
      <c r="AD4" s="452"/>
      <c r="AE4" s="454"/>
      <c r="AF4" s="453"/>
      <c r="AG4" s="452"/>
      <c r="AH4" s="454"/>
      <c r="AI4" s="453"/>
      <c r="AJ4" s="521"/>
      <c r="AK4" s="454"/>
      <c r="AL4" s="455"/>
      <c r="AM4" s="456"/>
      <c r="AN4" s="456"/>
      <c r="AO4" s="456"/>
      <c r="AP4" s="456"/>
      <c r="AQ4" s="456"/>
      <c r="AR4" s="456"/>
      <c r="AS4" s="456"/>
      <c r="AT4" s="456"/>
      <c r="AU4" s="456"/>
      <c r="AV4" s="456"/>
      <c r="AW4" s="456"/>
      <c r="AX4" s="456"/>
      <c r="AY4" s="456"/>
      <c r="AZ4" s="456"/>
      <c r="BA4" s="456"/>
      <c r="BB4" s="456"/>
    </row>
    <row r="5" spans="1:54" ht="18.75" x14ac:dyDescent="0.3">
      <c r="A5" s="457"/>
      <c r="B5" s="695" t="s">
        <v>192</v>
      </c>
      <c r="C5" s="696"/>
      <c r="D5" s="697"/>
      <c r="E5" s="695" t="s">
        <v>193</v>
      </c>
      <c r="F5" s="696"/>
      <c r="G5" s="697"/>
      <c r="H5" s="696" t="s">
        <v>194</v>
      </c>
      <c r="I5" s="696"/>
      <c r="J5" s="697"/>
      <c r="K5" s="695" t="s">
        <v>195</v>
      </c>
      <c r="L5" s="696"/>
      <c r="M5" s="697"/>
      <c r="N5" s="458" t="s">
        <v>196</v>
      </c>
      <c r="O5" s="459"/>
      <c r="P5" s="460"/>
      <c r="Q5" s="695" t="s">
        <v>68</v>
      </c>
      <c r="R5" s="696"/>
      <c r="S5" s="697"/>
      <c r="T5" s="458"/>
      <c r="U5" s="459"/>
      <c r="V5" s="460"/>
      <c r="W5" s="695" t="s">
        <v>197</v>
      </c>
      <c r="X5" s="696"/>
      <c r="Y5" s="697"/>
      <c r="Z5" s="695" t="s">
        <v>80</v>
      </c>
      <c r="AA5" s="696"/>
      <c r="AB5" s="697"/>
      <c r="AC5" s="695"/>
      <c r="AD5" s="696"/>
      <c r="AE5" s="697"/>
      <c r="AF5" s="695" t="s">
        <v>81</v>
      </c>
      <c r="AG5" s="696"/>
      <c r="AH5" s="697"/>
      <c r="AI5" s="695" t="s">
        <v>332</v>
      </c>
      <c r="AJ5" s="696"/>
      <c r="AK5" s="697"/>
      <c r="AL5" s="461"/>
      <c r="AM5" s="462"/>
      <c r="AN5" s="698"/>
      <c r="AO5" s="698"/>
      <c r="AP5" s="698"/>
      <c r="AQ5" s="698"/>
      <c r="AR5" s="698"/>
      <c r="AS5" s="698"/>
      <c r="AT5" s="698"/>
      <c r="AU5" s="698"/>
      <c r="AV5" s="698"/>
      <c r="AW5" s="698"/>
      <c r="AX5" s="698"/>
      <c r="AY5" s="698"/>
      <c r="AZ5" s="698"/>
      <c r="BA5" s="698"/>
      <c r="BB5" s="698"/>
    </row>
    <row r="6" spans="1:54" ht="18.75" x14ac:dyDescent="0.3">
      <c r="A6" s="463"/>
      <c r="B6" s="699" t="s">
        <v>198</v>
      </c>
      <c r="C6" s="700"/>
      <c r="D6" s="701"/>
      <c r="E6" s="699" t="s">
        <v>199</v>
      </c>
      <c r="F6" s="700"/>
      <c r="G6" s="701"/>
      <c r="H6" s="700" t="s">
        <v>199</v>
      </c>
      <c r="I6" s="700"/>
      <c r="J6" s="701"/>
      <c r="K6" s="699" t="s">
        <v>200</v>
      </c>
      <c r="L6" s="700"/>
      <c r="M6" s="701"/>
      <c r="N6" s="699" t="s">
        <v>68</v>
      </c>
      <c r="O6" s="700"/>
      <c r="P6" s="701"/>
      <c r="Q6" s="699" t="s">
        <v>201</v>
      </c>
      <c r="R6" s="700"/>
      <c r="S6" s="701"/>
      <c r="T6" s="699" t="s">
        <v>73</v>
      </c>
      <c r="U6" s="700"/>
      <c r="V6" s="701"/>
      <c r="W6" s="699" t="s">
        <v>198</v>
      </c>
      <c r="X6" s="700"/>
      <c r="Y6" s="701"/>
      <c r="Z6" s="699" t="s">
        <v>202</v>
      </c>
      <c r="AA6" s="700"/>
      <c r="AB6" s="701"/>
      <c r="AC6" s="699" t="s">
        <v>75</v>
      </c>
      <c r="AD6" s="700"/>
      <c r="AE6" s="701"/>
      <c r="AF6" s="699" t="s">
        <v>199</v>
      </c>
      <c r="AG6" s="700"/>
      <c r="AH6" s="701"/>
      <c r="AI6" s="699" t="s">
        <v>333</v>
      </c>
      <c r="AJ6" s="700"/>
      <c r="AK6" s="701"/>
      <c r="AL6" s="461"/>
      <c r="AM6" s="462"/>
      <c r="AN6" s="698"/>
      <c r="AO6" s="698"/>
      <c r="AP6" s="698"/>
      <c r="AQ6" s="698"/>
      <c r="AR6" s="698"/>
      <c r="AS6" s="698"/>
      <c r="AT6" s="698"/>
      <c r="AU6" s="698"/>
      <c r="AV6" s="698"/>
      <c r="AW6" s="698"/>
      <c r="AX6" s="698"/>
      <c r="AY6" s="698"/>
      <c r="AZ6" s="698"/>
      <c r="BA6" s="698"/>
      <c r="BB6" s="698"/>
    </row>
    <row r="7" spans="1:54" ht="18.75" x14ac:dyDescent="0.3">
      <c r="A7" s="463"/>
      <c r="B7" s="522"/>
      <c r="C7" s="522"/>
      <c r="D7" s="464" t="s">
        <v>90</v>
      </c>
      <c r="E7" s="522"/>
      <c r="F7" s="522"/>
      <c r="G7" s="464" t="s">
        <v>90</v>
      </c>
      <c r="H7" s="522"/>
      <c r="I7" s="522"/>
      <c r="J7" s="464" t="s">
        <v>90</v>
      </c>
      <c r="K7" s="522"/>
      <c r="L7" s="522"/>
      <c r="M7" s="464" t="s">
        <v>90</v>
      </c>
      <c r="N7" s="522"/>
      <c r="O7" s="522"/>
      <c r="P7" s="464" t="s">
        <v>90</v>
      </c>
      <c r="Q7" s="522"/>
      <c r="R7" s="522"/>
      <c r="S7" s="464" t="s">
        <v>90</v>
      </c>
      <c r="T7" s="522"/>
      <c r="U7" s="522"/>
      <c r="V7" s="464" t="s">
        <v>90</v>
      </c>
      <c r="W7" s="522"/>
      <c r="X7" s="522"/>
      <c r="Y7" s="464" t="s">
        <v>90</v>
      </c>
      <c r="Z7" s="522"/>
      <c r="AA7" s="522"/>
      <c r="AB7" s="464" t="s">
        <v>90</v>
      </c>
      <c r="AC7" s="522"/>
      <c r="AD7" s="522"/>
      <c r="AE7" s="464" t="s">
        <v>90</v>
      </c>
      <c r="AF7" s="522"/>
      <c r="AG7" s="522"/>
      <c r="AH7" s="464" t="s">
        <v>90</v>
      </c>
      <c r="AI7" s="522"/>
      <c r="AJ7" s="522"/>
      <c r="AK7" s="464" t="s">
        <v>90</v>
      </c>
      <c r="AL7" s="461"/>
      <c r="AM7" s="462"/>
      <c r="AN7" s="462"/>
      <c r="AO7" s="462"/>
      <c r="AP7" s="462"/>
      <c r="AQ7" s="462"/>
      <c r="AR7" s="462"/>
      <c r="AS7" s="462"/>
      <c r="AT7" s="462"/>
      <c r="AU7" s="462"/>
      <c r="AV7" s="462"/>
      <c r="AW7" s="462"/>
      <c r="AX7" s="462"/>
      <c r="AY7" s="462"/>
      <c r="AZ7" s="462"/>
      <c r="BA7" s="462"/>
      <c r="BB7" s="462"/>
    </row>
    <row r="8" spans="1:54" ht="15.75" x14ac:dyDescent="0.25">
      <c r="A8" s="465" t="s">
        <v>335</v>
      </c>
      <c r="B8" s="523">
        <v>2016</v>
      </c>
      <c r="C8" s="523">
        <v>2017</v>
      </c>
      <c r="D8" s="467" t="s">
        <v>92</v>
      </c>
      <c r="E8" s="523">
        <v>2016</v>
      </c>
      <c r="F8" s="523">
        <v>2017</v>
      </c>
      <c r="G8" s="467" t="s">
        <v>92</v>
      </c>
      <c r="H8" s="523">
        <v>2016</v>
      </c>
      <c r="I8" s="523">
        <v>2017</v>
      </c>
      <c r="J8" s="467" t="s">
        <v>92</v>
      </c>
      <c r="K8" s="523">
        <v>2016</v>
      </c>
      <c r="L8" s="523">
        <v>2017</v>
      </c>
      <c r="M8" s="467" t="s">
        <v>92</v>
      </c>
      <c r="N8" s="523">
        <v>2016</v>
      </c>
      <c r="O8" s="523">
        <v>2017</v>
      </c>
      <c r="P8" s="467" t="s">
        <v>92</v>
      </c>
      <c r="Q8" s="523">
        <v>2016</v>
      </c>
      <c r="R8" s="523">
        <v>2017</v>
      </c>
      <c r="S8" s="467" t="s">
        <v>92</v>
      </c>
      <c r="T8" s="523">
        <v>2016</v>
      </c>
      <c r="U8" s="523">
        <v>2017</v>
      </c>
      <c r="V8" s="467" t="s">
        <v>92</v>
      </c>
      <c r="W8" s="523">
        <v>2016</v>
      </c>
      <c r="X8" s="523">
        <v>2017</v>
      </c>
      <c r="Y8" s="467" t="s">
        <v>92</v>
      </c>
      <c r="Z8" s="523">
        <v>2016</v>
      </c>
      <c r="AA8" s="523">
        <v>2017</v>
      </c>
      <c r="AB8" s="467" t="s">
        <v>92</v>
      </c>
      <c r="AC8" s="523">
        <v>2016</v>
      </c>
      <c r="AD8" s="523">
        <v>2017</v>
      </c>
      <c r="AE8" s="467" t="s">
        <v>92</v>
      </c>
      <c r="AF8" s="523">
        <v>2016</v>
      </c>
      <c r="AG8" s="523">
        <v>2017</v>
      </c>
      <c r="AH8" s="467" t="s">
        <v>92</v>
      </c>
      <c r="AI8" s="523">
        <v>2016</v>
      </c>
      <c r="AJ8" s="523">
        <v>2017</v>
      </c>
      <c r="AK8" s="467" t="s">
        <v>92</v>
      </c>
      <c r="AL8" s="461"/>
      <c r="AM8" s="468"/>
      <c r="AN8" s="469"/>
      <c r="AO8" s="469"/>
      <c r="AP8" s="468"/>
      <c r="AQ8" s="469"/>
      <c r="AR8" s="469"/>
      <c r="AS8" s="468"/>
      <c r="AT8" s="469"/>
      <c r="AU8" s="469"/>
      <c r="AV8" s="468"/>
      <c r="AW8" s="469"/>
      <c r="AX8" s="469"/>
      <c r="AY8" s="468"/>
      <c r="AZ8" s="469"/>
      <c r="BA8" s="469"/>
      <c r="BB8" s="468"/>
    </row>
    <row r="9" spans="1:54" ht="18.75" x14ac:dyDescent="0.3">
      <c r="A9" s="524"/>
      <c r="B9" s="525"/>
      <c r="C9" s="526"/>
      <c r="D9" s="526"/>
      <c r="E9" s="525"/>
      <c r="F9" s="526"/>
      <c r="G9" s="526"/>
      <c r="H9" s="527"/>
      <c r="I9" s="526"/>
      <c r="J9" s="526"/>
      <c r="K9" s="528"/>
      <c r="L9" s="529"/>
      <c r="M9" s="526"/>
      <c r="N9" s="530"/>
      <c r="O9" s="526"/>
      <c r="P9" s="526"/>
      <c r="Q9" s="528"/>
      <c r="R9" s="529"/>
      <c r="S9" s="526"/>
      <c r="T9" s="528"/>
      <c r="U9" s="529"/>
      <c r="V9" s="526"/>
      <c r="W9" s="525"/>
      <c r="X9" s="526"/>
      <c r="Y9" s="526"/>
      <c r="Z9" s="525"/>
      <c r="AA9" s="526"/>
      <c r="AB9" s="526"/>
      <c r="AC9" s="525"/>
      <c r="AD9" s="526"/>
      <c r="AE9" s="526"/>
      <c r="AF9" s="530"/>
      <c r="AG9" s="526"/>
      <c r="AH9" s="526"/>
      <c r="AI9" s="526"/>
      <c r="AJ9" s="526"/>
      <c r="AK9" s="526"/>
      <c r="AL9" s="531"/>
      <c r="AM9" s="531"/>
      <c r="AN9" s="532"/>
      <c r="AO9" s="532"/>
      <c r="AP9" s="532"/>
      <c r="AQ9" s="532"/>
      <c r="AR9" s="532"/>
      <c r="AS9" s="532"/>
      <c r="AT9" s="532"/>
      <c r="AU9" s="532"/>
      <c r="AV9" s="532"/>
      <c r="AW9" s="532"/>
      <c r="AX9" s="532"/>
      <c r="AY9" s="532"/>
      <c r="AZ9" s="532"/>
      <c r="BA9" s="532"/>
      <c r="BB9" s="532"/>
    </row>
    <row r="10" spans="1:54" ht="18.75" x14ac:dyDescent="0.3">
      <c r="A10" s="493" t="s">
        <v>383</v>
      </c>
      <c r="B10" s="525"/>
      <c r="C10" s="533"/>
      <c r="D10" s="526"/>
      <c r="E10" s="525"/>
      <c r="F10" s="526"/>
      <c r="G10" s="526"/>
      <c r="H10" s="527"/>
      <c r="I10" s="526"/>
      <c r="J10" s="526"/>
      <c r="K10" s="528"/>
      <c r="L10" s="529"/>
      <c r="M10" s="526"/>
      <c r="N10" s="525"/>
      <c r="O10" s="526"/>
      <c r="P10" s="526"/>
      <c r="Q10" s="528"/>
      <c r="R10" s="529"/>
      <c r="S10" s="526"/>
      <c r="T10" s="528"/>
      <c r="U10" s="529"/>
      <c r="V10" s="526"/>
      <c r="W10" s="528"/>
      <c r="X10" s="529"/>
      <c r="Y10" s="526"/>
      <c r="Z10" s="528"/>
      <c r="AA10" s="529"/>
      <c r="AB10" s="526"/>
      <c r="AC10" s="528"/>
      <c r="AD10" s="529"/>
      <c r="AE10" s="526"/>
      <c r="AF10" s="528"/>
      <c r="AG10" s="529"/>
      <c r="AH10" s="526"/>
      <c r="AI10" s="496"/>
      <c r="AJ10" s="496"/>
      <c r="AK10" s="526"/>
      <c r="AL10" s="534"/>
      <c r="AM10" s="534"/>
      <c r="AN10" s="535"/>
      <c r="AO10" s="535"/>
      <c r="AP10" s="535"/>
      <c r="AQ10" s="535"/>
      <c r="AR10" s="535"/>
      <c r="AS10" s="535"/>
      <c r="AT10" s="535"/>
      <c r="AU10" s="535"/>
      <c r="AV10" s="535"/>
      <c r="AW10" s="535"/>
      <c r="AX10" s="535"/>
      <c r="AY10" s="535"/>
      <c r="AZ10" s="535"/>
      <c r="BA10" s="535"/>
      <c r="BB10" s="535"/>
    </row>
    <row r="11" spans="1:54" ht="22.5" x14ac:dyDescent="0.3">
      <c r="A11" s="493" t="s">
        <v>392</v>
      </c>
      <c r="B11" s="525">
        <v>0.69</v>
      </c>
      <c r="C11" s="533">
        <v>1.08</v>
      </c>
      <c r="D11" s="496">
        <f>IF(B11=0, "    ---- ", IF(ABS(ROUND(100/B11*C11-100,1))&lt;999,ROUND(100/B11*C11-100,1),IF(ROUND(100/B11*C11-100,1)&gt;999,999,-999)))</f>
        <v>56.5</v>
      </c>
      <c r="E11" s="525">
        <v>1.9104000000000001</v>
      </c>
      <c r="F11" s="526">
        <v>2.16</v>
      </c>
      <c r="G11" s="496">
        <f>IF(E11=0, "    ---- ", IF(ABS(ROUND(100/E11*F11-100,1))&lt;999,ROUND(100/E11*F11-100,1),IF(ROUND(100/E11*F11-100,1)&gt;999,999,-999)))</f>
        <v>13.1</v>
      </c>
      <c r="H11" s="527"/>
      <c r="I11" s="526"/>
      <c r="J11" s="496"/>
      <c r="K11" s="528">
        <v>2.0299999999999998</v>
      </c>
      <c r="L11" s="529">
        <v>1.974</v>
      </c>
      <c r="M11" s="496">
        <f>IF(K11=0, "    ---- ", IF(ABS(ROUND(100/K11*L11-100,1))&lt;999,ROUND(100/K11*L11-100,1),IF(ROUND(100/K11*L11-100,1)&gt;999,999,-999)))</f>
        <v>-2.8</v>
      </c>
      <c r="N11" s="525">
        <v>2.2200000000000002</v>
      </c>
      <c r="O11" s="526">
        <v>1.54</v>
      </c>
      <c r="P11" s="496">
        <f>IF(N11=0, "    ---- ", IF(ABS(ROUND(100/N11*O11-100,1))&lt;999,ROUND(100/N11*O11-100,1),IF(ROUND(100/N11*O11-100,1)&gt;999,999,-999)))</f>
        <v>-30.6</v>
      </c>
      <c r="Q11" s="528">
        <v>2.2000000000000002</v>
      </c>
      <c r="R11" s="529">
        <v>1.77</v>
      </c>
      <c r="S11" s="496">
        <f>IF(Q11=0, "    ---- ", IF(ABS(ROUND(100/Q11*R11-100,1))&lt;999,ROUND(100/Q11*R11-100,1),IF(ROUND(100/Q11*R11-100,1)&gt;999,999,-999)))</f>
        <v>-19.5</v>
      </c>
      <c r="T11" s="528">
        <v>2.5</v>
      </c>
      <c r="U11" s="529">
        <v>2</v>
      </c>
      <c r="V11" s="496">
        <f>IF(T11=0, "    ---- ", IF(ABS(ROUND(100/T11*U11-100,1))&lt;999,ROUND(100/T11*U11-100,1),IF(ROUND(100/T11*U11-100,1)&gt;999,999,-999)))</f>
        <v>-20</v>
      </c>
      <c r="W11" s="528">
        <v>2.41</v>
      </c>
      <c r="X11" s="529"/>
      <c r="Y11" s="496">
        <f>IF(W11=0, "    ---- ", IF(ABS(ROUND(100/W11*X11-100,1))&lt;999,ROUND(100/W11*X11-100,1),IF(ROUND(100/W11*X11-100,1)&gt;999,999,-999)))</f>
        <v>-100</v>
      </c>
      <c r="Z11" s="528">
        <v>1.87</v>
      </c>
      <c r="AA11" s="529"/>
      <c r="AB11" s="496">
        <f>IF(Z11=0, "    ---- ", IF(ABS(ROUND(100/Z11*AA11-100,1))&lt;999,ROUND(100/Z11*AA11-100,1),IF(ROUND(100/Z11*AA11-100,1)&gt;999,999,-999)))</f>
        <v>-100</v>
      </c>
      <c r="AC11" s="528">
        <v>2.0069870396602001</v>
      </c>
      <c r="AD11" s="529">
        <v>1.9317078538207699</v>
      </c>
      <c r="AE11" s="496">
        <f>IF(AC11=0, "    ---- ", IF(ABS(ROUND(100/AC11*AD11-100,1))&lt;999,ROUND(100/AC11*AD11-100,1),IF(ROUND(100/AC11*AD11-100,1)&gt;999,999,-999)))</f>
        <v>-3.8</v>
      </c>
      <c r="AF11" s="528">
        <v>2.5499999999999998</v>
      </c>
      <c r="AG11" s="529">
        <v>3.18</v>
      </c>
      <c r="AH11" s="496">
        <f>IF(AF11=0, "    ---- ", IF(ABS(ROUND(100/AF11*AG11-100,1))&lt;999,ROUND(100/AF11*AG11-100,1),IF(ROUND(100/AF11*AG11-100,1)&gt;999,999,-999)))</f>
        <v>24.7</v>
      </c>
      <c r="AI11" s="496">
        <f>B11+E11+H11+K11+N11+Q11+T11+W11+Z11+AC11+AF11</f>
        <v>20.387387039660201</v>
      </c>
      <c r="AJ11" s="496">
        <f>C11+F11+I11+L11+O11+R11+U11+X11+AA11+AD11+AG11</f>
        <v>15.635707853820771</v>
      </c>
      <c r="AK11" s="496">
        <f>IF(AI11=0, "    ---- ", IF(ABS(ROUND(100/AI11*AJ11-100,1))&lt;999,ROUND(100/AI11*AJ11-100,1),IF(ROUND(100/AI11*AJ11-100,1)&gt;999,999,-999)))</f>
        <v>-23.3</v>
      </c>
      <c r="AL11" s="534"/>
      <c r="AM11" s="534"/>
      <c r="AN11" s="535"/>
      <c r="AO11" s="535"/>
      <c r="AP11" s="535"/>
      <c r="AQ11" s="535"/>
      <c r="AR11" s="535"/>
      <c r="AS11" s="535"/>
      <c r="AT11" s="535"/>
      <c r="AU11" s="535"/>
      <c r="AV11" s="535"/>
      <c r="AW11" s="535"/>
      <c r="AX11" s="535"/>
      <c r="AY11" s="535"/>
      <c r="AZ11" s="535"/>
      <c r="BA11" s="535"/>
      <c r="BB11" s="535"/>
    </row>
    <row r="12" spans="1:54" ht="18.75" x14ac:dyDescent="0.3">
      <c r="A12" s="493" t="s">
        <v>393</v>
      </c>
      <c r="B12" s="525">
        <v>2.52</v>
      </c>
      <c r="C12" s="533">
        <v>2.3199999999999998</v>
      </c>
      <c r="D12" s="496">
        <f>IF(B12=0, "    ---- ", IF(ABS(ROUND(100/B12*C12-100,1))&lt;999,ROUND(100/B12*C12-100,1),IF(ROUND(100/B12*C12-100,1)&gt;999,999,-999)))</f>
        <v>-7.9</v>
      </c>
      <c r="E12" s="525">
        <v>1.9669000000000001</v>
      </c>
      <c r="F12" s="526">
        <v>2.63</v>
      </c>
      <c r="G12" s="496">
        <f>IF(E12=0, "    ---- ", IF(ABS(ROUND(100/E12*F12-100,1))&lt;999,ROUND(100/E12*F12-100,1),IF(ROUND(100/E12*F12-100,1)&gt;999,999,-999)))</f>
        <v>33.700000000000003</v>
      </c>
      <c r="H12" s="527"/>
      <c r="I12" s="526"/>
      <c r="J12" s="496"/>
      <c r="K12" s="528">
        <v>2.15</v>
      </c>
      <c r="L12" s="529">
        <v>2.1930000000000001</v>
      </c>
      <c r="M12" s="496">
        <f>IF(K12=0, "    ---- ", IF(ABS(ROUND(100/K12*L12-100,1))&lt;999,ROUND(100/K12*L12-100,1),IF(ROUND(100/K12*L12-100,1)&gt;999,999,-999)))</f>
        <v>2</v>
      </c>
      <c r="N12" s="525">
        <v>2.68</v>
      </c>
      <c r="O12" s="526">
        <v>2.99</v>
      </c>
      <c r="P12" s="496">
        <f>IF(N12=0, "    ---- ", IF(ABS(ROUND(100/N12*O12-100,1))&lt;999,ROUND(100/N12*O12-100,1),IF(ROUND(100/N12*O12-100,1)&gt;999,999,-999)))</f>
        <v>11.6</v>
      </c>
      <c r="Q12" s="528">
        <v>2.8</v>
      </c>
      <c r="R12" s="529">
        <v>2.42</v>
      </c>
      <c r="S12" s="496">
        <f>IF(Q12=0, "    ---- ", IF(ABS(ROUND(100/Q12*R12-100,1))&lt;999,ROUND(100/Q12*R12-100,1),IF(ROUND(100/Q12*R12-100,1)&gt;999,999,-999)))</f>
        <v>-13.6</v>
      </c>
      <c r="T12" s="528">
        <v>2.4</v>
      </c>
      <c r="U12" s="529">
        <v>2.7</v>
      </c>
      <c r="V12" s="496">
        <f>IF(T12=0, "    ---- ", IF(ABS(ROUND(100/T12*U12-100,1))&lt;999,ROUND(100/T12*U12-100,1),IF(ROUND(100/T12*U12-100,1)&gt;999,999,-999)))</f>
        <v>12.5</v>
      </c>
      <c r="W12" s="528">
        <v>1.57</v>
      </c>
      <c r="X12" s="529">
        <v>5.23</v>
      </c>
      <c r="Y12" s="496">
        <f>IF(W12=0, "    ---- ", IF(ABS(ROUND(100/W12*X12-100,1))&lt;999,ROUND(100/W12*X12-100,1),IF(ROUND(100/W12*X12-100,1)&gt;999,999,-999)))</f>
        <v>233.1</v>
      </c>
      <c r="Z12" s="528">
        <v>3.73</v>
      </c>
      <c r="AA12" s="529"/>
      <c r="AB12" s="496">
        <f>IF(Z12=0, "    ---- ", IF(ABS(ROUND(100/Z12*AA12-100,1))&lt;999,ROUND(100/Z12*AA12-100,1),IF(ROUND(100/Z12*AA12-100,1)&gt;999,999,-999)))</f>
        <v>-100</v>
      </c>
      <c r="AC12" s="528">
        <v>1.72826214035526</v>
      </c>
      <c r="AD12" s="529">
        <v>3.2786906303126799</v>
      </c>
      <c r="AE12" s="496">
        <f>IF(AC12=0, "    ---- ", IF(ABS(ROUND(100/AC12*AD12-100,1))&lt;999,ROUND(100/AC12*AD12-100,1),IF(ROUND(100/AC12*AD12-100,1)&gt;999,999,-999)))</f>
        <v>89.7</v>
      </c>
      <c r="AF12" s="528">
        <v>1.95</v>
      </c>
      <c r="AG12" s="529">
        <v>2.84</v>
      </c>
      <c r="AH12" s="496">
        <f>IF(AF12=0, "    ---- ", IF(ABS(ROUND(100/AF12*AG12-100,1))&lt;999,ROUND(100/AF12*AG12-100,1),IF(ROUND(100/AF12*AG12-100,1)&gt;999,999,-999)))</f>
        <v>45.6</v>
      </c>
      <c r="AI12" s="496">
        <f>B12+E12+H12+K12+N12+Q12+T12+W12+Z12+AC12+AF12</f>
        <v>23.495162140355259</v>
      </c>
      <c r="AJ12" s="496">
        <f>C12+F12+I12+L12+O12+R12+U12+X12+AA12+AD12+AG12</f>
        <v>26.601690630312682</v>
      </c>
      <c r="AK12" s="496">
        <f>IF(AI12=0, "    ---- ", IF(ABS(ROUND(100/AI12*AJ12-100,1))&lt;999,ROUND(100/AI12*AJ12-100,1),IF(ROUND(100/AI12*AJ12-100,1)&gt;999,999,-999)))</f>
        <v>13.2</v>
      </c>
      <c r="AL12" s="534"/>
      <c r="AM12" s="534"/>
      <c r="AN12" s="535"/>
      <c r="AO12" s="535"/>
      <c r="AP12" s="535"/>
      <c r="AQ12" s="535"/>
      <c r="AR12" s="535"/>
      <c r="AS12" s="535"/>
      <c r="AT12" s="535"/>
      <c r="AU12" s="535"/>
      <c r="AV12" s="535"/>
      <c r="AW12" s="535"/>
      <c r="AX12" s="535"/>
      <c r="AY12" s="535"/>
      <c r="AZ12" s="535"/>
      <c r="BA12" s="535"/>
      <c r="BB12" s="535"/>
    </row>
    <row r="13" spans="1:54" ht="18.75" x14ac:dyDescent="0.3">
      <c r="A13" s="493"/>
      <c r="B13" s="525"/>
      <c r="C13" s="533"/>
      <c r="D13" s="526"/>
      <c r="E13" s="525"/>
      <c r="F13" s="526"/>
      <c r="G13" s="526"/>
      <c r="H13" s="527"/>
      <c r="I13" s="526"/>
      <c r="J13" s="526"/>
      <c r="K13" s="528"/>
      <c r="L13" s="529"/>
      <c r="M13" s="526"/>
      <c r="N13" s="525"/>
      <c r="O13" s="526"/>
      <c r="P13" s="526"/>
      <c r="Q13" s="528"/>
      <c r="R13" s="529"/>
      <c r="S13" s="526"/>
      <c r="T13" s="528"/>
      <c r="U13" s="529"/>
      <c r="V13" s="526"/>
      <c r="W13" s="528"/>
      <c r="X13" s="529"/>
      <c r="Y13" s="526"/>
      <c r="Z13" s="528"/>
      <c r="AA13" s="529"/>
      <c r="AB13" s="526"/>
      <c r="AC13" s="528"/>
      <c r="AD13" s="529"/>
      <c r="AE13" s="526"/>
      <c r="AF13" s="528"/>
      <c r="AG13" s="529"/>
      <c r="AH13" s="526"/>
      <c r="AI13" s="496"/>
      <c r="AJ13" s="496"/>
      <c r="AK13" s="526"/>
      <c r="AL13" s="534"/>
      <c r="AM13" s="534"/>
      <c r="AN13" s="535"/>
      <c r="AO13" s="535"/>
      <c r="AP13" s="535"/>
      <c r="AQ13" s="535"/>
      <c r="AR13" s="535"/>
      <c r="AS13" s="535"/>
      <c r="AT13" s="535"/>
      <c r="AU13" s="535"/>
      <c r="AV13" s="535"/>
      <c r="AW13" s="535"/>
      <c r="AX13" s="535"/>
      <c r="AY13" s="535"/>
      <c r="AZ13" s="535"/>
      <c r="BA13" s="535"/>
      <c r="BB13" s="535"/>
    </row>
    <row r="14" spans="1:54" ht="18.75" x14ac:dyDescent="0.3">
      <c r="A14" s="493" t="s">
        <v>394</v>
      </c>
      <c r="B14" s="525"/>
      <c r="C14" s="526"/>
      <c r="D14" s="496"/>
      <c r="E14" s="525">
        <v>24.04</v>
      </c>
      <c r="F14" s="526">
        <v>24.24</v>
      </c>
      <c r="G14" s="496">
        <f>IF(E14=0, "    ---- ", IF(ABS(ROUND(100/E14*F14-100,1))&lt;999,ROUND(100/E14*F14-100,1),IF(ROUND(100/E14*F14-100,1)&gt;999,999,-999)))</f>
        <v>0.8</v>
      </c>
      <c r="H14" s="527"/>
      <c r="I14" s="526">
        <v>28.4</v>
      </c>
      <c r="J14" s="496" t="str">
        <f>IF(H14=0, "    ---- ", IF(ABS(ROUND(100/H14*I14-100,1))&lt;999,ROUND(100/H14*I14-100,1),IF(ROUND(100/H14*I14-100,1)&gt;999,999,-999)))</f>
        <v xml:space="preserve">    ---- </v>
      </c>
      <c r="K14" s="528"/>
      <c r="L14" s="529">
        <v>20.170000000000002</v>
      </c>
      <c r="M14" s="496" t="str">
        <f>IF(K14=0, "    ---- ", IF(ABS(ROUND(100/K14*L14-100,1))&lt;999,ROUND(100/K14*L14-100,1),IF(ROUND(100/K14*L14-100,1)&gt;999,999,-999)))</f>
        <v xml:space="preserve">    ---- </v>
      </c>
      <c r="N14" s="525">
        <v>25.08</v>
      </c>
      <c r="O14" s="526">
        <v>26.65</v>
      </c>
      <c r="P14" s="496">
        <f>IF(N14=0, "    ---- ", IF(ABS(ROUND(100/N14*O14-100,1))&lt;999,ROUND(100/N14*O14-100,1),IF(ROUND(100/N14*O14-100,1)&gt;999,999,-999)))</f>
        <v>6.3</v>
      </c>
      <c r="Q14" s="528">
        <v>36.700000000000003</v>
      </c>
      <c r="R14" s="529">
        <v>49.1</v>
      </c>
      <c r="S14" s="496">
        <f>IF(Q14=0, "    ---- ", IF(ABS(ROUND(100/Q14*R14-100,1))&lt;999,ROUND(100/Q14*R14-100,1),IF(ROUND(100/Q14*R14-100,1)&gt;999,999,-999)))</f>
        <v>33.799999999999997</v>
      </c>
      <c r="T14" s="528">
        <v>29.5</v>
      </c>
      <c r="U14" s="529">
        <v>30.9</v>
      </c>
      <c r="V14" s="496">
        <f>IF(T14=0, "    ---- ", IF(ABS(ROUND(100/T14*U14-100,1))&lt;999,ROUND(100/T14*U14-100,1),IF(ROUND(100/T14*U14-100,1)&gt;999,999,-999)))</f>
        <v>4.7</v>
      </c>
      <c r="W14" s="528">
        <v>36.946784960444802</v>
      </c>
      <c r="X14" s="529">
        <v>41.291940219722214</v>
      </c>
      <c r="Y14" s="496">
        <f>IF(W14=0, "    ---- ", IF(ABS(ROUND(100/W14*X14-100,1))&lt;999,ROUND(100/W14*X14-100,1),IF(ROUND(100/W14*X14-100,1)&gt;999,999,-999)))</f>
        <v>11.8</v>
      </c>
      <c r="Z14" s="528">
        <v>12.2</v>
      </c>
      <c r="AA14" s="529"/>
      <c r="AB14" s="496">
        <f>IF(Z14=0, "    ---- ", IF(ABS(ROUND(100/Z14*AA14-100,1))&lt;999,ROUND(100/Z14*AA14-100,1),IF(ROUND(100/Z14*AA14-100,1)&gt;999,999,-999)))</f>
        <v>-100</v>
      </c>
      <c r="AC14" s="528">
        <v>33.579696841648484</v>
      </c>
      <c r="AD14" s="529">
        <v>36.954148451089708</v>
      </c>
      <c r="AE14" s="496">
        <f>IF(AC14=0, "    ---- ", IF(ABS(ROUND(100/AC14*AD14-100,1))&lt;999,ROUND(100/AC14*AD14-100,1),IF(ROUND(100/AC14*AD14-100,1)&gt;999,999,-999)))</f>
        <v>10</v>
      </c>
      <c r="AF14" s="528">
        <v>24.1</v>
      </c>
      <c r="AG14" s="529">
        <v>24.5</v>
      </c>
      <c r="AH14" s="496">
        <f>IF(AF14=0, "    ---- ", IF(ABS(ROUND(100/AF14*AG14-100,1))&lt;999,ROUND(100/AF14*AG14-100,1),IF(ROUND(100/AF14*AG14-100,1)&gt;999,999,-999)))</f>
        <v>1.7</v>
      </c>
      <c r="AI14" s="496">
        <f>B14+E14+H14+K14+N14+Q14+T14+W14+Z14+AC14+AF14</f>
        <v>222.14648180209326</v>
      </c>
      <c r="AJ14" s="496">
        <f>C14+F14+I14+L14+O14+R14+U14+X14+AA14+AD14+AG14</f>
        <v>282.20608867081194</v>
      </c>
      <c r="AK14" s="496">
        <f>IF(AI14=0, "    ---- ", IF(ABS(ROUND(100/AI14*AJ14-100,1))&lt;999,ROUND(100/AI14*AJ14-100,1),IF(ROUND(100/AI14*AJ14-100,1)&gt;999,999,-999)))</f>
        <v>27</v>
      </c>
      <c r="AL14" s="534"/>
      <c r="AM14" s="534"/>
      <c r="AN14" s="535"/>
      <c r="AO14" s="535"/>
      <c r="AP14" s="535"/>
      <c r="AQ14" s="535"/>
      <c r="AR14" s="535"/>
      <c r="AS14" s="535"/>
      <c r="AT14" s="535"/>
      <c r="AU14" s="535"/>
      <c r="AV14" s="535"/>
      <c r="AW14" s="535"/>
      <c r="AX14" s="535"/>
      <c r="AY14" s="535"/>
      <c r="AZ14" s="535"/>
      <c r="BA14" s="535"/>
      <c r="BB14" s="535"/>
    </row>
    <row r="15" spans="1:54" ht="18.75" x14ac:dyDescent="0.3">
      <c r="A15" s="493"/>
      <c r="B15" s="525"/>
      <c r="C15" s="533"/>
      <c r="D15" s="526"/>
      <c r="E15" s="525"/>
      <c r="F15" s="526"/>
      <c r="G15" s="526"/>
      <c r="H15" s="527"/>
      <c r="I15" s="526"/>
      <c r="J15" s="526"/>
      <c r="K15" s="528"/>
      <c r="L15" s="529"/>
      <c r="M15" s="526"/>
      <c r="N15" s="525"/>
      <c r="O15" s="526"/>
      <c r="P15" s="526"/>
      <c r="Q15" s="528"/>
      <c r="R15" s="529"/>
      <c r="S15" s="526"/>
      <c r="T15" s="528"/>
      <c r="U15" s="529"/>
      <c r="V15" s="526"/>
      <c r="W15" s="528"/>
      <c r="X15" s="529"/>
      <c r="Y15" s="526"/>
      <c r="Z15" s="528"/>
      <c r="AA15" s="529"/>
      <c r="AB15" s="526"/>
      <c r="AC15" s="528"/>
      <c r="AD15" s="529"/>
      <c r="AE15" s="526"/>
      <c r="AF15" s="528"/>
      <c r="AG15" s="529"/>
      <c r="AH15" s="526"/>
      <c r="AI15" s="496"/>
      <c r="AJ15" s="496"/>
      <c r="AK15" s="526"/>
      <c r="AL15" s="534"/>
      <c r="AM15" s="534"/>
    </row>
    <row r="16" spans="1:54" ht="18.75" x14ac:dyDescent="0.3">
      <c r="A16" s="493" t="s">
        <v>395</v>
      </c>
      <c r="B16" s="507">
        <v>28.446999999999999</v>
      </c>
      <c r="C16" s="536">
        <v>34.515000000000001</v>
      </c>
      <c r="D16" s="496">
        <f>IF(B16=0, "    ---- ", IF(ABS(ROUND(100/B16*C16-100,1))&lt;999,ROUND(100/B16*C16-100,1),IF(ROUND(100/B16*C16-100,1)&gt;999,999,-999)))</f>
        <v>21.3</v>
      </c>
      <c r="E16" s="507">
        <v>2454.4769999999999</v>
      </c>
      <c r="F16" s="496">
        <v>3452.8429999999998</v>
      </c>
      <c r="G16" s="496">
        <f>IF(E16=0, "    ---- ", IF(ABS(ROUND(100/E16*F16-100,1))&lt;999,ROUND(100/E16*F16-100,1),IF(ROUND(100/E16*F16-100,1)&gt;999,999,-999)))</f>
        <v>40.700000000000003</v>
      </c>
      <c r="H16" s="537"/>
      <c r="I16" s="496"/>
      <c r="J16" s="496"/>
      <c r="K16" s="473">
        <v>1319.683</v>
      </c>
      <c r="L16" s="474">
        <v>39.299999999999997</v>
      </c>
      <c r="M16" s="496">
        <f>IF(K16=0, "    ---- ", IF(ABS(ROUND(100/K16*L16-100,1))&lt;999,ROUND(100/K16*L16-100,1),IF(ROUND(100/K16*L16-100,1)&gt;999,999,-999)))</f>
        <v>-97</v>
      </c>
      <c r="N16" s="507">
        <v>23990.960118999999</v>
      </c>
      <c r="O16" s="496">
        <v>35417.039918000002</v>
      </c>
      <c r="P16" s="496">
        <f>IF(N16=0, "    ---- ", IF(ABS(ROUND(100/N16*O16-100,1))&lt;999,ROUND(100/N16*O16-100,1),IF(ROUND(100/N16*O16-100,1)&gt;999,999,-999)))</f>
        <v>47.6</v>
      </c>
      <c r="Q16" s="473">
        <v>67</v>
      </c>
      <c r="R16" s="474">
        <v>78</v>
      </c>
      <c r="S16" s="496">
        <f>IF(Q16=0, "    ---- ", IF(ABS(ROUND(100/Q16*R16-100,1))&lt;999,ROUND(100/Q16*R16-100,1),IF(ROUND(100/Q16*R16-100,1)&gt;999,999,-999)))</f>
        <v>16.399999999999999</v>
      </c>
      <c r="T16" s="473">
        <v>837</v>
      </c>
      <c r="U16" s="474">
        <v>1384</v>
      </c>
      <c r="V16" s="496">
        <f>IF(T16=0, "    ---- ", IF(ABS(ROUND(100/T16*U16-100,1))&lt;999,ROUND(100/T16*U16-100,1),IF(ROUND(100/T16*U16-100,1)&gt;999,999,-999)))</f>
        <v>65.400000000000006</v>
      </c>
      <c r="W16" s="473">
        <v>8985</v>
      </c>
      <c r="X16" s="474">
        <v>11021</v>
      </c>
      <c r="Y16" s="496">
        <f>IF(W16=0, "    ---- ", IF(ABS(ROUND(100/W16*X16-100,1))&lt;999,ROUND(100/W16*X16-100,1),IF(ROUND(100/W16*X16-100,1)&gt;999,999,-999)))</f>
        <v>22.7</v>
      </c>
      <c r="Z16" s="473">
        <v>231.01741529</v>
      </c>
      <c r="AA16" s="474"/>
      <c r="AB16" s="496">
        <f>IF(Z16=0, "    ---- ", IF(ABS(ROUND(100/Z16*AA16-100,1))&lt;999,ROUND(100/Z16*AA16-100,1),IF(ROUND(100/Z16*AA16-100,1)&gt;999,999,-999)))</f>
        <v>-100</v>
      </c>
      <c r="AC16" s="473">
        <v>1662.2539999999999</v>
      </c>
      <c r="AD16" s="474">
        <v>2172.5500000000002</v>
      </c>
      <c r="AE16" s="496">
        <f>IF(AC16=0, "    ---- ", IF(ABS(ROUND(100/AC16*AD16-100,1))&lt;999,ROUND(100/AC16*AD16-100,1),IF(ROUND(100/AC16*AD16-100,1)&gt;999,999,-999)))</f>
        <v>30.7</v>
      </c>
      <c r="AF16" s="473">
        <v>5244</v>
      </c>
      <c r="AG16" s="474">
        <v>2158</v>
      </c>
      <c r="AH16" s="496">
        <f>IF(AF16=0, "    ---- ", IF(ABS(ROUND(100/AF16*AG16-100,1))&lt;999,ROUND(100/AF16*AG16-100,1),IF(ROUND(100/AF16*AG16-100,1)&gt;999,999,-999)))</f>
        <v>-58.8</v>
      </c>
      <c r="AI16" s="496">
        <f>B16+E16+H16+K16+N16+Q16+T16+W16+Z16+AC16+AF16</f>
        <v>44819.83853429</v>
      </c>
      <c r="AJ16" s="496">
        <f>C16+F16+I16+L16+O16+R16+U16+X16+AA16+AD16+AG16</f>
        <v>55757.247918000008</v>
      </c>
      <c r="AK16" s="496">
        <f>IF(AI16=0, "    ---- ", IF(ABS(ROUND(100/AI16*AJ16-100,1))&lt;999,ROUND(100/AI16*AJ16-100,1),IF(ROUND(100/AI16*AJ16-100,1)&gt;999,999,-999)))</f>
        <v>24.4</v>
      </c>
      <c r="AL16" s="534"/>
      <c r="AM16" s="534"/>
    </row>
    <row r="17" spans="1:39" ht="18.75" x14ac:dyDescent="0.3">
      <c r="A17" s="493"/>
      <c r="B17" s="507"/>
      <c r="C17" s="536"/>
      <c r="D17" s="496"/>
      <c r="E17" s="507"/>
      <c r="F17" s="496"/>
      <c r="G17" s="496"/>
      <c r="H17" s="537"/>
      <c r="I17" s="496"/>
      <c r="J17" s="496"/>
      <c r="K17" s="473"/>
      <c r="L17" s="474"/>
      <c r="M17" s="496"/>
      <c r="N17" s="507"/>
      <c r="O17" s="496"/>
      <c r="P17" s="496"/>
      <c r="Q17" s="473"/>
      <c r="R17" s="474"/>
      <c r="S17" s="496"/>
      <c r="T17" s="473"/>
      <c r="U17" s="474"/>
      <c r="V17" s="496"/>
      <c r="W17" s="473"/>
      <c r="X17" s="474"/>
      <c r="Y17" s="496"/>
      <c r="Z17" s="473"/>
      <c r="AA17" s="474"/>
      <c r="AB17" s="496"/>
      <c r="AC17" s="473"/>
      <c r="AD17" s="474"/>
      <c r="AE17" s="496"/>
      <c r="AF17" s="473"/>
      <c r="AG17" s="474"/>
      <c r="AH17" s="496"/>
      <c r="AI17" s="496"/>
      <c r="AJ17" s="496"/>
      <c r="AK17" s="496"/>
      <c r="AL17" s="534"/>
      <c r="AM17" s="534"/>
    </row>
    <row r="18" spans="1:39" ht="18.75" x14ac:dyDescent="0.3">
      <c r="A18" s="538" t="s">
        <v>396</v>
      </c>
      <c r="B18" s="539"/>
      <c r="C18" s="540"/>
      <c r="D18" s="540"/>
      <c r="E18" s="539">
        <v>11990</v>
      </c>
      <c r="F18" s="540">
        <v>8683.9320000000007</v>
      </c>
      <c r="G18" s="540">
        <f>IF(E18=0, "    ---- ", IF(ABS(ROUND(100/E18*F18-100,1))&lt;999,ROUND(100/E18*F18-100,1),IF(ROUND(100/E18*F18-100,1)&gt;999,999,-999)))</f>
        <v>-27.6</v>
      </c>
      <c r="H18" s="541"/>
      <c r="I18" s="540"/>
      <c r="J18" s="540"/>
      <c r="K18" s="542"/>
      <c r="L18" s="543"/>
      <c r="M18" s="540"/>
      <c r="N18" s="539">
        <v>1092</v>
      </c>
      <c r="O18" s="540">
        <v>650</v>
      </c>
      <c r="P18" s="540">
        <f>IF(N18=0, "    ---- ", IF(ABS(ROUND(100/N18*O18-100,1))&lt;999,ROUND(100/N18*O18-100,1),IF(ROUND(100/N18*O18-100,1)&gt;999,999,-999)))</f>
        <v>-40.5</v>
      </c>
      <c r="Q18" s="544">
        <v>83</v>
      </c>
      <c r="R18" s="545">
        <v>78</v>
      </c>
      <c r="S18" s="540">
        <f>IF(Q18=0, "    ---- ", IF(ABS(ROUND(100/Q18*R18-100,1))&lt;999,ROUND(100/Q18*R18-100,1),IF(ROUND(100/Q18*R18-100,1)&gt;999,999,-999)))</f>
        <v>-6</v>
      </c>
      <c r="T18" s="544">
        <v>2782</v>
      </c>
      <c r="U18" s="545">
        <v>1864</v>
      </c>
      <c r="V18" s="540">
        <f>IF(T18=0, "    ---- ", IF(ABS(ROUND(100/T18*U18-100,1))&lt;999,ROUND(100/T18*U18-100,1),IF(ROUND(100/T18*U18-100,1)&gt;999,999,-999)))</f>
        <v>-33</v>
      </c>
      <c r="W18" s="544">
        <v>1741</v>
      </c>
      <c r="X18" s="545">
        <v>1240</v>
      </c>
      <c r="Y18" s="540">
        <f>IF(W18=0, "    ---- ", IF(ABS(ROUND(100/W18*X18-100,1))&lt;999,ROUND(100/W18*X18-100,1),IF(ROUND(100/W18*X18-100,1)&gt;999,999,-999)))</f>
        <v>-28.8</v>
      </c>
      <c r="Z18" s="544">
        <v>1.3440000000000001</v>
      </c>
      <c r="AA18" s="545"/>
      <c r="AB18" s="540">
        <f>IF(Z18=0, "    ---- ", IF(ABS(ROUND(100/Z18*AA18-100,1))&lt;999,ROUND(100/Z18*AA18-100,1),IF(ROUND(100/Z18*AA18-100,1)&gt;999,999,-999)))</f>
        <v>-100</v>
      </c>
      <c r="AC18" s="544">
        <v>-37.086764000000002</v>
      </c>
      <c r="AD18" s="545">
        <v>49.731000000000002</v>
      </c>
      <c r="AE18" s="540">
        <f>IF(AC18=0, "    ---- ", IF(ABS(ROUND(100/AC18*AD18-100,1))&lt;999,ROUND(100/AC18*AD18-100,1),IF(ROUND(100/AC18*AD18-100,1)&gt;999,999,-999)))</f>
        <v>-234.1</v>
      </c>
      <c r="AF18" s="544">
        <v>12420</v>
      </c>
      <c r="AG18" s="545">
        <v>8820</v>
      </c>
      <c r="AH18" s="540">
        <f>IF(AF18=0, "    ---- ", IF(ABS(ROUND(100/AF18*AG18-100,1))&lt;999,ROUND(100/AF18*AG18-100,1),IF(ROUND(100/AF18*AG18-100,1)&gt;999,999,-999)))</f>
        <v>-29</v>
      </c>
      <c r="AI18" s="540">
        <f>B18+E18+H18+K18+N18+Q18+T18+W18+Z18+AC18+AF18</f>
        <v>30072.257236000001</v>
      </c>
      <c r="AJ18" s="540">
        <f>C18+F18+I18+L18+O18+R18+U18+X18+AA18+AD18+AG18</f>
        <v>21385.663</v>
      </c>
      <c r="AK18" s="540">
        <f>IF(AI18=0, "    ---- ", IF(ABS(ROUND(100/AI18*AJ18-100,1))&lt;999,ROUND(100/AI18*AJ18-100,1),IF(ROUND(100/AI18*AJ18-100,1)&gt;999,999,-999)))</f>
        <v>-28.9</v>
      </c>
      <c r="AL18" s="534"/>
      <c r="AM18" s="534"/>
    </row>
  </sheetData>
  <mergeCells count="32">
    <mergeCell ref="AQ6:AS6"/>
    <mergeCell ref="AT6:AV6"/>
    <mergeCell ref="AW6:AY6"/>
    <mergeCell ref="AZ6:BB6"/>
    <mergeCell ref="W6:Y6"/>
    <mergeCell ref="Z6:AB6"/>
    <mergeCell ref="AC6:AE6"/>
    <mergeCell ref="AF6:AH6"/>
    <mergeCell ref="AI6:AK6"/>
    <mergeCell ref="AN6:AP6"/>
    <mergeCell ref="AT5:AV5"/>
    <mergeCell ref="AW5:AY5"/>
    <mergeCell ref="AZ5:BB5"/>
    <mergeCell ref="B6:D6"/>
    <mergeCell ref="E6:G6"/>
    <mergeCell ref="H6:J6"/>
    <mergeCell ref="K6:M6"/>
    <mergeCell ref="N6:P6"/>
    <mergeCell ref="Q6:S6"/>
    <mergeCell ref="T6:V6"/>
    <mergeCell ref="Z5:AB5"/>
    <mergeCell ref="AC5:AE5"/>
    <mergeCell ref="AF5:AH5"/>
    <mergeCell ref="AI5:AK5"/>
    <mergeCell ref="AN5:AP5"/>
    <mergeCell ref="AQ5:AS5"/>
    <mergeCell ref="W5:Y5"/>
    <mergeCell ref="B5:D5"/>
    <mergeCell ref="E5:G5"/>
    <mergeCell ref="H5:J5"/>
    <mergeCell ref="K5:M5"/>
    <mergeCell ref="Q5:S5"/>
  </mergeCells>
  <hyperlinks>
    <hyperlink ref="B1" location="Innhold!A1" display="Tilbak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2:Q65"/>
  <sheetViews>
    <sheetView showGridLines="0" zoomScale="90" zoomScaleNormal="90" workbookViewId="0">
      <selection activeCell="A3" sqref="A3"/>
    </sheetView>
  </sheetViews>
  <sheetFormatPr baseColWidth="10" defaultColWidth="11.42578125" defaultRowHeight="12.75" x14ac:dyDescent="0.2"/>
  <cols>
    <col min="1" max="1" width="66.28515625" style="1" customWidth="1"/>
    <col min="2" max="2" width="4.28515625" style="50" customWidth="1"/>
    <col min="3" max="3" width="105.140625" style="1" customWidth="1"/>
    <col min="4" max="8" width="12.7109375" style="1" customWidth="1"/>
    <col min="9" max="257" width="11.42578125" style="1"/>
    <col min="258" max="258" width="2.7109375" style="1" customWidth="1"/>
    <col min="259" max="259" width="176.7109375" style="1" customWidth="1"/>
    <col min="260" max="260" width="11.42578125" style="1"/>
    <col min="261" max="261" width="176.7109375" style="1" customWidth="1"/>
    <col min="262" max="262" width="11.42578125" style="1"/>
    <col min="263" max="263" width="88.7109375" style="1" customWidth="1"/>
    <col min="264" max="513" width="11.42578125" style="1"/>
    <col min="514" max="514" width="2.7109375" style="1" customWidth="1"/>
    <col min="515" max="515" width="176.7109375" style="1" customWidth="1"/>
    <col min="516" max="516" width="11.42578125" style="1"/>
    <col min="517" max="517" width="176.7109375" style="1" customWidth="1"/>
    <col min="518" max="518" width="11.42578125" style="1"/>
    <col min="519" max="519" width="88.7109375" style="1" customWidth="1"/>
    <col min="520" max="769" width="11.42578125" style="1"/>
    <col min="770" max="770" width="2.7109375" style="1" customWidth="1"/>
    <col min="771" max="771" width="176.7109375" style="1" customWidth="1"/>
    <col min="772" max="772" width="11.42578125" style="1"/>
    <col min="773" max="773" width="176.7109375" style="1" customWidth="1"/>
    <col min="774" max="774" width="11.42578125" style="1"/>
    <col min="775" max="775" width="88.7109375" style="1" customWidth="1"/>
    <col min="776" max="1025" width="11.42578125" style="1"/>
    <col min="1026" max="1026" width="2.7109375" style="1" customWidth="1"/>
    <col min="1027" max="1027" width="176.7109375" style="1" customWidth="1"/>
    <col min="1028" max="1028" width="11.42578125" style="1"/>
    <col min="1029" max="1029" width="176.7109375" style="1" customWidth="1"/>
    <col min="1030" max="1030" width="11.42578125" style="1"/>
    <col min="1031" max="1031" width="88.7109375" style="1" customWidth="1"/>
    <col min="1032" max="1281" width="11.42578125" style="1"/>
    <col min="1282" max="1282" width="2.7109375" style="1" customWidth="1"/>
    <col min="1283" max="1283" width="176.7109375" style="1" customWidth="1"/>
    <col min="1284" max="1284" width="11.42578125" style="1"/>
    <col min="1285" max="1285" width="176.7109375" style="1" customWidth="1"/>
    <col min="1286" max="1286" width="11.42578125" style="1"/>
    <col min="1287" max="1287" width="88.7109375" style="1" customWidth="1"/>
    <col min="1288" max="1537" width="11.42578125" style="1"/>
    <col min="1538" max="1538" width="2.7109375" style="1" customWidth="1"/>
    <col min="1539" max="1539" width="176.7109375" style="1" customWidth="1"/>
    <col min="1540" max="1540" width="11.42578125" style="1"/>
    <col min="1541" max="1541" width="176.7109375" style="1" customWidth="1"/>
    <col min="1542" max="1542" width="11.42578125" style="1"/>
    <col min="1543" max="1543" width="88.7109375" style="1" customWidth="1"/>
    <col min="1544" max="1793" width="11.42578125" style="1"/>
    <col min="1794" max="1794" width="2.7109375" style="1" customWidth="1"/>
    <col min="1795" max="1795" width="176.7109375" style="1" customWidth="1"/>
    <col min="1796" max="1796" width="11.42578125" style="1"/>
    <col min="1797" max="1797" width="176.7109375" style="1" customWidth="1"/>
    <col min="1798" max="1798" width="11.42578125" style="1"/>
    <col min="1799" max="1799" width="88.7109375" style="1" customWidth="1"/>
    <col min="1800" max="2049" width="11.42578125" style="1"/>
    <col min="2050" max="2050" width="2.7109375" style="1" customWidth="1"/>
    <col min="2051" max="2051" width="176.7109375" style="1" customWidth="1"/>
    <col min="2052" max="2052" width="11.42578125" style="1"/>
    <col min="2053" max="2053" width="176.7109375" style="1" customWidth="1"/>
    <col min="2054" max="2054" width="11.42578125" style="1"/>
    <col min="2055" max="2055" width="88.7109375" style="1" customWidth="1"/>
    <col min="2056" max="2305" width="11.42578125" style="1"/>
    <col min="2306" max="2306" width="2.7109375" style="1" customWidth="1"/>
    <col min="2307" max="2307" width="176.7109375" style="1" customWidth="1"/>
    <col min="2308" max="2308" width="11.42578125" style="1"/>
    <col min="2309" max="2309" width="176.7109375" style="1" customWidth="1"/>
    <col min="2310" max="2310" width="11.42578125" style="1"/>
    <col min="2311" max="2311" width="88.7109375" style="1" customWidth="1"/>
    <col min="2312" max="2561" width="11.42578125" style="1"/>
    <col min="2562" max="2562" width="2.7109375" style="1" customWidth="1"/>
    <col min="2563" max="2563" width="176.7109375" style="1" customWidth="1"/>
    <col min="2564" max="2564" width="11.42578125" style="1"/>
    <col min="2565" max="2565" width="176.7109375" style="1" customWidth="1"/>
    <col min="2566" max="2566" width="11.42578125" style="1"/>
    <col min="2567" max="2567" width="88.7109375" style="1" customWidth="1"/>
    <col min="2568" max="2817" width="11.42578125" style="1"/>
    <col min="2818" max="2818" width="2.7109375" style="1" customWidth="1"/>
    <col min="2819" max="2819" width="176.7109375" style="1" customWidth="1"/>
    <col min="2820" max="2820" width="11.42578125" style="1"/>
    <col min="2821" max="2821" width="176.7109375" style="1" customWidth="1"/>
    <col min="2822" max="2822" width="11.42578125" style="1"/>
    <col min="2823" max="2823" width="88.7109375" style="1" customWidth="1"/>
    <col min="2824" max="3073" width="11.42578125" style="1"/>
    <col min="3074" max="3074" width="2.7109375" style="1" customWidth="1"/>
    <col min="3075" max="3075" width="176.7109375" style="1" customWidth="1"/>
    <col min="3076" max="3076" width="11.42578125" style="1"/>
    <col min="3077" max="3077" width="176.7109375" style="1" customWidth="1"/>
    <col min="3078" max="3078" width="11.42578125" style="1"/>
    <col min="3079" max="3079" width="88.7109375" style="1" customWidth="1"/>
    <col min="3080" max="3329" width="11.42578125" style="1"/>
    <col min="3330" max="3330" width="2.7109375" style="1" customWidth="1"/>
    <col min="3331" max="3331" width="176.7109375" style="1" customWidth="1"/>
    <col min="3332" max="3332" width="11.42578125" style="1"/>
    <col min="3333" max="3333" width="176.7109375" style="1" customWidth="1"/>
    <col min="3334" max="3334" width="11.42578125" style="1"/>
    <col min="3335" max="3335" width="88.7109375" style="1" customWidth="1"/>
    <col min="3336" max="3585" width="11.42578125" style="1"/>
    <col min="3586" max="3586" width="2.7109375" style="1" customWidth="1"/>
    <col min="3587" max="3587" width="176.7109375" style="1" customWidth="1"/>
    <col min="3588" max="3588" width="11.42578125" style="1"/>
    <col min="3589" max="3589" width="176.7109375" style="1" customWidth="1"/>
    <col min="3590" max="3590" width="11.42578125" style="1"/>
    <col min="3591" max="3591" width="88.7109375" style="1" customWidth="1"/>
    <col min="3592" max="3841" width="11.42578125" style="1"/>
    <col min="3842" max="3842" width="2.7109375" style="1" customWidth="1"/>
    <col min="3843" max="3843" width="176.7109375" style="1" customWidth="1"/>
    <col min="3844" max="3844" width="11.42578125" style="1"/>
    <col min="3845" max="3845" width="176.7109375" style="1" customWidth="1"/>
    <col min="3846" max="3846" width="11.42578125" style="1"/>
    <col min="3847" max="3847" width="88.7109375" style="1" customWidth="1"/>
    <col min="3848" max="4097" width="11.42578125" style="1"/>
    <col min="4098" max="4098" width="2.7109375" style="1" customWidth="1"/>
    <col min="4099" max="4099" width="176.7109375" style="1" customWidth="1"/>
    <col min="4100" max="4100" width="11.42578125" style="1"/>
    <col min="4101" max="4101" width="176.7109375" style="1" customWidth="1"/>
    <col min="4102" max="4102" width="11.42578125" style="1"/>
    <col min="4103" max="4103" width="88.7109375" style="1" customWidth="1"/>
    <col min="4104" max="4353" width="11.42578125" style="1"/>
    <col min="4354" max="4354" width="2.7109375" style="1" customWidth="1"/>
    <col min="4355" max="4355" width="176.7109375" style="1" customWidth="1"/>
    <col min="4356" max="4356" width="11.42578125" style="1"/>
    <col min="4357" max="4357" width="176.7109375" style="1" customWidth="1"/>
    <col min="4358" max="4358" width="11.42578125" style="1"/>
    <col min="4359" max="4359" width="88.7109375" style="1" customWidth="1"/>
    <col min="4360" max="4609" width="11.42578125" style="1"/>
    <col min="4610" max="4610" width="2.7109375" style="1" customWidth="1"/>
    <col min="4611" max="4611" width="176.7109375" style="1" customWidth="1"/>
    <col min="4612" max="4612" width="11.42578125" style="1"/>
    <col min="4613" max="4613" width="176.7109375" style="1" customWidth="1"/>
    <col min="4614" max="4614" width="11.42578125" style="1"/>
    <col min="4615" max="4615" width="88.7109375" style="1" customWidth="1"/>
    <col min="4616" max="4865" width="11.42578125" style="1"/>
    <col min="4866" max="4866" width="2.7109375" style="1" customWidth="1"/>
    <col min="4867" max="4867" width="176.7109375" style="1" customWidth="1"/>
    <col min="4868" max="4868" width="11.42578125" style="1"/>
    <col min="4869" max="4869" width="176.7109375" style="1" customWidth="1"/>
    <col min="4870" max="4870" width="11.42578125" style="1"/>
    <col min="4871" max="4871" width="88.7109375" style="1" customWidth="1"/>
    <col min="4872" max="5121" width="11.42578125" style="1"/>
    <col min="5122" max="5122" width="2.7109375" style="1" customWidth="1"/>
    <col min="5123" max="5123" width="176.7109375" style="1" customWidth="1"/>
    <col min="5124" max="5124" width="11.42578125" style="1"/>
    <col min="5125" max="5125" width="176.7109375" style="1" customWidth="1"/>
    <col min="5126" max="5126" width="11.42578125" style="1"/>
    <col min="5127" max="5127" width="88.7109375" style="1" customWidth="1"/>
    <col min="5128" max="5377" width="11.42578125" style="1"/>
    <col min="5378" max="5378" width="2.7109375" style="1" customWidth="1"/>
    <col min="5379" max="5379" width="176.7109375" style="1" customWidth="1"/>
    <col min="5380" max="5380" width="11.42578125" style="1"/>
    <col min="5381" max="5381" width="176.7109375" style="1" customWidth="1"/>
    <col min="5382" max="5382" width="11.42578125" style="1"/>
    <col min="5383" max="5383" width="88.7109375" style="1" customWidth="1"/>
    <col min="5384" max="5633" width="11.42578125" style="1"/>
    <col min="5634" max="5634" width="2.7109375" style="1" customWidth="1"/>
    <col min="5635" max="5635" width="176.7109375" style="1" customWidth="1"/>
    <col min="5636" max="5636" width="11.42578125" style="1"/>
    <col min="5637" max="5637" width="176.7109375" style="1" customWidth="1"/>
    <col min="5638" max="5638" width="11.42578125" style="1"/>
    <col min="5639" max="5639" width="88.7109375" style="1" customWidth="1"/>
    <col min="5640" max="5889" width="11.42578125" style="1"/>
    <col min="5890" max="5890" width="2.7109375" style="1" customWidth="1"/>
    <col min="5891" max="5891" width="176.7109375" style="1" customWidth="1"/>
    <col min="5892" max="5892" width="11.42578125" style="1"/>
    <col min="5893" max="5893" width="176.7109375" style="1" customWidth="1"/>
    <col min="5894" max="5894" width="11.42578125" style="1"/>
    <col min="5895" max="5895" width="88.7109375" style="1" customWidth="1"/>
    <col min="5896" max="6145" width="11.42578125" style="1"/>
    <col min="6146" max="6146" width="2.7109375" style="1" customWidth="1"/>
    <col min="6147" max="6147" width="176.7109375" style="1" customWidth="1"/>
    <col min="6148" max="6148" width="11.42578125" style="1"/>
    <col min="6149" max="6149" width="176.7109375" style="1" customWidth="1"/>
    <col min="6150" max="6150" width="11.42578125" style="1"/>
    <col min="6151" max="6151" width="88.7109375" style="1" customWidth="1"/>
    <col min="6152" max="6401" width="11.42578125" style="1"/>
    <col min="6402" max="6402" width="2.7109375" style="1" customWidth="1"/>
    <col min="6403" max="6403" width="176.7109375" style="1" customWidth="1"/>
    <col min="6404" max="6404" width="11.42578125" style="1"/>
    <col min="6405" max="6405" width="176.7109375" style="1" customWidth="1"/>
    <col min="6406" max="6406" width="11.42578125" style="1"/>
    <col min="6407" max="6407" width="88.7109375" style="1" customWidth="1"/>
    <col min="6408" max="6657" width="11.42578125" style="1"/>
    <col min="6658" max="6658" width="2.7109375" style="1" customWidth="1"/>
    <col min="6659" max="6659" width="176.7109375" style="1" customWidth="1"/>
    <col min="6660" max="6660" width="11.42578125" style="1"/>
    <col min="6661" max="6661" width="176.7109375" style="1" customWidth="1"/>
    <col min="6662" max="6662" width="11.42578125" style="1"/>
    <col min="6663" max="6663" width="88.7109375" style="1" customWidth="1"/>
    <col min="6664" max="6913" width="11.42578125" style="1"/>
    <col min="6914" max="6914" width="2.7109375" style="1" customWidth="1"/>
    <col min="6915" max="6915" width="176.7109375" style="1" customWidth="1"/>
    <col min="6916" max="6916" width="11.42578125" style="1"/>
    <col min="6917" max="6917" width="176.7109375" style="1" customWidth="1"/>
    <col min="6918" max="6918" width="11.42578125" style="1"/>
    <col min="6919" max="6919" width="88.7109375" style="1" customWidth="1"/>
    <col min="6920" max="7169" width="11.42578125" style="1"/>
    <col min="7170" max="7170" width="2.7109375" style="1" customWidth="1"/>
    <col min="7171" max="7171" width="176.7109375" style="1" customWidth="1"/>
    <col min="7172" max="7172" width="11.42578125" style="1"/>
    <col min="7173" max="7173" width="176.7109375" style="1" customWidth="1"/>
    <col min="7174" max="7174" width="11.42578125" style="1"/>
    <col min="7175" max="7175" width="88.7109375" style="1" customWidth="1"/>
    <col min="7176" max="7425" width="11.42578125" style="1"/>
    <col min="7426" max="7426" width="2.7109375" style="1" customWidth="1"/>
    <col min="7427" max="7427" width="176.7109375" style="1" customWidth="1"/>
    <col min="7428" max="7428" width="11.42578125" style="1"/>
    <col min="7429" max="7429" width="176.7109375" style="1" customWidth="1"/>
    <col min="7430" max="7430" width="11.42578125" style="1"/>
    <col min="7431" max="7431" width="88.7109375" style="1" customWidth="1"/>
    <col min="7432" max="7681" width="11.42578125" style="1"/>
    <col min="7682" max="7682" width="2.7109375" style="1" customWidth="1"/>
    <col min="7683" max="7683" width="176.7109375" style="1" customWidth="1"/>
    <col min="7684" max="7684" width="11.42578125" style="1"/>
    <col min="7685" max="7685" width="176.7109375" style="1" customWidth="1"/>
    <col min="7686" max="7686" width="11.42578125" style="1"/>
    <col min="7687" max="7687" width="88.7109375" style="1" customWidth="1"/>
    <col min="7688" max="7937" width="11.42578125" style="1"/>
    <col min="7938" max="7938" width="2.7109375" style="1" customWidth="1"/>
    <col min="7939" max="7939" width="176.7109375" style="1" customWidth="1"/>
    <col min="7940" max="7940" width="11.42578125" style="1"/>
    <col min="7941" max="7941" width="176.7109375" style="1" customWidth="1"/>
    <col min="7942" max="7942" width="11.42578125" style="1"/>
    <col min="7943" max="7943" width="88.7109375" style="1" customWidth="1"/>
    <col min="7944" max="8193" width="11.42578125" style="1"/>
    <col min="8194" max="8194" width="2.7109375" style="1" customWidth="1"/>
    <col min="8195" max="8195" width="176.7109375" style="1" customWidth="1"/>
    <col min="8196" max="8196" width="11.42578125" style="1"/>
    <col min="8197" max="8197" width="176.7109375" style="1" customWidth="1"/>
    <col min="8198" max="8198" width="11.42578125" style="1"/>
    <col min="8199" max="8199" width="88.7109375" style="1" customWidth="1"/>
    <col min="8200" max="8449" width="11.42578125" style="1"/>
    <col min="8450" max="8450" width="2.7109375" style="1" customWidth="1"/>
    <col min="8451" max="8451" width="176.7109375" style="1" customWidth="1"/>
    <col min="8452" max="8452" width="11.42578125" style="1"/>
    <col min="8453" max="8453" width="176.7109375" style="1" customWidth="1"/>
    <col min="8454" max="8454" width="11.42578125" style="1"/>
    <col min="8455" max="8455" width="88.7109375" style="1" customWidth="1"/>
    <col min="8456" max="8705" width="11.42578125" style="1"/>
    <col min="8706" max="8706" width="2.7109375" style="1" customWidth="1"/>
    <col min="8707" max="8707" width="176.7109375" style="1" customWidth="1"/>
    <col min="8708" max="8708" width="11.42578125" style="1"/>
    <col min="8709" max="8709" width="176.7109375" style="1" customWidth="1"/>
    <col min="8710" max="8710" width="11.42578125" style="1"/>
    <col min="8711" max="8711" width="88.7109375" style="1" customWidth="1"/>
    <col min="8712" max="8961" width="11.42578125" style="1"/>
    <col min="8962" max="8962" width="2.7109375" style="1" customWidth="1"/>
    <col min="8963" max="8963" width="176.7109375" style="1" customWidth="1"/>
    <col min="8964" max="8964" width="11.42578125" style="1"/>
    <col min="8965" max="8965" width="176.7109375" style="1" customWidth="1"/>
    <col min="8966" max="8966" width="11.42578125" style="1"/>
    <col min="8967" max="8967" width="88.7109375" style="1" customWidth="1"/>
    <col min="8968" max="9217" width="11.42578125" style="1"/>
    <col min="9218" max="9218" width="2.7109375" style="1" customWidth="1"/>
    <col min="9219" max="9219" width="176.7109375" style="1" customWidth="1"/>
    <col min="9220" max="9220" width="11.42578125" style="1"/>
    <col min="9221" max="9221" width="176.7109375" style="1" customWidth="1"/>
    <col min="9222" max="9222" width="11.42578125" style="1"/>
    <col min="9223" max="9223" width="88.7109375" style="1" customWidth="1"/>
    <col min="9224" max="9473" width="11.42578125" style="1"/>
    <col min="9474" max="9474" width="2.7109375" style="1" customWidth="1"/>
    <col min="9475" max="9475" width="176.7109375" style="1" customWidth="1"/>
    <col min="9476" max="9476" width="11.42578125" style="1"/>
    <col min="9477" max="9477" width="176.7109375" style="1" customWidth="1"/>
    <col min="9478" max="9478" width="11.42578125" style="1"/>
    <col min="9479" max="9479" width="88.7109375" style="1" customWidth="1"/>
    <col min="9480" max="9729" width="11.42578125" style="1"/>
    <col min="9730" max="9730" width="2.7109375" style="1" customWidth="1"/>
    <col min="9731" max="9731" width="176.7109375" style="1" customWidth="1"/>
    <col min="9732" max="9732" width="11.42578125" style="1"/>
    <col min="9733" max="9733" width="176.7109375" style="1" customWidth="1"/>
    <col min="9734" max="9734" width="11.42578125" style="1"/>
    <col min="9735" max="9735" width="88.7109375" style="1" customWidth="1"/>
    <col min="9736" max="9985" width="11.42578125" style="1"/>
    <col min="9986" max="9986" width="2.7109375" style="1" customWidth="1"/>
    <col min="9987" max="9987" width="176.7109375" style="1" customWidth="1"/>
    <col min="9988" max="9988" width="11.42578125" style="1"/>
    <col min="9989" max="9989" width="176.7109375" style="1" customWidth="1"/>
    <col min="9990" max="9990" width="11.42578125" style="1"/>
    <col min="9991" max="9991" width="88.7109375" style="1" customWidth="1"/>
    <col min="9992" max="10241" width="11.42578125" style="1"/>
    <col min="10242" max="10242" width="2.7109375" style="1" customWidth="1"/>
    <col min="10243" max="10243" width="176.7109375" style="1" customWidth="1"/>
    <col min="10244" max="10244" width="11.42578125" style="1"/>
    <col min="10245" max="10245" width="176.7109375" style="1" customWidth="1"/>
    <col min="10246" max="10246" width="11.42578125" style="1"/>
    <col min="10247" max="10247" width="88.7109375" style="1" customWidth="1"/>
    <col min="10248" max="10497" width="11.42578125" style="1"/>
    <col min="10498" max="10498" width="2.7109375" style="1" customWidth="1"/>
    <col min="10499" max="10499" width="176.7109375" style="1" customWidth="1"/>
    <col min="10500" max="10500" width="11.42578125" style="1"/>
    <col min="10501" max="10501" width="176.7109375" style="1" customWidth="1"/>
    <col min="10502" max="10502" width="11.42578125" style="1"/>
    <col min="10503" max="10503" width="88.7109375" style="1" customWidth="1"/>
    <col min="10504" max="10753" width="11.42578125" style="1"/>
    <col min="10754" max="10754" width="2.7109375" style="1" customWidth="1"/>
    <col min="10755" max="10755" width="176.7109375" style="1" customWidth="1"/>
    <col min="10756" max="10756" width="11.42578125" style="1"/>
    <col min="10757" max="10757" width="176.7109375" style="1" customWidth="1"/>
    <col min="10758" max="10758" width="11.42578125" style="1"/>
    <col min="10759" max="10759" width="88.7109375" style="1" customWidth="1"/>
    <col min="10760" max="11009" width="11.42578125" style="1"/>
    <col min="11010" max="11010" width="2.7109375" style="1" customWidth="1"/>
    <col min="11011" max="11011" width="176.7109375" style="1" customWidth="1"/>
    <col min="11012" max="11012" width="11.42578125" style="1"/>
    <col min="11013" max="11013" width="176.7109375" style="1" customWidth="1"/>
    <col min="11014" max="11014" width="11.42578125" style="1"/>
    <col min="11015" max="11015" width="88.7109375" style="1" customWidth="1"/>
    <col min="11016" max="11265" width="11.42578125" style="1"/>
    <col min="11266" max="11266" width="2.7109375" style="1" customWidth="1"/>
    <col min="11267" max="11267" width="176.7109375" style="1" customWidth="1"/>
    <col min="11268" max="11268" width="11.42578125" style="1"/>
    <col min="11269" max="11269" width="176.7109375" style="1" customWidth="1"/>
    <col min="11270" max="11270" width="11.42578125" style="1"/>
    <col min="11271" max="11271" width="88.7109375" style="1" customWidth="1"/>
    <col min="11272" max="11521" width="11.42578125" style="1"/>
    <col min="11522" max="11522" width="2.7109375" style="1" customWidth="1"/>
    <col min="11523" max="11523" width="176.7109375" style="1" customWidth="1"/>
    <col min="11524" max="11524" width="11.42578125" style="1"/>
    <col min="11525" max="11525" width="176.7109375" style="1" customWidth="1"/>
    <col min="11526" max="11526" width="11.42578125" style="1"/>
    <col min="11527" max="11527" width="88.7109375" style="1" customWidth="1"/>
    <col min="11528" max="11777" width="11.42578125" style="1"/>
    <col min="11778" max="11778" width="2.7109375" style="1" customWidth="1"/>
    <col min="11779" max="11779" width="176.7109375" style="1" customWidth="1"/>
    <col min="11780" max="11780" width="11.42578125" style="1"/>
    <col min="11781" max="11781" width="176.7109375" style="1" customWidth="1"/>
    <col min="11782" max="11782" width="11.42578125" style="1"/>
    <col min="11783" max="11783" width="88.7109375" style="1" customWidth="1"/>
    <col min="11784" max="12033" width="11.42578125" style="1"/>
    <col min="12034" max="12034" width="2.7109375" style="1" customWidth="1"/>
    <col min="12035" max="12035" width="176.7109375" style="1" customWidth="1"/>
    <col min="12036" max="12036" width="11.42578125" style="1"/>
    <col min="12037" max="12037" width="176.7109375" style="1" customWidth="1"/>
    <col min="12038" max="12038" width="11.42578125" style="1"/>
    <col min="12039" max="12039" width="88.7109375" style="1" customWidth="1"/>
    <col min="12040" max="12289" width="11.42578125" style="1"/>
    <col min="12290" max="12290" width="2.7109375" style="1" customWidth="1"/>
    <col min="12291" max="12291" width="176.7109375" style="1" customWidth="1"/>
    <col min="12292" max="12292" width="11.42578125" style="1"/>
    <col min="12293" max="12293" width="176.7109375" style="1" customWidth="1"/>
    <col min="12294" max="12294" width="11.42578125" style="1"/>
    <col min="12295" max="12295" width="88.7109375" style="1" customWidth="1"/>
    <col min="12296" max="12545" width="11.42578125" style="1"/>
    <col min="12546" max="12546" width="2.7109375" style="1" customWidth="1"/>
    <col min="12547" max="12547" width="176.7109375" style="1" customWidth="1"/>
    <col min="12548" max="12548" width="11.42578125" style="1"/>
    <col min="12549" max="12549" width="176.7109375" style="1" customWidth="1"/>
    <col min="12550" max="12550" width="11.42578125" style="1"/>
    <col min="12551" max="12551" width="88.7109375" style="1" customWidth="1"/>
    <col min="12552" max="12801" width="11.42578125" style="1"/>
    <col min="12802" max="12802" width="2.7109375" style="1" customWidth="1"/>
    <col min="12803" max="12803" width="176.7109375" style="1" customWidth="1"/>
    <col min="12804" max="12804" width="11.42578125" style="1"/>
    <col min="12805" max="12805" width="176.7109375" style="1" customWidth="1"/>
    <col min="12806" max="12806" width="11.42578125" style="1"/>
    <col min="12807" max="12807" width="88.7109375" style="1" customWidth="1"/>
    <col min="12808" max="13057" width="11.42578125" style="1"/>
    <col min="13058" max="13058" width="2.7109375" style="1" customWidth="1"/>
    <col min="13059" max="13059" width="176.7109375" style="1" customWidth="1"/>
    <col min="13060" max="13060" width="11.42578125" style="1"/>
    <col min="13061" max="13061" width="176.7109375" style="1" customWidth="1"/>
    <col min="13062" max="13062" width="11.42578125" style="1"/>
    <col min="13063" max="13063" width="88.7109375" style="1" customWidth="1"/>
    <col min="13064" max="13313" width="11.42578125" style="1"/>
    <col min="13314" max="13314" width="2.7109375" style="1" customWidth="1"/>
    <col min="13315" max="13315" width="176.7109375" style="1" customWidth="1"/>
    <col min="13316" max="13316" width="11.42578125" style="1"/>
    <col min="13317" max="13317" width="176.7109375" style="1" customWidth="1"/>
    <col min="13318" max="13318" width="11.42578125" style="1"/>
    <col min="13319" max="13319" width="88.7109375" style="1" customWidth="1"/>
    <col min="13320" max="13569" width="11.42578125" style="1"/>
    <col min="13570" max="13570" width="2.7109375" style="1" customWidth="1"/>
    <col min="13571" max="13571" width="176.7109375" style="1" customWidth="1"/>
    <col min="13572" max="13572" width="11.42578125" style="1"/>
    <col min="13573" max="13573" width="176.7109375" style="1" customWidth="1"/>
    <col min="13574" max="13574" width="11.42578125" style="1"/>
    <col min="13575" max="13575" width="88.7109375" style="1" customWidth="1"/>
    <col min="13576" max="13825" width="11.42578125" style="1"/>
    <col min="13826" max="13826" width="2.7109375" style="1" customWidth="1"/>
    <col min="13827" max="13827" width="176.7109375" style="1" customWidth="1"/>
    <col min="13828" max="13828" width="11.42578125" style="1"/>
    <col min="13829" max="13829" width="176.7109375" style="1" customWidth="1"/>
    <col min="13830" max="13830" width="11.42578125" style="1"/>
    <col min="13831" max="13831" width="88.7109375" style="1" customWidth="1"/>
    <col min="13832" max="14081" width="11.42578125" style="1"/>
    <col min="14082" max="14082" width="2.7109375" style="1" customWidth="1"/>
    <col min="14083" max="14083" width="176.7109375" style="1" customWidth="1"/>
    <col min="14084" max="14084" width="11.42578125" style="1"/>
    <col min="14085" max="14085" width="176.7109375" style="1" customWidth="1"/>
    <col min="14086" max="14086" width="11.42578125" style="1"/>
    <col min="14087" max="14087" width="88.7109375" style="1" customWidth="1"/>
    <col min="14088" max="14337" width="11.42578125" style="1"/>
    <col min="14338" max="14338" width="2.7109375" style="1" customWidth="1"/>
    <col min="14339" max="14339" width="176.7109375" style="1" customWidth="1"/>
    <col min="14340" max="14340" width="11.42578125" style="1"/>
    <col min="14341" max="14341" width="176.7109375" style="1" customWidth="1"/>
    <col min="14342" max="14342" width="11.42578125" style="1"/>
    <col min="14343" max="14343" width="88.7109375" style="1" customWidth="1"/>
    <col min="14344" max="14593" width="11.42578125" style="1"/>
    <col min="14594" max="14594" width="2.7109375" style="1" customWidth="1"/>
    <col min="14595" max="14595" width="176.7109375" style="1" customWidth="1"/>
    <col min="14596" max="14596" width="11.42578125" style="1"/>
    <col min="14597" max="14597" width="176.7109375" style="1" customWidth="1"/>
    <col min="14598" max="14598" width="11.42578125" style="1"/>
    <col min="14599" max="14599" width="88.7109375" style="1" customWidth="1"/>
    <col min="14600" max="14849" width="11.42578125" style="1"/>
    <col min="14850" max="14850" width="2.7109375" style="1" customWidth="1"/>
    <col min="14851" max="14851" width="176.7109375" style="1" customWidth="1"/>
    <col min="14852" max="14852" width="11.42578125" style="1"/>
    <col min="14853" max="14853" width="176.7109375" style="1" customWidth="1"/>
    <col min="14854" max="14854" width="11.42578125" style="1"/>
    <col min="14855" max="14855" width="88.7109375" style="1" customWidth="1"/>
    <col min="14856" max="15105" width="11.42578125" style="1"/>
    <col min="15106" max="15106" width="2.7109375" style="1" customWidth="1"/>
    <col min="15107" max="15107" width="176.7109375" style="1" customWidth="1"/>
    <col min="15108" max="15108" width="11.42578125" style="1"/>
    <col min="15109" max="15109" width="176.7109375" style="1" customWidth="1"/>
    <col min="15110" max="15110" width="11.42578125" style="1"/>
    <col min="15111" max="15111" width="88.7109375" style="1" customWidth="1"/>
    <col min="15112" max="15361" width="11.42578125" style="1"/>
    <col min="15362" max="15362" width="2.7109375" style="1" customWidth="1"/>
    <col min="15363" max="15363" width="176.7109375" style="1" customWidth="1"/>
    <col min="15364" max="15364" width="11.42578125" style="1"/>
    <col min="15365" max="15365" width="176.7109375" style="1" customWidth="1"/>
    <col min="15366" max="15366" width="11.42578125" style="1"/>
    <col min="15367" max="15367" width="88.7109375" style="1" customWidth="1"/>
    <col min="15368" max="15617" width="11.42578125" style="1"/>
    <col min="15618" max="15618" width="2.7109375" style="1" customWidth="1"/>
    <col min="15619" max="15619" width="176.7109375" style="1" customWidth="1"/>
    <col min="15620" max="15620" width="11.42578125" style="1"/>
    <col min="15621" max="15621" width="176.7109375" style="1" customWidth="1"/>
    <col min="15622" max="15622" width="11.42578125" style="1"/>
    <col min="15623" max="15623" width="88.7109375" style="1" customWidth="1"/>
    <col min="15624" max="15873" width="11.42578125" style="1"/>
    <col min="15874" max="15874" width="2.7109375" style="1" customWidth="1"/>
    <col min="15875" max="15875" width="176.7109375" style="1" customWidth="1"/>
    <col min="15876" max="15876" width="11.42578125" style="1"/>
    <col min="15877" max="15877" width="176.7109375" style="1" customWidth="1"/>
    <col min="15878" max="15878" width="11.42578125" style="1"/>
    <col min="15879" max="15879" width="88.7109375" style="1" customWidth="1"/>
    <col min="15880" max="16129" width="11.42578125" style="1"/>
    <col min="16130" max="16130" width="2.7109375" style="1" customWidth="1"/>
    <col min="16131" max="16131" width="176.7109375" style="1" customWidth="1"/>
    <col min="16132" max="16132" width="11.42578125" style="1"/>
    <col min="16133" max="16133" width="176.7109375" style="1" customWidth="1"/>
    <col min="16134" max="16134" width="11.42578125" style="1"/>
    <col min="16135" max="16135" width="88.7109375" style="1" customWidth="1"/>
    <col min="16136" max="16384" width="11.42578125" style="1"/>
  </cols>
  <sheetData>
    <row r="2" spans="1:17" x14ac:dyDescent="0.2">
      <c r="C2" s="325"/>
      <c r="D2" s="325"/>
      <c r="E2" s="325"/>
    </row>
    <row r="3" spans="1:17" x14ac:dyDescent="0.2">
      <c r="A3" s="43" t="s">
        <v>55</v>
      </c>
    </row>
    <row r="4" spans="1:17" x14ac:dyDescent="0.2">
      <c r="C4" s="325"/>
      <c r="D4" s="325"/>
      <c r="E4" s="325"/>
      <c r="F4" s="325"/>
      <c r="G4" s="325"/>
      <c r="H4" s="325"/>
      <c r="I4" s="325"/>
      <c r="J4" s="325"/>
      <c r="K4" s="325"/>
    </row>
    <row r="6" spans="1:17" ht="15.75" x14ac:dyDescent="0.25">
      <c r="C6" s="332" t="s">
        <v>16</v>
      </c>
      <c r="D6" s="3"/>
      <c r="E6" s="332"/>
    </row>
    <row r="7" spans="1:17" ht="18.75" customHeight="1" x14ac:dyDescent="0.2">
      <c r="C7" s="3"/>
      <c r="D7" s="3"/>
      <c r="E7" s="50"/>
    </row>
    <row r="8" spans="1:17" ht="15.75" x14ac:dyDescent="0.25">
      <c r="B8" s="326">
        <v>1</v>
      </c>
      <c r="C8" s="327" t="s">
        <v>401</v>
      </c>
      <c r="E8" s="335"/>
    </row>
    <row r="9" spans="1:17" ht="31.5" x14ac:dyDescent="0.2">
      <c r="B9" s="326">
        <v>2</v>
      </c>
      <c r="C9" s="329" t="s">
        <v>298</v>
      </c>
      <c r="E9" s="8"/>
      <c r="Q9" s="3"/>
    </row>
    <row r="10" spans="1:17" ht="47.25" x14ac:dyDescent="0.2">
      <c r="B10" s="326">
        <v>3</v>
      </c>
      <c r="C10" s="327" t="s">
        <v>299</v>
      </c>
      <c r="E10" s="8"/>
    </row>
    <row r="11" spans="1:17" ht="47.25" x14ac:dyDescent="0.2">
      <c r="B11" s="326">
        <v>4</v>
      </c>
      <c r="C11" s="329" t="s">
        <v>300</v>
      </c>
      <c r="E11" s="8"/>
    </row>
    <row r="12" spans="1:17" ht="31.5" x14ac:dyDescent="0.2">
      <c r="B12" s="326">
        <v>5</v>
      </c>
      <c r="C12" s="327" t="s">
        <v>21</v>
      </c>
      <c r="E12" s="3"/>
    </row>
    <row r="13" spans="1:17" ht="15.75" x14ac:dyDescent="0.2">
      <c r="B13" s="326">
        <v>6</v>
      </c>
      <c r="C13" s="327" t="s">
        <v>402</v>
      </c>
      <c r="E13" s="3"/>
    </row>
    <row r="14" spans="1:17" ht="15.75" x14ac:dyDescent="0.2">
      <c r="B14" s="326">
        <v>7</v>
      </c>
      <c r="C14" s="327" t="s">
        <v>17</v>
      </c>
    </row>
    <row r="15" spans="1:17" ht="18.75" customHeight="1" x14ac:dyDescent="0.2">
      <c r="B15" s="326">
        <v>8</v>
      </c>
      <c r="C15" s="327" t="s">
        <v>18</v>
      </c>
    </row>
    <row r="16" spans="1:17" ht="18.75" customHeight="1" x14ac:dyDescent="0.2">
      <c r="B16" s="326">
        <v>9</v>
      </c>
      <c r="C16" s="327" t="s">
        <v>22</v>
      </c>
    </row>
    <row r="17" spans="2:9" ht="15.75" x14ac:dyDescent="0.25">
      <c r="B17" s="326">
        <v>10</v>
      </c>
      <c r="C17" s="327" t="s">
        <v>23</v>
      </c>
      <c r="E17" s="332"/>
    </row>
    <row r="18" spans="2:9" ht="15.75" x14ac:dyDescent="0.2">
      <c r="B18" s="326">
        <v>11</v>
      </c>
      <c r="C18" s="327" t="s">
        <v>19</v>
      </c>
      <c r="E18" s="8"/>
    </row>
    <row r="19" spans="2:9" ht="15.75" x14ac:dyDescent="0.2">
      <c r="B19" s="326">
        <v>12</v>
      </c>
      <c r="C19" s="327" t="s">
        <v>302</v>
      </c>
      <c r="E19" s="8"/>
    </row>
    <row r="20" spans="2:9" ht="15.75" x14ac:dyDescent="0.2">
      <c r="B20" s="326">
        <v>13</v>
      </c>
      <c r="C20" s="327" t="s">
        <v>20</v>
      </c>
      <c r="E20" s="3"/>
    </row>
    <row r="21" spans="2:9" ht="47.25" x14ac:dyDescent="0.2">
      <c r="B21" s="326">
        <v>14</v>
      </c>
      <c r="C21" s="327" t="s">
        <v>303</v>
      </c>
      <c r="E21" s="336"/>
    </row>
    <row r="22" spans="2:9" ht="31.5" x14ac:dyDescent="0.2">
      <c r="B22" s="326">
        <v>15</v>
      </c>
      <c r="C22" s="329" t="s">
        <v>386</v>
      </c>
      <c r="E22" s="3"/>
    </row>
    <row r="23" spans="2:9" ht="15.75" x14ac:dyDescent="0.25">
      <c r="B23" s="326">
        <v>16</v>
      </c>
      <c r="C23" s="331" t="s">
        <v>301</v>
      </c>
      <c r="D23" s="330"/>
      <c r="E23" s="325"/>
      <c r="F23" s="330"/>
      <c r="G23" s="2"/>
      <c r="H23" s="2"/>
      <c r="I23" s="2"/>
    </row>
    <row r="24" spans="2:9" ht="18.75" customHeight="1" x14ac:dyDescent="0.25">
      <c r="B24" s="328">
        <v>17</v>
      </c>
      <c r="C24" s="331" t="s">
        <v>304</v>
      </c>
    </row>
    <row r="25" spans="2:9" ht="18.75" customHeight="1" x14ac:dyDescent="0.25">
      <c r="B25" s="328"/>
      <c r="C25" s="333"/>
    </row>
    <row r="26" spans="2:9" ht="18.75" customHeight="1" x14ac:dyDescent="0.25">
      <c r="B26" s="328"/>
      <c r="C26" s="348"/>
    </row>
    <row r="27" spans="2:9" ht="18.75" customHeight="1" x14ac:dyDescent="0.2">
      <c r="C27" s="333"/>
    </row>
    <row r="28" spans="2:9" ht="18.75" customHeight="1" x14ac:dyDescent="0.2">
      <c r="C28" s="333"/>
    </row>
    <row r="29" spans="2:9" ht="18.75" customHeight="1" x14ac:dyDescent="0.2">
      <c r="C29" s="333"/>
    </row>
    <row r="31" spans="2:9" ht="18.75" customHeight="1" x14ac:dyDescent="0.2"/>
    <row r="32" spans="2:9" ht="18.75" customHeight="1" x14ac:dyDescent="0.2"/>
    <row r="33" spans="1:14" ht="18.75" customHeight="1" x14ac:dyDescent="0.2"/>
    <row r="34" spans="1:14" ht="18.75" customHeight="1" x14ac:dyDescent="0.2"/>
    <row r="35" spans="1:14" ht="18.75" customHeight="1" x14ac:dyDescent="0.2"/>
    <row r="36" spans="1:14" ht="18.75" customHeight="1" x14ac:dyDescent="0.2"/>
    <row r="37" spans="1:14" ht="18.75" customHeight="1" x14ac:dyDescent="0.2">
      <c r="D37" s="3"/>
      <c r="E37" s="3"/>
      <c r="F37" s="3"/>
      <c r="G37" s="3"/>
      <c r="H37" s="3"/>
      <c r="I37" s="3"/>
      <c r="J37" s="3"/>
      <c r="K37" s="3"/>
      <c r="L37" s="3"/>
      <c r="M37" s="3"/>
      <c r="N37" s="3"/>
    </row>
    <row r="38" spans="1:14" ht="18.75" customHeight="1" x14ac:dyDescent="0.2">
      <c r="D38" s="3"/>
      <c r="E38" s="3"/>
      <c r="F38" s="3"/>
      <c r="G38" s="3"/>
      <c r="H38" s="3"/>
      <c r="I38" s="3"/>
      <c r="J38" s="3"/>
      <c r="K38" s="3"/>
      <c r="L38" s="3"/>
      <c r="M38" s="3"/>
      <c r="N38" s="3"/>
    </row>
    <row r="39" spans="1:14" ht="18.75" customHeight="1" x14ac:dyDescent="0.2">
      <c r="A39" s="4"/>
      <c r="D39" s="3"/>
      <c r="E39" s="3"/>
      <c r="F39" s="3"/>
      <c r="G39" s="3"/>
      <c r="H39" s="3"/>
      <c r="I39" s="3"/>
      <c r="J39" s="3"/>
      <c r="K39" s="3"/>
      <c r="L39" s="3"/>
      <c r="M39" s="3"/>
      <c r="N39" s="3"/>
    </row>
    <row r="40" spans="1:14" ht="18.75" customHeight="1" x14ac:dyDescent="0.2">
      <c r="A40" s="4"/>
      <c r="B40" s="8"/>
      <c r="D40" s="3"/>
      <c r="E40" s="3"/>
      <c r="F40" s="3"/>
      <c r="G40" s="3"/>
      <c r="H40" s="3"/>
      <c r="I40" s="3"/>
      <c r="J40" s="3"/>
      <c r="K40" s="3"/>
      <c r="L40" s="3"/>
      <c r="M40" s="3"/>
      <c r="N40" s="3"/>
    </row>
    <row r="41" spans="1:14" ht="18.75" customHeight="1" x14ac:dyDescent="0.2">
      <c r="A41" s="4"/>
      <c r="B41" s="8"/>
      <c r="D41" s="3"/>
      <c r="E41" s="3"/>
      <c r="F41" s="3"/>
      <c r="G41" s="3"/>
      <c r="H41" s="3"/>
      <c r="I41" s="3"/>
      <c r="J41" s="3"/>
      <c r="K41" s="3"/>
      <c r="L41" s="3"/>
      <c r="M41" s="3"/>
      <c r="N41" s="3"/>
    </row>
    <row r="42" spans="1:14" ht="18.75" customHeight="1" x14ac:dyDescent="0.2">
      <c r="A42" s="4"/>
      <c r="B42" s="8"/>
      <c r="C42" s="4"/>
      <c r="D42" s="3"/>
      <c r="E42" s="3"/>
      <c r="F42" s="3"/>
      <c r="G42" s="3"/>
      <c r="H42" s="3"/>
      <c r="I42" s="3"/>
      <c r="J42" s="3"/>
      <c r="K42" s="3"/>
      <c r="L42" s="3"/>
      <c r="M42" s="3"/>
      <c r="N42" s="3"/>
    </row>
    <row r="43" spans="1:14" ht="18.75" customHeight="1" x14ac:dyDescent="0.2">
      <c r="A43" s="4"/>
      <c r="B43" s="334"/>
      <c r="D43" s="3"/>
      <c r="E43" s="3"/>
      <c r="F43" s="3"/>
      <c r="G43" s="3"/>
      <c r="H43" s="3"/>
      <c r="I43" s="3"/>
      <c r="J43" s="3"/>
      <c r="K43" s="3"/>
      <c r="L43" s="3"/>
      <c r="M43" s="3"/>
      <c r="N43" s="3"/>
    </row>
    <row r="44" spans="1:14" ht="18.75" customHeight="1" x14ac:dyDescent="0.2">
      <c r="B44" s="8"/>
      <c r="D44" s="3"/>
      <c r="E44" s="3"/>
      <c r="F44" s="3"/>
      <c r="G44" s="3"/>
      <c r="H44" s="3"/>
      <c r="I44" s="3"/>
      <c r="J44" s="3"/>
      <c r="K44" s="3"/>
      <c r="L44" s="3"/>
      <c r="M44" s="3"/>
      <c r="N44" s="3"/>
    </row>
    <row r="45" spans="1:14" ht="18.75" customHeight="1" x14ac:dyDescent="0.2">
      <c r="B45" s="8"/>
      <c r="D45" s="3"/>
      <c r="E45" s="3"/>
      <c r="F45" s="3"/>
      <c r="G45" s="3"/>
      <c r="H45" s="3"/>
      <c r="I45" s="3"/>
      <c r="J45" s="3"/>
      <c r="K45" s="3"/>
      <c r="L45" s="3"/>
      <c r="M45" s="3"/>
      <c r="N45" s="3"/>
    </row>
    <row r="46" spans="1:14" ht="18.75" customHeight="1" x14ac:dyDescent="0.2">
      <c r="D46" s="3"/>
      <c r="E46" s="3"/>
      <c r="F46" s="3"/>
      <c r="G46" s="3"/>
      <c r="H46" s="3"/>
      <c r="I46" s="3"/>
      <c r="J46" s="3"/>
      <c r="K46" s="3"/>
      <c r="L46" s="3"/>
      <c r="M46" s="3"/>
      <c r="N46" s="3"/>
    </row>
    <row r="47" spans="1:14" ht="18.75" customHeight="1" x14ac:dyDescent="0.2">
      <c r="D47" s="3"/>
      <c r="E47" s="3"/>
      <c r="F47" s="3"/>
      <c r="G47" s="3"/>
      <c r="H47" s="3"/>
      <c r="I47" s="3"/>
      <c r="J47" s="3"/>
      <c r="K47" s="3"/>
      <c r="L47" s="3"/>
      <c r="M47" s="3"/>
      <c r="N47" s="3"/>
    </row>
    <row r="48" spans="1:14" ht="18.75" customHeight="1" x14ac:dyDescent="0.2">
      <c r="D48" s="3"/>
      <c r="E48" s="3"/>
      <c r="F48" s="3"/>
      <c r="G48" s="3"/>
      <c r="H48" s="3"/>
      <c r="I48" s="3"/>
      <c r="J48" s="3"/>
      <c r="K48" s="3"/>
      <c r="L48" s="3"/>
      <c r="M48" s="3"/>
      <c r="N48" s="3"/>
    </row>
    <row r="49" spans="4:14" ht="18.75" customHeight="1" x14ac:dyDescent="0.2">
      <c r="D49" s="3"/>
      <c r="E49" s="3"/>
      <c r="F49" s="3"/>
      <c r="G49" s="3"/>
      <c r="H49" s="3"/>
      <c r="I49" s="3"/>
      <c r="J49" s="3"/>
      <c r="K49" s="3"/>
      <c r="L49" s="3"/>
      <c r="M49" s="3"/>
      <c r="N49" s="3"/>
    </row>
    <row r="50" spans="4:14" ht="18.75" customHeight="1" x14ac:dyDescent="0.2">
      <c r="D50" s="325"/>
      <c r="E50" s="325"/>
      <c r="F50" s="325"/>
      <c r="G50" s="325"/>
      <c r="H50" s="325"/>
      <c r="I50" s="325"/>
      <c r="J50" s="325"/>
      <c r="K50" s="325"/>
      <c r="L50" s="325"/>
      <c r="M50" s="325"/>
      <c r="N50" s="325"/>
    </row>
    <row r="51" spans="4:14" ht="18.75" customHeight="1" x14ac:dyDescent="0.2"/>
    <row r="52" spans="4:14" ht="18.75" customHeight="1" x14ac:dyDescent="0.2"/>
    <row r="53" spans="4:14" ht="18.75" customHeight="1" x14ac:dyDescent="0.2"/>
    <row r="54" spans="4:14" ht="18.75" customHeight="1" x14ac:dyDescent="0.2"/>
    <row r="55" spans="4:14" ht="18.75" customHeight="1" x14ac:dyDescent="0.2"/>
    <row r="56" spans="4:14" ht="18.75" customHeight="1" x14ac:dyDescent="0.2"/>
    <row r="57" spans="4:14" ht="18.75" customHeight="1" x14ac:dyDescent="0.2"/>
    <row r="58" spans="4:14" ht="18.75" customHeight="1" x14ac:dyDescent="0.2"/>
    <row r="59" spans="4:14" ht="18.75" customHeight="1" x14ac:dyDescent="0.2"/>
    <row r="60" spans="4:14" ht="18.75" customHeight="1" x14ac:dyDescent="0.2"/>
    <row r="61" spans="4:14" ht="18.75" customHeight="1" x14ac:dyDescent="0.2"/>
    <row r="62" spans="4:14" ht="18.75" customHeight="1" x14ac:dyDescent="0.2"/>
    <row r="63" spans="4:14" ht="18.75" customHeight="1" x14ac:dyDescent="0.2"/>
    <row r="64" spans="4:14" ht="18.75" customHeight="1" x14ac:dyDescent="0.2"/>
    <row r="65" ht="18.75" customHeight="1" x14ac:dyDescent="0.2"/>
  </sheetData>
  <sortState ref="B5:E41">
    <sortCondition ref="B5:B41"/>
  </sortState>
  <pageMargins left="0.78740157480314965" right="0.78740157480314965" top="0.98425196850393704" bottom="0.98425196850393704" header="0.51181102362204722" footer="0.51181102362204722"/>
  <pageSetup paperSize="9" scale="65" fitToWidth="3" orientation="portrait" r:id="rId1"/>
  <headerFooter alignWithMargins="0"/>
  <colBreaks count="2" manualBreakCount="2">
    <brk id="1" max="42" man="1"/>
    <brk id="3" min="4" max="5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IF111"/>
  <sheetViews>
    <sheetView showGridLines="0" showZeros="0" zoomScale="80" zoomScaleNormal="80" workbookViewId="0">
      <pane ySplit="7" topLeftCell="A8" activePane="bottomLeft" state="frozen"/>
      <selection activeCell="J44" sqref="J44"/>
      <selection pane="bottomLeft" activeCell="A4" sqref="A4"/>
    </sheetView>
  </sheetViews>
  <sheetFormatPr baseColWidth="10" defaultColWidth="11.42578125" defaultRowHeight="12.75" x14ac:dyDescent="0.2"/>
  <cols>
    <col min="1" max="1" width="49" style="87" customWidth="1"/>
    <col min="2" max="3" width="15.7109375" style="87" customWidth="1"/>
    <col min="4" max="4" width="8.7109375" style="87" customWidth="1"/>
    <col min="5" max="5" width="9" style="87" bestFit="1" customWidth="1"/>
    <col min="6" max="6" width="4.7109375" style="87" customWidth="1"/>
    <col min="7" max="7" width="18.42578125" style="87" customWidth="1"/>
    <col min="8" max="8" width="17.85546875" style="87" customWidth="1"/>
    <col min="9" max="9" width="8.7109375" style="87" customWidth="1"/>
    <col min="10" max="10" width="9" style="87" bestFit="1" customWidth="1"/>
    <col min="11" max="11" width="13.42578125" style="87" hidden="1" customWidth="1"/>
    <col min="12" max="12" width="14.85546875" style="188" hidden="1" customWidth="1"/>
    <col min="13" max="13" width="13.85546875" style="188" hidden="1" customWidth="1"/>
    <col min="14" max="15" width="15.7109375" style="188" hidden="1" customWidth="1"/>
    <col min="16" max="16" width="11.42578125" style="87" hidden="1" customWidth="1"/>
    <col min="17" max="19" width="11.42578125" style="87" customWidth="1"/>
    <col min="20" max="16384" width="11.42578125" style="87"/>
  </cols>
  <sheetData>
    <row r="1" spans="1:16" ht="20.25" x14ac:dyDescent="0.3">
      <c r="A1" s="80" t="s">
        <v>85</v>
      </c>
      <c r="B1" s="73" t="s">
        <v>56</v>
      </c>
      <c r="C1" s="74"/>
      <c r="D1" s="74"/>
      <c r="E1" s="74"/>
      <c r="F1" s="74"/>
      <c r="G1" s="74"/>
      <c r="H1" s="74"/>
      <c r="I1" s="74"/>
      <c r="J1" s="74"/>
      <c r="K1" s="74"/>
    </row>
    <row r="2" spans="1:16" ht="20.25" x14ac:dyDescent="0.3">
      <c r="A2" s="80" t="s">
        <v>86</v>
      </c>
      <c r="B2" s="74"/>
      <c r="C2" s="74"/>
      <c r="D2" s="74"/>
      <c r="E2" s="74"/>
      <c r="F2" s="74"/>
      <c r="G2" s="74"/>
      <c r="H2" s="74"/>
      <c r="I2" s="74"/>
      <c r="J2" s="74"/>
      <c r="K2" s="74"/>
    </row>
    <row r="3" spans="1:16" ht="18.75" x14ac:dyDescent="0.3">
      <c r="A3" s="654" t="s">
        <v>87</v>
      </c>
      <c r="B3" s="654"/>
      <c r="C3" s="74"/>
      <c r="D3" s="74"/>
      <c r="E3" s="74"/>
      <c r="F3" s="74"/>
      <c r="G3" s="74"/>
      <c r="H3" s="74"/>
      <c r="I3" s="74"/>
      <c r="J3" s="74"/>
      <c r="K3" s="74"/>
    </row>
    <row r="4" spans="1:16" ht="18.75" x14ac:dyDescent="0.3">
      <c r="A4" s="82" t="s">
        <v>421</v>
      </c>
      <c r="B4" s="83"/>
      <c r="C4" s="84"/>
      <c r="D4" s="84"/>
      <c r="E4" s="85"/>
      <c r="F4" s="86"/>
      <c r="G4" s="83"/>
      <c r="H4" s="84"/>
      <c r="I4" s="84"/>
      <c r="J4" s="85"/>
      <c r="K4" s="112"/>
      <c r="L4" s="211"/>
      <c r="M4" s="212"/>
      <c r="N4" s="213"/>
      <c r="O4" s="212"/>
    </row>
    <row r="5" spans="1:16" ht="22.5" x14ac:dyDescent="0.3">
      <c r="A5" s="88"/>
      <c r="B5" s="655" t="s">
        <v>88</v>
      </c>
      <c r="C5" s="656"/>
      <c r="D5" s="656"/>
      <c r="E5" s="657"/>
      <c r="F5" s="90"/>
      <c r="G5" s="655" t="s">
        <v>89</v>
      </c>
      <c r="H5" s="656"/>
      <c r="I5" s="656"/>
      <c r="J5" s="657"/>
      <c r="K5" s="89"/>
      <c r="L5" s="658" t="s">
        <v>153</v>
      </c>
      <c r="M5" s="653"/>
      <c r="N5" s="652" t="s">
        <v>154</v>
      </c>
      <c r="O5" s="653"/>
    </row>
    <row r="6" spans="1:16" ht="18.75" x14ac:dyDescent="0.3">
      <c r="A6" s="91"/>
      <c r="B6" s="92"/>
      <c r="C6" s="93"/>
      <c r="D6" s="93" t="s">
        <v>90</v>
      </c>
      <c r="E6" s="94" t="s">
        <v>33</v>
      </c>
      <c r="F6" s="95"/>
      <c r="G6" s="92"/>
      <c r="H6" s="93"/>
      <c r="I6" s="93" t="s">
        <v>90</v>
      </c>
      <c r="J6" s="94" t="s">
        <v>33</v>
      </c>
      <c r="K6" s="100"/>
      <c r="L6" s="214"/>
      <c r="M6" s="215"/>
      <c r="N6" s="216"/>
      <c r="O6" s="215"/>
    </row>
    <row r="7" spans="1:16" ht="15.75" x14ac:dyDescent="0.25">
      <c r="A7" s="96" t="s">
        <v>91</v>
      </c>
      <c r="B7" s="97">
        <v>2016</v>
      </c>
      <c r="C7" s="97">
        <v>2017</v>
      </c>
      <c r="D7" s="98" t="s">
        <v>92</v>
      </c>
      <c r="E7" s="99" t="s">
        <v>34</v>
      </c>
      <c r="F7" s="95"/>
      <c r="G7" s="97">
        <v>2016</v>
      </c>
      <c r="H7" s="97">
        <v>2017</v>
      </c>
      <c r="I7" s="98" t="s">
        <v>92</v>
      </c>
      <c r="J7" s="99" t="s">
        <v>34</v>
      </c>
      <c r="K7" s="100"/>
      <c r="L7" s="217">
        <v>2015</v>
      </c>
      <c r="M7" s="218">
        <v>2016</v>
      </c>
      <c r="N7" s="219">
        <v>2015</v>
      </c>
      <c r="O7" s="218">
        <v>2016</v>
      </c>
      <c r="P7" s="87" t="s">
        <v>157</v>
      </c>
    </row>
    <row r="8" spans="1:16" ht="18.75" x14ac:dyDescent="0.3">
      <c r="A8" s="101" t="s">
        <v>0</v>
      </c>
      <c r="B8" s="129"/>
      <c r="C8" s="103"/>
      <c r="D8" s="104"/>
      <c r="E8" s="386"/>
      <c r="F8" s="176"/>
      <c r="G8" s="129"/>
      <c r="H8" s="129"/>
      <c r="I8" s="103"/>
      <c r="J8" s="386"/>
      <c r="K8" s="139"/>
      <c r="L8" s="220" t="s">
        <v>0</v>
      </c>
      <c r="M8" s="221"/>
      <c r="N8" s="222"/>
      <c r="O8" s="221"/>
      <c r="P8" s="87" t="s">
        <v>165</v>
      </c>
    </row>
    <row r="9" spans="1:16" ht="18.75" x14ac:dyDescent="0.3">
      <c r="A9" s="193" t="s">
        <v>93</v>
      </c>
      <c r="B9" s="176">
        <f>'ACE European Group'!B7+'ACE European Group'!B22+'ACE European Group'!B34+'ACE European Group'!B45+'ACE European Group'!B64+'ACE European Group'!B132</f>
        <v>0</v>
      </c>
      <c r="C9" s="176">
        <f>'ACE European Group'!C7+'ACE European Group'!C22+'ACE European Group'!C34+'ACE European Group'!C45+'ACE European Group'!C64+'ACE European Group'!C132</f>
        <v>0</v>
      </c>
      <c r="D9" s="104"/>
      <c r="E9" s="386">
        <f>100/C$31*C9</f>
        <v>0</v>
      </c>
      <c r="F9" s="103"/>
      <c r="G9" s="176">
        <f>'ACE European Group'!B10+'ACE European Group'!B28+'ACE European Group'!B35+'ACE European Group'!B85+'ACE European Group'!B133</f>
        <v>0</v>
      </c>
      <c r="H9" s="176">
        <f>'ACE European Group'!C10+'ACE European Group'!C28+'ACE European Group'!C35+'ACE European Group'!C85+'ACE European Group'!C133</f>
        <v>0</v>
      </c>
      <c r="I9" s="104"/>
      <c r="J9" s="386">
        <f t="shared" ref="J9" si="0">100/H$31*H9</f>
        <v>0</v>
      </c>
      <c r="K9" s="207" t="s">
        <v>161</v>
      </c>
      <c r="L9" s="223">
        <f t="shared" ref="L9:L30" ca="1" si="1">INDIRECT("'" &amp; $A9 &amp; "'!" &amp; $P$7)</f>
        <v>0</v>
      </c>
      <c r="M9" s="221">
        <f t="shared" ref="M9:M30" ca="1" si="2">INDIRECT("'" &amp; $A9 &amp; "'!" &amp; $P$8)</f>
        <v>0</v>
      </c>
      <c r="N9" s="223">
        <f t="shared" ref="N9:N30" ca="1" si="3">INDIRECT("'" &amp; $A9 &amp; "'!" &amp; $P$9)</f>
        <v>0</v>
      </c>
      <c r="O9" s="221">
        <f t="shared" ref="O9:O30" ca="1" si="4">INDIRECT("'" &amp; $A9 &amp; "'!" &amp; $P$10)</f>
        <v>0</v>
      </c>
      <c r="P9" s="87" t="s">
        <v>169</v>
      </c>
    </row>
    <row r="10" spans="1:16" ht="18.75" x14ac:dyDescent="0.3">
      <c r="A10" s="193" t="s">
        <v>94</v>
      </c>
      <c r="B10" s="176">
        <f>'Danica Pensjonsforsikring'!B7+'Danica Pensjonsforsikring'!B22+'Danica Pensjonsforsikring'!B34+'Danica Pensjonsforsikring'!B45+'Danica Pensjonsforsikring'!B64+'Danica Pensjonsforsikring'!B132</f>
        <v>197548.72899999999</v>
      </c>
      <c r="C10" s="176">
        <f>'Danica Pensjonsforsikring'!C7+'Danica Pensjonsforsikring'!C22+'Danica Pensjonsforsikring'!C34+'Danica Pensjonsforsikring'!C45+'Danica Pensjonsforsikring'!C64+'Danica Pensjonsforsikring'!C132</f>
        <v>195763.908</v>
      </c>
      <c r="D10" s="104">
        <f t="shared" ref="D10:D31" si="5">IF(B10=0, "    ---- ", IF(ABS(ROUND(100/B10*C10-100,1))&lt;999,ROUND(100/B10*C10-100,1),IF(ROUND(100/B10*C10-100,1)&gt;999,999,-999)))</f>
        <v>-0.9</v>
      </c>
      <c r="E10" s="386">
        <f t="shared" ref="E10:E30" si="6">100/C$31*C10</f>
        <v>0.69128128996250959</v>
      </c>
      <c r="F10" s="103"/>
      <c r="G10" s="176">
        <f>'Danica Pensjonsforsikring'!B10+'Danica Pensjonsforsikring'!B28+'Danica Pensjonsforsikring'!B35+'Danica Pensjonsforsikring'!B85+'Danica Pensjonsforsikring'!B133</f>
        <v>910116.41500000004</v>
      </c>
      <c r="H10" s="176">
        <f>'Danica Pensjonsforsikring'!C10+'Danica Pensjonsforsikring'!C28+'Danica Pensjonsforsikring'!C35+'Danica Pensjonsforsikring'!C85+'Danica Pensjonsforsikring'!C133</f>
        <v>981728.21099999989</v>
      </c>
      <c r="I10" s="104">
        <f t="shared" ref="I10:I31" si="7">IF(G10=0, "    ---- ", IF(ABS(ROUND(100/G10*H10-100,1))&lt;999,ROUND(100/G10*H10-100,1),IF(ROUND(100/G10*H10-100,1)&gt;999,999,-999)))</f>
        <v>7.9</v>
      </c>
      <c r="J10" s="386">
        <f t="shared" ref="J10:J30" si="8">100/H$31*H10</f>
        <v>0.10297514055705406</v>
      </c>
      <c r="K10" s="208" t="s">
        <v>162</v>
      </c>
      <c r="L10" s="223">
        <f t="shared" ca="1" si="1"/>
        <v>0</v>
      </c>
      <c r="M10" s="221">
        <f t="shared" ca="1" si="2"/>
        <v>0</v>
      </c>
      <c r="N10" s="223">
        <f t="shared" ca="1" si="3"/>
        <v>0</v>
      </c>
      <c r="O10" s="221">
        <f t="shared" ca="1" si="4"/>
        <v>0</v>
      </c>
      <c r="P10" s="87" t="s">
        <v>174</v>
      </c>
    </row>
    <row r="11" spans="1:16" ht="18.75" x14ac:dyDescent="0.3">
      <c r="A11" s="193" t="s">
        <v>95</v>
      </c>
      <c r="B11" s="176">
        <f>'DNB Livsforsikring'!B7+'DNB Livsforsikring'!B22+'DNB Livsforsikring'!B34+'DNB Livsforsikring'!B45+'DNB Livsforsikring'!B64+'DNB Livsforsikring'!B132</f>
        <v>4445756.0010000002</v>
      </c>
      <c r="C11" s="176">
        <f>'DNB Livsforsikring'!C7+'DNB Livsforsikring'!C22+'DNB Livsforsikring'!C34+'DNB Livsforsikring'!C45+'DNB Livsforsikring'!C64+'DNB Livsforsikring'!C132</f>
        <v>3078142</v>
      </c>
      <c r="D11" s="104">
        <f t="shared" si="5"/>
        <v>-30.8</v>
      </c>
      <c r="E11" s="386">
        <f t="shared" si="6"/>
        <v>10.869531540245811</v>
      </c>
      <c r="F11" s="103"/>
      <c r="G11" s="176">
        <f>'DNB Livsforsikring'!B10+'DNB Livsforsikring'!B28+'DNB Livsforsikring'!B35+'DNB Livsforsikring'!B85+'DNB Livsforsikring'!B133</f>
        <v>204999593</v>
      </c>
      <c r="H11" s="176">
        <f>'DNB Livsforsikring'!C10+'DNB Livsforsikring'!C28+'DNB Livsforsikring'!C35+'DNB Livsforsikring'!C85+'DNB Livsforsikring'!C133</f>
        <v>202823706</v>
      </c>
      <c r="I11" s="104">
        <f t="shared" si="7"/>
        <v>-1.1000000000000001</v>
      </c>
      <c r="J11" s="386">
        <f t="shared" si="8"/>
        <v>21.274523233246082</v>
      </c>
      <c r="K11" s="87" t="s">
        <v>155</v>
      </c>
      <c r="L11" s="223">
        <f t="shared" ca="1" si="1"/>
        <v>0</v>
      </c>
      <c r="M11" s="221">
        <f t="shared" ca="1" si="2"/>
        <v>0</v>
      </c>
      <c r="N11" s="223">
        <f t="shared" ca="1" si="3"/>
        <v>0</v>
      </c>
      <c r="O11" s="221">
        <f t="shared" ca="1" si="4"/>
        <v>0</v>
      </c>
    </row>
    <row r="12" spans="1:16" ht="18.75" x14ac:dyDescent="0.3">
      <c r="A12" s="193" t="s">
        <v>96</v>
      </c>
      <c r="B12" s="176">
        <f>'Eika Forsikring AS'!B7+'Eika Forsikring AS'!B22+'Eika Forsikring AS'!B34+'Eika Forsikring AS'!B45+'Eika Forsikring AS'!B64+'Eika Forsikring AS'!B132</f>
        <v>248926</v>
      </c>
      <c r="C12" s="176">
        <f>'Eika Forsikring AS'!C7+'Eika Forsikring AS'!C22+'Eika Forsikring AS'!C34+'Eika Forsikring AS'!C45+'Eika Forsikring AS'!C64+'Eika Forsikring AS'!C132</f>
        <v>154629</v>
      </c>
      <c r="D12" s="104">
        <f t="shared" si="5"/>
        <v>-37.9</v>
      </c>
      <c r="E12" s="386">
        <f t="shared" si="6"/>
        <v>0.54602574947376359</v>
      </c>
      <c r="F12" s="103"/>
      <c r="G12" s="176">
        <f>'Eika Forsikring AS'!B10+'Eika Forsikring AS'!B28+'Eika Forsikring AS'!B35+'Eika Forsikring AS'!B85+'Eika Forsikring AS'!B133</f>
        <v>0</v>
      </c>
      <c r="H12" s="176">
        <f>'Eika Forsikring AS'!C10+'Eika Forsikring AS'!C28+'Eika Forsikring AS'!C35+'Eika Forsikring AS'!C85+'Eika Forsikring AS'!C133</f>
        <v>0</v>
      </c>
      <c r="I12" s="104"/>
      <c r="J12" s="386">
        <f t="shared" si="8"/>
        <v>0</v>
      </c>
      <c r="K12" s="87" t="s">
        <v>163</v>
      </c>
      <c r="L12" s="223">
        <f t="shared" ca="1" si="1"/>
        <v>0</v>
      </c>
      <c r="M12" s="221">
        <f t="shared" ca="1" si="2"/>
        <v>0</v>
      </c>
      <c r="N12" s="223">
        <f t="shared" ca="1" si="3"/>
        <v>0</v>
      </c>
      <c r="O12" s="221">
        <f t="shared" ca="1" si="4"/>
        <v>0</v>
      </c>
    </row>
    <row r="13" spans="1:16" ht="18.75" x14ac:dyDescent="0.3">
      <c r="A13" s="193" t="s">
        <v>97</v>
      </c>
      <c r="B13" s="177">
        <f>'Frende Livsforsikring'!B7+'Frende Livsforsikring'!B22+'Frende Livsforsikring'!B34+'Frende Livsforsikring'!B45+'Frende Livsforsikring'!B64+'Frende Livsforsikring'!B132</f>
        <v>449437</v>
      </c>
      <c r="C13" s="177">
        <f>'Frende Livsforsikring'!C7+'Frende Livsforsikring'!C22+'Frende Livsforsikring'!C34+'Frende Livsforsikring'!C45+'Frende Livsforsikring'!C64+'Frende Livsforsikring'!C132</f>
        <v>490232.783</v>
      </c>
      <c r="D13" s="104">
        <f t="shared" si="5"/>
        <v>9.1</v>
      </c>
      <c r="E13" s="386">
        <f t="shared" si="6"/>
        <v>1.7311094474786999</v>
      </c>
      <c r="F13" s="103"/>
      <c r="G13" s="176">
        <f>'Frende Livsforsikring'!B10+'Frende Livsforsikring'!B28+'Frende Livsforsikring'!B35+'Frende Livsforsikring'!B85+'Frende Livsforsikring'!B133</f>
        <v>832830</v>
      </c>
      <c r="H13" s="176">
        <f>'Frende Livsforsikring'!C10+'Frende Livsforsikring'!C28+'Frende Livsforsikring'!C35+'Frende Livsforsikring'!C85+'Frende Livsforsikring'!C133</f>
        <v>979049</v>
      </c>
      <c r="I13" s="104">
        <f t="shared" si="7"/>
        <v>17.600000000000001</v>
      </c>
      <c r="J13" s="386">
        <f t="shared" si="8"/>
        <v>0.10269411356178623</v>
      </c>
      <c r="K13" s="87" t="s">
        <v>156</v>
      </c>
      <c r="L13" s="223">
        <f t="shared" ca="1" si="1"/>
        <v>0</v>
      </c>
      <c r="M13" s="221">
        <f t="shared" ca="1" si="2"/>
        <v>0</v>
      </c>
      <c r="N13" s="223">
        <f t="shared" ca="1" si="3"/>
        <v>0</v>
      </c>
      <c r="O13" s="221">
        <f t="shared" ca="1" si="4"/>
        <v>0</v>
      </c>
    </row>
    <row r="14" spans="1:16" ht="18.75" x14ac:dyDescent="0.3">
      <c r="A14" s="193" t="s">
        <v>98</v>
      </c>
      <c r="B14" s="176">
        <f>'Frende Skadeforsikring'!B7+'Frende Skadeforsikring'!B22+'Frende Skadeforsikring'!B34+'Frende Skadeforsikring'!B45+'Frende Skadeforsikring'!B64+'Frende Skadeforsikring'!B132</f>
        <v>4457</v>
      </c>
      <c r="C14" s="176">
        <f>'Frende Skadeforsikring'!C7+'Frende Skadeforsikring'!C22+'Frende Skadeforsikring'!C34+'Frende Skadeforsikring'!C45+'Frende Skadeforsikring'!C64+'Frende Skadeforsikring'!C132</f>
        <v>4451</v>
      </c>
      <c r="D14" s="104">
        <f t="shared" si="5"/>
        <v>-0.1</v>
      </c>
      <c r="E14" s="386">
        <f t="shared" si="6"/>
        <v>1.5717366153229481E-2</v>
      </c>
      <c r="F14" s="103"/>
      <c r="G14" s="176">
        <f>'Frende Skadeforsikring'!B10+'Frende Skadeforsikring'!B28+'Frende Skadeforsikring'!B35+'Frende Skadeforsikring'!B85+'Frende Skadeforsikring'!B133</f>
        <v>0</v>
      </c>
      <c r="H14" s="176">
        <f>'Frende Skadeforsikring'!C10+'Frende Skadeforsikring'!C28+'Frende Skadeforsikring'!C35+'Frende Skadeforsikring'!C85+'Frende Skadeforsikring'!C133</f>
        <v>0</v>
      </c>
      <c r="I14" s="104"/>
      <c r="J14" s="386">
        <f t="shared" si="8"/>
        <v>0</v>
      </c>
      <c r="K14" s="87" t="s">
        <v>164</v>
      </c>
      <c r="L14" s="223">
        <f t="shared" ca="1" si="1"/>
        <v>0</v>
      </c>
      <c r="M14" s="221">
        <f t="shared" ca="1" si="2"/>
        <v>0</v>
      </c>
      <c r="N14" s="223">
        <f t="shared" ca="1" si="3"/>
        <v>0</v>
      </c>
      <c r="O14" s="221">
        <f t="shared" ca="1" si="4"/>
        <v>0</v>
      </c>
    </row>
    <row r="15" spans="1:16" ht="18.75" x14ac:dyDescent="0.3">
      <c r="A15" s="193" t="s">
        <v>99</v>
      </c>
      <c r="B15" s="176">
        <f>'Gjensidige Forsikring'!B7+'Gjensidige Forsikring'!B22+'Gjensidige Forsikring'!B34+'Gjensidige Forsikring'!B45+'Gjensidige Forsikring'!B64+'Gjensidige Forsikring'!B132</f>
        <v>1139361</v>
      </c>
      <c r="C15" s="176">
        <f>'Gjensidige Forsikring'!C7+'Gjensidige Forsikring'!C22+'Gjensidige Forsikring'!C34+'Gjensidige Forsikring'!C45+'Gjensidige Forsikring'!C64+'Gjensidige Forsikring'!C132</f>
        <v>1205494</v>
      </c>
      <c r="D15" s="104">
        <f t="shared" si="5"/>
        <v>5.8</v>
      </c>
      <c r="E15" s="386">
        <f t="shared" si="6"/>
        <v>4.2568390459494996</v>
      </c>
      <c r="F15" s="103"/>
      <c r="G15" s="176">
        <f>'Gjensidige Forsikring'!B10+'Gjensidige Forsikring'!B28+'Gjensidige Forsikring'!B35+'Gjensidige Forsikring'!B85+'Gjensidige Forsikring'!B133</f>
        <v>0</v>
      </c>
      <c r="H15" s="176">
        <f>'Gjensidige Forsikring'!C10+'Gjensidige Forsikring'!C28+'Gjensidige Forsikring'!C35+'Gjensidige Forsikring'!C85+'Gjensidige Forsikring'!C133</f>
        <v>0</v>
      </c>
      <c r="I15" s="104"/>
      <c r="J15" s="386">
        <f t="shared" si="8"/>
        <v>0</v>
      </c>
      <c r="K15" s="87" t="s">
        <v>157</v>
      </c>
      <c r="L15" s="223">
        <f t="shared" ca="1" si="1"/>
        <v>0</v>
      </c>
      <c r="M15" s="221">
        <f t="shared" ca="1" si="2"/>
        <v>0</v>
      </c>
      <c r="N15" s="223">
        <f t="shared" ca="1" si="3"/>
        <v>0</v>
      </c>
      <c r="O15" s="221">
        <f t="shared" ca="1" si="4"/>
        <v>0</v>
      </c>
    </row>
    <row r="16" spans="1:16" ht="18.75" x14ac:dyDescent="0.3">
      <c r="A16" s="193" t="s">
        <v>100</v>
      </c>
      <c r="B16" s="176">
        <f>'Gjensidige Pensjon'!B7+'Gjensidige Pensjon'!B22+'Gjensidige Pensjon'!B34+'Gjensidige Pensjon'!B45+'Gjensidige Pensjon'!B64+'Gjensidige Pensjon'!B132</f>
        <v>268828.26399999997</v>
      </c>
      <c r="C16" s="176">
        <f>'Gjensidige Pensjon'!C7+'Gjensidige Pensjon'!C22+'Gjensidige Pensjon'!C34+'Gjensidige Pensjon'!C45+'Gjensidige Pensjon'!C64+'Gjensidige Pensjon'!C132</f>
        <v>276379</v>
      </c>
      <c r="D16" s="104">
        <f t="shared" si="5"/>
        <v>2.8</v>
      </c>
      <c r="E16" s="386">
        <f t="shared" si="6"/>
        <v>0.97594921142741198</v>
      </c>
      <c r="F16" s="103"/>
      <c r="G16" s="176">
        <f>'Gjensidige Pensjon'!B10+'Gjensidige Pensjon'!B28+'Gjensidige Pensjon'!B35+'Gjensidige Pensjon'!B85+'Gjensidige Pensjon'!B133</f>
        <v>5116874.0429999996</v>
      </c>
      <c r="H16" s="176">
        <f>'Gjensidige Pensjon'!C10+'Gjensidige Pensjon'!C28+'Gjensidige Pensjon'!C35+'Gjensidige Pensjon'!C85+'Gjensidige Pensjon'!C133</f>
        <v>5705784</v>
      </c>
      <c r="I16" s="104">
        <f t="shared" si="7"/>
        <v>11.5</v>
      </c>
      <c r="J16" s="386">
        <f t="shared" si="8"/>
        <v>0.59848938107798777</v>
      </c>
      <c r="K16" s="87" t="s">
        <v>165</v>
      </c>
      <c r="L16" s="223">
        <f t="shared" ca="1" si="1"/>
        <v>0</v>
      </c>
      <c r="M16" s="221">
        <f t="shared" ca="1" si="2"/>
        <v>0</v>
      </c>
      <c r="N16" s="223">
        <f t="shared" ca="1" si="3"/>
        <v>0</v>
      </c>
      <c r="O16" s="221">
        <f t="shared" ca="1" si="4"/>
        <v>0</v>
      </c>
    </row>
    <row r="17" spans="1:21" ht="18.75" x14ac:dyDescent="0.3">
      <c r="A17" s="193" t="s">
        <v>101</v>
      </c>
      <c r="B17" s="176">
        <f>'Handelsbanken Liv'!B7+'Handelsbanken Liv'!B22+'Handelsbanken Liv'!B34+'Handelsbanken Liv'!B45+'Handelsbanken Liv'!B64+'Handelsbanken Liv'!B132</f>
        <v>20615</v>
      </c>
      <c r="C17" s="176">
        <f>'Handelsbanken Liv'!C7+'Handelsbanken Liv'!C22+'Handelsbanken Liv'!C34+'Handelsbanken Liv'!C45+'Handelsbanken Liv'!C64+'Handelsbanken Liv'!C132</f>
        <v>19906</v>
      </c>
      <c r="D17" s="104">
        <f t="shared" si="5"/>
        <v>-3.4</v>
      </c>
      <c r="E17" s="386">
        <f t="shared" si="6"/>
        <v>7.0292044629563261E-2</v>
      </c>
      <c r="F17" s="103"/>
      <c r="G17" s="176">
        <f>'Handelsbanken Liv'!B10+'Handelsbanken Liv'!B28+'Handelsbanken Liv'!B35+'Handelsbanken Liv'!B85+'Handelsbanken Liv'!B133</f>
        <v>28242</v>
      </c>
      <c r="H17" s="176">
        <f>'Handelsbanken Liv'!C10+'Handelsbanken Liv'!C28+'Handelsbanken Liv'!C35+'Handelsbanken Liv'!C85+'Handelsbanken Liv'!C133</f>
        <v>27134</v>
      </c>
      <c r="I17" s="104">
        <f t="shared" si="7"/>
        <v>-3.9</v>
      </c>
      <c r="J17" s="386">
        <f t="shared" si="8"/>
        <v>2.846131375840747E-3</v>
      </c>
      <c r="K17" s="139"/>
      <c r="L17" s="223">
        <f t="shared" ca="1" si="1"/>
        <v>0</v>
      </c>
      <c r="M17" s="221">
        <f t="shared" ca="1" si="2"/>
        <v>0</v>
      </c>
      <c r="N17" s="223">
        <f t="shared" ca="1" si="3"/>
        <v>0</v>
      </c>
      <c r="O17" s="221">
        <f t="shared" ca="1" si="4"/>
        <v>0</v>
      </c>
    </row>
    <row r="18" spans="1:21" ht="18.75" x14ac:dyDescent="0.3">
      <c r="A18" s="193" t="s">
        <v>102</v>
      </c>
      <c r="B18" s="176">
        <f>'If Skadeforsikring NUF'!B7+'If Skadeforsikring NUF'!B22+'If Skadeforsikring NUF'!B34+'If Skadeforsikring NUF'!B45+'If Skadeforsikring NUF'!B64+'If Skadeforsikring NUF'!B132</f>
        <v>248460.12299999999</v>
      </c>
      <c r="C18" s="176">
        <f>'If Skadeforsikring NUF'!C7+'If Skadeforsikring NUF'!C22+'If Skadeforsikring NUF'!C34+'If Skadeforsikring NUF'!C45+'If Skadeforsikring NUF'!C64+'If Skadeforsikring NUF'!C132</f>
        <v>286954.01899999997</v>
      </c>
      <c r="D18" s="104">
        <f t="shared" si="5"/>
        <v>15.5</v>
      </c>
      <c r="E18" s="386">
        <f t="shared" si="6"/>
        <v>1.0132917065297167</v>
      </c>
      <c r="F18" s="103"/>
      <c r="G18" s="176">
        <f>'If Skadeforsikring NUF'!B10+'If Skadeforsikring NUF'!B28+'If Skadeforsikring NUF'!B35+'If Skadeforsikring NUF'!B85+'If Skadeforsikring NUF'!B133</f>
        <v>0</v>
      </c>
      <c r="H18" s="176">
        <f>'If Skadeforsikring NUF'!C10+'If Skadeforsikring NUF'!C28+'If Skadeforsikring NUF'!C35+'If Skadeforsikring NUF'!C85+'If Skadeforsikring NUF'!C133</f>
        <v>0</v>
      </c>
      <c r="I18" s="104"/>
      <c r="J18" s="386">
        <f t="shared" si="8"/>
        <v>0</v>
      </c>
      <c r="K18" s="139"/>
      <c r="L18" s="223">
        <f t="shared" ca="1" si="1"/>
        <v>0</v>
      </c>
      <c r="M18" s="221">
        <f t="shared" ca="1" si="2"/>
        <v>0</v>
      </c>
      <c r="N18" s="223">
        <f t="shared" ca="1" si="3"/>
        <v>0</v>
      </c>
      <c r="O18" s="221">
        <f t="shared" ca="1" si="4"/>
        <v>0</v>
      </c>
    </row>
    <row r="19" spans="1:21" ht="18.75" x14ac:dyDescent="0.3">
      <c r="A19" s="193" t="s">
        <v>68</v>
      </c>
      <c r="B19" s="176">
        <f>KLP!B7+KLP!B22+KLP!B34+KLP!B45+KLP!B64+KLP!B132</f>
        <v>17863744.790199999</v>
      </c>
      <c r="C19" s="176">
        <f>KLP!C7+KLP!C22+KLP!C34+KLP!C45+KLP!C64+KLP!C132</f>
        <v>14896769.38098</v>
      </c>
      <c r="D19" s="104">
        <f t="shared" si="5"/>
        <v>-16.600000000000001</v>
      </c>
      <c r="E19" s="386">
        <f t="shared" si="6"/>
        <v>52.603455147400659</v>
      </c>
      <c r="F19" s="103"/>
      <c r="G19" s="176">
        <f>KLP!B10+KLP!B28+KLP!B35+KLP!B85+KLP!B133</f>
        <v>408022300.04294997</v>
      </c>
      <c r="H19" s="176">
        <f>KLP!C10+KLP!C28+KLP!C35+KLP!C85+KLP!C133</f>
        <v>432230923.24921</v>
      </c>
      <c r="I19" s="104">
        <f t="shared" si="7"/>
        <v>5.9</v>
      </c>
      <c r="J19" s="386">
        <f t="shared" si="8"/>
        <v>45.337436141674296</v>
      </c>
      <c r="K19" s="139"/>
      <c r="L19" s="223">
        <f t="shared" ca="1" si="1"/>
        <v>0</v>
      </c>
      <c r="M19" s="221">
        <f t="shared" ca="1" si="2"/>
        <v>0</v>
      </c>
      <c r="N19" s="223">
        <f t="shared" ca="1" si="3"/>
        <v>0</v>
      </c>
      <c r="O19" s="221">
        <f t="shared" ca="1" si="4"/>
        <v>0</v>
      </c>
    </row>
    <row r="20" spans="1:21" ht="18.75" x14ac:dyDescent="0.3">
      <c r="A20" s="108" t="s">
        <v>103</v>
      </c>
      <c r="B20" s="176">
        <f>'KLP Bedriftspensjon AS'!B7+'KLP Bedriftspensjon AS'!B22+'KLP Bedriftspensjon AS'!B34+'KLP Bedriftspensjon AS'!B45+'KLP Bedriftspensjon AS'!B64+'KLP Bedriftspensjon AS'!B132</f>
        <v>52817</v>
      </c>
      <c r="C20" s="176">
        <f>'KLP Bedriftspensjon AS'!C7+'KLP Bedriftspensjon AS'!C22+'KLP Bedriftspensjon AS'!C34+'KLP Bedriftspensjon AS'!C45+'KLP Bedriftspensjon AS'!C64+'KLP Bedriftspensjon AS'!C132</f>
        <v>42087</v>
      </c>
      <c r="D20" s="104">
        <f t="shared" si="5"/>
        <v>-20.3</v>
      </c>
      <c r="E20" s="386">
        <f t="shared" si="6"/>
        <v>0.14861756667961565</v>
      </c>
      <c r="F20" s="103"/>
      <c r="G20" s="176">
        <f>'KLP Bedriftspensjon AS'!B10+'KLP Bedriftspensjon AS'!B28+'KLP Bedriftspensjon AS'!B35+'KLP Bedriftspensjon AS'!B85+'KLP Bedriftspensjon AS'!B133</f>
        <v>1444299</v>
      </c>
      <c r="H20" s="176">
        <f>'KLP Bedriftspensjon AS'!C10+'KLP Bedriftspensjon AS'!C28+'KLP Bedriftspensjon AS'!C35+'KLP Bedriftspensjon AS'!C85+'KLP Bedriftspensjon AS'!C133</f>
        <v>1534741</v>
      </c>
      <c r="I20" s="104">
        <f t="shared" si="7"/>
        <v>6.3</v>
      </c>
      <c r="J20" s="386">
        <f t="shared" si="8"/>
        <v>0.16098159187326616</v>
      </c>
      <c r="K20" s="139"/>
      <c r="L20" s="223">
        <f t="shared" ca="1" si="1"/>
        <v>0</v>
      </c>
      <c r="M20" s="221">
        <f t="shared" ca="1" si="2"/>
        <v>0</v>
      </c>
      <c r="N20" s="223">
        <f t="shared" ca="1" si="3"/>
        <v>0</v>
      </c>
      <c r="O20" s="221">
        <f t="shared" ca="1" si="4"/>
        <v>0</v>
      </c>
    </row>
    <row r="21" spans="1:21" ht="18.75" x14ac:dyDescent="0.3">
      <c r="A21" s="108" t="s">
        <v>104</v>
      </c>
      <c r="B21" s="176">
        <f>'KLP Skadeforsikring AS'!B7+'KLP Skadeforsikring AS'!B22+'KLP Skadeforsikring AS'!B34+'KLP Skadeforsikring AS'!B45+'KLP Skadeforsikring AS'!B64+'KLP Skadeforsikring AS'!B132</f>
        <v>118032.765</v>
      </c>
      <c r="C21" s="176">
        <f>'KLP Skadeforsikring AS'!C7+'KLP Skadeforsikring AS'!C22+'KLP Skadeforsikring AS'!C34+'KLP Skadeforsikring AS'!C45+'KLP Skadeforsikring AS'!C64+'KLP Skadeforsikring AS'!C132</f>
        <v>128824.133</v>
      </c>
      <c r="D21" s="104">
        <f t="shared" si="5"/>
        <v>9.1</v>
      </c>
      <c r="E21" s="386">
        <f t="shared" si="6"/>
        <v>0.45490363238223613</v>
      </c>
      <c r="F21" s="103"/>
      <c r="G21" s="176">
        <f>'KLP Skadeforsikring AS'!B10+'KLP Skadeforsikring AS'!B28+'KLP Skadeforsikring AS'!B35+'KLP Skadeforsikring AS'!B85+'KLP Skadeforsikring AS'!B133</f>
        <v>0</v>
      </c>
      <c r="H21" s="176">
        <f>'KLP Skadeforsikring AS'!C10+'KLP Skadeforsikring AS'!C28+'KLP Skadeforsikring AS'!C35+'KLP Skadeforsikring AS'!C85+'KLP Skadeforsikring AS'!C133</f>
        <v>0</v>
      </c>
      <c r="I21" s="104"/>
      <c r="J21" s="386">
        <f t="shared" si="8"/>
        <v>0</v>
      </c>
      <c r="K21" s="139"/>
      <c r="L21" s="223">
        <f t="shared" ca="1" si="1"/>
        <v>0</v>
      </c>
      <c r="M21" s="221">
        <f t="shared" ca="1" si="2"/>
        <v>0</v>
      </c>
      <c r="N21" s="223">
        <f t="shared" ca="1" si="3"/>
        <v>0</v>
      </c>
      <c r="O21" s="221">
        <f t="shared" ca="1" si="4"/>
        <v>0</v>
      </c>
    </row>
    <row r="22" spans="1:21" ht="18.75" x14ac:dyDescent="0.3">
      <c r="A22" s="108" t="s">
        <v>105</v>
      </c>
      <c r="B22" s="176">
        <f>'Landbruksforsikring AS'!B7+'Landbruksforsikring AS'!B22+'Landbruksforsikring AS'!B34+'Landbruksforsikring AS'!B45+'Landbruksforsikring AS'!B64+'Landbruksforsikring AS'!B132</f>
        <v>17232</v>
      </c>
      <c r="C22" s="176">
        <f>'Landbruksforsikring AS'!C7+'Landbruksforsikring AS'!C22+'Landbruksforsikring AS'!C34+'Landbruksforsikring AS'!C45+'Landbruksforsikring AS'!C64+'Landbruksforsikring AS'!C132</f>
        <v>24256</v>
      </c>
      <c r="D22" s="104">
        <f t="shared" si="5"/>
        <v>40.799999999999997</v>
      </c>
      <c r="E22" s="386">
        <f t="shared" si="6"/>
        <v>8.5652759697311689E-2</v>
      </c>
      <c r="F22" s="103"/>
      <c r="G22" s="176">
        <f>'Landbruksforsikring AS'!B10+'Landbruksforsikring AS'!B28+'Landbruksforsikring AS'!B35+'Landbruksforsikring AS'!B85+'Landbruksforsikring AS'!B133</f>
        <v>0</v>
      </c>
      <c r="H22" s="176">
        <f>'Landbruksforsikring AS'!C10+'Landbruksforsikring AS'!C28+'Landbruksforsikring AS'!C35+'Landbruksforsikring AS'!C85+'Landbruksforsikring AS'!C133</f>
        <v>0</v>
      </c>
      <c r="I22" s="104"/>
      <c r="J22" s="386">
        <f t="shared" si="8"/>
        <v>0</v>
      </c>
      <c r="K22" s="139"/>
      <c r="L22" s="223">
        <f t="shared" ca="1" si="1"/>
        <v>0</v>
      </c>
      <c r="M22" s="221">
        <f t="shared" ca="1" si="2"/>
        <v>0</v>
      </c>
      <c r="N22" s="223">
        <f t="shared" ca="1" si="3"/>
        <v>0</v>
      </c>
      <c r="O22" s="221">
        <f t="shared" ca="1" si="4"/>
        <v>0</v>
      </c>
    </row>
    <row r="23" spans="1:21" ht="18.75" x14ac:dyDescent="0.3">
      <c r="A23" s="193" t="s">
        <v>106</v>
      </c>
      <c r="B23" s="176">
        <f>'NEMI Forsikring'!B7+'NEMI Forsikring'!B22+'NEMI Forsikring'!B34+'NEMI Forsikring'!B45+'NEMI Forsikring'!B64+'NEMI Forsikring'!B132</f>
        <v>1481</v>
      </c>
      <c r="C23" s="176">
        <f>'NEMI Forsikring'!C7+'NEMI Forsikring'!C22+'NEMI Forsikring'!C34+'NEMI Forsikring'!C45+'NEMI Forsikring'!C64+'NEMI Forsikring'!C132</f>
        <v>2011</v>
      </c>
      <c r="D23" s="104">
        <f t="shared" si="5"/>
        <v>35.799999999999997</v>
      </c>
      <c r="E23" s="386">
        <f t="shared" si="6"/>
        <v>7.1012409198257668E-3</v>
      </c>
      <c r="F23" s="103"/>
      <c r="G23" s="176">
        <f>'NEMI Forsikring'!B10+'NEMI Forsikring'!B28+'NEMI Forsikring'!B35+'NEMI Forsikring'!B85+'NEMI Forsikring'!B133</f>
        <v>0</v>
      </c>
      <c r="H23" s="176">
        <f>'NEMI Forsikring'!C10+'NEMI Forsikring'!C28+'NEMI Forsikring'!C35+'NEMI Forsikring'!C85+'NEMI Forsikring'!C133</f>
        <v>0</v>
      </c>
      <c r="I23" s="104"/>
      <c r="J23" s="386">
        <f t="shared" si="8"/>
        <v>0</v>
      </c>
      <c r="K23" s="139"/>
      <c r="L23" s="223">
        <f t="shared" ca="1" si="1"/>
        <v>0</v>
      </c>
      <c r="M23" s="221">
        <f t="shared" ca="1" si="2"/>
        <v>0</v>
      </c>
      <c r="N23" s="223">
        <f t="shared" ca="1" si="3"/>
        <v>0</v>
      </c>
      <c r="O23" s="221">
        <f t="shared" ca="1" si="4"/>
        <v>0</v>
      </c>
    </row>
    <row r="24" spans="1:21" ht="18.75" x14ac:dyDescent="0.3">
      <c r="A24" s="108" t="s">
        <v>107</v>
      </c>
      <c r="B24" s="176">
        <f>'Nordea Liv '!B7+'Nordea Liv '!B22+'Nordea Liv '!B34+'Nordea Liv '!B45+'Nordea Liv '!B64+'Nordea Liv '!B132</f>
        <v>1314347.7010432926</v>
      </c>
      <c r="C24" s="176">
        <f>'Nordea Liv '!C7+'Nordea Liv '!C22+'Nordea Liv '!C34+'Nordea Liv '!C45+'Nordea Liv '!C64+'Nordea Liv '!C132</f>
        <v>927868.64466550318</v>
      </c>
      <c r="D24" s="104">
        <f t="shared" si="5"/>
        <v>-29.4</v>
      </c>
      <c r="E24" s="386">
        <f t="shared" si="6"/>
        <v>3.2764887059780929</v>
      </c>
      <c r="F24" s="103"/>
      <c r="G24" s="177">
        <f>'Nordea Liv '!B10+'Nordea Liv '!B28+'Nordea Liv '!B35+'Nordea Liv '!B85+'Nordea Liv '!B133</f>
        <v>48064765.021499872</v>
      </c>
      <c r="H24" s="177">
        <f>'Nordea Liv '!C10+'Nordea Liv '!C28+'Nordea Liv '!C35+'Nordea Liv '!C85+'Nordea Liv '!C133</f>
        <v>49325851.608999982</v>
      </c>
      <c r="I24" s="104">
        <f t="shared" si="7"/>
        <v>2.6</v>
      </c>
      <c r="J24" s="386">
        <f t="shared" si="8"/>
        <v>5.1738724074754785</v>
      </c>
      <c r="K24" s="139"/>
      <c r="L24" s="223">
        <f t="shared" ca="1" si="1"/>
        <v>0</v>
      </c>
      <c r="M24" s="221">
        <f t="shared" ca="1" si="2"/>
        <v>0</v>
      </c>
      <c r="N24" s="223">
        <f t="shared" ca="1" si="3"/>
        <v>0</v>
      </c>
      <c r="O24" s="221">
        <f t="shared" ca="1" si="4"/>
        <v>0</v>
      </c>
    </row>
    <row r="25" spans="1:21" ht="18.75" x14ac:dyDescent="0.3">
      <c r="A25" s="108" t="s">
        <v>108</v>
      </c>
      <c r="B25" s="176">
        <f>'Oslo Pensjonsforsikring'!B7+'Oslo Pensjonsforsikring'!B22+'Oslo Pensjonsforsikring'!B34+'Oslo Pensjonsforsikring'!B45+'Oslo Pensjonsforsikring'!B64+'Oslo Pensjonsforsikring'!B132</f>
        <v>1315437</v>
      </c>
      <c r="C25" s="176">
        <f>'Oslo Pensjonsforsikring'!C7+'Oslo Pensjonsforsikring'!C22+'Oslo Pensjonsforsikring'!C34+'Oslo Pensjonsforsikring'!C45+'Oslo Pensjonsforsikring'!C64+'Oslo Pensjonsforsikring'!C132</f>
        <v>1524757</v>
      </c>
      <c r="D25" s="104">
        <f t="shared" si="5"/>
        <v>15.9</v>
      </c>
      <c r="E25" s="386">
        <f t="shared" si="6"/>
        <v>5.3842201895528472</v>
      </c>
      <c r="F25" s="103"/>
      <c r="G25" s="176">
        <f>'Oslo Pensjonsforsikring'!B10+'Oslo Pensjonsforsikring'!B28+'Oslo Pensjonsforsikring'!B35+'Oslo Pensjonsforsikring'!B85+'Oslo Pensjonsforsikring'!B133</f>
        <v>61571650</v>
      </c>
      <c r="H25" s="176">
        <f>'Oslo Pensjonsforsikring'!C10+'Oslo Pensjonsforsikring'!C28+'Oslo Pensjonsforsikring'!C35+'Oslo Pensjonsforsikring'!C85+'Oslo Pensjonsforsikring'!C133</f>
        <v>66551653</v>
      </c>
      <c r="I25" s="104">
        <f t="shared" si="7"/>
        <v>8.1</v>
      </c>
      <c r="J25" s="386">
        <f t="shared" si="8"/>
        <v>6.9807159916475996</v>
      </c>
      <c r="K25" s="139"/>
      <c r="L25" s="223">
        <f t="shared" ca="1" si="1"/>
        <v>0</v>
      </c>
      <c r="M25" s="221">
        <f t="shared" ca="1" si="2"/>
        <v>0</v>
      </c>
      <c r="N25" s="223">
        <f t="shared" ca="1" si="3"/>
        <v>0</v>
      </c>
      <c r="O25" s="221">
        <f t="shared" ca="1" si="4"/>
        <v>0</v>
      </c>
    </row>
    <row r="26" spans="1:21" ht="18.75" x14ac:dyDescent="0.3">
      <c r="A26" s="108" t="s">
        <v>109</v>
      </c>
      <c r="B26" s="176">
        <f>'Silver Pensjonsforsikring AS'!B7+'Silver Pensjonsforsikring AS'!B22+'Silver Pensjonsforsikring AS'!B34+'Silver Pensjonsforsikring AS'!B45+'Silver Pensjonsforsikring AS'!B64+'Silver Pensjonsforsikring AS'!B132</f>
        <v>0</v>
      </c>
      <c r="C26" s="176">
        <f>'Silver Pensjonsforsikring AS'!C7+'Silver Pensjonsforsikring AS'!C22+'Silver Pensjonsforsikring AS'!C34+'Silver Pensjonsforsikring AS'!C45+'Silver Pensjonsforsikring AS'!C64+'Silver Pensjonsforsikring AS'!C132</f>
        <v>0</v>
      </c>
      <c r="D26" s="104"/>
      <c r="E26" s="386">
        <f t="shared" si="6"/>
        <v>0</v>
      </c>
      <c r="F26" s="103"/>
      <c r="G26" s="176">
        <f>'Silver Pensjonsforsikring AS'!B10+'Silver Pensjonsforsikring AS'!B28+'Silver Pensjonsforsikring AS'!B35+'Silver Pensjonsforsikring AS'!B85+'Silver Pensjonsforsikring AS'!B133</f>
        <v>8612877.0735400002</v>
      </c>
      <c r="H26" s="176">
        <f>'Silver Pensjonsforsikring AS'!C10+'Silver Pensjonsforsikring AS'!C28+'Silver Pensjonsforsikring AS'!C35+'Silver Pensjonsforsikring AS'!C85+'Silver Pensjonsforsikring AS'!C133</f>
        <v>0</v>
      </c>
      <c r="I26" s="104">
        <f t="shared" si="7"/>
        <v>-100</v>
      </c>
      <c r="J26" s="386">
        <f t="shared" si="8"/>
        <v>0</v>
      </c>
      <c r="K26" s="139"/>
      <c r="L26" s="223">
        <f t="shared" ca="1" si="1"/>
        <v>0</v>
      </c>
      <c r="M26" s="221">
        <f t="shared" ca="1" si="2"/>
        <v>0</v>
      </c>
      <c r="N26" s="223">
        <f t="shared" ca="1" si="3"/>
        <v>0</v>
      </c>
      <c r="O26" s="221">
        <f t="shared" ca="1" si="4"/>
        <v>0</v>
      </c>
    </row>
    <row r="27" spans="1:21" ht="18.75" x14ac:dyDescent="0.3">
      <c r="A27" s="193" t="s">
        <v>75</v>
      </c>
      <c r="B27" s="176">
        <f>'Sparebank 1'!B7+'Sparebank 1'!B22+'Sparebank 1'!B34+'Sparebank 1'!B45+'Sparebank 1'!B64+'Sparebank 1'!B132</f>
        <v>1347598.1754899998</v>
      </c>
      <c r="C27" s="176">
        <f>'Sparebank 1'!C7+'Sparebank 1'!C22+'Sparebank 1'!C34+'Sparebank 1'!C45+'Sparebank 1'!C64+'Sparebank 1'!C132</f>
        <v>1416935.0100199999</v>
      </c>
      <c r="D27" s="104">
        <f t="shared" si="5"/>
        <v>5.0999999999999996</v>
      </c>
      <c r="E27" s="386">
        <f t="shared" si="6"/>
        <v>5.003479300789536</v>
      </c>
      <c r="F27" s="103"/>
      <c r="G27" s="176">
        <f>'Sparebank 1'!B10+'Sparebank 1'!B28+'Sparebank 1'!B35+'Sparebank 1'!B85+'Sparebank 1'!B133</f>
        <v>16839593.38775</v>
      </c>
      <c r="H27" s="176">
        <f>'Sparebank 1'!C10+'Sparebank 1'!C28+'Sparebank 1'!C35+'Sparebank 1'!C85+'Sparebank 1'!C133</f>
        <v>17251701.960609999</v>
      </c>
      <c r="I27" s="104">
        <f t="shared" si="7"/>
        <v>2.4</v>
      </c>
      <c r="J27" s="386">
        <f t="shared" si="8"/>
        <v>1.8095603389380648</v>
      </c>
      <c r="K27" s="139"/>
      <c r="L27" s="223">
        <f t="shared" ca="1" si="1"/>
        <v>0</v>
      </c>
      <c r="M27" s="221">
        <f t="shared" ca="1" si="2"/>
        <v>0</v>
      </c>
      <c r="N27" s="223">
        <f t="shared" ca="1" si="3"/>
        <v>0</v>
      </c>
      <c r="O27" s="221">
        <f t="shared" ca="1" si="4"/>
        <v>0</v>
      </c>
    </row>
    <row r="28" spans="1:21" ht="18.75" x14ac:dyDescent="0.3">
      <c r="A28" s="193" t="s">
        <v>110</v>
      </c>
      <c r="B28" s="176">
        <f>'Storebrand Livsforsikring'!B7+'Storebrand Livsforsikring'!B22+'Storebrand Livsforsikring'!B34+'Storebrand Livsforsikring'!B45+'Storebrand Livsforsikring'!B64+'Storebrand Livsforsikring'!B132</f>
        <v>4383879.6049999995</v>
      </c>
      <c r="C28" s="176">
        <f>'Storebrand Livsforsikring'!C7+'Storebrand Livsforsikring'!C22+'Storebrand Livsforsikring'!C34+'Storebrand Livsforsikring'!C45+'Storebrand Livsforsikring'!C64+'Storebrand Livsforsikring'!C132</f>
        <v>3161034.8239999996</v>
      </c>
      <c r="D28" s="104">
        <f t="shared" si="5"/>
        <v>-27.9</v>
      </c>
      <c r="E28" s="386">
        <f t="shared" si="6"/>
        <v>11.162242586366503</v>
      </c>
      <c r="F28" s="103"/>
      <c r="G28" s="176">
        <f>'Storebrand Livsforsikring'!B10+'Storebrand Livsforsikring'!B28+'Storebrand Livsforsikring'!B35+'Storebrand Livsforsikring'!B85+'Storebrand Livsforsikring'!B133</f>
        <v>173966226.97000003</v>
      </c>
      <c r="H28" s="176">
        <f>'Storebrand Livsforsikring'!C10+'Storebrand Livsforsikring'!C28+'Storebrand Livsforsikring'!C35+'Storebrand Livsforsikring'!C85+'Storebrand Livsforsikring'!C133</f>
        <v>175952011.514</v>
      </c>
      <c r="I28" s="104">
        <f t="shared" si="7"/>
        <v>1.1000000000000001</v>
      </c>
      <c r="J28" s="386">
        <f t="shared" si="8"/>
        <v>18.455905528572558</v>
      </c>
      <c r="K28" s="139"/>
      <c r="L28" s="223">
        <f t="shared" ca="1" si="1"/>
        <v>0</v>
      </c>
      <c r="M28" s="221">
        <f t="shared" ca="1" si="2"/>
        <v>0</v>
      </c>
      <c r="N28" s="223">
        <f t="shared" ca="1" si="3"/>
        <v>0</v>
      </c>
      <c r="O28" s="221">
        <f t="shared" ca="1" si="4"/>
        <v>0</v>
      </c>
    </row>
    <row r="29" spans="1:21" ht="18.75" x14ac:dyDescent="0.3">
      <c r="A29" s="193" t="s">
        <v>111</v>
      </c>
      <c r="B29" s="176">
        <f>'Telenor Forsikring'!B7+'Telenor Forsikring'!B22+'Telenor Forsikring'!B34+'Telenor Forsikring'!B45+'Telenor Forsikring'!B64+'Telenor Forsikring'!B132</f>
        <v>25828</v>
      </c>
      <c r="C29" s="176">
        <f>'Telenor Forsikring'!C7+'Telenor Forsikring'!C22+'Telenor Forsikring'!C34+'Telenor Forsikring'!C45+'Telenor Forsikring'!C64+'Telenor Forsikring'!C132</f>
        <v>23751</v>
      </c>
      <c r="D29" s="104">
        <f t="shared" si="5"/>
        <v>-8</v>
      </c>
      <c r="E29" s="386">
        <f t="shared" si="6"/>
        <v>8.38695042699064E-2</v>
      </c>
      <c r="F29" s="103"/>
      <c r="G29" s="176">
        <f>'Telenor Forsikring'!B10+'Telenor Forsikring'!B28+'Telenor Forsikring'!B35+'Telenor Forsikring'!B85+'Telenor Forsikring'!B133</f>
        <v>0</v>
      </c>
      <c r="H29" s="176">
        <f>'Telenor Forsikring'!C10+'Telenor Forsikring'!C28+'Telenor Forsikring'!C35+'Telenor Forsikring'!C85+'Telenor Forsikring'!C133</f>
        <v>0</v>
      </c>
      <c r="I29" s="104"/>
      <c r="J29" s="386">
        <f t="shared" si="8"/>
        <v>0</v>
      </c>
      <c r="K29" s="207"/>
      <c r="L29" s="223">
        <f t="shared" ca="1" si="1"/>
        <v>0</v>
      </c>
      <c r="M29" s="221">
        <f t="shared" ca="1" si="2"/>
        <v>0</v>
      </c>
      <c r="N29" s="223">
        <f t="shared" ca="1" si="3"/>
        <v>0</v>
      </c>
      <c r="O29" s="221">
        <f t="shared" ca="1" si="4"/>
        <v>0</v>
      </c>
    </row>
    <row r="30" spans="1:21" ht="18.75" x14ac:dyDescent="0.3">
      <c r="A30" s="193" t="s">
        <v>112</v>
      </c>
      <c r="B30" s="176">
        <f>'Tryg Forsikring'!B7+'Tryg Forsikring'!B22+'Tryg Forsikring'!B34+'Tryg Forsikring'!B45+'Tryg Forsikring'!B64+'Tryg Forsikring'!B132</f>
        <v>472129.78125</v>
      </c>
      <c r="C30" s="176">
        <f>'Tryg Forsikring'!C7+'Tryg Forsikring'!C22+'Tryg Forsikring'!C34+'Tryg Forsikring'!C45+'Tryg Forsikring'!C64+'Tryg Forsikring'!C132</f>
        <v>458748.43799999997</v>
      </c>
      <c r="D30" s="104">
        <f t="shared" si="5"/>
        <v>-2.8</v>
      </c>
      <c r="E30" s="386">
        <f t="shared" si="6"/>
        <v>1.6199319641132539</v>
      </c>
      <c r="F30" s="103"/>
      <c r="G30" s="176">
        <f>'Tryg Forsikring'!B10+'Tryg Forsikring'!B28+'Tryg Forsikring'!B35+'Tryg Forsikring'!B85+'Tryg Forsikring'!B133</f>
        <v>0</v>
      </c>
      <c r="H30" s="176">
        <f>'Tryg Forsikring'!C10+'Tryg Forsikring'!C28+'Tryg Forsikring'!C35+'Tryg Forsikring'!C85+'Tryg Forsikring'!C133</f>
        <v>0</v>
      </c>
      <c r="I30" s="104"/>
      <c r="J30" s="386">
        <f t="shared" si="8"/>
        <v>0</v>
      </c>
      <c r="K30" s="207"/>
      <c r="L30" s="223">
        <f t="shared" ca="1" si="1"/>
        <v>0</v>
      </c>
      <c r="M30" s="221">
        <f t="shared" ca="1" si="2"/>
        <v>0</v>
      </c>
      <c r="N30" s="223">
        <f t="shared" ca="1" si="3"/>
        <v>0</v>
      </c>
      <c r="O30" s="221">
        <f t="shared" ca="1" si="4"/>
        <v>0</v>
      </c>
    </row>
    <row r="31" spans="1:21" s="111" customFormat="1" ht="18.75" x14ac:dyDescent="0.3">
      <c r="A31" s="137" t="s">
        <v>113</v>
      </c>
      <c r="B31" s="178">
        <f>SUM(B9:B30)</f>
        <v>33935916.934983298</v>
      </c>
      <c r="C31" s="242">
        <f>SUM(C9:C30)</f>
        <v>28318994.140665505</v>
      </c>
      <c r="D31" s="104">
        <f t="shared" si="5"/>
        <v>-16.600000000000001</v>
      </c>
      <c r="E31" s="387">
        <f>SUM(E9:E30)</f>
        <v>100</v>
      </c>
      <c r="F31" s="109"/>
      <c r="G31" s="178">
        <f>SUM(G9:G30)</f>
        <v>930409366.95373988</v>
      </c>
      <c r="H31" s="178">
        <f>SUM(H9:H30)</f>
        <v>953364283.5438199</v>
      </c>
      <c r="I31" s="104">
        <f t="shared" si="7"/>
        <v>2.5</v>
      </c>
      <c r="J31" s="387">
        <f>SUM(J9:J30)</f>
        <v>100.00000000000001</v>
      </c>
      <c r="K31" s="209"/>
      <c r="L31" s="223">
        <f ca="1">SUM(L9:L30)</f>
        <v>0</v>
      </c>
      <c r="M31" s="221">
        <f ca="1">SUM(M9:M30)</f>
        <v>0</v>
      </c>
      <c r="N31" s="223">
        <f ca="1">SUM(N9:N30)</f>
        <v>0</v>
      </c>
      <c r="O31" s="221">
        <f ca="1">SUM(O9:O30)</f>
        <v>0</v>
      </c>
      <c r="U31" s="205"/>
    </row>
    <row r="32" spans="1:21" ht="18.75" x14ac:dyDescent="0.3">
      <c r="A32" s="86"/>
      <c r="B32" s="176"/>
      <c r="C32" s="139"/>
      <c r="D32" s="104"/>
      <c r="E32" s="386"/>
      <c r="F32" s="103"/>
      <c r="G32" s="176"/>
      <c r="H32" s="103"/>
      <c r="I32" s="104"/>
      <c r="J32" s="386"/>
      <c r="K32" s="207"/>
      <c r="L32" s="220" t="s">
        <v>1</v>
      </c>
      <c r="M32" s="221"/>
      <c r="N32" s="223"/>
      <c r="O32" s="221"/>
    </row>
    <row r="33" spans="1:20" ht="18.75" x14ac:dyDescent="0.3">
      <c r="A33" s="101" t="s">
        <v>1</v>
      </c>
      <c r="B33" s="176"/>
      <c r="C33" s="139"/>
      <c r="D33" s="104"/>
      <c r="E33" s="386"/>
      <c r="F33" s="103"/>
      <c r="G33" s="176"/>
      <c r="H33" s="103"/>
      <c r="I33" s="104"/>
      <c r="J33" s="386"/>
      <c r="K33" s="207"/>
      <c r="L33" s="224">
        <v>2015</v>
      </c>
      <c r="M33" s="225">
        <v>2016</v>
      </c>
      <c r="N33" s="224">
        <v>2015</v>
      </c>
      <c r="O33" s="225">
        <v>2016</v>
      </c>
      <c r="P33" s="87" t="s">
        <v>170</v>
      </c>
    </row>
    <row r="34" spans="1:20" ht="18.75" x14ac:dyDescent="0.3">
      <c r="A34" s="107" t="s">
        <v>94</v>
      </c>
      <c r="B34" s="130">
        <f>'Danica Pensjonsforsikring'!F7+'Danica Pensjonsforsikring'!F22+'Danica Pensjonsforsikring'!F64+'Danica Pensjonsforsikring'!F132</f>
        <v>797149.23</v>
      </c>
      <c r="C34" s="130">
        <f>'Danica Pensjonsforsikring'!G7+'Danica Pensjonsforsikring'!G22+'Danica Pensjonsforsikring'!G64+'Danica Pensjonsforsikring'!G132</f>
        <v>872284.58900000004</v>
      </c>
      <c r="D34" s="104">
        <f t="shared" ref="D34:D45" si="9">IF(B34=0, "    ---- ", IF(ABS(ROUND(100/B34*C34-100,1))&lt;999,ROUND(100/B34*C34-100,1),IF(ROUND(100/B34*C34-100,1)&gt;999,999,-999)))</f>
        <v>9.4</v>
      </c>
      <c r="E34" s="386">
        <f t="shared" ref="E34" si="10">100/C$45*C34</f>
        <v>4.9067214900769258</v>
      </c>
      <c r="F34" s="103"/>
      <c r="G34" s="176">
        <f>'Danica Pensjonsforsikring'!F10+'Danica Pensjonsforsikring'!F28+'Danica Pensjonsforsikring'!F85+'Danica Pensjonsforsikring'!F133</f>
        <v>12599531.244999999</v>
      </c>
      <c r="H34" s="176">
        <f>'Danica Pensjonsforsikring'!G10+'Danica Pensjonsforsikring'!G28+'Danica Pensjonsforsikring'!G85+'Danica Pensjonsforsikring'!G133</f>
        <v>15516241.074000001</v>
      </c>
      <c r="I34" s="104">
        <f t="shared" ref="I34:I45" si="11">IF(G34=0, "    ---- ", IF(ABS(ROUND(100/G34*H34-100,1))&lt;999,ROUND(100/G34*H34-100,1),IF(ROUND(100/G34*H34-100,1)&gt;999,999,-999)))</f>
        <v>23.1</v>
      </c>
      <c r="J34" s="386">
        <f t="shared" ref="J34" si="12">100/H$45*H34</f>
        <v>6.0030056394630913</v>
      </c>
      <c r="K34" s="207" t="s">
        <v>158</v>
      </c>
      <c r="L34" s="223">
        <f t="shared" ref="L34:L44" ca="1" si="13">INDIRECT("'" &amp; $A34 &amp; "'!" &amp; $P$33)</f>
        <v>0</v>
      </c>
      <c r="M34" s="221">
        <f t="shared" ref="M34:M44" ca="1" si="14">INDIRECT("'" &amp; $A34 &amp; "'!" &amp; $P$34)</f>
        <v>0</v>
      </c>
      <c r="N34" s="223">
        <f t="shared" ref="N34:N44" ca="1" si="15">INDIRECT("'" &amp; $A34 &amp; "'!" &amp; $P$35)</f>
        <v>0</v>
      </c>
      <c r="O34" s="221">
        <f t="shared" ref="O34:O44" ca="1" si="16">INDIRECT("'"&amp;$A34&amp;"'!"&amp;$P$36)</f>
        <v>0</v>
      </c>
      <c r="P34" s="87" t="s">
        <v>172</v>
      </c>
    </row>
    <row r="35" spans="1:20" ht="18.75" x14ac:dyDescent="0.3">
      <c r="A35" s="86" t="s">
        <v>95</v>
      </c>
      <c r="B35" s="130">
        <f>'DNB Livsforsikring'!F7+'DNB Livsforsikring'!F22+'DNB Livsforsikring'!F64+'DNB Livsforsikring'!F132</f>
        <v>3901376</v>
      </c>
      <c r="C35" s="130">
        <f>'DNB Livsforsikring'!G7+'DNB Livsforsikring'!G22+'DNB Livsforsikring'!G64+'DNB Livsforsikring'!G132</f>
        <v>4145174</v>
      </c>
      <c r="D35" s="104">
        <f t="shared" si="9"/>
        <v>6.2</v>
      </c>
      <c r="E35" s="386">
        <f t="shared" ref="E35:E44" si="17">100/C$45*C35</f>
        <v>23.317177217615765</v>
      </c>
      <c r="F35" s="103"/>
      <c r="G35" s="176">
        <f>'DNB Livsforsikring'!F10+'DNB Livsforsikring'!F28+'DNB Livsforsikring'!F85+'DNB Livsforsikring'!F133</f>
        <v>52892825</v>
      </c>
      <c r="H35" s="176">
        <f>'DNB Livsforsikring'!G10+'DNB Livsforsikring'!G28+'DNB Livsforsikring'!G85+'DNB Livsforsikring'!G133</f>
        <v>67680359</v>
      </c>
      <c r="I35" s="104">
        <f t="shared" si="11"/>
        <v>28</v>
      </c>
      <c r="J35" s="386">
        <f t="shared" ref="J35:J44" si="18">100/H$45*H35</f>
        <v>26.184536243039204</v>
      </c>
      <c r="K35" s="87" t="s">
        <v>166</v>
      </c>
      <c r="L35" s="223">
        <f t="shared" ca="1" si="13"/>
        <v>0</v>
      </c>
      <c r="M35" s="221">
        <f t="shared" ca="1" si="14"/>
        <v>0</v>
      </c>
      <c r="N35" s="223">
        <f t="shared" ca="1" si="15"/>
        <v>0</v>
      </c>
      <c r="O35" s="221">
        <f t="shared" ca="1" si="16"/>
        <v>0</v>
      </c>
      <c r="P35" s="87" t="s">
        <v>171</v>
      </c>
    </row>
    <row r="36" spans="1:20" ht="18.75" x14ac:dyDescent="0.3">
      <c r="A36" s="107" t="s">
        <v>97</v>
      </c>
      <c r="B36" s="130">
        <f>'Frende Livsforsikring'!F7+'Frende Livsforsikring'!F22+'Frende Livsforsikring'!F64+'Frende Livsforsikring'!F132</f>
        <v>148103</v>
      </c>
      <c r="C36" s="130">
        <f>'Frende Livsforsikring'!G7+'Frende Livsforsikring'!G22+'Frende Livsforsikring'!G64+'Frende Livsforsikring'!G132</f>
        <v>168384</v>
      </c>
      <c r="D36" s="104">
        <f t="shared" si="9"/>
        <v>13.7</v>
      </c>
      <c r="E36" s="386">
        <f t="shared" si="17"/>
        <v>0.94718329522741695</v>
      </c>
      <c r="F36" s="103"/>
      <c r="G36" s="176">
        <f>'Frende Livsforsikring'!F10+'Frende Livsforsikring'!F28+'Frende Livsforsikring'!F85+'Frende Livsforsikring'!F133</f>
        <v>2394875</v>
      </c>
      <c r="H36" s="176">
        <f>'Frende Livsforsikring'!G10+'Frende Livsforsikring'!G28+'Frende Livsforsikring'!G85+'Frende Livsforsikring'!G133</f>
        <v>2925269</v>
      </c>
      <c r="I36" s="104">
        <f t="shared" si="11"/>
        <v>22.1</v>
      </c>
      <c r="J36" s="386">
        <f t="shared" si="18"/>
        <v>1.1317435853308497</v>
      </c>
      <c r="K36" s="87" t="s">
        <v>159</v>
      </c>
      <c r="L36" s="223">
        <f t="shared" ca="1" si="13"/>
        <v>0</v>
      </c>
      <c r="M36" s="221">
        <f t="shared" ca="1" si="14"/>
        <v>0</v>
      </c>
      <c r="N36" s="223">
        <f t="shared" ca="1" si="15"/>
        <v>0</v>
      </c>
      <c r="O36" s="221">
        <f t="shared" ca="1" si="16"/>
        <v>0</v>
      </c>
      <c r="P36" s="87" t="s">
        <v>173</v>
      </c>
    </row>
    <row r="37" spans="1:20" ht="18.75" x14ac:dyDescent="0.3">
      <c r="A37" s="107" t="s">
        <v>100</v>
      </c>
      <c r="B37" s="130">
        <f>'Gjensidige Pensjon'!F7+'Gjensidige Pensjon'!F22+'Gjensidige Pensjon'!F64+'Gjensidige Pensjon'!F132</f>
        <v>934615.7030000001</v>
      </c>
      <c r="C37" s="130">
        <f>'Gjensidige Pensjon'!G7+'Gjensidige Pensjon'!G22+'Gjensidige Pensjon'!G64+'Gjensidige Pensjon'!G132</f>
        <v>1226333</v>
      </c>
      <c r="D37" s="104">
        <f t="shared" si="9"/>
        <v>31.2</v>
      </c>
      <c r="E37" s="386">
        <f t="shared" si="17"/>
        <v>6.8982927830798877</v>
      </c>
      <c r="F37" s="103"/>
      <c r="G37" s="176">
        <f>'Gjensidige Pensjon'!F10+'Gjensidige Pensjon'!F28+'Gjensidige Pensjon'!F85+'Gjensidige Pensjon'!F133</f>
        <v>16013492.852000002</v>
      </c>
      <c r="H37" s="176">
        <f>'Gjensidige Pensjon'!G10+'Gjensidige Pensjon'!G28+'Gjensidige Pensjon'!G85+'Gjensidige Pensjon'!G133</f>
        <v>20522578</v>
      </c>
      <c r="I37" s="104">
        <f t="shared" si="11"/>
        <v>28.2</v>
      </c>
      <c r="J37" s="386">
        <f t="shared" si="18"/>
        <v>7.9398838212663589</v>
      </c>
      <c r="K37" s="87" t="s">
        <v>167</v>
      </c>
      <c r="L37" s="223">
        <f t="shared" ca="1" si="13"/>
        <v>0</v>
      </c>
      <c r="M37" s="221">
        <f t="shared" ca="1" si="14"/>
        <v>0</v>
      </c>
      <c r="N37" s="223">
        <f t="shared" ca="1" si="15"/>
        <v>0</v>
      </c>
      <c r="O37" s="221">
        <f t="shared" ca="1" si="16"/>
        <v>0</v>
      </c>
    </row>
    <row r="38" spans="1:20" ht="18.75" x14ac:dyDescent="0.3">
      <c r="A38" s="107" t="s">
        <v>68</v>
      </c>
      <c r="B38" s="130">
        <f>KLP!F7+KLP!F22+KLP!F64+KLP!F132</f>
        <v>76382.539000000004</v>
      </c>
      <c r="C38" s="130">
        <f>KLP!G7+KLP!G22+KLP!G64+KLP!G132</f>
        <v>52296.226000000002</v>
      </c>
      <c r="D38" s="104">
        <f t="shared" si="9"/>
        <v>-31.5</v>
      </c>
      <c r="E38" s="386">
        <f t="shared" si="17"/>
        <v>0.29417350621577892</v>
      </c>
      <c r="F38" s="103"/>
      <c r="G38" s="176">
        <f>KLP!F10+KLP!F28+KLP!F85+KLP!F133</f>
        <v>2120218.96215</v>
      </c>
      <c r="H38" s="176">
        <f>KLP!G10+KLP!G28+KLP!G85+KLP!G133</f>
        <v>2288839.25715</v>
      </c>
      <c r="I38" s="104">
        <f t="shared" si="11"/>
        <v>8</v>
      </c>
      <c r="J38" s="386">
        <f t="shared" si="18"/>
        <v>0.88551827101471348</v>
      </c>
      <c r="K38" s="87" t="s">
        <v>160</v>
      </c>
      <c r="L38" s="223">
        <f t="shared" ca="1" si="13"/>
        <v>0</v>
      </c>
      <c r="M38" s="221">
        <f t="shared" ca="1" si="14"/>
        <v>0</v>
      </c>
      <c r="N38" s="223">
        <f t="shared" ca="1" si="15"/>
        <v>0</v>
      </c>
      <c r="O38" s="221">
        <f t="shared" ca="1" si="16"/>
        <v>0</v>
      </c>
    </row>
    <row r="39" spans="1:20" ht="18.75" x14ac:dyDescent="0.3">
      <c r="A39" s="107" t="s">
        <v>103</v>
      </c>
      <c r="B39" s="130">
        <f>'KLP Bedriftspensjon AS'!F7+'KLP Bedriftspensjon AS'!F22+'KLP Bedriftspensjon AS'!F64+'KLP Bedriftspensjon AS'!F132</f>
        <v>130945</v>
      </c>
      <c r="C39" s="130">
        <f>'KLP Bedriftspensjon AS'!G7+'KLP Bedriftspensjon AS'!G22+'KLP Bedriftspensjon AS'!G64+'KLP Bedriftspensjon AS'!G132</f>
        <v>176194</v>
      </c>
      <c r="D39" s="104">
        <f t="shared" si="9"/>
        <v>34.6</v>
      </c>
      <c r="E39" s="386">
        <f t="shared" si="17"/>
        <v>0.99111562570849665</v>
      </c>
      <c r="F39" s="103"/>
      <c r="G39" s="176">
        <f>'KLP Bedriftspensjon AS'!F10+'KLP Bedriftspensjon AS'!F28+'KLP Bedriftspensjon AS'!F85+'KLP Bedriftspensjon AS'!F133</f>
        <v>1361843</v>
      </c>
      <c r="H39" s="176">
        <f>'KLP Bedriftspensjon AS'!G10+'KLP Bedriftspensjon AS'!G28+'KLP Bedriftspensjon AS'!G85+'KLP Bedriftspensjon AS'!G133</f>
        <v>2183015</v>
      </c>
      <c r="I39" s="104">
        <f t="shared" si="11"/>
        <v>60.3</v>
      </c>
      <c r="J39" s="386">
        <f t="shared" si="18"/>
        <v>0.84457642115341358</v>
      </c>
      <c r="K39" s="87" t="s">
        <v>168</v>
      </c>
      <c r="L39" s="223">
        <f t="shared" ca="1" si="13"/>
        <v>0</v>
      </c>
      <c r="M39" s="221">
        <f t="shared" ca="1" si="14"/>
        <v>0</v>
      </c>
      <c r="N39" s="223">
        <f t="shared" ca="1" si="15"/>
        <v>0</v>
      </c>
      <c r="O39" s="221">
        <f t="shared" ca="1" si="16"/>
        <v>0</v>
      </c>
    </row>
    <row r="40" spans="1:20" ht="18.75" x14ac:dyDescent="0.3">
      <c r="A40" s="107" t="s">
        <v>107</v>
      </c>
      <c r="B40" s="130">
        <f>'Nordea Liv '!F7+'Nordea Liv '!F22+'Nordea Liv '!F64+'Nordea Liv '!F132</f>
        <v>4451546.6203800002</v>
      </c>
      <c r="C40" s="130">
        <f>'Nordea Liv '!G7+'Nordea Liv '!G22+'Nordea Liv '!G64+'Nordea Liv '!G132</f>
        <v>4608895.0639900006</v>
      </c>
      <c r="D40" s="104">
        <f t="shared" si="9"/>
        <v>3.5</v>
      </c>
      <c r="E40" s="386">
        <f t="shared" si="17"/>
        <v>25.925672356443755</v>
      </c>
      <c r="F40" s="103"/>
      <c r="G40" s="176">
        <f>'Nordea Liv '!F10+'Nordea Liv '!F28+'Nordea Liv '!F85+'Nordea Liv '!F133</f>
        <v>42006581.100000001</v>
      </c>
      <c r="H40" s="176">
        <f>'Nordea Liv '!G10+'Nordea Liv '!G28+'Nordea Liv '!G85+'Nordea Liv '!G133</f>
        <v>52390620</v>
      </c>
      <c r="I40" s="104">
        <f t="shared" si="11"/>
        <v>24.7</v>
      </c>
      <c r="J40" s="386">
        <f t="shared" si="18"/>
        <v>20.269160927253573</v>
      </c>
      <c r="K40" s="207"/>
      <c r="L40" s="223">
        <f t="shared" ca="1" si="13"/>
        <v>0</v>
      </c>
      <c r="M40" s="221">
        <f t="shared" ca="1" si="14"/>
        <v>0</v>
      </c>
      <c r="N40" s="223">
        <f t="shared" ca="1" si="15"/>
        <v>0</v>
      </c>
      <c r="O40" s="221">
        <f t="shared" ca="1" si="16"/>
        <v>0</v>
      </c>
    </row>
    <row r="41" spans="1:20" ht="18.75" x14ac:dyDescent="0.3">
      <c r="A41" s="107" t="s">
        <v>79</v>
      </c>
      <c r="B41" s="130">
        <f>'SHB Liv'!F7+'SHB Liv'!F22+'SHB Liv'!F64+'SHB Liv'!F132</f>
        <v>64356</v>
      </c>
      <c r="C41" s="130">
        <f>'SHB Liv'!G7+'SHB Liv'!G22+'SHB Liv'!G64+'SHB Liv'!G132</f>
        <v>59615</v>
      </c>
      <c r="D41" s="104">
        <f t="shared" si="9"/>
        <v>-7.4</v>
      </c>
      <c r="E41" s="386">
        <f t="shared" si="17"/>
        <v>0.33534262248778068</v>
      </c>
      <c r="F41" s="103"/>
      <c r="G41" s="176">
        <f>'SHB Liv'!F10+'SHB Liv'!F28+'SHB Liv'!F85+'SHB Liv'!F133</f>
        <v>1571024</v>
      </c>
      <c r="H41" s="176">
        <f>'SHB Liv'!G10+'SHB Liv'!G28+'SHB Liv'!G85+'SHB Liv'!G133</f>
        <v>1903610</v>
      </c>
      <c r="I41" s="104">
        <f t="shared" si="11"/>
        <v>21.2</v>
      </c>
      <c r="J41" s="386">
        <f t="shared" si="18"/>
        <v>0.73647873288632915</v>
      </c>
      <c r="K41" s="207"/>
      <c r="L41" s="223">
        <f t="shared" ca="1" si="13"/>
        <v>0</v>
      </c>
      <c r="M41" s="221">
        <f t="shared" ca="1" si="14"/>
        <v>0</v>
      </c>
      <c r="N41" s="223">
        <f t="shared" ca="1" si="15"/>
        <v>0</v>
      </c>
      <c r="O41" s="221">
        <f t="shared" ca="1" si="16"/>
        <v>0</v>
      </c>
    </row>
    <row r="42" spans="1:20" ht="18.75" x14ac:dyDescent="0.3">
      <c r="A42" s="107" t="s">
        <v>109</v>
      </c>
      <c r="B42" s="130">
        <f>'Silver Pensjonsforsikring AS'!F7+'Silver Pensjonsforsikring AS'!F22+'Silver Pensjonsforsikring AS'!F64+'Silver Pensjonsforsikring AS'!F132</f>
        <v>-0.69540974</v>
      </c>
      <c r="C42" s="130">
        <f>'Silver Pensjonsforsikring AS'!G7+'Silver Pensjonsforsikring AS'!G22+'Silver Pensjonsforsikring AS'!G64+'Silver Pensjonsforsikring AS'!G132</f>
        <v>0</v>
      </c>
      <c r="D42" s="104">
        <f t="shared" si="9"/>
        <v>-100</v>
      </c>
      <c r="E42" s="386">
        <f t="shared" si="17"/>
        <v>0</v>
      </c>
      <c r="F42" s="103"/>
      <c r="G42" s="176">
        <f>'Silver Pensjonsforsikring AS'!F10+'Silver Pensjonsforsikring AS'!F28+'Silver Pensjonsforsikring AS'!F85+'Silver Pensjonsforsikring AS'!F133</f>
        <v>515694.20325000002</v>
      </c>
      <c r="H42" s="176">
        <f>'Silver Pensjonsforsikring AS'!G10+'Silver Pensjonsforsikring AS'!G28+'Silver Pensjonsforsikring AS'!G85+'Silver Pensjonsforsikring AS'!G133</f>
        <v>0</v>
      </c>
      <c r="I42" s="104">
        <f t="shared" si="11"/>
        <v>-100</v>
      </c>
      <c r="J42" s="386">
        <f t="shared" si="18"/>
        <v>0</v>
      </c>
      <c r="K42" s="139"/>
      <c r="L42" s="223">
        <f t="shared" ca="1" si="13"/>
        <v>0</v>
      </c>
      <c r="M42" s="221">
        <f t="shared" ca="1" si="14"/>
        <v>0</v>
      </c>
      <c r="N42" s="223">
        <f t="shared" ca="1" si="15"/>
        <v>0</v>
      </c>
      <c r="O42" s="221">
        <f t="shared" ca="1" si="16"/>
        <v>0</v>
      </c>
    </row>
    <row r="43" spans="1:20" ht="18.75" x14ac:dyDescent="0.3">
      <c r="A43" s="86" t="s">
        <v>75</v>
      </c>
      <c r="B43" s="130">
        <f>'Sparebank 1'!F7+'Sparebank 1'!F22+'Sparebank 1'!F64+'Sparebank 1'!F132</f>
        <v>1016157.0894799998</v>
      </c>
      <c r="C43" s="130">
        <f>'Sparebank 1'!G7+'Sparebank 1'!G22+'Sparebank 1'!G64+'Sparebank 1'!G132</f>
        <v>1413647.3683399998</v>
      </c>
      <c r="D43" s="104">
        <f t="shared" si="9"/>
        <v>39.1</v>
      </c>
      <c r="E43" s="386">
        <f t="shared" si="17"/>
        <v>7.9519620191576816</v>
      </c>
      <c r="F43" s="103"/>
      <c r="G43" s="176">
        <f>'Sparebank 1'!F10+'Sparebank 1'!F28+'Sparebank 1'!F85+'Sparebank 1'!F133</f>
        <v>16928884.25474</v>
      </c>
      <c r="H43" s="176">
        <f>'Sparebank 1'!G10+'Sparebank 1'!G28+'Sparebank 1'!G85+'Sparebank 1'!G133</f>
        <v>21802567.120070003</v>
      </c>
      <c r="I43" s="104">
        <f t="shared" si="11"/>
        <v>28.8</v>
      </c>
      <c r="J43" s="386">
        <f t="shared" si="18"/>
        <v>8.435092800656804</v>
      </c>
      <c r="K43" s="139"/>
      <c r="L43" s="223">
        <f t="shared" ca="1" si="13"/>
        <v>0</v>
      </c>
      <c r="M43" s="221">
        <f t="shared" ca="1" si="14"/>
        <v>0</v>
      </c>
      <c r="N43" s="223">
        <f t="shared" ca="1" si="15"/>
        <v>0</v>
      </c>
      <c r="O43" s="221">
        <f t="shared" ca="1" si="16"/>
        <v>0</v>
      </c>
    </row>
    <row r="44" spans="1:20" ht="18.75" x14ac:dyDescent="0.3">
      <c r="A44" s="86" t="s">
        <v>110</v>
      </c>
      <c r="B44" s="130">
        <f>'Storebrand Livsforsikring'!F7+'Storebrand Livsforsikring'!F22+'Storebrand Livsforsikring'!F64+'Storebrand Livsforsikring'!F132</f>
        <v>4898885.9740000004</v>
      </c>
      <c r="C44" s="130">
        <f>'Storebrand Livsforsikring'!G7+'Storebrand Livsforsikring'!G22+'Storebrand Livsforsikring'!G64+'Storebrand Livsforsikring'!G132</f>
        <v>5054517.3</v>
      </c>
      <c r="D44" s="104">
        <f t="shared" si="9"/>
        <v>3.2</v>
      </c>
      <c r="E44" s="386">
        <f t="shared" si="17"/>
        <v>28.432359083986519</v>
      </c>
      <c r="F44" s="103"/>
      <c r="G44" s="176">
        <f>'Storebrand Livsforsikring'!F10+'Storebrand Livsforsikring'!F28+'Storebrand Livsforsikring'!F85+'Storebrand Livsforsikring'!F133</f>
        <v>58026529.603</v>
      </c>
      <c r="H44" s="176">
        <f>'Storebrand Livsforsikring'!G10+'Storebrand Livsforsikring'!G28+'Storebrand Livsforsikring'!G85+'Storebrand Livsforsikring'!G133</f>
        <v>71261439.237000003</v>
      </c>
      <c r="I44" s="104">
        <f t="shared" si="11"/>
        <v>22.8</v>
      </c>
      <c r="J44" s="386">
        <f t="shared" si="18"/>
        <v>27.570003557935657</v>
      </c>
      <c r="K44" s="139"/>
      <c r="L44" s="223">
        <f t="shared" ca="1" si="13"/>
        <v>0</v>
      </c>
      <c r="M44" s="221">
        <f t="shared" ca="1" si="14"/>
        <v>0</v>
      </c>
      <c r="N44" s="223">
        <f t="shared" ca="1" si="15"/>
        <v>0</v>
      </c>
      <c r="O44" s="221">
        <f t="shared" ca="1" si="16"/>
        <v>0</v>
      </c>
    </row>
    <row r="45" spans="1:20" s="111" customFormat="1" ht="18.75" x14ac:dyDescent="0.3">
      <c r="A45" s="101" t="s">
        <v>114</v>
      </c>
      <c r="B45" s="242">
        <f>SUM(B34:B44)</f>
        <v>16419516.460450262</v>
      </c>
      <c r="C45" s="242">
        <f>SUM(C34:C44)</f>
        <v>17777340.54733</v>
      </c>
      <c r="D45" s="104">
        <f t="shared" si="9"/>
        <v>8.3000000000000007</v>
      </c>
      <c r="E45" s="387">
        <f>SUM(E34:E44)</f>
        <v>100</v>
      </c>
      <c r="F45" s="109"/>
      <c r="G45" s="178">
        <f>SUM(G34:G44)</f>
        <v>206431499.22013998</v>
      </c>
      <c r="H45" s="178">
        <f>SUM(H34:H44)</f>
        <v>258474537.68822002</v>
      </c>
      <c r="I45" s="104">
        <f t="shared" si="11"/>
        <v>25.2</v>
      </c>
      <c r="J45" s="387">
        <f>SUM(J34:J44)</f>
        <v>99.999999999999972</v>
      </c>
      <c r="K45" s="139"/>
      <c r="L45" s="223">
        <f ca="1">SUM(L34:L44)</f>
        <v>0</v>
      </c>
      <c r="M45" s="221">
        <f t="shared" ref="M45:O45" ca="1" si="19">SUM(M34:M44)</f>
        <v>0</v>
      </c>
      <c r="N45" s="223">
        <f t="shared" ca="1" si="19"/>
        <v>0</v>
      </c>
      <c r="O45" s="221">
        <f t="shared" ca="1" si="19"/>
        <v>0</v>
      </c>
    </row>
    <row r="46" spans="1:20" ht="18.75" x14ac:dyDescent="0.3">
      <c r="A46" s="101"/>
      <c r="B46" s="130"/>
      <c r="C46" s="109"/>
      <c r="D46" s="110"/>
      <c r="E46" s="386"/>
      <c r="F46" s="109"/>
      <c r="G46" s="178"/>
      <c r="H46" s="109"/>
      <c r="I46" s="110"/>
      <c r="J46" s="387"/>
      <c r="K46" s="139"/>
      <c r="L46" s="220" t="s">
        <v>115</v>
      </c>
      <c r="M46" s="226"/>
      <c r="N46" s="227"/>
      <c r="O46" s="226"/>
    </row>
    <row r="47" spans="1:20" ht="18.75" x14ac:dyDescent="0.3">
      <c r="A47" s="86"/>
      <c r="B47" s="130"/>
      <c r="C47" s="103"/>
      <c r="D47" s="104"/>
      <c r="E47" s="386"/>
      <c r="F47" s="103"/>
      <c r="G47" s="176"/>
      <c r="H47" s="103"/>
      <c r="I47" s="104"/>
      <c r="J47" s="386"/>
      <c r="K47" s="139"/>
      <c r="L47" s="224">
        <v>2015</v>
      </c>
      <c r="M47" s="225">
        <v>2016</v>
      </c>
      <c r="N47" s="224">
        <v>2015</v>
      </c>
      <c r="O47" s="225">
        <v>2016</v>
      </c>
    </row>
    <row r="48" spans="1:20" ht="18.75" x14ac:dyDescent="0.3">
      <c r="A48" s="101" t="s">
        <v>115</v>
      </c>
      <c r="B48" s="130"/>
      <c r="C48" s="103"/>
      <c r="D48" s="104"/>
      <c r="E48" s="386"/>
      <c r="F48" s="103"/>
      <c r="G48" s="176"/>
      <c r="H48" s="103"/>
      <c r="I48" s="104"/>
      <c r="J48" s="386"/>
      <c r="K48" s="139"/>
      <c r="L48" s="223"/>
      <c r="M48" s="221"/>
      <c r="N48" s="223"/>
      <c r="O48" s="221"/>
      <c r="P48" s="207"/>
      <c r="Q48" s="207"/>
      <c r="R48" s="207"/>
      <c r="S48" s="182"/>
      <c r="T48" s="139"/>
    </row>
    <row r="49" spans="1:20" ht="18.75" x14ac:dyDescent="0.3">
      <c r="A49" s="86" t="s">
        <v>93</v>
      </c>
      <c r="B49" s="130">
        <f>B9</f>
        <v>0</v>
      </c>
      <c r="C49" s="180">
        <f>C9</f>
        <v>0</v>
      </c>
      <c r="D49" s="104"/>
      <c r="E49" s="386">
        <f t="shared" ref="E49:E71" si="20">100/C$72*C49</f>
        <v>0</v>
      </c>
      <c r="F49" s="103"/>
      <c r="G49" s="176">
        <f>G9</f>
        <v>0</v>
      </c>
      <c r="H49" s="176">
        <f>H9</f>
        <v>0</v>
      </c>
      <c r="I49" s="104"/>
      <c r="J49" s="386">
        <f>100/H$72*H49</f>
        <v>0</v>
      </c>
      <c r="K49" s="139"/>
      <c r="L49" s="223">
        <f ca="1">L9</f>
        <v>0</v>
      </c>
      <c r="M49" s="228">
        <f ca="1">M9</f>
        <v>0</v>
      </c>
      <c r="N49" s="223">
        <f ca="1">N9</f>
        <v>0</v>
      </c>
      <c r="O49" s="228">
        <f ca="1">O9</f>
        <v>0</v>
      </c>
      <c r="P49" s="207"/>
      <c r="Q49" s="207"/>
      <c r="R49" s="207"/>
      <c r="S49" s="182"/>
      <c r="T49" s="139"/>
    </row>
    <row r="50" spans="1:20" ht="18.75" x14ac:dyDescent="0.3">
      <c r="A50" s="107" t="s">
        <v>94</v>
      </c>
      <c r="B50" s="130">
        <f>B10+B34</f>
        <v>994697.95900000003</v>
      </c>
      <c r="C50" s="103">
        <f>C10+C34</f>
        <v>1068048.497</v>
      </c>
      <c r="D50" s="104">
        <f t="shared" ref="D50:D71" si="21">IF(B50=0, "    ---- ", IF(ABS(ROUND(100/B50*C50-100,1))&lt;999,ROUND(100/B50*C50-100,1),IF(ROUND(100/B50*C50-100,1)&gt;999,999,-999)))</f>
        <v>7.4</v>
      </c>
      <c r="E50" s="386">
        <f t="shared" si="20"/>
        <v>2.3169922386001405</v>
      </c>
      <c r="F50" s="103"/>
      <c r="G50" s="176">
        <f>G10+G34</f>
        <v>13509647.66</v>
      </c>
      <c r="H50" s="176">
        <f>H10+H34</f>
        <v>16497969.285</v>
      </c>
      <c r="I50" s="104">
        <f t="shared" ref="I50:I69" si="22">IF(G50=0, "    ---- ", IF(ABS(ROUND(100/G50*H50-100,1))&lt;999,ROUND(100/G50*H50-100,1),IF(ROUND(100/G50*H50-100,1)&gt;999,999,-999)))</f>
        <v>22.1</v>
      </c>
      <c r="J50" s="386">
        <f>100/H$72*H50</f>
        <v>1.3613996346665156</v>
      </c>
      <c r="K50" s="139"/>
      <c r="L50" s="223">
        <f ca="1">L10+L34</f>
        <v>0</v>
      </c>
      <c r="M50" s="221">
        <f ca="1">M10+M34</f>
        <v>0</v>
      </c>
      <c r="N50" s="223">
        <f ca="1">N10+N34</f>
        <v>0</v>
      </c>
      <c r="O50" s="221">
        <f ca="1">O10+O34</f>
        <v>0</v>
      </c>
      <c r="P50" s="207"/>
      <c r="Q50" s="207"/>
      <c r="R50" s="207"/>
      <c r="S50" s="182"/>
      <c r="T50" s="139"/>
    </row>
    <row r="51" spans="1:20" ht="18.75" x14ac:dyDescent="0.3">
      <c r="A51" s="86" t="s">
        <v>95</v>
      </c>
      <c r="B51" s="130">
        <f>B11+B35</f>
        <v>8347132.0010000002</v>
      </c>
      <c r="C51" s="103">
        <f>+C11+C35</f>
        <v>7223316</v>
      </c>
      <c r="D51" s="104">
        <f t="shared" si="21"/>
        <v>-13.5</v>
      </c>
      <c r="E51" s="386">
        <f t="shared" si="20"/>
        <v>15.670044156202966</v>
      </c>
      <c r="F51" s="103"/>
      <c r="G51" s="176">
        <f>+G11+G35</f>
        <v>257892418</v>
      </c>
      <c r="H51" s="176">
        <f>+H11+H35</f>
        <v>270504065</v>
      </c>
      <c r="I51" s="104">
        <f t="shared" si="22"/>
        <v>4.9000000000000004</v>
      </c>
      <c r="J51" s="386">
        <f>100/H$72*H51</f>
        <v>22.321785724357856</v>
      </c>
      <c r="K51" s="139"/>
      <c r="L51" s="223">
        <f ca="1">L11+L35</f>
        <v>0</v>
      </c>
      <c r="M51" s="221">
        <f ca="1">+M11+M35</f>
        <v>0</v>
      </c>
      <c r="N51" s="223">
        <f ca="1">+N11+N35</f>
        <v>0</v>
      </c>
      <c r="O51" s="221">
        <f ca="1">+O11+O35</f>
        <v>0</v>
      </c>
      <c r="P51" s="207"/>
      <c r="Q51" s="207"/>
      <c r="R51" s="207"/>
      <c r="S51" s="182"/>
      <c r="T51" s="139"/>
    </row>
    <row r="52" spans="1:20" ht="18.75" x14ac:dyDescent="0.3">
      <c r="A52" s="86" t="s">
        <v>96</v>
      </c>
      <c r="B52" s="130">
        <f>B12</f>
        <v>248926</v>
      </c>
      <c r="C52" s="103">
        <f>C12</f>
        <v>154629</v>
      </c>
      <c r="D52" s="104">
        <f t="shared" si="21"/>
        <v>-37.9</v>
      </c>
      <c r="E52" s="386">
        <f t="shared" si="20"/>
        <v>0.3354474950049961</v>
      </c>
      <c r="F52" s="103"/>
      <c r="G52" s="176">
        <f>G12</f>
        <v>0</v>
      </c>
      <c r="H52" s="176">
        <f>H12</f>
        <v>0</v>
      </c>
      <c r="I52" s="104"/>
      <c r="J52" s="386">
        <f>100/H$72*H52</f>
        <v>0</v>
      </c>
      <c r="K52" s="139"/>
      <c r="L52" s="223">
        <f ca="1">L12</f>
        <v>0</v>
      </c>
      <c r="M52" s="221">
        <f ca="1">M12</f>
        <v>0</v>
      </c>
      <c r="N52" s="223">
        <f ca="1">N12</f>
        <v>0</v>
      </c>
      <c r="O52" s="221">
        <f ca="1">+O12+O36</f>
        <v>0</v>
      </c>
      <c r="P52" s="207"/>
      <c r="Q52" s="207"/>
      <c r="R52" s="207"/>
      <c r="S52" s="182"/>
      <c r="T52" s="139"/>
    </row>
    <row r="53" spans="1:20" ht="18.75" x14ac:dyDescent="0.3">
      <c r="A53" s="107" t="s">
        <v>97</v>
      </c>
      <c r="B53" s="130">
        <f>B13+B36</f>
        <v>597540</v>
      </c>
      <c r="C53" s="105">
        <f>C13+C36</f>
        <v>658616.78300000005</v>
      </c>
      <c r="D53" s="106">
        <f t="shared" si="21"/>
        <v>10.199999999999999</v>
      </c>
      <c r="E53" s="388">
        <f t="shared" si="20"/>
        <v>1.428783410780637</v>
      </c>
      <c r="F53" s="105"/>
      <c r="G53" s="177">
        <f>G13+G36</f>
        <v>3227705</v>
      </c>
      <c r="H53" s="177">
        <f>H13+H36</f>
        <v>3904318</v>
      </c>
      <c r="I53" s="104">
        <f t="shared" si="22"/>
        <v>21</v>
      </c>
      <c r="J53" s="386">
        <f t="shared" ref="J53:J71" si="23">100/H$72*H53</f>
        <v>0.32218129437630971</v>
      </c>
      <c r="K53" s="139"/>
      <c r="L53" s="223">
        <f ca="1">L13+L36</f>
        <v>0</v>
      </c>
      <c r="M53" s="221">
        <f ca="1">M13+M36</f>
        <v>0</v>
      </c>
      <c r="N53" s="223">
        <f ca="1">N13+N36</f>
        <v>0</v>
      </c>
      <c r="O53" s="221">
        <f ca="1">O13+O36</f>
        <v>0</v>
      </c>
      <c r="P53" s="210"/>
      <c r="Q53" s="210"/>
      <c r="R53" s="210"/>
      <c r="S53" s="182"/>
      <c r="T53" s="139"/>
    </row>
    <row r="54" spans="1:20" ht="18.75" x14ac:dyDescent="0.3">
      <c r="A54" s="107" t="s">
        <v>98</v>
      </c>
      <c r="B54" s="130">
        <f>B14</f>
        <v>4457</v>
      </c>
      <c r="C54" s="105">
        <f>C14</f>
        <v>4451</v>
      </c>
      <c r="D54" s="106">
        <f t="shared" si="21"/>
        <v>-0.1</v>
      </c>
      <c r="E54" s="388">
        <f t="shared" si="20"/>
        <v>9.6558653310002494E-3</v>
      </c>
      <c r="F54" s="105"/>
      <c r="G54" s="177">
        <f>G14</f>
        <v>0</v>
      </c>
      <c r="H54" s="177">
        <f>H14</f>
        <v>0</v>
      </c>
      <c r="I54" s="104"/>
      <c r="J54" s="386">
        <f t="shared" si="23"/>
        <v>0</v>
      </c>
      <c r="K54" s="139"/>
      <c r="L54" s="223">
        <f ca="1">L14</f>
        <v>0</v>
      </c>
      <c r="M54" s="221">
        <f ca="1">M14</f>
        <v>0</v>
      </c>
      <c r="N54" s="223">
        <f ca="1">N14</f>
        <v>0</v>
      </c>
      <c r="O54" s="221">
        <f ca="1">O14</f>
        <v>0</v>
      </c>
      <c r="P54" s="210"/>
      <c r="Q54" s="210"/>
      <c r="R54" s="210"/>
      <c r="S54" s="182"/>
      <c r="T54" s="139"/>
    </row>
    <row r="55" spans="1:20" ht="18.75" x14ac:dyDescent="0.3">
      <c r="A55" s="86" t="s">
        <v>99</v>
      </c>
      <c r="B55" s="103">
        <f>B15</f>
        <v>1139361</v>
      </c>
      <c r="C55" s="103">
        <f>+C15</f>
        <v>1205494</v>
      </c>
      <c r="D55" s="104">
        <f t="shared" si="21"/>
        <v>5.8</v>
      </c>
      <c r="E55" s="386">
        <f t="shared" si="20"/>
        <v>2.6151623727991047</v>
      </c>
      <c r="F55" s="103"/>
      <c r="G55" s="176">
        <f>+G15</f>
        <v>0</v>
      </c>
      <c r="H55" s="176">
        <f>+H15</f>
        <v>0</v>
      </c>
      <c r="I55" s="104"/>
      <c r="J55" s="386">
        <f t="shared" si="23"/>
        <v>0</v>
      </c>
      <c r="K55" s="139"/>
      <c r="L55" s="223">
        <f ca="1">L15</f>
        <v>0</v>
      </c>
      <c r="M55" s="221">
        <f ca="1">+M15</f>
        <v>0</v>
      </c>
      <c r="N55" s="223">
        <f ca="1">+N15</f>
        <v>0</v>
      </c>
      <c r="O55" s="221">
        <f ca="1">+O15</f>
        <v>0</v>
      </c>
      <c r="P55" s="207"/>
      <c r="Q55" s="207"/>
      <c r="R55" s="207"/>
      <c r="S55" s="182"/>
      <c r="T55" s="139"/>
    </row>
    <row r="56" spans="1:20" ht="18.75" x14ac:dyDescent="0.3">
      <c r="A56" s="86" t="s">
        <v>100</v>
      </c>
      <c r="B56" s="103">
        <f>B16+B37</f>
        <v>1203443.9670000002</v>
      </c>
      <c r="C56" s="103">
        <f>C16+C37</f>
        <v>1502712</v>
      </c>
      <c r="D56" s="104">
        <f t="shared" si="21"/>
        <v>24.9</v>
      </c>
      <c r="E56" s="386">
        <f t="shared" si="20"/>
        <v>3.2599381494670969</v>
      </c>
      <c r="F56" s="103"/>
      <c r="G56" s="176">
        <f>G16+G37</f>
        <v>21130366.895000003</v>
      </c>
      <c r="H56" s="176">
        <f>H16+H37</f>
        <v>26228362</v>
      </c>
      <c r="I56" s="104">
        <f t="shared" si="22"/>
        <v>24.1</v>
      </c>
      <c r="J56" s="386">
        <f t="shared" si="23"/>
        <v>2.1643440976197161</v>
      </c>
      <c r="K56" s="139"/>
      <c r="L56" s="223">
        <f ca="1">L16+L37</f>
        <v>0</v>
      </c>
      <c r="M56" s="221">
        <f ca="1">M16+M37</f>
        <v>0</v>
      </c>
      <c r="N56" s="223">
        <f ca="1">N16+N37</f>
        <v>0</v>
      </c>
      <c r="O56" s="221">
        <f ca="1">O16+O37</f>
        <v>0</v>
      </c>
      <c r="P56" s="207"/>
      <c r="Q56" s="207"/>
      <c r="R56" s="207"/>
      <c r="S56" s="182"/>
      <c r="T56" s="139"/>
    </row>
    <row r="57" spans="1:20" ht="18.75" x14ac:dyDescent="0.3">
      <c r="A57" s="86" t="s">
        <v>101</v>
      </c>
      <c r="B57" s="103">
        <f>B17</f>
        <v>20615</v>
      </c>
      <c r="C57" s="103">
        <f>+C17</f>
        <v>19906</v>
      </c>
      <c r="D57" s="104">
        <f t="shared" si="21"/>
        <v>-3.4</v>
      </c>
      <c r="E57" s="386">
        <f t="shared" si="20"/>
        <v>4.3183476809456521E-2</v>
      </c>
      <c r="F57" s="103"/>
      <c r="G57" s="176">
        <f>+G17</f>
        <v>28242</v>
      </c>
      <c r="H57" s="176">
        <f>+H17</f>
        <v>27134</v>
      </c>
      <c r="I57" s="104">
        <f t="shared" si="22"/>
        <v>-3.9</v>
      </c>
      <c r="J57" s="386">
        <f t="shared" si="23"/>
        <v>2.2390766432464743E-3</v>
      </c>
      <c r="K57" s="139"/>
      <c r="L57" s="223">
        <f ca="1">L17</f>
        <v>0</v>
      </c>
      <c r="M57" s="221">
        <f t="shared" ref="M57:O58" ca="1" si="24">+M17</f>
        <v>0</v>
      </c>
      <c r="N57" s="223">
        <f t="shared" ca="1" si="24"/>
        <v>0</v>
      </c>
      <c r="O57" s="221">
        <f t="shared" ca="1" si="24"/>
        <v>0</v>
      </c>
      <c r="P57" s="207"/>
      <c r="Q57" s="207"/>
      <c r="R57" s="207"/>
      <c r="S57" s="182"/>
      <c r="T57" s="139"/>
    </row>
    <row r="58" spans="1:20" ht="18.75" x14ac:dyDescent="0.3">
      <c r="A58" s="86" t="s">
        <v>102</v>
      </c>
      <c r="B58" s="103">
        <f>B18</f>
        <v>248460.12299999999</v>
      </c>
      <c r="C58" s="103">
        <f>+C18</f>
        <v>286954.01899999997</v>
      </c>
      <c r="D58" s="104">
        <f t="shared" si="21"/>
        <v>15.5</v>
      </c>
      <c r="E58" s="386">
        <f t="shared" si="20"/>
        <v>0.62250940544895228</v>
      </c>
      <c r="F58" s="103"/>
      <c r="G58" s="176">
        <f>+G18</f>
        <v>0</v>
      </c>
      <c r="H58" s="176">
        <f>+H18</f>
        <v>0</v>
      </c>
      <c r="I58" s="104"/>
      <c r="J58" s="386">
        <f t="shared" si="23"/>
        <v>0</v>
      </c>
      <c r="K58" s="139"/>
      <c r="L58" s="223">
        <f ca="1">L18</f>
        <v>0</v>
      </c>
      <c r="M58" s="221">
        <f t="shared" ca="1" si="24"/>
        <v>0</v>
      </c>
      <c r="N58" s="223">
        <f t="shared" ca="1" si="24"/>
        <v>0</v>
      </c>
      <c r="O58" s="221">
        <f t="shared" ca="1" si="24"/>
        <v>0</v>
      </c>
      <c r="P58" s="207"/>
      <c r="Q58" s="207"/>
      <c r="R58" s="207"/>
      <c r="S58" s="182"/>
      <c r="T58" s="139"/>
    </row>
    <row r="59" spans="1:20" ht="18.75" x14ac:dyDescent="0.3">
      <c r="A59" s="86" t="s">
        <v>68</v>
      </c>
      <c r="B59" s="105">
        <f>B19+B38</f>
        <v>17940127.3292</v>
      </c>
      <c r="C59" s="105">
        <f>C19+C38</f>
        <v>14949065.60698</v>
      </c>
      <c r="D59" s="106">
        <f t="shared" si="21"/>
        <v>-16.7</v>
      </c>
      <c r="E59" s="388">
        <f t="shared" si="20"/>
        <v>32.430052645537273</v>
      </c>
      <c r="F59" s="105"/>
      <c r="G59" s="177">
        <f>G19+G38</f>
        <v>410142519.00509995</v>
      </c>
      <c r="H59" s="177">
        <f>H19+H38</f>
        <v>434519762.50635999</v>
      </c>
      <c r="I59" s="104">
        <f t="shared" si="22"/>
        <v>5.9</v>
      </c>
      <c r="J59" s="386">
        <f t="shared" si="23"/>
        <v>35.856233922643021</v>
      </c>
      <c r="K59" s="139"/>
      <c r="L59" s="223">
        <f ca="1">L19+L38</f>
        <v>0</v>
      </c>
      <c r="M59" s="221">
        <f ca="1">M19+M38</f>
        <v>0</v>
      </c>
      <c r="N59" s="223">
        <f ca="1">N19+N38</f>
        <v>0</v>
      </c>
      <c r="O59" s="221">
        <f ca="1">O19+O38</f>
        <v>0</v>
      </c>
      <c r="P59" s="210"/>
      <c r="Q59" s="210"/>
      <c r="R59" s="210"/>
      <c r="S59" s="182"/>
      <c r="T59" s="139"/>
    </row>
    <row r="60" spans="1:20" ht="18.75" x14ac:dyDescent="0.3">
      <c r="A60" s="86" t="s">
        <v>103</v>
      </c>
      <c r="B60" s="103">
        <f>B20+B39</f>
        <v>183762</v>
      </c>
      <c r="C60" s="103">
        <f>+C20+C39</f>
        <v>218281</v>
      </c>
      <c r="D60" s="104">
        <f t="shared" si="21"/>
        <v>18.8</v>
      </c>
      <c r="E60" s="386">
        <f t="shared" si="20"/>
        <v>0.47353222653697274</v>
      </c>
      <c r="F60" s="103"/>
      <c r="G60" s="176">
        <f>G20+G39</f>
        <v>2806142</v>
      </c>
      <c r="H60" s="176">
        <f>H20+H39</f>
        <v>3717756</v>
      </c>
      <c r="I60" s="104">
        <f t="shared" si="22"/>
        <v>32.5</v>
      </c>
      <c r="J60" s="386">
        <f t="shared" si="23"/>
        <v>0.30678634277620104</v>
      </c>
      <c r="K60" s="139"/>
      <c r="L60" s="223">
        <f ca="1">L20+L39</f>
        <v>0</v>
      </c>
      <c r="M60" s="221">
        <f ca="1">+M20+M39</f>
        <v>0</v>
      </c>
      <c r="N60" s="223">
        <f ca="1">N20+N39</f>
        <v>0</v>
      </c>
      <c r="O60" s="221">
        <f ca="1">O20+O39</f>
        <v>0</v>
      </c>
      <c r="P60" s="207"/>
      <c r="Q60" s="207"/>
      <c r="R60" s="207"/>
      <c r="S60" s="182"/>
      <c r="T60" s="139"/>
    </row>
    <row r="61" spans="1:20" ht="18.75" x14ac:dyDescent="0.3">
      <c r="A61" s="86" t="s">
        <v>104</v>
      </c>
      <c r="B61" s="103">
        <f>B21</f>
        <v>118032.765</v>
      </c>
      <c r="C61" s="103">
        <f t="shared" ref="C61:C63" si="25">C21</f>
        <v>128824.133</v>
      </c>
      <c r="D61" s="104">
        <f t="shared" si="21"/>
        <v>9.1</v>
      </c>
      <c r="E61" s="386">
        <f t="shared" si="20"/>
        <v>0.2794671938060807</v>
      </c>
      <c r="F61" s="103"/>
      <c r="G61" s="176">
        <f t="shared" ref="G61:G63" si="26">G21</f>
        <v>0</v>
      </c>
      <c r="H61" s="176">
        <f t="shared" ref="H61" si="27">H21</f>
        <v>0</v>
      </c>
      <c r="I61" s="104"/>
      <c r="J61" s="386">
        <f t="shared" si="23"/>
        <v>0</v>
      </c>
      <c r="K61" s="139"/>
      <c r="L61" s="223">
        <f ca="1">L21</f>
        <v>0</v>
      </c>
      <c r="M61" s="221">
        <f t="shared" ref="M61:M63" ca="1" si="28">M21</f>
        <v>0</v>
      </c>
      <c r="N61" s="223">
        <f t="shared" ref="N61:O61" ca="1" si="29">N21</f>
        <v>0</v>
      </c>
      <c r="O61" s="221">
        <f t="shared" ca="1" si="29"/>
        <v>0</v>
      </c>
      <c r="P61" s="207"/>
      <c r="Q61" s="207"/>
      <c r="R61" s="207"/>
      <c r="S61" s="182"/>
      <c r="T61" s="139"/>
    </row>
    <row r="62" spans="1:20" ht="18.75" x14ac:dyDescent="0.3">
      <c r="A62" s="86" t="s">
        <v>105</v>
      </c>
      <c r="B62" s="103">
        <f>B22</f>
        <v>17232</v>
      </c>
      <c r="C62" s="103">
        <f t="shared" si="25"/>
        <v>24256</v>
      </c>
      <c r="D62" s="104">
        <f t="shared" si="21"/>
        <v>40.799999999999997</v>
      </c>
      <c r="E62" s="386">
        <f t="shared" si="20"/>
        <v>5.2620235782687499E-2</v>
      </c>
      <c r="F62" s="103"/>
      <c r="G62" s="176">
        <f t="shared" si="26"/>
        <v>0</v>
      </c>
      <c r="H62" s="176">
        <f t="shared" ref="H62" si="30">H22</f>
        <v>0</v>
      </c>
      <c r="I62" s="104"/>
      <c r="J62" s="386">
        <f t="shared" si="23"/>
        <v>0</v>
      </c>
      <c r="K62" s="139"/>
      <c r="L62" s="223">
        <f ca="1">L22</f>
        <v>0</v>
      </c>
      <c r="M62" s="221">
        <f t="shared" ca="1" si="28"/>
        <v>0</v>
      </c>
      <c r="N62" s="223">
        <f t="shared" ref="N62:O62" ca="1" si="31">N22</f>
        <v>0</v>
      </c>
      <c r="O62" s="221">
        <f t="shared" ca="1" si="31"/>
        <v>0</v>
      </c>
      <c r="P62" s="207"/>
      <c r="Q62" s="207"/>
      <c r="R62" s="207"/>
      <c r="S62" s="182"/>
      <c r="T62" s="139"/>
    </row>
    <row r="63" spans="1:20" ht="18.75" x14ac:dyDescent="0.3">
      <c r="A63" s="86" t="s">
        <v>106</v>
      </c>
      <c r="B63" s="103">
        <f>B23</f>
        <v>1481</v>
      </c>
      <c r="C63" s="103">
        <f t="shared" si="25"/>
        <v>2011</v>
      </c>
      <c r="D63" s="104">
        <f t="shared" si="21"/>
        <v>35.799999999999997</v>
      </c>
      <c r="E63" s="386">
        <f t="shared" si="20"/>
        <v>4.3626028264752868E-3</v>
      </c>
      <c r="F63" s="103"/>
      <c r="G63" s="176">
        <f t="shared" si="26"/>
        <v>0</v>
      </c>
      <c r="H63" s="176">
        <f t="shared" ref="H63" si="32">H23</f>
        <v>0</v>
      </c>
      <c r="I63" s="104"/>
      <c r="J63" s="386">
        <f t="shared" si="23"/>
        <v>0</v>
      </c>
      <c r="K63" s="139"/>
      <c r="L63" s="223">
        <f ca="1">L23</f>
        <v>0</v>
      </c>
      <c r="M63" s="221">
        <f t="shared" ca="1" si="28"/>
        <v>0</v>
      </c>
      <c r="N63" s="223">
        <f t="shared" ref="N63:O63" ca="1" si="33">N23</f>
        <v>0</v>
      </c>
      <c r="O63" s="221">
        <f t="shared" ca="1" si="33"/>
        <v>0</v>
      </c>
      <c r="P63" s="207"/>
      <c r="Q63" s="207"/>
      <c r="R63" s="207"/>
      <c r="S63" s="182"/>
      <c r="T63" s="139"/>
    </row>
    <row r="64" spans="1:20" ht="18.75" x14ac:dyDescent="0.3">
      <c r="A64" s="107" t="s">
        <v>73</v>
      </c>
      <c r="B64" s="103">
        <f>B24+B40</f>
        <v>5765894.3214232931</v>
      </c>
      <c r="C64" s="103">
        <f>+C24+C40</f>
        <v>5536763.7086555036</v>
      </c>
      <c r="D64" s="104">
        <f t="shared" si="21"/>
        <v>-4</v>
      </c>
      <c r="E64" s="386">
        <f t="shared" si="20"/>
        <v>12.011288416164243</v>
      </c>
      <c r="F64" s="103"/>
      <c r="G64" s="176">
        <f>+G24+G40</f>
        <v>90071346.121499866</v>
      </c>
      <c r="H64" s="176">
        <f>+H24+H40</f>
        <v>101716471.60899998</v>
      </c>
      <c r="I64" s="104">
        <f t="shared" si="22"/>
        <v>12.9</v>
      </c>
      <c r="J64" s="386">
        <f t="shared" si="23"/>
        <v>8.3935643772814537</v>
      </c>
      <c r="K64" s="139"/>
      <c r="L64" s="223">
        <f ca="1">L24+L40</f>
        <v>0</v>
      </c>
      <c r="M64" s="221">
        <f ca="1">+M24+M40</f>
        <v>0</v>
      </c>
      <c r="N64" s="223">
        <f ca="1">+N24+N40</f>
        <v>0</v>
      </c>
      <c r="O64" s="221">
        <f ca="1">+O24+O40</f>
        <v>0</v>
      </c>
      <c r="P64" s="207"/>
      <c r="Q64" s="207"/>
      <c r="R64" s="207"/>
      <c r="S64" s="182"/>
      <c r="T64" s="139"/>
    </row>
    <row r="65" spans="1:240" ht="18.75" customHeight="1" x14ac:dyDescent="0.3">
      <c r="A65" s="107" t="s">
        <v>108</v>
      </c>
      <c r="B65" s="103">
        <f>B25</f>
        <v>1315437</v>
      </c>
      <c r="C65" s="103">
        <f>C25</f>
        <v>1524757</v>
      </c>
      <c r="D65" s="104">
        <f t="shared" si="21"/>
        <v>15.9</v>
      </c>
      <c r="E65" s="386">
        <f t="shared" si="20"/>
        <v>3.307761908447528</v>
      </c>
      <c r="F65" s="103"/>
      <c r="G65" s="176">
        <f>G25</f>
        <v>61571650</v>
      </c>
      <c r="H65" s="176">
        <f>H25</f>
        <v>66551653</v>
      </c>
      <c r="I65" s="104">
        <f t="shared" si="22"/>
        <v>8.1</v>
      </c>
      <c r="J65" s="386">
        <f t="shared" si="23"/>
        <v>5.4917908086439207</v>
      </c>
      <c r="K65" s="139"/>
      <c r="L65" s="223">
        <f ca="1">L25</f>
        <v>0</v>
      </c>
      <c r="M65" s="221">
        <f ca="1">M25</f>
        <v>0</v>
      </c>
      <c r="N65" s="223">
        <f ca="1">N25</f>
        <v>0</v>
      </c>
      <c r="O65" s="221">
        <f ca="1">O25</f>
        <v>0</v>
      </c>
      <c r="P65" s="207"/>
      <c r="Q65" s="207"/>
      <c r="R65" s="207"/>
      <c r="S65" s="182"/>
      <c r="T65" s="139"/>
    </row>
    <row r="66" spans="1:240" ht="18.75" customHeight="1" x14ac:dyDescent="0.3">
      <c r="A66" s="107" t="s">
        <v>79</v>
      </c>
      <c r="B66" s="103">
        <f>B41</f>
        <v>64356</v>
      </c>
      <c r="C66" s="103">
        <f>C41</f>
        <v>59615</v>
      </c>
      <c r="D66" s="104">
        <f t="shared" si="21"/>
        <v>-7.4</v>
      </c>
      <c r="E66" s="386">
        <f t="shared" si="20"/>
        <v>0.1293269853308425</v>
      </c>
      <c r="F66" s="103"/>
      <c r="G66" s="176">
        <f>G41</f>
        <v>1571024</v>
      </c>
      <c r="H66" s="176">
        <f>H41</f>
        <v>1903610</v>
      </c>
      <c r="I66" s="104">
        <f t="shared" si="22"/>
        <v>21.2</v>
      </c>
      <c r="J66" s="386">
        <f t="shared" si="23"/>
        <v>0.15708442134777109</v>
      </c>
      <c r="K66" s="139"/>
      <c r="L66" s="223">
        <f ca="1">L41</f>
        <v>0</v>
      </c>
      <c r="M66" s="221">
        <f ca="1">M41</f>
        <v>0</v>
      </c>
      <c r="N66" s="223">
        <f ca="1">N41</f>
        <v>0</v>
      </c>
      <c r="O66" s="221">
        <f ca="1">O41</f>
        <v>0</v>
      </c>
      <c r="P66" s="207"/>
      <c r="Q66" s="207"/>
      <c r="R66" s="207"/>
      <c r="S66" s="182"/>
      <c r="T66" s="139"/>
    </row>
    <row r="67" spans="1:240" ht="18.75" customHeight="1" x14ac:dyDescent="0.3">
      <c r="A67" s="107" t="s">
        <v>109</v>
      </c>
      <c r="B67" s="103">
        <f>B42+B26</f>
        <v>-0.69540974</v>
      </c>
      <c r="C67" s="103">
        <f>C26+C42</f>
        <v>0</v>
      </c>
      <c r="D67" s="104">
        <f t="shared" si="21"/>
        <v>-100</v>
      </c>
      <c r="E67" s="386">
        <f t="shared" si="20"/>
        <v>0</v>
      </c>
      <c r="F67" s="103"/>
      <c r="G67" s="176">
        <f>G26+G42</f>
        <v>9128571.2767900005</v>
      </c>
      <c r="H67" s="176">
        <f>H26+H42</f>
        <v>0</v>
      </c>
      <c r="I67" s="104">
        <f t="shared" si="22"/>
        <v>-100</v>
      </c>
      <c r="J67" s="386">
        <f t="shared" si="23"/>
        <v>0</v>
      </c>
      <c r="K67" s="139"/>
      <c r="L67" s="223">
        <f ca="1">L42+L26</f>
        <v>0</v>
      </c>
      <c r="M67" s="221">
        <f ca="1">M26+M42</f>
        <v>0</v>
      </c>
      <c r="N67" s="223">
        <f ca="1">N26+N42</f>
        <v>0</v>
      </c>
      <c r="O67" s="221">
        <f ca="1">O26+O42</f>
        <v>0</v>
      </c>
      <c r="P67" s="207"/>
      <c r="Q67" s="207"/>
      <c r="R67" s="207"/>
      <c r="S67" s="182"/>
      <c r="T67" s="139"/>
    </row>
    <row r="68" spans="1:240" ht="18.75" customHeight="1" x14ac:dyDescent="0.3">
      <c r="A68" s="86" t="s">
        <v>75</v>
      </c>
      <c r="B68" s="103">
        <f>B27+B43</f>
        <v>2363755.2649699999</v>
      </c>
      <c r="C68" s="103">
        <f>+C27+C43</f>
        <v>2830582.3783599995</v>
      </c>
      <c r="D68" s="104">
        <f t="shared" si="21"/>
        <v>19.7</v>
      </c>
      <c r="E68" s="386">
        <f t="shared" si="20"/>
        <v>6.1405801513697034</v>
      </c>
      <c r="F68" s="103"/>
      <c r="G68" s="176">
        <f>+G27+G43</f>
        <v>33768477.64249</v>
      </c>
      <c r="H68" s="176">
        <f>+H27+H43</f>
        <v>39054269.080679998</v>
      </c>
      <c r="I68" s="104">
        <f t="shared" si="22"/>
        <v>15.7</v>
      </c>
      <c r="J68" s="386">
        <f t="shared" si="23"/>
        <v>3.222728006103543</v>
      </c>
      <c r="K68" s="139"/>
      <c r="L68" s="223">
        <f ca="1">L27+L43</f>
        <v>0</v>
      </c>
      <c r="M68" s="221">
        <f t="shared" ref="M68:O69" ca="1" si="34">+M27+M43</f>
        <v>0</v>
      </c>
      <c r="N68" s="223">
        <f t="shared" ca="1" si="34"/>
        <v>0</v>
      </c>
      <c r="O68" s="221">
        <f t="shared" ca="1" si="34"/>
        <v>0</v>
      </c>
      <c r="P68" s="207"/>
      <c r="Q68" s="207"/>
      <c r="R68" s="207"/>
      <c r="S68" s="182"/>
      <c r="T68" s="139"/>
    </row>
    <row r="69" spans="1:240" ht="18.75" customHeight="1" x14ac:dyDescent="0.3">
      <c r="A69" s="86" t="s">
        <v>110</v>
      </c>
      <c r="B69" s="103">
        <f>B44+B28</f>
        <v>9282765.5789999999</v>
      </c>
      <c r="C69" s="103">
        <f>+C28+C44</f>
        <v>8215552.1239999998</v>
      </c>
      <c r="D69" s="104">
        <f t="shared" si="21"/>
        <v>-11.5</v>
      </c>
      <c r="E69" s="386">
        <f t="shared" si="20"/>
        <v>17.822571316368695</v>
      </c>
      <c r="F69" s="103"/>
      <c r="G69" s="176">
        <f>+G28+G44</f>
        <v>231992756.57300001</v>
      </c>
      <c r="H69" s="176">
        <f>+H28+H44</f>
        <v>247213450.75099999</v>
      </c>
      <c r="I69" s="104">
        <f t="shared" si="22"/>
        <v>6.6</v>
      </c>
      <c r="J69" s="386">
        <f t="shared" si="23"/>
        <v>20.399862293540451</v>
      </c>
      <c r="K69" s="139"/>
      <c r="L69" s="223">
        <f ca="1">L44+L28</f>
        <v>0</v>
      </c>
      <c r="M69" s="221">
        <f t="shared" ca="1" si="34"/>
        <v>0</v>
      </c>
      <c r="N69" s="223">
        <f t="shared" ca="1" si="34"/>
        <v>0</v>
      </c>
      <c r="O69" s="221">
        <f t="shared" ca="1" si="34"/>
        <v>0</v>
      </c>
      <c r="P69" s="207"/>
      <c r="Q69" s="207"/>
      <c r="R69" s="207"/>
      <c r="S69" s="182"/>
      <c r="T69" s="139"/>
    </row>
    <row r="70" spans="1:240" ht="18.75" customHeight="1" x14ac:dyDescent="0.3">
      <c r="A70" s="86" t="s">
        <v>111</v>
      </c>
      <c r="B70" s="103">
        <f>B29</f>
        <v>25828</v>
      </c>
      <c r="C70" s="103">
        <f>+C29</f>
        <v>23751</v>
      </c>
      <c r="D70" s="104">
        <f t="shared" si="21"/>
        <v>-8</v>
      </c>
      <c r="E70" s="386">
        <f t="shared" si="20"/>
        <v>5.1524703993841146E-2</v>
      </c>
      <c r="F70" s="103"/>
      <c r="G70" s="176">
        <f>+G29</f>
        <v>0</v>
      </c>
      <c r="H70" s="176">
        <f>+H29</f>
        <v>0</v>
      </c>
      <c r="I70" s="104"/>
      <c r="J70" s="386">
        <f t="shared" si="23"/>
        <v>0</v>
      </c>
      <c r="K70" s="139"/>
      <c r="L70" s="223">
        <f ca="1">L29</f>
        <v>0</v>
      </c>
      <c r="M70" s="221">
        <f t="shared" ref="M70:O71" ca="1" si="35">+M29</f>
        <v>0</v>
      </c>
      <c r="N70" s="223">
        <f t="shared" ca="1" si="35"/>
        <v>0</v>
      </c>
      <c r="O70" s="221">
        <f t="shared" ca="1" si="35"/>
        <v>0</v>
      </c>
      <c r="P70" s="207"/>
      <c r="Q70" s="207"/>
      <c r="R70" s="207"/>
      <c r="S70" s="182"/>
      <c r="T70" s="139"/>
    </row>
    <row r="71" spans="1:240" ht="18.75" customHeight="1" x14ac:dyDescent="0.3">
      <c r="A71" s="86" t="s">
        <v>112</v>
      </c>
      <c r="B71" s="103">
        <f>B30</f>
        <v>472129.78125</v>
      </c>
      <c r="C71" s="103">
        <f>+C30</f>
        <v>458748.43799999997</v>
      </c>
      <c r="D71" s="104">
        <f t="shared" si="21"/>
        <v>-2.8</v>
      </c>
      <c r="E71" s="386">
        <f t="shared" si="20"/>
        <v>0.99519504339130926</v>
      </c>
      <c r="F71" s="103"/>
      <c r="G71" s="176">
        <f>+G30</f>
        <v>0</v>
      </c>
      <c r="H71" s="176">
        <f>+H30</f>
        <v>0</v>
      </c>
      <c r="I71" s="104"/>
      <c r="J71" s="386">
        <f t="shared" si="23"/>
        <v>0</v>
      </c>
      <c r="K71" s="139"/>
      <c r="L71" s="223">
        <f ca="1">L30</f>
        <v>0</v>
      </c>
      <c r="M71" s="221">
        <f t="shared" ca="1" si="35"/>
        <v>0</v>
      </c>
      <c r="N71" s="223">
        <f t="shared" ca="1" si="35"/>
        <v>0</v>
      </c>
      <c r="O71" s="221">
        <f t="shared" ca="1" si="35"/>
        <v>0</v>
      </c>
      <c r="P71" s="207"/>
      <c r="Q71" s="207"/>
      <c r="R71" s="207"/>
      <c r="S71" s="182"/>
      <c r="T71" s="139"/>
    </row>
    <row r="72" spans="1:240" s="111" customFormat="1" ht="18.75" customHeight="1" x14ac:dyDescent="0.3">
      <c r="A72" s="113" t="s">
        <v>2</v>
      </c>
      <c r="B72" s="114">
        <f>SUM(B49:B71)</f>
        <v>50355433.39543356</v>
      </c>
      <c r="C72" s="114">
        <f>SUM(C49:C71)</f>
        <v>46096334.687995501</v>
      </c>
      <c r="D72" s="115">
        <f>IF(B72=0, "    ---- ", IF(ABS(ROUND(100/B72*C72-100,1))&lt;999,ROUND(100/B72*C72-100,1),IF(ROUND(100/B72*C72-100,1)&gt;999,999,-999)))</f>
        <v>-8.5</v>
      </c>
      <c r="E72" s="389">
        <f>SUM(E49:E71)</f>
        <v>100</v>
      </c>
      <c r="F72" s="109"/>
      <c r="G72" s="181">
        <f>SUM(G49:G71)</f>
        <v>1136840866.1738799</v>
      </c>
      <c r="H72" s="181">
        <f>SUM(H49:H71)</f>
        <v>1211838821.2320399</v>
      </c>
      <c r="I72" s="115">
        <f>IF(G72=0, "    ---- ", IF(ABS(ROUND(100/G72*H72-100,1))&lt;999,ROUND(100/G72*H72-100,1),IF(ROUND(100/G72*H72-100,1)&gt;999,999,-999)))</f>
        <v>6.6</v>
      </c>
      <c r="J72" s="389">
        <f>SUM(J49:J71)</f>
        <v>100.00000000000001</v>
      </c>
      <c r="K72" s="179"/>
      <c r="L72" s="229">
        <f ca="1">SUM(L49:L71)</f>
        <v>0</v>
      </c>
      <c r="M72" s="230">
        <f ca="1">SUM(M49:M71)</f>
        <v>0</v>
      </c>
      <c r="N72" s="229">
        <f ca="1">SUM(N49:N71)</f>
        <v>0</v>
      </c>
      <c r="O72" s="230">
        <f ca="1">SUM(O49:O71)</f>
        <v>0</v>
      </c>
      <c r="P72" s="209"/>
      <c r="Q72" s="209"/>
      <c r="R72" s="209"/>
      <c r="S72" s="138"/>
      <c r="T72" s="179"/>
    </row>
    <row r="73" spans="1:240" ht="18.75" customHeight="1" x14ac:dyDescent="0.3">
      <c r="A73" s="112" t="s">
        <v>116</v>
      </c>
      <c r="B73" s="112"/>
      <c r="C73" s="112"/>
      <c r="D73" s="112"/>
      <c r="E73" s="112"/>
      <c r="F73" s="112"/>
      <c r="G73" s="112"/>
      <c r="H73" s="112"/>
      <c r="I73" s="112"/>
      <c r="J73" s="112"/>
      <c r="K73" s="112"/>
      <c r="L73" s="186"/>
      <c r="M73" s="186"/>
      <c r="N73" s="186"/>
      <c r="O73" s="186"/>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c r="EO73" s="112"/>
      <c r="EP73" s="112"/>
      <c r="EQ73" s="112"/>
      <c r="ER73" s="112"/>
      <c r="ES73" s="112"/>
      <c r="ET73" s="112"/>
      <c r="EU73" s="112"/>
      <c r="EV73" s="112"/>
      <c r="EW73" s="112"/>
      <c r="EX73" s="112"/>
      <c r="EY73" s="112"/>
      <c r="EZ73" s="112"/>
      <c r="FA73" s="112"/>
      <c r="FB73" s="112"/>
      <c r="FC73" s="112"/>
      <c r="FD73" s="112"/>
      <c r="FE73" s="112"/>
      <c r="FF73" s="112"/>
      <c r="FG73" s="112"/>
      <c r="FH73" s="112"/>
      <c r="FI73" s="112"/>
      <c r="FJ73" s="112"/>
      <c r="FK73" s="112"/>
      <c r="FL73" s="112"/>
      <c r="FM73" s="112"/>
      <c r="FN73" s="112"/>
      <c r="FO73" s="112"/>
      <c r="FP73" s="112"/>
      <c r="FQ73" s="112"/>
      <c r="FR73" s="112"/>
      <c r="FS73" s="112"/>
      <c r="FT73" s="112"/>
      <c r="FU73" s="112"/>
      <c r="FV73" s="112"/>
      <c r="FW73" s="112"/>
      <c r="FX73" s="112"/>
      <c r="FY73" s="112"/>
      <c r="FZ73" s="112"/>
      <c r="GA73" s="112"/>
      <c r="GB73" s="112"/>
      <c r="GC73" s="112"/>
      <c r="GD73" s="112"/>
      <c r="GE73" s="112"/>
      <c r="GF73" s="112"/>
      <c r="GG73" s="112"/>
      <c r="GH73" s="112"/>
      <c r="GI73" s="112"/>
      <c r="GJ73" s="112"/>
      <c r="GK73" s="112"/>
      <c r="GL73" s="112"/>
      <c r="GM73" s="112"/>
      <c r="GN73" s="112"/>
      <c r="GO73" s="112"/>
      <c r="GP73" s="112"/>
      <c r="GQ73" s="112"/>
      <c r="GR73" s="112"/>
      <c r="GS73" s="112"/>
      <c r="GT73" s="112"/>
      <c r="GU73" s="112"/>
      <c r="GV73" s="112"/>
      <c r="GW73" s="112"/>
      <c r="GX73" s="112"/>
      <c r="GY73" s="112"/>
      <c r="GZ73" s="112"/>
      <c r="HA73" s="112"/>
      <c r="HB73" s="112"/>
      <c r="HC73" s="112"/>
      <c r="HD73" s="112"/>
      <c r="HE73" s="112"/>
      <c r="HF73" s="112"/>
      <c r="HG73" s="112"/>
      <c r="HH73" s="112"/>
      <c r="HI73" s="112"/>
      <c r="HJ73" s="112"/>
      <c r="HK73" s="112"/>
      <c r="HL73" s="112"/>
      <c r="HM73" s="112"/>
      <c r="HN73" s="112"/>
      <c r="HO73" s="112"/>
      <c r="HP73" s="112"/>
      <c r="HQ73" s="112"/>
      <c r="HR73" s="112"/>
      <c r="HS73" s="112"/>
      <c r="HT73" s="112"/>
      <c r="HU73" s="112"/>
      <c r="HV73" s="112"/>
      <c r="HW73" s="112"/>
      <c r="HX73" s="112"/>
      <c r="HY73" s="112"/>
      <c r="HZ73" s="112"/>
      <c r="IA73" s="112"/>
      <c r="IB73" s="112"/>
      <c r="IC73" s="112"/>
      <c r="ID73" s="112"/>
      <c r="IE73" s="112"/>
      <c r="IF73" s="112"/>
    </row>
    <row r="74" spans="1:240" ht="18.75" customHeight="1" x14ac:dyDescent="0.3">
      <c r="A74" s="74"/>
      <c r="B74" s="74"/>
      <c r="C74" s="74"/>
      <c r="D74" s="74"/>
      <c r="E74" s="74"/>
      <c r="F74" s="74"/>
      <c r="G74" s="74"/>
      <c r="H74" s="74"/>
      <c r="I74" s="74"/>
      <c r="J74" s="74"/>
      <c r="K74" s="74"/>
    </row>
    <row r="75" spans="1:240" ht="18.75" customHeight="1" x14ac:dyDescent="0.3">
      <c r="A75" s="74"/>
      <c r="B75" s="74"/>
      <c r="C75" s="74"/>
      <c r="D75" s="74"/>
      <c r="E75" s="74"/>
      <c r="F75" s="74"/>
      <c r="G75" s="74"/>
      <c r="H75" s="74"/>
      <c r="I75" s="74"/>
      <c r="J75" s="74"/>
      <c r="K75" s="74"/>
    </row>
    <row r="76" spans="1:240" ht="18.75" customHeight="1" x14ac:dyDescent="0.3">
      <c r="A76" s="74"/>
      <c r="B76" s="77"/>
      <c r="C76" s="77"/>
      <c r="D76" s="74"/>
      <c r="E76" s="74"/>
      <c r="F76" s="74"/>
      <c r="G76" s="77"/>
      <c r="H76" s="77"/>
      <c r="I76" s="74"/>
      <c r="J76" s="74"/>
      <c r="K76" s="74"/>
    </row>
    <row r="77" spans="1:240" ht="18.75" customHeight="1" x14ac:dyDescent="0.3">
      <c r="A77" s="74"/>
      <c r="B77" s="74"/>
      <c r="C77" s="74"/>
      <c r="D77" s="74"/>
      <c r="E77" s="74"/>
      <c r="F77" s="74"/>
      <c r="G77" s="74"/>
      <c r="H77" s="74"/>
      <c r="I77" s="74"/>
      <c r="J77" s="74"/>
      <c r="K77" s="74"/>
    </row>
    <row r="78" spans="1:240" ht="18.75" customHeight="1" x14ac:dyDescent="0.3">
      <c r="A78" s="74"/>
      <c r="B78" s="74"/>
      <c r="C78" s="74"/>
      <c r="D78" s="74"/>
      <c r="E78" s="74"/>
      <c r="F78" s="74"/>
      <c r="G78" s="74"/>
      <c r="H78" s="74"/>
      <c r="I78" s="74"/>
      <c r="J78" s="74"/>
      <c r="K78" s="74"/>
    </row>
    <row r="79" spans="1:240" ht="18.75" customHeight="1" x14ac:dyDescent="0.3">
      <c r="A79" s="74"/>
      <c r="B79" s="74"/>
      <c r="C79" s="74"/>
      <c r="D79" s="74"/>
      <c r="E79" s="74"/>
      <c r="F79" s="74"/>
      <c r="G79" s="74"/>
      <c r="H79" s="74"/>
      <c r="I79" s="74"/>
      <c r="J79" s="74"/>
      <c r="K79" s="74"/>
    </row>
    <row r="80" spans="1:240" ht="18.75" customHeight="1" x14ac:dyDescent="0.3">
      <c r="A80" s="74"/>
      <c r="B80" s="74"/>
      <c r="C80" s="74"/>
      <c r="D80" s="74"/>
      <c r="E80" s="74"/>
      <c r="F80" s="74"/>
      <c r="G80" s="74"/>
      <c r="H80" s="74"/>
      <c r="I80" s="74"/>
      <c r="J80" s="74"/>
      <c r="K80" s="74"/>
    </row>
    <row r="81" spans="1:11" ht="18.75" x14ac:dyDescent="0.3">
      <c r="A81" s="74"/>
      <c r="B81" s="74"/>
      <c r="C81" s="74"/>
      <c r="D81" s="74"/>
      <c r="E81" s="74"/>
      <c r="F81" s="74"/>
      <c r="G81" s="74"/>
      <c r="H81" s="74"/>
      <c r="I81" s="74"/>
      <c r="J81" s="74"/>
      <c r="K81" s="74"/>
    </row>
    <row r="82" spans="1:11" ht="18.75" x14ac:dyDescent="0.3">
      <c r="A82" s="74"/>
      <c r="B82" s="74"/>
      <c r="C82" s="74"/>
      <c r="D82" s="74"/>
      <c r="E82" s="74"/>
      <c r="F82" s="74"/>
      <c r="G82" s="74"/>
      <c r="H82" s="74"/>
      <c r="I82" s="74"/>
      <c r="J82" s="74"/>
      <c r="K82" s="74"/>
    </row>
    <row r="83" spans="1:11" ht="18.75" x14ac:dyDescent="0.3">
      <c r="A83" s="74"/>
      <c r="B83" s="74"/>
      <c r="C83" s="74"/>
      <c r="D83" s="74"/>
      <c r="E83" s="74"/>
      <c r="F83" s="74"/>
      <c r="G83" s="74"/>
      <c r="H83" s="74"/>
      <c r="I83" s="74"/>
      <c r="J83" s="74"/>
      <c r="K83" s="74"/>
    </row>
    <row r="84" spans="1:11" ht="18.75" x14ac:dyDescent="0.3">
      <c r="A84" s="74"/>
      <c r="B84" s="74"/>
      <c r="C84" s="74"/>
      <c r="D84" s="74"/>
      <c r="E84" s="74"/>
      <c r="F84" s="74"/>
      <c r="G84" s="74"/>
      <c r="H84" s="74"/>
      <c r="I84" s="74"/>
      <c r="J84" s="74"/>
      <c r="K84" s="74"/>
    </row>
    <row r="85" spans="1:11" ht="18.75" x14ac:dyDescent="0.3">
      <c r="A85" s="74"/>
      <c r="B85" s="74"/>
      <c r="C85" s="74"/>
      <c r="D85" s="74"/>
      <c r="E85" s="74"/>
      <c r="F85" s="74"/>
      <c r="G85" s="74"/>
      <c r="H85" s="74"/>
      <c r="I85" s="74"/>
      <c r="J85" s="74"/>
      <c r="K85" s="74"/>
    </row>
    <row r="86" spans="1:11" ht="18.75" x14ac:dyDescent="0.3">
      <c r="A86" s="74"/>
      <c r="B86" s="74"/>
      <c r="C86" s="74"/>
      <c r="D86" s="74"/>
      <c r="E86" s="74"/>
      <c r="F86" s="74"/>
      <c r="G86" s="74"/>
      <c r="H86" s="74"/>
      <c r="I86" s="74"/>
      <c r="J86" s="74"/>
      <c r="K86" s="74"/>
    </row>
    <row r="87" spans="1:11" ht="18.75" x14ac:dyDescent="0.3">
      <c r="A87" s="74"/>
      <c r="B87" s="74"/>
      <c r="C87" s="74"/>
      <c r="D87" s="74"/>
      <c r="E87" s="74"/>
      <c r="F87" s="74"/>
      <c r="G87" s="74"/>
      <c r="H87" s="74"/>
      <c r="I87" s="74"/>
      <c r="J87" s="74"/>
      <c r="K87" s="74"/>
    </row>
    <row r="88" spans="1:11" ht="18.75" x14ac:dyDescent="0.3">
      <c r="A88" s="74"/>
      <c r="B88" s="74"/>
      <c r="C88" s="74"/>
      <c r="D88" s="74"/>
      <c r="E88" s="74"/>
      <c r="F88" s="74"/>
      <c r="G88" s="74"/>
      <c r="H88" s="74"/>
      <c r="I88" s="74"/>
      <c r="J88" s="74"/>
      <c r="K88" s="74"/>
    </row>
    <row r="89" spans="1:11" ht="18.75" x14ac:dyDescent="0.3">
      <c r="A89" s="74"/>
      <c r="B89" s="74"/>
      <c r="C89" s="74"/>
      <c r="D89" s="74"/>
      <c r="E89" s="74"/>
      <c r="F89" s="74"/>
      <c r="G89" s="74"/>
      <c r="H89" s="74"/>
      <c r="I89" s="74"/>
      <c r="J89" s="74"/>
      <c r="K89" s="74"/>
    </row>
    <row r="90" spans="1:11" ht="18.75" x14ac:dyDescent="0.3">
      <c r="A90" s="74"/>
      <c r="B90" s="74"/>
      <c r="C90" s="74"/>
      <c r="D90" s="74"/>
      <c r="E90" s="74"/>
      <c r="F90" s="74"/>
      <c r="G90" s="74"/>
      <c r="H90" s="74"/>
      <c r="I90" s="74"/>
      <c r="J90" s="74"/>
      <c r="K90" s="74"/>
    </row>
    <row r="91" spans="1:11" ht="18.75" x14ac:dyDescent="0.3">
      <c r="A91" s="74"/>
      <c r="B91" s="74"/>
      <c r="C91" s="74"/>
      <c r="D91" s="74"/>
      <c r="E91" s="74"/>
      <c r="F91" s="74"/>
      <c r="G91" s="74"/>
      <c r="H91" s="74"/>
      <c r="I91" s="74"/>
      <c r="J91" s="74"/>
      <c r="K91" s="74"/>
    </row>
    <row r="92" spans="1:11" ht="18.75" x14ac:dyDescent="0.3">
      <c r="A92" s="74"/>
      <c r="B92" s="74"/>
      <c r="C92" s="74"/>
      <c r="D92" s="74"/>
      <c r="E92" s="74"/>
      <c r="F92" s="74"/>
      <c r="G92" s="74"/>
      <c r="H92" s="74"/>
      <c r="I92" s="74"/>
      <c r="J92" s="74"/>
      <c r="K92" s="74"/>
    </row>
    <row r="93" spans="1:11" ht="18.75" x14ac:dyDescent="0.3">
      <c r="A93" s="74"/>
      <c r="B93" s="74"/>
      <c r="C93" s="74"/>
      <c r="D93" s="74"/>
      <c r="E93" s="74"/>
      <c r="F93" s="74"/>
      <c r="G93" s="74"/>
      <c r="H93" s="74"/>
      <c r="I93" s="74"/>
      <c r="J93" s="74"/>
      <c r="K93" s="74"/>
    </row>
    <row r="94" spans="1:11" ht="18.75" x14ac:dyDescent="0.3">
      <c r="A94" s="74"/>
      <c r="B94" s="74"/>
      <c r="C94" s="74"/>
      <c r="D94" s="74"/>
      <c r="E94" s="74"/>
      <c r="F94" s="74"/>
      <c r="G94" s="74"/>
      <c r="H94" s="74"/>
      <c r="I94" s="74"/>
      <c r="J94" s="74"/>
      <c r="K94" s="74"/>
    </row>
    <row r="95" spans="1:11" ht="18.75" x14ac:dyDescent="0.3">
      <c r="A95" s="74"/>
      <c r="B95" s="74"/>
      <c r="C95" s="74"/>
      <c r="D95" s="74"/>
      <c r="E95" s="74"/>
      <c r="F95" s="74"/>
      <c r="G95" s="74"/>
      <c r="H95" s="74"/>
      <c r="I95" s="74"/>
      <c r="J95" s="74"/>
      <c r="K95" s="74"/>
    </row>
    <row r="96" spans="1:11" ht="18.75" x14ac:dyDescent="0.3">
      <c r="A96" s="74"/>
      <c r="B96" s="74"/>
      <c r="C96" s="74"/>
      <c r="D96" s="74"/>
      <c r="E96" s="74"/>
      <c r="F96" s="74"/>
      <c r="G96" s="74"/>
      <c r="H96" s="74"/>
      <c r="I96" s="74"/>
      <c r="J96" s="74"/>
      <c r="K96" s="74"/>
    </row>
    <row r="97" spans="1:11" ht="18.75" x14ac:dyDescent="0.3">
      <c r="A97" s="74"/>
      <c r="B97" s="74"/>
      <c r="C97" s="74"/>
      <c r="D97" s="74"/>
      <c r="E97" s="74"/>
      <c r="F97" s="74"/>
      <c r="G97" s="74"/>
      <c r="H97" s="74"/>
      <c r="I97" s="74"/>
      <c r="J97" s="74"/>
      <c r="K97" s="74"/>
    </row>
    <row r="98" spans="1:11" ht="18.75" x14ac:dyDescent="0.3">
      <c r="A98" s="112"/>
      <c r="B98" s="112"/>
      <c r="C98" s="112"/>
      <c r="D98" s="112"/>
      <c r="E98" s="112"/>
      <c r="F98" s="112"/>
      <c r="G98" s="112"/>
      <c r="H98" s="112"/>
      <c r="I98" s="112"/>
      <c r="J98" s="112"/>
      <c r="K98" s="112"/>
    </row>
    <row r="99" spans="1:11" ht="18.75" x14ac:dyDescent="0.3">
      <c r="A99" s="116"/>
      <c r="B99" s="117"/>
      <c r="C99" s="117"/>
      <c r="D99" s="117"/>
      <c r="E99" s="74"/>
      <c r="F99" s="74"/>
      <c r="G99" s="74"/>
      <c r="H99" s="74"/>
      <c r="I99" s="74"/>
      <c r="J99" s="75"/>
      <c r="K99" s="75"/>
    </row>
    <row r="100" spans="1:11" ht="18.75" x14ac:dyDescent="0.3">
      <c r="A100" s="74"/>
      <c r="B100" s="74"/>
      <c r="C100" s="74"/>
      <c r="D100" s="74"/>
      <c r="E100" s="74"/>
      <c r="F100" s="74"/>
      <c r="G100" s="74"/>
      <c r="H100" s="74"/>
      <c r="I100" s="74"/>
      <c r="J100" s="74"/>
      <c r="K100" s="74"/>
    </row>
    <row r="101" spans="1:11" ht="18.75" x14ac:dyDescent="0.3">
      <c r="A101" s="74"/>
      <c r="B101" s="74"/>
      <c r="C101" s="74"/>
      <c r="D101" s="74"/>
      <c r="E101" s="74"/>
      <c r="F101" s="74"/>
      <c r="G101" s="74"/>
      <c r="H101" s="74"/>
      <c r="I101" s="74"/>
      <c r="J101" s="74"/>
      <c r="K101" s="74"/>
    </row>
    <row r="102" spans="1:11" ht="18.75" x14ac:dyDescent="0.3">
      <c r="A102" s="74"/>
      <c r="B102" s="74"/>
      <c r="C102" s="74"/>
      <c r="D102" s="74"/>
      <c r="E102" s="74"/>
      <c r="F102" s="74"/>
      <c r="G102" s="74"/>
      <c r="H102" s="74"/>
      <c r="I102" s="74"/>
      <c r="J102" s="74"/>
      <c r="K102" s="74"/>
    </row>
    <row r="103" spans="1:11" ht="18.75" x14ac:dyDescent="0.3">
      <c r="A103" s="74"/>
      <c r="B103" s="74"/>
      <c r="C103" s="74"/>
      <c r="D103" s="74"/>
      <c r="E103" s="74"/>
      <c r="F103" s="74"/>
      <c r="G103" s="74"/>
      <c r="H103" s="74"/>
      <c r="I103" s="74"/>
      <c r="J103" s="74"/>
      <c r="K103" s="74"/>
    </row>
    <row r="104" spans="1:11" ht="18.75" x14ac:dyDescent="0.3">
      <c r="A104" s="74"/>
      <c r="B104" s="74"/>
      <c r="C104" s="74"/>
      <c r="D104" s="74"/>
      <c r="E104" s="74"/>
      <c r="F104" s="74"/>
      <c r="G104" s="74"/>
      <c r="H104" s="74"/>
      <c r="I104" s="74"/>
      <c r="J104" s="74"/>
      <c r="K104" s="74"/>
    </row>
    <row r="105" spans="1:11" ht="18.75" x14ac:dyDescent="0.3">
      <c r="A105" s="74"/>
      <c r="B105" s="74"/>
      <c r="C105" s="74"/>
      <c r="D105" s="74"/>
      <c r="E105" s="74"/>
      <c r="F105" s="74"/>
      <c r="G105" s="74"/>
      <c r="H105" s="74"/>
      <c r="I105" s="74"/>
      <c r="J105" s="74"/>
      <c r="K105" s="74"/>
    </row>
    <row r="106" spans="1:11" ht="18.75" x14ac:dyDescent="0.3">
      <c r="A106" s="74"/>
      <c r="B106" s="74"/>
      <c r="C106" s="74"/>
      <c r="D106" s="74"/>
      <c r="E106" s="74"/>
      <c r="F106" s="74"/>
      <c r="G106" s="74"/>
      <c r="H106" s="74"/>
      <c r="I106" s="74"/>
      <c r="J106" s="74"/>
      <c r="K106" s="74"/>
    </row>
    <row r="107" spans="1:11" ht="18.75" x14ac:dyDescent="0.3">
      <c r="A107" s="74"/>
      <c r="B107" s="74"/>
      <c r="C107" s="74"/>
      <c r="D107" s="74"/>
      <c r="E107" s="74"/>
      <c r="F107" s="74"/>
      <c r="G107" s="74"/>
      <c r="H107" s="74"/>
      <c r="I107" s="74"/>
      <c r="J107" s="74"/>
      <c r="K107" s="74"/>
    </row>
    <row r="108" spans="1:11" ht="18.75" x14ac:dyDescent="0.3">
      <c r="A108" s="74"/>
      <c r="B108" s="74"/>
      <c r="C108" s="74"/>
      <c r="D108" s="74"/>
      <c r="E108" s="74"/>
      <c r="F108" s="74"/>
      <c r="G108" s="74"/>
      <c r="H108" s="74"/>
      <c r="I108" s="74"/>
      <c r="J108" s="74"/>
      <c r="K108" s="74"/>
    </row>
    <row r="109" spans="1:11" ht="18.75" x14ac:dyDescent="0.3">
      <c r="A109" s="74"/>
      <c r="B109" s="74"/>
      <c r="C109" s="74"/>
      <c r="D109" s="74"/>
      <c r="E109" s="74"/>
      <c r="F109" s="74"/>
      <c r="G109" s="74"/>
      <c r="H109" s="74"/>
      <c r="I109" s="74"/>
      <c r="J109" s="74"/>
      <c r="K109" s="74"/>
    </row>
    <row r="110" spans="1:11" ht="18.75" x14ac:dyDescent="0.3">
      <c r="A110" s="74"/>
      <c r="B110" s="74"/>
      <c r="C110" s="74"/>
      <c r="D110" s="74"/>
      <c r="E110" s="74"/>
      <c r="F110" s="74"/>
      <c r="G110" s="74"/>
      <c r="H110" s="74"/>
      <c r="I110" s="74"/>
      <c r="J110" s="74"/>
      <c r="K110" s="74"/>
    </row>
    <row r="111" spans="1:11" ht="18.75" x14ac:dyDescent="0.3">
      <c r="A111" s="74"/>
      <c r="B111" s="74"/>
      <c r="C111" s="74"/>
      <c r="D111" s="74"/>
      <c r="E111" s="74"/>
      <c r="F111" s="74"/>
      <c r="G111" s="74"/>
      <c r="H111" s="74"/>
      <c r="I111" s="74"/>
      <c r="J111" s="74"/>
      <c r="K111" s="74"/>
    </row>
  </sheetData>
  <mergeCells count="5">
    <mergeCell ref="N5:O5"/>
    <mergeCell ref="A3:B3"/>
    <mergeCell ref="B5:E5"/>
    <mergeCell ref="G5:J5"/>
    <mergeCell ref="L5:M5"/>
  </mergeCells>
  <hyperlinks>
    <hyperlink ref="B1" location="Innhold!A1" display="Tilbake"/>
  </hyperlinks>
  <pageMargins left="0.70866141732283472" right="0.70866141732283472" top="0.78740157480314965" bottom="0.78740157480314965" header="0.31496062992125984" footer="0.31496062992125984"/>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W115"/>
  <sheetViews>
    <sheetView showGridLines="0" showZeros="0" zoomScale="80" zoomScaleNormal="80" workbookViewId="0">
      <pane xSplit="1" ySplit="7" topLeftCell="B8" activePane="bottomRight" state="frozen"/>
      <selection pane="topRight" activeCell="B1" sqref="B1"/>
      <selection pane="bottomLeft" activeCell="A8" sqref="A8"/>
      <selection pane="bottomRight" activeCell="A4" sqref="A4"/>
    </sheetView>
  </sheetViews>
  <sheetFormatPr baseColWidth="10" defaultColWidth="11.42578125" defaultRowHeight="18" x14ac:dyDescent="0.25"/>
  <cols>
    <col min="1" max="1" width="51" style="81" customWidth="1"/>
    <col min="2" max="3" width="16.7109375" style="81" customWidth="1"/>
    <col min="4" max="4" width="9.28515625" style="81" bestFit="1" customWidth="1"/>
    <col min="5" max="5" width="4.7109375" style="81" customWidth="1"/>
    <col min="6" max="7" width="16.7109375" style="81" customWidth="1"/>
    <col min="8" max="8" width="9.28515625" style="81" bestFit="1" customWidth="1"/>
    <col min="9" max="9" width="4.7109375" style="81" customWidth="1"/>
    <col min="10" max="10" width="18.85546875" style="81" customWidth="1"/>
    <col min="11" max="11" width="18" style="81" bestFit="1" customWidth="1"/>
    <col min="12" max="12" width="9.28515625" style="81" bestFit="1" customWidth="1"/>
    <col min="13" max="13" width="11.42578125" style="81"/>
    <col min="14" max="15" width="17.140625" style="81" bestFit="1" customWidth="1"/>
    <col min="16" max="16384" width="11.42578125" style="81"/>
  </cols>
  <sheetData>
    <row r="1" spans="1:13" ht="20.25" x14ac:dyDescent="0.3">
      <c r="A1" s="80" t="s">
        <v>85</v>
      </c>
      <c r="B1" s="73" t="s">
        <v>56</v>
      </c>
      <c r="C1" s="74"/>
      <c r="D1" s="74"/>
      <c r="E1" s="74"/>
      <c r="F1" s="74"/>
      <c r="G1" s="74"/>
      <c r="H1" s="74"/>
      <c r="I1" s="74"/>
      <c r="J1" s="74"/>
      <c r="K1" s="74"/>
      <c r="L1" s="74"/>
      <c r="M1" s="74"/>
    </row>
    <row r="2" spans="1:13" ht="20.25" x14ac:dyDescent="0.3">
      <c r="A2" s="80" t="s">
        <v>117</v>
      </c>
      <c r="B2" s="73"/>
      <c r="C2" s="74"/>
      <c r="D2" s="74"/>
      <c r="E2" s="74"/>
      <c r="F2" s="74"/>
      <c r="G2" s="74"/>
      <c r="H2" s="74"/>
      <c r="I2" s="74"/>
      <c r="J2" s="74"/>
      <c r="K2" s="74"/>
      <c r="L2" s="74"/>
      <c r="M2" s="74"/>
    </row>
    <row r="3" spans="1:13" ht="18.75" x14ac:dyDescent="0.3">
      <c r="A3" s="75" t="s">
        <v>118</v>
      </c>
      <c r="B3" s="74"/>
      <c r="C3" s="74"/>
      <c r="D3" s="74"/>
      <c r="E3" s="74"/>
      <c r="F3" s="74"/>
      <c r="G3" s="74"/>
      <c r="H3" s="74"/>
      <c r="I3" s="74"/>
      <c r="J3" s="74"/>
      <c r="K3" s="74"/>
      <c r="L3" s="74"/>
      <c r="M3" s="74"/>
    </row>
    <row r="4" spans="1:13" ht="18.75" x14ac:dyDescent="0.3">
      <c r="A4" s="82" t="s">
        <v>421</v>
      </c>
      <c r="B4" s="102"/>
      <c r="C4" s="118"/>
      <c r="D4" s="119"/>
      <c r="E4" s="112"/>
      <c r="F4" s="83"/>
      <c r="G4" s="84"/>
      <c r="H4" s="85"/>
      <c r="I4" s="112"/>
      <c r="J4" s="83"/>
      <c r="K4" s="84"/>
      <c r="L4" s="85"/>
      <c r="M4" s="74"/>
    </row>
    <row r="5" spans="1:13" ht="18.75" x14ac:dyDescent="0.3">
      <c r="A5" s="120"/>
      <c r="B5" s="655" t="s">
        <v>0</v>
      </c>
      <c r="C5" s="656"/>
      <c r="D5" s="657"/>
      <c r="E5" s="89"/>
      <c r="F5" s="655" t="s">
        <v>1</v>
      </c>
      <c r="G5" s="656"/>
      <c r="H5" s="657"/>
      <c r="I5" s="121"/>
      <c r="J5" s="655" t="s">
        <v>119</v>
      </c>
      <c r="K5" s="656"/>
      <c r="L5" s="657"/>
      <c r="M5" s="74"/>
    </row>
    <row r="6" spans="1:13" ht="18.75" x14ac:dyDescent="0.3">
      <c r="A6" s="122"/>
      <c r="B6" s="123"/>
      <c r="C6" s="124"/>
      <c r="D6" s="94" t="s">
        <v>120</v>
      </c>
      <c r="E6" s="100"/>
      <c r="F6" s="123"/>
      <c r="G6" s="124"/>
      <c r="H6" s="94" t="s">
        <v>120</v>
      </c>
      <c r="I6" s="125"/>
      <c r="J6" s="123"/>
      <c r="K6" s="124"/>
      <c r="L6" s="94" t="s">
        <v>120</v>
      </c>
      <c r="M6" s="74"/>
    </row>
    <row r="7" spans="1:13" ht="18.75" x14ac:dyDescent="0.3">
      <c r="A7" s="126" t="s">
        <v>121</v>
      </c>
      <c r="B7" s="127">
        <v>2016</v>
      </c>
      <c r="C7" s="185">
        <v>2017</v>
      </c>
      <c r="D7" s="99" t="s">
        <v>92</v>
      </c>
      <c r="E7" s="100"/>
      <c r="F7" s="97">
        <v>2016</v>
      </c>
      <c r="G7" s="127">
        <v>2017</v>
      </c>
      <c r="H7" s="99" t="s">
        <v>92</v>
      </c>
      <c r="I7" s="128"/>
      <c r="J7" s="184">
        <v>2016</v>
      </c>
      <c r="K7" s="185">
        <v>2017</v>
      </c>
      <c r="L7" s="99" t="s">
        <v>92</v>
      </c>
      <c r="M7" s="74"/>
    </row>
    <row r="8" spans="1:13" ht="22.5" x14ac:dyDescent="0.3">
      <c r="A8" s="192" t="s">
        <v>122</v>
      </c>
      <c r="B8" s="232"/>
      <c r="C8" s="201"/>
      <c r="D8" s="201"/>
      <c r="E8" s="182"/>
      <c r="F8" s="201"/>
      <c r="G8" s="201"/>
      <c r="H8" s="201"/>
      <c r="I8" s="202"/>
      <c r="J8" s="201"/>
      <c r="K8" s="201"/>
      <c r="L8" s="201"/>
      <c r="M8" s="74"/>
    </row>
    <row r="9" spans="1:13" ht="18.75" x14ac:dyDescent="0.3">
      <c r="A9" s="193" t="s">
        <v>123</v>
      </c>
      <c r="B9" s="104">
        <f>'Skjema total MA'!B7</f>
        <v>2947490.6381328413</v>
      </c>
      <c r="C9" s="104">
        <f>'Skjema total MA'!C7</f>
        <v>2722938.174325902</v>
      </c>
      <c r="D9" s="233">
        <f>IF(B9=0, "    ---- ", IF(ABS(ROUND(100/B9*C9-100,1))&lt;999,ROUND(100/B9*C9-100,1),IF(ROUND(100/B9*C9-100,1)&gt;999,999,-999)))</f>
        <v>-7.6</v>
      </c>
      <c r="E9" s="182"/>
      <c r="F9" s="196">
        <f>'Skjema total MA'!E7</f>
        <v>4917957.6875900002</v>
      </c>
      <c r="G9" s="196">
        <f>'Skjema total MA'!F7</f>
        <v>4542315.3688300001</v>
      </c>
      <c r="H9" s="233">
        <f>IF(F9=0, "    ---- ", IF(ABS(ROUND(100/F9*G9-100,1))&lt;999,ROUND(100/F9*G9-100,1),IF(ROUND(100/F9*G9-100,1)&gt;999,999,-999)))</f>
        <v>-7.6</v>
      </c>
      <c r="I9" s="182"/>
      <c r="J9" s="196">
        <f t="shared" ref="J9:K60" si="0">SUM(B9+F9)</f>
        <v>7865448.3257228415</v>
      </c>
      <c r="K9" s="196">
        <f t="shared" si="0"/>
        <v>7265253.5431559021</v>
      </c>
      <c r="L9" s="231">
        <f>IF(J9=0, "    ---- ", IF(ABS(ROUND(100/J9*K9-100,1))&lt;999,ROUND(100/J9*K9-100,1),IF(ROUND(100/J9*K9-100,1)&gt;999,999,-999)))</f>
        <v>-7.6</v>
      </c>
      <c r="M9" s="74"/>
    </row>
    <row r="10" spans="1:13" ht="18.75" x14ac:dyDescent="0.3">
      <c r="A10" s="193" t="s">
        <v>124</v>
      </c>
      <c r="B10" s="104">
        <f>'Skjema total MA'!B22</f>
        <v>746277.84198045172</v>
      </c>
      <c r="C10" s="104">
        <f>'Skjema total MA'!C22</f>
        <v>958903.54897960112</v>
      </c>
      <c r="D10" s="233">
        <f t="shared" ref="D10:D17" si="1">IF(B10=0, "    ---- ", IF(ABS(ROUND(100/B10*C10-100,1))&lt;999,ROUND(100/B10*C10-100,1),IF(ROUND(100/B10*C10-100,1)&gt;999,999,-999)))</f>
        <v>28.5</v>
      </c>
      <c r="E10" s="182"/>
      <c r="F10" s="196">
        <f>'Skjema total MA'!E22</f>
        <v>221188.05156026001</v>
      </c>
      <c r="G10" s="196">
        <f>'Skjema total MA'!F22</f>
        <v>199375.40350000001</v>
      </c>
      <c r="H10" s="233">
        <f t="shared" ref="H10:H57" si="2">IF(F10=0, "    ---- ", IF(ABS(ROUND(100/F10*G10-100,1))&lt;999,ROUND(100/F10*G10-100,1),IF(ROUND(100/F10*G10-100,1)&gt;999,999,-999)))</f>
        <v>-9.9</v>
      </c>
      <c r="I10" s="182"/>
      <c r="J10" s="196">
        <f t="shared" si="0"/>
        <v>967465.89354071172</v>
      </c>
      <c r="K10" s="196">
        <f t="shared" si="0"/>
        <v>1158278.9524796011</v>
      </c>
      <c r="L10" s="231">
        <f t="shared" ref="L10:L60" si="3">IF(J10=0, "    ---- ", IF(ABS(ROUND(100/J10*K10-100,1))&lt;999,ROUND(100/J10*K10-100,1),IF(ROUND(100/J10*K10-100,1)&gt;999,999,-999)))</f>
        <v>19.7</v>
      </c>
      <c r="M10" s="74"/>
    </row>
    <row r="11" spans="1:13" ht="18.75" x14ac:dyDescent="0.3">
      <c r="A11" s="193" t="s">
        <v>125</v>
      </c>
      <c r="B11" s="104">
        <f>'Skjema total MA'!B45</f>
        <v>2682270.9502600003</v>
      </c>
      <c r="C11" s="104">
        <f>'Skjema total MA'!C45</f>
        <v>2741998.0199699998</v>
      </c>
      <c r="D11" s="233">
        <f t="shared" si="1"/>
        <v>2.2000000000000002</v>
      </c>
      <c r="E11" s="182"/>
      <c r="F11" s="196"/>
      <c r="G11" s="196"/>
      <c r="H11" s="233"/>
      <c r="I11" s="182"/>
      <c r="J11" s="196">
        <f t="shared" si="0"/>
        <v>2682270.9502600003</v>
      </c>
      <c r="K11" s="196">
        <f t="shared" si="0"/>
        <v>2741998.0199699998</v>
      </c>
      <c r="L11" s="231">
        <f t="shared" si="3"/>
        <v>2.2000000000000002</v>
      </c>
      <c r="M11" s="74"/>
    </row>
    <row r="12" spans="1:13" ht="18.75" x14ac:dyDescent="0.3">
      <c r="A12" s="193" t="s">
        <v>126</v>
      </c>
      <c r="B12" s="104">
        <f>'Skjema total MA'!B64</f>
        <v>8244721.4609099999</v>
      </c>
      <c r="C12" s="104">
        <f>'Skjema total MA'!C64</f>
        <v>5371254.9564800002</v>
      </c>
      <c r="D12" s="233">
        <f t="shared" si="1"/>
        <v>-34.9</v>
      </c>
      <c r="E12" s="182"/>
      <c r="F12" s="196">
        <f>'Skjema total MA'!E64</f>
        <v>11203988.1823</v>
      </c>
      <c r="G12" s="196">
        <f>'Skjema total MA'!F64</f>
        <v>12983353.548999999</v>
      </c>
      <c r="H12" s="233">
        <f t="shared" si="2"/>
        <v>15.9</v>
      </c>
      <c r="I12" s="182"/>
      <c r="J12" s="196">
        <f t="shared" si="0"/>
        <v>19448709.643210001</v>
      </c>
      <c r="K12" s="196">
        <f t="shared" si="0"/>
        <v>18354608.505479999</v>
      </c>
      <c r="L12" s="231">
        <f t="shared" si="3"/>
        <v>-5.6</v>
      </c>
      <c r="M12" s="74"/>
    </row>
    <row r="13" spans="1:13" ht="18.75" x14ac:dyDescent="0.3">
      <c r="A13" s="193" t="s">
        <v>127</v>
      </c>
      <c r="B13" s="104">
        <f>'Skjema total MA'!B66</f>
        <v>120147.6707</v>
      </c>
      <c r="C13" s="104">
        <f>'Skjema total MA'!C66</f>
        <v>117473.33254999999</v>
      </c>
      <c r="D13" s="233">
        <f t="shared" si="1"/>
        <v>-2.2000000000000002</v>
      </c>
      <c r="E13" s="182"/>
      <c r="F13" s="196">
        <f>'Skjema total MA'!E66</f>
        <v>11122093.612299999</v>
      </c>
      <c r="G13" s="196">
        <f>'Skjema total MA'!F66</f>
        <v>12854109.17182</v>
      </c>
      <c r="H13" s="233">
        <f t="shared" si="2"/>
        <v>15.6</v>
      </c>
      <c r="I13" s="182"/>
      <c r="J13" s="196">
        <f t="shared" si="0"/>
        <v>11242241.283</v>
      </c>
      <c r="K13" s="196">
        <f t="shared" si="0"/>
        <v>12971582.50437</v>
      </c>
      <c r="L13" s="231">
        <f t="shared" si="3"/>
        <v>15.4</v>
      </c>
      <c r="M13" s="74"/>
    </row>
    <row r="14" spans="1:13" s="133" customFormat="1" ht="18.75" x14ac:dyDescent="0.3">
      <c r="A14" s="194" t="s">
        <v>128</v>
      </c>
      <c r="B14" s="131">
        <f>'Skjema total MA'!B73</f>
        <v>108552.5184</v>
      </c>
      <c r="C14" s="131">
        <f>'Skjema total MA'!C73</f>
        <v>122037.46324000001</v>
      </c>
      <c r="D14" s="233">
        <f t="shared" si="1"/>
        <v>12.4</v>
      </c>
      <c r="E14" s="183"/>
      <c r="F14" s="197">
        <f>'Skjema total MA'!E73</f>
        <v>81894.570000000007</v>
      </c>
      <c r="G14" s="197">
        <f>'Skjema total MA'!F73</f>
        <v>129244.37718</v>
      </c>
      <c r="H14" s="233">
        <f t="shared" si="2"/>
        <v>57.8</v>
      </c>
      <c r="I14" s="183"/>
      <c r="J14" s="196">
        <f t="shared" si="0"/>
        <v>190447.08840000001</v>
      </c>
      <c r="K14" s="196">
        <f t="shared" si="0"/>
        <v>251281.84042000002</v>
      </c>
      <c r="L14" s="231">
        <f t="shared" si="3"/>
        <v>31.9</v>
      </c>
      <c r="M14" s="132"/>
    </row>
    <row r="15" spans="1:13" ht="22.5" x14ac:dyDescent="0.3">
      <c r="A15" s="193" t="s">
        <v>403</v>
      </c>
      <c r="B15" s="104">
        <f>'Skjema total MA'!B132</f>
        <v>19312251.3917</v>
      </c>
      <c r="C15" s="104">
        <f>'Skjema total MA'!C132</f>
        <v>16521567.102909999</v>
      </c>
      <c r="D15" s="233">
        <f t="shared" si="1"/>
        <v>-14.5</v>
      </c>
      <c r="E15" s="182"/>
      <c r="F15" s="196">
        <f>'Skjema total MA'!E132</f>
        <v>76382.539000000004</v>
      </c>
      <c r="G15" s="196">
        <f>'Skjema total MA'!F132</f>
        <v>52296.226000000002</v>
      </c>
      <c r="H15" s="233">
        <f t="shared" si="2"/>
        <v>-31.5</v>
      </c>
      <c r="I15" s="182"/>
      <c r="J15" s="196">
        <f t="shared" si="0"/>
        <v>19388633.9307</v>
      </c>
      <c r="K15" s="196">
        <f t="shared" si="0"/>
        <v>16573863.328909999</v>
      </c>
      <c r="L15" s="231">
        <f t="shared" si="3"/>
        <v>-14.5</v>
      </c>
      <c r="M15" s="74"/>
    </row>
    <row r="16" spans="1:13" ht="18.75" x14ac:dyDescent="0.3">
      <c r="A16" s="193" t="s">
        <v>129</v>
      </c>
      <c r="B16" s="104">
        <f>'Skjema total MA'!B34</f>
        <v>2904.652</v>
      </c>
      <c r="C16" s="104">
        <f>'Skjema total MA'!C34</f>
        <v>2332.3380000000002</v>
      </c>
      <c r="D16" s="233">
        <f t="shared" si="1"/>
        <v>-19.7</v>
      </c>
      <c r="E16" s="182"/>
      <c r="F16" s="196">
        <f>'Skjema total MA'!E34</f>
        <v>0</v>
      </c>
      <c r="G16" s="196">
        <f>'Skjema total MA'!F34</f>
        <v>0</v>
      </c>
      <c r="H16" s="233"/>
      <c r="I16" s="182"/>
      <c r="J16" s="196">
        <f t="shared" si="0"/>
        <v>2904.652</v>
      </c>
      <c r="K16" s="196">
        <f t="shared" si="0"/>
        <v>2332.3380000000002</v>
      </c>
      <c r="L16" s="231">
        <f t="shared" si="3"/>
        <v>-19.7</v>
      </c>
      <c r="M16" s="74"/>
    </row>
    <row r="17" spans="1:23" s="135" customFormat="1" ht="18.75" customHeight="1" x14ac:dyDescent="0.3">
      <c r="A17" s="137" t="s">
        <v>130</v>
      </c>
      <c r="B17" s="110">
        <f>'Tabel 1.1'!B31</f>
        <v>33935916.934983298</v>
      </c>
      <c r="C17" s="198">
        <f>'Tabel 1.1'!C31</f>
        <v>28318994.140665505</v>
      </c>
      <c r="D17" s="233">
        <f t="shared" si="1"/>
        <v>-16.600000000000001</v>
      </c>
      <c r="E17" s="138"/>
      <c r="F17" s="198">
        <f>'Tabel 1.1'!B45</f>
        <v>16419516.460450262</v>
      </c>
      <c r="G17" s="198">
        <f>'Tabel 1.1'!C45</f>
        <v>17777340.54733</v>
      </c>
      <c r="H17" s="233">
        <f t="shared" si="2"/>
        <v>8.3000000000000007</v>
      </c>
      <c r="I17" s="138"/>
      <c r="J17" s="198">
        <f t="shared" si="0"/>
        <v>50355433.39543356</v>
      </c>
      <c r="K17" s="198">
        <f t="shared" si="0"/>
        <v>46096334.687995508</v>
      </c>
      <c r="L17" s="231">
        <f t="shared" si="3"/>
        <v>-8.5</v>
      </c>
      <c r="M17" s="75"/>
      <c r="N17" s="134"/>
      <c r="O17" s="134"/>
      <c r="Q17" s="136"/>
      <c r="R17" s="136"/>
      <c r="S17" s="136"/>
      <c r="T17" s="136"/>
      <c r="U17" s="136"/>
      <c r="V17" s="136"/>
      <c r="W17" s="136"/>
    </row>
    <row r="18" spans="1:23" ht="18.75" customHeight="1" x14ac:dyDescent="0.3">
      <c r="A18" s="137"/>
      <c r="B18" s="104"/>
      <c r="C18" s="196"/>
      <c r="D18" s="196"/>
      <c r="E18" s="182"/>
      <c r="F18" s="196"/>
      <c r="G18" s="196"/>
      <c r="H18" s="233"/>
      <c r="I18" s="182"/>
      <c r="J18" s="196"/>
      <c r="K18" s="196"/>
      <c r="L18" s="231"/>
      <c r="M18" s="74"/>
    </row>
    <row r="19" spans="1:23" ht="18.75" customHeight="1" x14ac:dyDescent="0.3">
      <c r="A19" s="192" t="s">
        <v>404</v>
      </c>
      <c r="B19" s="200"/>
      <c r="C19" s="203"/>
      <c r="D19" s="196"/>
      <c r="E19" s="182"/>
      <c r="F19" s="203"/>
      <c r="G19" s="203"/>
      <c r="H19" s="233"/>
      <c r="I19" s="182"/>
      <c r="J19" s="196"/>
      <c r="K19" s="196"/>
      <c r="L19" s="231"/>
      <c r="M19" s="74"/>
    </row>
    <row r="20" spans="1:23" ht="18.75" customHeight="1" x14ac:dyDescent="0.3">
      <c r="A20" s="193" t="s">
        <v>123</v>
      </c>
      <c r="B20" s="104">
        <f>'Skjema total MA'!B10</f>
        <v>24891548.256353438</v>
      </c>
      <c r="C20" s="104">
        <f>'Skjema total MA'!C10</f>
        <v>23009416.501435529</v>
      </c>
      <c r="D20" s="233">
        <f>IF(B20=0, "    ---- ", IF(ABS(ROUND(100/B20*C20-100,1))&lt;999,ROUND(100/B20*C20-100,1),IF(ROUND(100/B20*C20-100,1)&gt;999,999,-999)))</f>
        <v>-7.6</v>
      </c>
      <c r="E20" s="182"/>
      <c r="F20" s="196">
        <f>'Skjema total MA'!E10</f>
        <v>29055196.927181602</v>
      </c>
      <c r="G20" s="196">
        <f>'Skjema total MA'!F10</f>
        <v>37662908.370349906</v>
      </c>
      <c r="H20" s="233">
        <f t="shared" si="2"/>
        <v>29.6</v>
      </c>
      <c r="I20" s="182"/>
      <c r="J20" s="196">
        <f t="shared" si="0"/>
        <v>53946745.183535039</v>
      </c>
      <c r="K20" s="196">
        <f t="shared" si="0"/>
        <v>60672324.871785432</v>
      </c>
      <c r="L20" s="231">
        <f t="shared" si="3"/>
        <v>12.5</v>
      </c>
      <c r="M20" s="74"/>
    </row>
    <row r="21" spans="1:23" ht="18.75" customHeight="1" x14ac:dyDescent="0.3">
      <c r="A21" s="193" t="s">
        <v>124</v>
      </c>
      <c r="B21" s="104">
        <f>'Skjema total MA'!B28</f>
        <v>52091228.016380668</v>
      </c>
      <c r="C21" s="104">
        <f>'Skjema total MA'!C28</f>
        <v>50951731.75711979</v>
      </c>
      <c r="D21" s="233">
        <f t="shared" ref="D21:D27" si="4">IF(B21=0, "    ---- ", IF(ABS(ROUND(100/B21*C21-100,1))&lt;999,ROUND(100/B21*C21-100,1),IF(ROUND(100/B21*C21-100,1)&gt;999,999,-999)))</f>
        <v>-2.2000000000000002</v>
      </c>
      <c r="E21" s="182"/>
      <c r="F21" s="196">
        <f>'Skjema total MA'!E28</f>
        <v>18713535.354049999</v>
      </c>
      <c r="G21" s="196">
        <f>'Skjema total MA'!F28</f>
        <v>19636367.939539999</v>
      </c>
      <c r="H21" s="233">
        <f t="shared" si="2"/>
        <v>4.9000000000000004</v>
      </c>
      <c r="I21" s="182"/>
      <c r="J21" s="196">
        <f t="shared" si="0"/>
        <v>70804763.370430663</v>
      </c>
      <c r="K21" s="196">
        <f t="shared" si="0"/>
        <v>70588099.696659788</v>
      </c>
      <c r="L21" s="231">
        <f t="shared" si="3"/>
        <v>-0.3</v>
      </c>
      <c r="M21" s="74"/>
    </row>
    <row r="22" spans="1:23" ht="18.75" x14ac:dyDescent="0.3">
      <c r="A22" s="193" t="s">
        <v>126</v>
      </c>
      <c r="B22" s="104">
        <f>'Skjema total MA'!B85</f>
        <v>374786691.41905582</v>
      </c>
      <c r="C22" s="104">
        <f>'Skjema total MA'!C85</f>
        <v>373810169.08005464</v>
      </c>
      <c r="D22" s="233">
        <f t="shared" si="4"/>
        <v>-0.3</v>
      </c>
      <c r="E22" s="182"/>
      <c r="F22" s="196">
        <f>'Skjema total MA'!E85</f>
        <v>156542547.97675839</v>
      </c>
      <c r="G22" s="196">
        <f>'Skjema total MA'!F85</f>
        <v>198886422.12118009</v>
      </c>
      <c r="H22" s="233">
        <f t="shared" si="2"/>
        <v>27</v>
      </c>
      <c r="I22" s="182"/>
      <c r="J22" s="196">
        <f t="shared" si="0"/>
        <v>531329239.39581418</v>
      </c>
      <c r="K22" s="196">
        <f t="shared" si="0"/>
        <v>572696591.2012347</v>
      </c>
      <c r="L22" s="231">
        <f t="shared" si="3"/>
        <v>7.8</v>
      </c>
      <c r="M22" s="74"/>
    </row>
    <row r="23" spans="1:23" ht="22.5" x14ac:dyDescent="0.3">
      <c r="A23" s="193" t="s">
        <v>131</v>
      </c>
      <c r="B23" s="104">
        <f>'Skjema total MA'!B87</f>
        <v>2226220.8276904603</v>
      </c>
      <c r="C23" s="104">
        <f>'Skjema total MA'!C87</f>
        <v>2499099.4692608798</v>
      </c>
      <c r="D23" s="233">
        <f t="shared" si="4"/>
        <v>12.3</v>
      </c>
      <c r="E23" s="182"/>
      <c r="F23" s="196">
        <f>'Skjema total MA'!E87</f>
        <v>156479466.57245839</v>
      </c>
      <c r="G23" s="196">
        <f>'Skjema total MA'!F87</f>
        <v>198527023.85459012</v>
      </c>
      <c r="H23" s="233">
        <f t="shared" si="2"/>
        <v>26.9</v>
      </c>
      <c r="I23" s="182"/>
      <c r="J23" s="196">
        <f t="shared" si="0"/>
        <v>158705687.40014884</v>
      </c>
      <c r="K23" s="196">
        <f t="shared" si="0"/>
        <v>201026123.32385099</v>
      </c>
      <c r="L23" s="231">
        <f t="shared" si="3"/>
        <v>26.7</v>
      </c>
      <c r="M23" s="74"/>
    </row>
    <row r="24" spans="1:23" ht="18.75" x14ac:dyDescent="0.3">
      <c r="A24" s="194" t="s">
        <v>128</v>
      </c>
      <c r="B24" s="104">
        <f>'Skjema total MA'!B94</f>
        <v>96134.063999999998</v>
      </c>
      <c r="C24" s="104">
        <f>'Skjema total MA'!C94</f>
        <v>242629.52984999999</v>
      </c>
      <c r="D24" s="233">
        <f t="shared" si="4"/>
        <v>152.4</v>
      </c>
      <c r="E24" s="182"/>
      <c r="F24" s="196">
        <f>'Skjema total MA'!E94</f>
        <v>63081.404300000002</v>
      </c>
      <c r="G24" s="196">
        <f>'Skjema total MA'!F94</f>
        <v>359398.26659000001</v>
      </c>
      <c r="H24" s="233">
        <f t="shared" si="2"/>
        <v>469.7</v>
      </c>
      <c r="I24" s="182"/>
      <c r="J24" s="196">
        <f t="shared" si="0"/>
        <v>159215.46830000001</v>
      </c>
      <c r="K24" s="196">
        <f t="shared" si="0"/>
        <v>602027.79643999995</v>
      </c>
      <c r="L24" s="231">
        <f t="shared" si="3"/>
        <v>278.10000000000002</v>
      </c>
      <c r="M24" s="74"/>
    </row>
    <row r="25" spans="1:23" ht="22.5" x14ac:dyDescent="0.3">
      <c r="A25" s="193" t="s">
        <v>403</v>
      </c>
      <c r="B25" s="104">
        <f>'Skjema total MA'!B133</f>
        <v>474446576.40594995</v>
      </c>
      <c r="C25" s="104">
        <f>'Skjema total MA'!C133</f>
        <v>501528009.73421001</v>
      </c>
      <c r="D25" s="233">
        <f t="shared" si="4"/>
        <v>5.7</v>
      </c>
      <c r="E25" s="182"/>
      <c r="F25" s="196">
        <f>'Skjema total MA'!E133</f>
        <v>2120218.96215</v>
      </c>
      <c r="G25" s="196">
        <f>'Skjema total MA'!F133</f>
        <v>2288839.25715</v>
      </c>
      <c r="H25" s="233">
        <f t="shared" si="2"/>
        <v>8</v>
      </c>
      <c r="I25" s="182"/>
      <c r="J25" s="196">
        <f t="shared" si="0"/>
        <v>476566795.36809993</v>
      </c>
      <c r="K25" s="196">
        <f t="shared" si="0"/>
        <v>503816848.99136001</v>
      </c>
      <c r="L25" s="231">
        <f t="shared" si="3"/>
        <v>5.7</v>
      </c>
      <c r="M25" s="74"/>
    </row>
    <row r="26" spans="1:23" ht="18.75" x14ac:dyDescent="0.3">
      <c r="A26" s="193" t="s">
        <v>129</v>
      </c>
      <c r="B26" s="104">
        <f>'Skjema total MA'!B35</f>
        <v>4193322.8560000001</v>
      </c>
      <c r="C26" s="104">
        <f>'Skjema total MA'!C35</f>
        <v>4064956.4709999999</v>
      </c>
      <c r="D26" s="233">
        <f t="shared" si="4"/>
        <v>-3.1</v>
      </c>
      <c r="E26" s="182"/>
      <c r="F26" s="196">
        <f>'Skjema total MA'!E35</f>
        <v>0</v>
      </c>
      <c r="G26" s="196">
        <f>'Skjema total MA'!F35</f>
        <v>0</v>
      </c>
      <c r="H26" s="233"/>
      <c r="I26" s="182"/>
      <c r="J26" s="196">
        <f t="shared" si="0"/>
        <v>4193322.8560000001</v>
      </c>
      <c r="K26" s="196">
        <f t="shared" si="0"/>
        <v>4064956.4709999999</v>
      </c>
      <c r="L26" s="231">
        <f t="shared" si="3"/>
        <v>-3.1</v>
      </c>
      <c r="M26" s="74"/>
    </row>
    <row r="27" spans="1:23" s="135" customFormat="1" ht="18.75" x14ac:dyDescent="0.3">
      <c r="A27" s="137" t="s">
        <v>132</v>
      </c>
      <c r="B27" s="110">
        <f>'Tabel 1.1'!G31</f>
        <v>930409366.95373988</v>
      </c>
      <c r="C27" s="198">
        <f>'Tabel 1.1'!H31</f>
        <v>953364283.5438199</v>
      </c>
      <c r="D27" s="233">
        <f t="shared" si="4"/>
        <v>2.5</v>
      </c>
      <c r="E27" s="138"/>
      <c r="F27" s="198">
        <f>'Tabel 1.1'!G45</f>
        <v>206431499.22013998</v>
      </c>
      <c r="G27" s="198">
        <f>'Tabel 1.1'!H45</f>
        <v>258474537.68822002</v>
      </c>
      <c r="H27" s="233">
        <f t="shared" si="2"/>
        <v>25.2</v>
      </c>
      <c r="I27" s="138"/>
      <c r="J27" s="198">
        <f t="shared" si="0"/>
        <v>1136840866.1738799</v>
      </c>
      <c r="K27" s="198">
        <f t="shared" si="0"/>
        <v>1211838821.2320399</v>
      </c>
      <c r="L27" s="231">
        <f t="shared" si="3"/>
        <v>6.6</v>
      </c>
      <c r="M27" s="75"/>
      <c r="N27" s="134"/>
      <c r="O27" s="134"/>
    </row>
    <row r="28" spans="1:23" ht="18.75" x14ac:dyDescent="0.3">
      <c r="A28" s="137"/>
      <c r="B28" s="104"/>
      <c r="C28" s="196"/>
      <c r="D28" s="233"/>
      <c r="E28" s="182"/>
      <c r="F28" s="196"/>
      <c r="G28" s="196"/>
      <c r="H28" s="233"/>
      <c r="I28" s="182"/>
      <c r="J28" s="196">
        <f t="shared" si="0"/>
        <v>0</v>
      </c>
      <c r="K28" s="196">
        <f t="shared" si="0"/>
        <v>0</v>
      </c>
      <c r="L28" s="231"/>
      <c r="M28" s="74"/>
    </row>
    <row r="29" spans="1:23" ht="22.5" x14ac:dyDescent="0.3">
      <c r="A29" s="192" t="s">
        <v>405</v>
      </c>
      <c r="B29" s="200"/>
      <c r="C29" s="203"/>
      <c r="D29" s="196"/>
      <c r="E29" s="182"/>
      <c r="F29" s="196"/>
      <c r="G29" s="196"/>
      <c r="H29" s="233"/>
      <c r="I29" s="182"/>
      <c r="J29" s="196"/>
      <c r="K29" s="196"/>
      <c r="L29" s="231"/>
      <c r="M29" s="74"/>
    </row>
    <row r="30" spans="1:23" ht="18.75" x14ac:dyDescent="0.3">
      <c r="A30" s="193" t="s">
        <v>123</v>
      </c>
      <c r="B30" s="104">
        <f>'Skjema total MA'!B11</f>
        <v>55105</v>
      </c>
      <c r="C30" s="104">
        <f>'Skjema total MA'!C11</f>
        <v>11125</v>
      </c>
      <c r="D30" s="233">
        <f>IF(B30=0, "    ---- ", IF(ABS(ROUND(100/B30*C30-100,1))&lt;999,ROUND(100/B30*C30-100,1),IF(ROUND(100/B30*C30-100,1)&gt;999,999,-999)))</f>
        <v>-79.8</v>
      </c>
      <c r="E30" s="182"/>
      <c r="F30" s="196">
        <f>'Skjema total MA'!E11</f>
        <v>239573.11532000001</v>
      </c>
      <c r="G30" s="196">
        <f>'Skjema total MA'!F11</f>
        <v>160937.64699000001</v>
      </c>
      <c r="H30" s="233">
        <f t="shared" si="2"/>
        <v>-32.799999999999997</v>
      </c>
      <c r="I30" s="182"/>
      <c r="J30" s="196">
        <f t="shared" si="0"/>
        <v>294678.11531999998</v>
      </c>
      <c r="K30" s="196">
        <f t="shared" si="0"/>
        <v>172062.64699000001</v>
      </c>
      <c r="L30" s="231">
        <f t="shared" si="3"/>
        <v>-41.6</v>
      </c>
      <c r="M30" s="74"/>
    </row>
    <row r="31" spans="1:23" ht="18.75" x14ac:dyDescent="0.3">
      <c r="A31" s="193" t="s">
        <v>124</v>
      </c>
      <c r="B31" s="104">
        <f>'Skjema total MA'!B32</f>
        <v>27549.156279999999</v>
      </c>
      <c r="C31" s="104">
        <f>'Skjema total MA'!C32</f>
        <v>23479.014999999999</v>
      </c>
      <c r="D31" s="233">
        <f t="shared" ref="D31:D38" si="5">IF(B31=0, "    ---- ", IF(ABS(ROUND(100/B31*C31-100,1))&lt;999,ROUND(100/B31*C31-100,1),IF(ROUND(100/B31*C31-100,1)&gt;999,999,-999)))</f>
        <v>-14.8</v>
      </c>
      <c r="E31" s="182"/>
      <c r="F31" s="196">
        <f>'Skjema total MA'!E32</f>
        <v>-2656.7276399999992</v>
      </c>
      <c r="G31" s="196">
        <f>'Skjema total MA'!F32</f>
        <v>18732.257140000002</v>
      </c>
      <c r="H31" s="233">
        <f t="shared" si="2"/>
        <v>-805.1</v>
      </c>
      <c r="I31" s="182"/>
      <c r="J31" s="196">
        <f t="shared" si="0"/>
        <v>24892.428639999998</v>
      </c>
      <c r="K31" s="196">
        <f t="shared" si="0"/>
        <v>42211.272140000001</v>
      </c>
      <c r="L31" s="231">
        <f t="shared" si="3"/>
        <v>69.599999999999994</v>
      </c>
      <c r="M31" s="74"/>
    </row>
    <row r="32" spans="1:23" ht="18.75" x14ac:dyDescent="0.3">
      <c r="A32" s="193" t="s">
        <v>126</v>
      </c>
      <c r="B32" s="104">
        <f>'Skjema total MA'!B109</f>
        <v>543703.61654000008</v>
      </c>
      <c r="C32" s="104">
        <f>'Skjema total MA'!C109</f>
        <v>348180.27505</v>
      </c>
      <c r="D32" s="233">
        <f t="shared" si="5"/>
        <v>-36</v>
      </c>
      <c r="E32" s="182"/>
      <c r="F32" s="196">
        <f>'Skjema total MA'!E109</f>
        <v>3032397.5708900001</v>
      </c>
      <c r="G32" s="196">
        <f>'Skjema total MA'!F109</f>
        <v>6470682.6570500005</v>
      </c>
      <c r="H32" s="233">
        <f t="shared" si="2"/>
        <v>113.4</v>
      </c>
      <c r="I32" s="182"/>
      <c r="J32" s="196">
        <f t="shared" si="0"/>
        <v>3576101.1874299999</v>
      </c>
      <c r="K32" s="196">
        <f t="shared" si="0"/>
        <v>6818862.9321000008</v>
      </c>
      <c r="L32" s="231">
        <f t="shared" si="3"/>
        <v>90.7</v>
      </c>
      <c r="M32" s="74"/>
    </row>
    <row r="33" spans="1:15" ht="22.5" x14ac:dyDescent="0.3">
      <c r="A33" s="193" t="s">
        <v>403</v>
      </c>
      <c r="B33" s="104">
        <f>'Skjema total MA'!B134</f>
        <v>1738468.5430000001</v>
      </c>
      <c r="C33" s="104">
        <f>'Skjema total MA'!C134</f>
        <v>183490.30300000001</v>
      </c>
      <c r="D33" s="233">
        <f t="shared" si="5"/>
        <v>-89.4</v>
      </c>
      <c r="E33" s="182"/>
      <c r="F33" s="196">
        <f>'Skjema total MA'!E134</f>
        <v>0</v>
      </c>
      <c r="G33" s="196">
        <f>'Skjema total MA'!F134</f>
        <v>24988.125</v>
      </c>
      <c r="H33" s="233"/>
      <c r="I33" s="182"/>
      <c r="J33" s="196">
        <f t="shared" si="0"/>
        <v>1738468.5430000001</v>
      </c>
      <c r="K33" s="196">
        <f t="shared" si="0"/>
        <v>208478.42800000001</v>
      </c>
      <c r="L33" s="231">
        <f t="shared" si="3"/>
        <v>-88</v>
      </c>
      <c r="M33" s="74"/>
    </row>
    <row r="34" spans="1:15" ht="18.75" x14ac:dyDescent="0.3">
      <c r="A34" s="193" t="s">
        <v>129</v>
      </c>
      <c r="B34" s="104">
        <f>'Skjema total MA'!B36</f>
        <v>0</v>
      </c>
      <c r="C34" s="104">
        <f>'Skjema total MA'!C36</f>
        <v>0</v>
      </c>
      <c r="D34" s="233"/>
      <c r="E34" s="182"/>
      <c r="F34" s="196">
        <f>'Skjema total MA'!E36</f>
        <v>0</v>
      </c>
      <c r="G34" s="196">
        <f>'Skjema total MA'!F36</f>
        <v>0</v>
      </c>
      <c r="H34" s="233"/>
      <c r="I34" s="182"/>
      <c r="J34" s="196">
        <f t="shared" si="0"/>
        <v>0</v>
      </c>
      <c r="K34" s="196">
        <f t="shared" si="0"/>
        <v>0</v>
      </c>
      <c r="L34" s="231"/>
      <c r="M34" s="74"/>
    </row>
    <row r="35" spans="1:15" s="135" customFormat="1" ht="18.75" x14ac:dyDescent="0.3">
      <c r="A35" s="137" t="s">
        <v>133</v>
      </c>
      <c r="B35" s="110">
        <f>SUM(B30:B34)</f>
        <v>2364826.3158200001</v>
      </c>
      <c r="C35" s="198">
        <f>SUM(C30:C34)</f>
        <v>566274.59305000002</v>
      </c>
      <c r="D35" s="233">
        <f t="shared" si="5"/>
        <v>-76.099999999999994</v>
      </c>
      <c r="E35" s="138"/>
      <c r="F35" s="198">
        <f>SUM(F30:F34)</f>
        <v>3269313.9585700002</v>
      </c>
      <c r="G35" s="198">
        <f>SUM(G30:G34)</f>
        <v>6675340.6861800002</v>
      </c>
      <c r="H35" s="233">
        <f t="shared" si="2"/>
        <v>104.2</v>
      </c>
      <c r="I35" s="138"/>
      <c r="J35" s="198">
        <f t="shared" si="0"/>
        <v>5634140.2743900008</v>
      </c>
      <c r="K35" s="198">
        <f t="shared" si="0"/>
        <v>7241615.2792300005</v>
      </c>
      <c r="L35" s="231">
        <f t="shared" si="3"/>
        <v>28.5</v>
      </c>
      <c r="M35" s="75"/>
    </row>
    <row r="36" spans="1:15" ht="18.75" x14ac:dyDescent="0.3">
      <c r="A36" s="137"/>
      <c r="B36" s="110"/>
      <c r="C36" s="198"/>
      <c r="D36" s="233"/>
      <c r="E36" s="138"/>
      <c r="F36" s="198"/>
      <c r="G36" s="198"/>
      <c r="H36" s="233"/>
      <c r="I36" s="138"/>
      <c r="J36" s="196"/>
      <c r="K36" s="196"/>
      <c r="L36" s="231"/>
      <c r="M36" s="74"/>
    </row>
    <row r="37" spans="1:15" ht="22.5" x14ac:dyDescent="0.3">
      <c r="A37" s="137" t="s">
        <v>406</v>
      </c>
      <c r="B37" s="110"/>
      <c r="C37" s="198"/>
      <c r="D37" s="196"/>
      <c r="E37" s="138"/>
      <c r="F37" s="198"/>
      <c r="G37" s="198"/>
      <c r="H37" s="233"/>
      <c r="I37" s="138"/>
      <c r="J37" s="196"/>
      <c r="K37" s="196"/>
      <c r="L37" s="231"/>
      <c r="M37" s="74"/>
    </row>
    <row r="38" spans="1:15" s="135" customFormat="1" ht="18.75" x14ac:dyDescent="0.3">
      <c r="A38" s="137" t="s">
        <v>125</v>
      </c>
      <c r="B38" s="110">
        <f>'Skjema total MA'!B51</f>
        <v>142588.90299999999</v>
      </c>
      <c r="C38" s="110">
        <f>'Skjema total MA'!C51</f>
        <v>141666.20300000001</v>
      </c>
      <c r="D38" s="233">
        <f t="shared" si="5"/>
        <v>-0.6</v>
      </c>
      <c r="E38" s="138"/>
      <c r="F38" s="198"/>
      <c r="G38" s="198"/>
      <c r="H38" s="233"/>
      <c r="I38" s="138"/>
      <c r="J38" s="198">
        <f t="shared" si="0"/>
        <v>142588.90299999999</v>
      </c>
      <c r="K38" s="198">
        <f t="shared" si="0"/>
        <v>141666.20300000001</v>
      </c>
      <c r="L38" s="231">
        <f t="shared" si="3"/>
        <v>-0.6</v>
      </c>
      <c r="M38" s="75"/>
    </row>
    <row r="39" spans="1:15" ht="18.75" x14ac:dyDescent="0.3">
      <c r="A39" s="137"/>
      <c r="B39" s="110"/>
      <c r="C39" s="198"/>
      <c r="D39" s="196"/>
      <c r="E39" s="138"/>
      <c r="F39" s="198"/>
      <c r="G39" s="198"/>
      <c r="H39" s="233"/>
      <c r="I39" s="138"/>
      <c r="J39" s="196"/>
      <c r="K39" s="196"/>
      <c r="L39" s="231"/>
      <c r="M39" s="74"/>
    </row>
    <row r="40" spans="1:15" ht="22.5" x14ac:dyDescent="0.3">
      <c r="A40" s="192" t="s">
        <v>407</v>
      </c>
      <c r="B40" s="200"/>
      <c r="C40" s="203"/>
      <c r="D40" s="196"/>
      <c r="E40" s="182"/>
      <c r="F40" s="196"/>
      <c r="G40" s="196"/>
      <c r="H40" s="233"/>
      <c r="I40" s="182"/>
      <c r="J40" s="196"/>
      <c r="K40" s="196"/>
      <c r="L40" s="231"/>
      <c r="M40" s="74"/>
    </row>
    <row r="41" spans="1:15" ht="18.75" x14ac:dyDescent="0.3">
      <c r="A41" s="193" t="s">
        <v>123</v>
      </c>
      <c r="B41" s="104">
        <f>'Skjema total MA'!B12</f>
        <v>26669.740440000001</v>
      </c>
      <c r="C41" s="104">
        <f>'Skjema total MA'!C12</f>
        <v>716</v>
      </c>
      <c r="D41" s="233">
        <f>IF(B41=0, "    ---- ", IF(ABS(ROUND(100/B41*C41-100,1))&lt;999,ROUND(100/B41*C41-100,1),IF(ROUND(100/B41*C41-100,1)&gt;999,999,-999)))</f>
        <v>-97.3</v>
      </c>
      <c r="E41" s="182"/>
      <c r="F41" s="196">
        <f>'Skjema total MA'!E12</f>
        <v>77556.113299999997</v>
      </c>
      <c r="G41" s="196">
        <f>'Skjema total MA'!F12</f>
        <v>73601.430009999996</v>
      </c>
      <c r="H41" s="233">
        <f t="shared" si="2"/>
        <v>-5.0999999999999996</v>
      </c>
      <c r="I41" s="182"/>
      <c r="J41" s="196">
        <f t="shared" si="0"/>
        <v>104225.85373999999</v>
      </c>
      <c r="K41" s="196">
        <f t="shared" si="0"/>
        <v>74317.430009999996</v>
      </c>
      <c r="L41" s="231">
        <f t="shared" si="3"/>
        <v>-28.7</v>
      </c>
      <c r="M41" s="74"/>
    </row>
    <row r="42" spans="1:15" ht="18.75" x14ac:dyDescent="0.3">
      <c r="A42" s="193" t="s">
        <v>124</v>
      </c>
      <c r="B42" s="104">
        <f>'Skjema total MA'!B33</f>
        <v>-49803.512549999999</v>
      </c>
      <c r="C42" s="104">
        <f>'Skjema total MA'!C33</f>
        <v>-31174.214189999999</v>
      </c>
      <c r="D42" s="233">
        <f t="shared" ref="D42:D46" si="6">IF(B42=0, "    ---- ", IF(ABS(ROUND(100/B42*C42-100,1))&lt;999,ROUND(100/B42*C42-100,1),IF(ROUND(100/B42*C42-100,1)&gt;999,999,-999)))</f>
        <v>-37.4</v>
      </c>
      <c r="E42" s="182"/>
      <c r="F42" s="196">
        <f>'Skjema total MA'!E33</f>
        <v>51565.633950000003</v>
      </c>
      <c r="G42" s="196">
        <f>'Skjema total MA'!F33</f>
        <v>65486.656130000003</v>
      </c>
      <c r="H42" s="233">
        <f t="shared" si="2"/>
        <v>27</v>
      </c>
      <c r="I42" s="182"/>
      <c r="J42" s="196">
        <f t="shared" si="0"/>
        <v>1762.1214000000036</v>
      </c>
      <c r="K42" s="196">
        <f t="shared" si="0"/>
        <v>34312.441940000004</v>
      </c>
      <c r="L42" s="231">
        <f t="shared" si="3"/>
        <v>999</v>
      </c>
      <c r="M42" s="74"/>
    </row>
    <row r="43" spans="1:15" ht="18.75" x14ac:dyDescent="0.3">
      <c r="A43" s="193" t="s">
        <v>126</v>
      </c>
      <c r="B43" s="104">
        <f>'Skjema total MA'!B117</f>
        <v>574390.6490199999</v>
      </c>
      <c r="C43" s="104">
        <f>'Skjema total MA'!C117</f>
        <v>293360.44446999981</v>
      </c>
      <c r="D43" s="233">
        <f t="shared" si="6"/>
        <v>-48.9</v>
      </c>
      <c r="E43" s="182"/>
      <c r="F43" s="196">
        <f>'Skjema total MA'!E117</f>
        <v>2923270.8830299997</v>
      </c>
      <c r="G43" s="196">
        <f>'Skjema total MA'!F117</f>
        <v>6447022.6469000001</v>
      </c>
      <c r="H43" s="233">
        <f t="shared" si="2"/>
        <v>120.5</v>
      </c>
      <c r="I43" s="182"/>
      <c r="J43" s="196">
        <f t="shared" si="0"/>
        <v>3497661.5320499996</v>
      </c>
      <c r="K43" s="196">
        <f t="shared" si="0"/>
        <v>6740383.0913699996</v>
      </c>
      <c r="L43" s="231">
        <f t="shared" si="3"/>
        <v>92.7</v>
      </c>
      <c r="M43" s="74"/>
    </row>
    <row r="44" spans="1:15" ht="22.5" x14ac:dyDescent="0.3">
      <c r="A44" s="193" t="s">
        <v>403</v>
      </c>
      <c r="B44" s="104">
        <f>'Skjema total MA'!B135</f>
        <v>1924172.7790000001</v>
      </c>
      <c r="C44" s="104">
        <f>'Skjema total MA'!C135</f>
        <v>354138.24600000004</v>
      </c>
      <c r="D44" s="233">
        <f t="shared" si="6"/>
        <v>-81.599999999999994</v>
      </c>
      <c r="E44" s="182"/>
      <c r="F44" s="196">
        <f>'Skjema total MA'!E135</f>
        <v>0</v>
      </c>
      <c r="G44" s="196">
        <f>'Skjema total MA'!F135</f>
        <v>0</v>
      </c>
      <c r="H44" s="233"/>
      <c r="I44" s="182"/>
      <c r="J44" s="196">
        <f t="shared" si="0"/>
        <v>1924172.7790000001</v>
      </c>
      <c r="K44" s="196">
        <f t="shared" si="0"/>
        <v>354138.24600000004</v>
      </c>
      <c r="L44" s="231">
        <f t="shared" si="3"/>
        <v>-81.599999999999994</v>
      </c>
      <c r="M44" s="74"/>
    </row>
    <row r="45" spans="1:15" ht="18.75" x14ac:dyDescent="0.3">
      <c r="A45" s="193" t="s">
        <v>129</v>
      </c>
      <c r="B45" s="104">
        <f>'Skjema total MA'!B37</f>
        <v>9</v>
      </c>
      <c r="C45" s="104">
        <f>'Skjema total MA'!C37</f>
        <v>4</v>
      </c>
      <c r="D45" s="233">
        <f t="shared" si="6"/>
        <v>-55.6</v>
      </c>
      <c r="E45" s="182"/>
      <c r="F45" s="196"/>
      <c r="G45" s="196"/>
      <c r="H45" s="233"/>
      <c r="I45" s="182"/>
      <c r="J45" s="196">
        <f t="shared" si="0"/>
        <v>9</v>
      </c>
      <c r="K45" s="196">
        <f t="shared" si="0"/>
        <v>4</v>
      </c>
      <c r="L45" s="231">
        <f t="shared" si="3"/>
        <v>-55.6</v>
      </c>
      <c r="M45" s="74"/>
    </row>
    <row r="46" spans="1:15" s="135" customFormat="1" ht="18.75" x14ac:dyDescent="0.3">
      <c r="A46" s="137" t="s">
        <v>134</v>
      </c>
      <c r="B46" s="110">
        <f>SUM(B41:B45)</f>
        <v>2475438.6559100002</v>
      </c>
      <c r="C46" s="198">
        <f>SUM(C41:C45)</f>
        <v>617044.47627999983</v>
      </c>
      <c r="D46" s="233">
        <f t="shared" si="6"/>
        <v>-75.099999999999994</v>
      </c>
      <c r="E46" s="138"/>
      <c r="F46" s="198">
        <f>SUM(F41:F45)</f>
        <v>3052392.6302799997</v>
      </c>
      <c r="G46" s="277">
        <f>SUM(G41:G45)</f>
        <v>6586110.7330400003</v>
      </c>
      <c r="H46" s="233">
        <f t="shared" si="2"/>
        <v>115.8</v>
      </c>
      <c r="I46" s="138"/>
      <c r="J46" s="198">
        <f t="shared" si="0"/>
        <v>5527831.2861899994</v>
      </c>
      <c r="K46" s="198">
        <f t="shared" si="0"/>
        <v>7203155.2093200004</v>
      </c>
      <c r="L46" s="231">
        <f t="shared" si="3"/>
        <v>30.3</v>
      </c>
      <c r="M46" s="75"/>
      <c r="N46" s="134"/>
      <c r="O46" s="134"/>
    </row>
    <row r="47" spans="1:15" ht="18.75" x14ac:dyDescent="0.3">
      <c r="A47" s="137"/>
      <c r="B47" s="110"/>
      <c r="C47" s="198"/>
      <c r="D47" s="196"/>
      <c r="E47" s="138"/>
      <c r="F47" s="198"/>
      <c r="G47" s="198"/>
      <c r="H47" s="233"/>
      <c r="I47" s="138"/>
      <c r="J47" s="196"/>
      <c r="K47" s="196"/>
      <c r="L47" s="231"/>
      <c r="M47" s="74"/>
    </row>
    <row r="48" spans="1:15" ht="22.5" x14ac:dyDescent="0.3">
      <c r="A48" s="137" t="s">
        <v>408</v>
      </c>
      <c r="B48" s="110"/>
      <c r="C48" s="198"/>
      <c r="D48" s="196"/>
      <c r="E48" s="138"/>
      <c r="F48" s="198"/>
      <c r="G48" s="198"/>
      <c r="H48" s="233"/>
      <c r="I48" s="138"/>
      <c r="J48" s="196"/>
      <c r="K48" s="196"/>
      <c r="L48" s="231"/>
      <c r="M48" s="74"/>
    </row>
    <row r="49" spans="1:15" s="135" customFormat="1" ht="18.75" x14ac:dyDescent="0.3">
      <c r="A49" s="137" t="s">
        <v>125</v>
      </c>
      <c r="B49" s="110">
        <f>'Skjema total MA'!B54</f>
        <v>131957.84700000001</v>
      </c>
      <c r="C49" s="110">
        <f>'Skjema total MA'!C54</f>
        <v>86314.465999999986</v>
      </c>
      <c r="D49" s="233">
        <f t="shared" ref="D49" si="7">IF(B49=0, "    ---- ", IF(ABS(ROUND(100/B49*C49-100,1))&lt;999,ROUND(100/B49*C49-100,1),IF(ROUND(100/B49*C49-100,1)&gt;999,999,-999)))</f>
        <v>-34.6</v>
      </c>
      <c r="E49" s="138"/>
      <c r="F49" s="198"/>
      <c r="G49" s="198"/>
      <c r="H49" s="233"/>
      <c r="I49" s="138"/>
      <c r="J49" s="198">
        <f>SUM(B49+F49)</f>
        <v>131957.84700000001</v>
      </c>
      <c r="K49" s="198">
        <f>SUM(C49+G49)</f>
        <v>86314.465999999986</v>
      </c>
      <c r="L49" s="231">
        <f t="shared" si="3"/>
        <v>-34.6</v>
      </c>
      <c r="M49" s="75"/>
    </row>
    <row r="50" spans="1:15" ht="18.75" x14ac:dyDescent="0.3">
      <c r="A50" s="137"/>
      <c r="B50" s="104"/>
      <c r="C50" s="196"/>
      <c r="D50" s="196"/>
      <c r="E50" s="182"/>
      <c r="F50" s="196"/>
      <c r="G50" s="196"/>
      <c r="H50" s="233"/>
      <c r="I50" s="182"/>
      <c r="J50" s="196"/>
      <c r="K50" s="196"/>
      <c r="L50" s="231"/>
      <c r="M50" s="74"/>
    </row>
    <row r="51" spans="1:15" ht="21.75" x14ac:dyDescent="0.3">
      <c r="A51" s="192" t="s">
        <v>409</v>
      </c>
      <c r="B51" s="104"/>
      <c r="C51" s="196"/>
      <c r="D51" s="196"/>
      <c r="E51" s="182"/>
      <c r="F51" s="196"/>
      <c r="G51" s="196"/>
      <c r="H51" s="233"/>
      <c r="I51" s="182"/>
      <c r="J51" s="196"/>
      <c r="K51" s="196"/>
      <c r="L51" s="231"/>
      <c r="M51" s="74"/>
    </row>
    <row r="52" spans="1:15" ht="18.75" x14ac:dyDescent="0.3">
      <c r="A52" s="193" t="s">
        <v>123</v>
      </c>
      <c r="B52" s="104">
        <f>B30-B41</f>
        <v>28435.259559999999</v>
      </c>
      <c r="C52" s="196">
        <f>C30-C41</f>
        <v>10409</v>
      </c>
      <c r="D52" s="233">
        <f>IF(B52=0, "    ---- ", IF(ABS(ROUND(100/B52*C52-100,1))&lt;999,ROUND(100/B52*C52-100,1),IF(ROUND(100/B52*C52-100,1)&gt;999,999,-999)))</f>
        <v>-63.4</v>
      </c>
      <c r="E52" s="182"/>
      <c r="F52" s="196">
        <f>F30-F41</f>
        <v>162017.00202000001</v>
      </c>
      <c r="G52" s="196">
        <f>G30-G41</f>
        <v>87336.216980000012</v>
      </c>
      <c r="H52" s="233">
        <f t="shared" si="2"/>
        <v>-46.1</v>
      </c>
      <c r="I52" s="182"/>
      <c r="J52" s="196">
        <f t="shared" si="0"/>
        <v>190452.26158000002</v>
      </c>
      <c r="K52" s="196">
        <f t="shared" si="0"/>
        <v>97745.216980000012</v>
      </c>
      <c r="L52" s="231">
        <f t="shared" si="3"/>
        <v>-48.7</v>
      </c>
      <c r="M52" s="74"/>
    </row>
    <row r="53" spans="1:15" ht="18.75" x14ac:dyDescent="0.3">
      <c r="A53" s="193" t="s">
        <v>124</v>
      </c>
      <c r="B53" s="104">
        <f t="shared" ref="B53:C56" si="8">B31-B42</f>
        <v>77352.668829999995</v>
      </c>
      <c r="C53" s="196">
        <f t="shared" si="8"/>
        <v>54653.229189999998</v>
      </c>
      <c r="D53" s="233">
        <f t="shared" ref="D53:D60" si="9">IF(B53=0, "    ---- ", IF(ABS(ROUND(100/B53*C53-100,1))&lt;999,ROUND(100/B53*C53-100,1),IF(ROUND(100/B53*C53-100,1)&gt;999,999,-999)))</f>
        <v>-29.3</v>
      </c>
      <c r="E53" s="182"/>
      <c r="F53" s="196">
        <f t="shared" ref="F53:G56" si="10">F31-F42</f>
        <v>-54222.36159</v>
      </c>
      <c r="G53" s="196">
        <f t="shared" si="10"/>
        <v>-46754.398990000002</v>
      </c>
      <c r="H53" s="233">
        <f t="shared" si="2"/>
        <v>-13.8</v>
      </c>
      <c r="I53" s="182"/>
      <c r="J53" s="196">
        <f t="shared" si="0"/>
        <v>23130.307239999995</v>
      </c>
      <c r="K53" s="196">
        <f t="shared" si="0"/>
        <v>7898.8301999999967</v>
      </c>
      <c r="L53" s="231">
        <f t="shared" si="3"/>
        <v>-65.900000000000006</v>
      </c>
      <c r="M53" s="74"/>
    </row>
    <row r="54" spans="1:15" ht="18.75" x14ac:dyDescent="0.3">
      <c r="A54" s="193" t="s">
        <v>126</v>
      </c>
      <c r="B54" s="104">
        <f t="shared" si="8"/>
        <v>-30687.03247999982</v>
      </c>
      <c r="C54" s="196">
        <f t="shared" si="8"/>
        <v>54819.830580000184</v>
      </c>
      <c r="D54" s="233">
        <f t="shared" si="9"/>
        <v>-278.60000000000002</v>
      </c>
      <c r="E54" s="182"/>
      <c r="F54" s="196">
        <f t="shared" si="10"/>
        <v>109126.68786000041</v>
      </c>
      <c r="G54" s="196">
        <f t="shared" si="10"/>
        <v>23660.010150000453</v>
      </c>
      <c r="H54" s="233">
        <f t="shared" si="2"/>
        <v>-78.3</v>
      </c>
      <c r="I54" s="182"/>
      <c r="J54" s="196">
        <f t="shared" si="0"/>
        <v>78439.655380000593</v>
      </c>
      <c r="K54" s="196">
        <f t="shared" si="0"/>
        <v>78479.840730000637</v>
      </c>
      <c r="L54" s="231">
        <f t="shared" si="3"/>
        <v>0.1</v>
      </c>
      <c r="M54" s="74"/>
    </row>
    <row r="55" spans="1:15" ht="22.5" x14ac:dyDescent="0.3">
      <c r="A55" s="193" t="s">
        <v>403</v>
      </c>
      <c r="B55" s="104">
        <f t="shared" si="8"/>
        <v>-185704.23600000003</v>
      </c>
      <c r="C55" s="196">
        <f t="shared" si="8"/>
        <v>-170647.94300000003</v>
      </c>
      <c r="D55" s="233">
        <f t="shared" si="9"/>
        <v>-8.1</v>
      </c>
      <c r="E55" s="182"/>
      <c r="F55" s="196">
        <f t="shared" si="10"/>
        <v>0</v>
      </c>
      <c r="G55" s="196">
        <f t="shared" si="10"/>
        <v>24988.125</v>
      </c>
      <c r="H55" s="233"/>
      <c r="I55" s="182"/>
      <c r="J55" s="196">
        <f t="shared" si="0"/>
        <v>-185704.23600000003</v>
      </c>
      <c r="K55" s="196">
        <f t="shared" si="0"/>
        <v>-145659.81800000003</v>
      </c>
      <c r="L55" s="231">
        <f t="shared" si="3"/>
        <v>-21.6</v>
      </c>
      <c r="M55" s="74"/>
    </row>
    <row r="56" spans="1:15" ht="18.75" x14ac:dyDescent="0.3">
      <c r="A56" s="193" t="s">
        <v>129</v>
      </c>
      <c r="B56" s="104">
        <f t="shared" si="8"/>
        <v>-9</v>
      </c>
      <c r="C56" s="196">
        <f t="shared" si="8"/>
        <v>-4</v>
      </c>
      <c r="D56" s="233">
        <f t="shared" si="9"/>
        <v>-55.6</v>
      </c>
      <c r="E56" s="182"/>
      <c r="F56" s="196">
        <f t="shared" si="10"/>
        <v>0</v>
      </c>
      <c r="G56" s="196">
        <f t="shared" si="10"/>
        <v>0</v>
      </c>
      <c r="H56" s="233"/>
      <c r="I56" s="182"/>
      <c r="J56" s="196">
        <f t="shared" si="0"/>
        <v>-9</v>
      </c>
      <c r="K56" s="196">
        <f t="shared" si="0"/>
        <v>-4</v>
      </c>
      <c r="L56" s="231">
        <f t="shared" si="3"/>
        <v>-55.6</v>
      </c>
      <c r="M56" s="74"/>
    </row>
    <row r="57" spans="1:15" s="135" customFormat="1" ht="18.75" x14ac:dyDescent="0.3">
      <c r="A57" s="137" t="s">
        <v>135</v>
      </c>
      <c r="B57" s="110">
        <f>SUM(B52:B56)</f>
        <v>-110612.34008999987</v>
      </c>
      <c r="C57" s="198">
        <f>SUM(C52:C56)</f>
        <v>-50769.883229999847</v>
      </c>
      <c r="D57" s="233">
        <f>IF(B57=0, "    ---- ", IF(ABS(ROUND(100/B57*C57-100,1))&lt;999,ROUND(100/B57*C57-100,1),IF(ROUND(100/B57*C57-100,1)&gt;999,999,-999)))</f>
        <v>-54.1</v>
      </c>
      <c r="E57" s="138"/>
      <c r="F57" s="198">
        <f>SUM(F52:F56)</f>
        <v>216921.32829000044</v>
      </c>
      <c r="G57" s="277">
        <f>SUM(G52:G56)</f>
        <v>89229.953140000463</v>
      </c>
      <c r="H57" s="233">
        <f t="shared" si="2"/>
        <v>-58.9</v>
      </c>
      <c r="I57" s="138"/>
      <c r="J57" s="198">
        <f t="shared" si="0"/>
        <v>106308.98820000057</v>
      </c>
      <c r="K57" s="196">
        <f t="shared" si="0"/>
        <v>38460.069910000617</v>
      </c>
      <c r="L57" s="231">
        <f t="shared" si="3"/>
        <v>-63.8</v>
      </c>
      <c r="M57" s="75"/>
      <c r="N57" s="134"/>
      <c r="O57" s="134"/>
    </row>
    <row r="58" spans="1:15" ht="18.75" x14ac:dyDescent="0.3">
      <c r="A58" s="137"/>
      <c r="B58" s="110"/>
      <c r="C58" s="198"/>
      <c r="D58" s="233"/>
      <c r="E58" s="138"/>
      <c r="F58" s="198"/>
      <c r="G58" s="198"/>
      <c r="H58" s="233"/>
      <c r="I58" s="138"/>
      <c r="J58" s="198"/>
      <c r="K58" s="196"/>
      <c r="L58" s="231"/>
      <c r="M58" s="74"/>
    </row>
    <row r="59" spans="1:15" ht="22.5" x14ac:dyDescent="0.3">
      <c r="A59" s="137" t="s">
        <v>410</v>
      </c>
      <c r="B59" s="110"/>
      <c r="C59" s="198"/>
      <c r="D59" s="233"/>
      <c r="E59" s="138"/>
      <c r="F59" s="198"/>
      <c r="G59" s="198"/>
      <c r="H59" s="233"/>
      <c r="I59" s="138"/>
      <c r="J59" s="198"/>
      <c r="K59" s="196"/>
      <c r="L59" s="231"/>
      <c r="M59" s="74"/>
    </row>
    <row r="60" spans="1:15" s="135" customFormat="1" ht="18.75" x14ac:dyDescent="0.3">
      <c r="A60" s="137" t="s">
        <v>125</v>
      </c>
      <c r="B60" s="110">
        <f>B38-B49</f>
        <v>10631.055999999982</v>
      </c>
      <c r="C60" s="198">
        <f>C38-C49</f>
        <v>55351.737000000023</v>
      </c>
      <c r="D60" s="233">
        <f t="shared" si="9"/>
        <v>420.7</v>
      </c>
      <c r="E60" s="138"/>
      <c r="F60" s="198">
        <f>F38-F49</f>
        <v>0</v>
      </c>
      <c r="G60" s="198">
        <f>G38-G49</f>
        <v>0</v>
      </c>
      <c r="H60" s="233"/>
      <c r="I60" s="138"/>
      <c r="J60" s="198">
        <f t="shared" si="0"/>
        <v>10631.055999999982</v>
      </c>
      <c r="K60" s="196">
        <f t="shared" si="0"/>
        <v>55351.737000000023</v>
      </c>
      <c r="L60" s="231">
        <f t="shared" si="3"/>
        <v>420.7</v>
      </c>
      <c r="M60" s="75"/>
    </row>
    <row r="61" spans="1:15" s="135" customFormat="1" ht="18.75" x14ac:dyDescent="0.3">
      <c r="A61" s="195"/>
      <c r="B61" s="115"/>
      <c r="C61" s="199"/>
      <c r="D61" s="204"/>
      <c r="E61" s="138"/>
      <c r="F61" s="199"/>
      <c r="G61" s="199"/>
      <c r="H61" s="204"/>
      <c r="I61" s="138"/>
      <c r="J61" s="204"/>
      <c r="K61" s="204"/>
      <c r="L61" s="204"/>
      <c r="M61" s="75"/>
    </row>
    <row r="62" spans="1:15" ht="18.75" x14ac:dyDescent="0.3">
      <c r="A62" s="112" t="s">
        <v>136</v>
      </c>
      <c r="C62" s="139"/>
      <c r="D62" s="139"/>
      <c r="E62" s="139"/>
      <c r="F62" s="139"/>
      <c r="G62" s="112"/>
      <c r="H62" s="74"/>
      <c r="I62" s="112"/>
      <c r="J62" s="112"/>
      <c r="K62" s="112"/>
      <c r="L62" s="74"/>
      <c r="M62" s="74"/>
    </row>
    <row r="63" spans="1:15" ht="18.75" x14ac:dyDescent="0.3">
      <c r="A63" s="112" t="s">
        <v>137</v>
      </c>
      <c r="C63" s="139"/>
      <c r="D63" s="139"/>
      <c r="E63" s="139"/>
      <c r="F63" s="139"/>
      <c r="G63" s="74"/>
      <c r="H63" s="74"/>
      <c r="I63" s="74"/>
      <c r="J63" s="74"/>
      <c r="K63" s="74"/>
      <c r="L63" s="74"/>
      <c r="M63" s="74"/>
    </row>
    <row r="64" spans="1:15" ht="18.75" x14ac:dyDescent="0.3">
      <c r="A64" s="112" t="s">
        <v>116</v>
      </c>
      <c r="B64" s="74"/>
      <c r="C64" s="74"/>
      <c r="D64" s="74"/>
      <c r="E64" s="74"/>
      <c r="F64" s="74"/>
      <c r="G64" s="74"/>
      <c r="H64" s="74"/>
      <c r="I64" s="74"/>
      <c r="J64" s="74"/>
      <c r="K64" s="74"/>
      <c r="L64" s="74"/>
      <c r="M64" s="74"/>
    </row>
    <row r="65" spans="1:13" ht="18.75" x14ac:dyDescent="0.3">
      <c r="A65" s="74"/>
      <c r="C65" s="74"/>
      <c r="D65" s="74"/>
      <c r="E65" s="74"/>
      <c r="F65" s="74"/>
      <c r="G65" s="74"/>
      <c r="H65" s="74"/>
      <c r="I65" s="74"/>
      <c r="J65" s="74"/>
      <c r="K65" s="74"/>
      <c r="L65" s="74"/>
      <c r="M65" s="74"/>
    </row>
    <row r="66" spans="1:13" ht="18.75" x14ac:dyDescent="0.3">
      <c r="A66" s="74"/>
      <c r="B66" s="74"/>
      <c r="C66" s="74"/>
      <c r="D66" s="74"/>
      <c r="E66" s="74"/>
      <c r="F66" s="74"/>
      <c r="G66" s="74"/>
      <c r="H66" s="74"/>
      <c r="I66" s="74"/>
      <c r="J66" s="74"/>
      <c r="K66" s="74"/>
      <c r="L66" s="74"/>
      <c r="M66" s="74"/>
    </row>
    <row r="67" spans="1:13" ht="18.75" x14ac:dyDescent="0.3">
      <c r="A67" s="74"/>
      <c r="B67" s="74"/>
      <c r="C67" s="74"/>
      <c r="D67" s="74"/>
      <c r="E67" s="74"/>
      <c r="F67" s="74"/>
      <c r="G67" s="74"/>
      <c r="H67" s="74"/>
      <c r="I67" s="74"/>
      <c r="J67" s="74"/>
      <c r="K67" s="74"/>
      <c r="L67" s="74"/>
      <c r="M67" s="74"/>
    </row>
    <row r="68" spans="1:13" ht="18.75" x14ac:dyDescent="0.3">
      <c r="A68" s="74"/>
      <c r="B68" s="74"/>
      <c r="C68" s="74"/>
      <c r="D68" s="74"/>
      <c r="E68" s="74"/>
      <c r="F68" s="74"/>
      <c r="G68" s="74"/>
      <c r="H68" s="74"/>
      <c r="I68" s="74"/>
      <c r="J68" s="74"/>
      <c r="K68" s="74"/>
      <c r="L68" s="74"/>
      <c r="M68" s="74"/>
    </row>
    <row r="69" spans="1:13" ht="18.75" x14ac:dyDescent="0.3">
      <c r="A69" s="74"/>
      <c r="B69" s="74"/>
      <c r="C69" s="74"/>
      <c r="D69" s="74"/>
      <c r="E69" s="74"/>
      <c r="F69" s="74"/>
      <c r="G69" s="74"/>
      <c r="H69" s="74"/>
      <c r="I69" s="74"/>
      <c r="J69" s="74"/>
      <c r="K69" s="74"/>
      <c r="L69" s="74"/>
      <c r="M69" s="74"/>
    </row>
    <row r="70" spans="1:13" ht="18.75" x14ac:dyDescent="0.3">
      <c r="A70" s="74"/>
      <c r="B70" s="74"/>
      <c r="C70" s="74"/>
      <c r="D70" s="74"/>
      <c r="E70" s="74"/>
      <c r="F70" s="74"/>
      <c r="G70" s="74"/>
      <c r="H70" s="74"/>
      <c r="I70" s="74"/>
      <c r="J70" s="74"/>
      <c r="K70" s="74"/>
      <c r="L70" s="74"/>
      <c r="M70" s="74"/>
    </row>
    <row r="71" spans="1:13" ht="18.75" x14ac:dyDescent="0.3">
      <c r="A71" s="74"/>
      <c r="B71" s="74"/>
      <c r="C71" s="74"/>
      <c r="D71" s="74"/>
      <c r="E71" s="74"/>
      <c r="F71" s="74"/>
      <c r="G71" s="74"/>
      <c r="H71" s="74"/>
      <c r="I71" s="74"/>
      <c r="J71" s="74"/>
      <c r="K71" s="74"/>
      <c r="L71" s="74"/>
      <c r="M71" s="74"/>
    </row>
    <row r="72" spans="1:13" ht="18.75" x14ac:dyDescent="0.3">
      <c r="A72" s="74"/>
      <c r="B72" s="74"/>
      <c r="C72" s="74"/>
      <c r="D72" s="74"/>
      <c r="E72" s="74"/>
      <c r="F72" s="74"/>
      <c r="G72" s="74"/>
      <c r="H72" s="74"/>
      <c r="I72" s="74"/>
      <c r="J72" s="74"/>
      <c r="K72" s="74"/>
      <c r="L72" s="74"/>
      <c r="M72" s="74"/>
    </row>
    <row r="73" spans="1:13" ht="18.75" x14ac:dyDescent="0.3">
      <c r="A73" s="74"/>
      <c r="B73" s="74"/>
      <c r="C73" s="74"/>
      <c r="D73" s="74"/>
      <c r="E73" s="74"/>
      <c r="F73" s="74"/>
      <c r="G73" s="74"/>
      <c r="H73" s="74"/>
      <c r="I73" s="74"/>
      <c r="J73" s="74"/>
      <c r="K73" s="74"/>
      <c r="L73" s="74"/>
      <c r="M73" s="74"/>
    </row>
    <row r="74" spans="1:13" ht="18.75" x14ac:dyDescent="0.3">
      <c r="A74" s="74"/>
      <c r="B74" s="74"/>
      <c r="C74" s="74"/>
      <c r="D74" s="74"/>
      <c r="E74" s="74"/>
      <c r="F74" s="74"/>
      <c r="G74" s="74"/>
      <c r="H74" s="74"/>
      <c r="I74" s="74"/>
      <c r="J74" s="74"/>
      <c r="K74" s="74"/>
      <c r="L74" s="74"/>
      <c r="M74" s="74"/>
    </row>
    <row r="75" spans="1:13" ht="18.75" x14ac:dyDescent="0.3">
      <c r="A75" s="74"/>
      <c r="B75" s="74"/>
      <c r="C75" s="74"/>
      <c r="D75" s="74"/>
      <c r="E75" s="74"/>
      <c r="F75" s="74"/>
      <c r="G75" s="74"/>
      <c r="H75" s="74"/>
      <c r="I75" s="74"/>
      <c r="J75" s="74"/>
      <c r="K75" s="74"/>
      <c r="L75" s="74"/>
      <c r="M75" s="74"/>
    </row>
    <row r="76" spans="1:13" ht="18.75" x14ac:dyDescent="0.3">
      <c r="A76" s="74"/>
      <c r="B76" s="74"/>
      <c r="C76" s="74"/>
      <c r="D76" s="74"/>
      <c r="E76" s="74"/>
      <c r="F76" s="74"/>
      <c r="G76" s="74"/>
      <c r="H76" s="74"/>
      <c r="I76" s="74"/>
      <c r="J76" s="74"/>
      <c r="K76" s="74"/>
      <c r="L76" s="74"/>
      <c r="M76" s="74"/>
    </row>
    <row r="77" spans="1:13" ht="18.75" x14ac:dyDescent="0.3">
      <c r="A77" s="74"/>
      <c r="B77" s="74"/>
      <c r="C77" s="74"/>
      <c r="D77" s="74"/>
      <c r="E77" s="74"/>
      <c r="F77" s="74"/>
      <c r="G77" s="74"/>
      <c r="H77" s="74"/>
      <c r="I77" s="74"/>
      <c r="J77" s="74"/>
      <c r="K77" s="74"/>
      <c r="L77" s="74"/>
      <c r="M77" s="74"/>
    </row>
    <row r="78" spans="1:13" ht="18.75" x14ac:dyDescent="0.3">
      <c r="A78" s="74"/>
      <c r="B78" s="74"/>
      <c r="C78" s="74"/>
      <c r="D78" s="74"/>
      <c r="E78" s="74"/>
      <c r="F78" s="74"/>
      <c r="G78" s="74"/>
      <c r="H78" s="74"/>
      <c r="I78" s="74"/>
      <c r="J78" s="74"/>
      <c r="K78" s="74"/>
      <c r="L78" s="74"/>
      <c r="M78" s="74"/>
    </row>
    <row r="79" spans="1:13" ht="18.75" x14ac:dyDescent="0.3">
      <c r="A79" s="74"/>
      <c r="B79" s="74"/>
      <c r="C79" s="74"/>
      <c r="D79" s="74"/>
      <c r="E79" s="74"/>
      <c r="F79" s="74"/>
      <c r="G79" s="74"/>
      <c r="H79" s="74"/>
      <c r="I79" s="74"/>
      <c r="J79" s="74"/>
      <c r="K79" s="74"/>
      <c r="L79" s="74"/>
      <c r="M79" s="74"/>
    </row>
    <row r="80" spans="1:13" ht="18.75" x14ac:dyDescent="0.3">
      <c r="A80" s="74"/>
      <c r="B80" s="74"/>
      <c r="C80" s="74"/>
      <c r="D80" s="74"/>
      <c r="E80" s="74"/>
      <c r="F80" s="74"/>
      <c r="G80" s="74"/>
      <c r="H80" s="74"/>
      <c r="I80" s="74"/>
      <c r="J80" s="74"/>
      <c r="K80" s="74"/>
      <c r="L80" s="74"/>
      <c r="M80" s="74"/>
    </row>
    <row r="81" spans="1:13" ht="18.75" x14ac:dyDescent="0.3">
      <c r="A81" s="74"/>
      <c r="B81" s="74"/>
      <c r="C81" s="74"/>
      <c r="D81" s="74"/>
      <c r="E81" s="74"/>
      <c r="F81" s="74"/>
      <c r="G81" s="74"/>
      <c r="H81" s="74"/>
      <c r="I81" s="74"/>
      <c r="J81" s="74"/>
      <c r="K81" s="74"/>
      <c r="L81" s="74"/>
      <c r="M81" s="74"/>
    </row>
    <row r="82" spans="1:13" ht="18.75" x14ac:dyDescent="0.3">
      <c r="A82" s="74"/>
      <c r="B82" s="74"/>
      <c r="C82" s="74"/>
      <c r="D82" s="74"/>
      <c r="E82" s="74"/>
      <c r="F82" s="74"/>
      <c r="G82" s="74"/>
      <c r="H82" s="74"/>
      <c r="I82" s="74"/>
      <c r="J82" s="74"/>
      <c r="K82" s="74"/>
      <c r="L82" s="74"/>
      <c r="M82" s="74"/>
    </row>
    <row r="83" spans="1:13" ht="18.75" x14ac:dyDescent="0.3">
      <c r="A83" s="74"/>
      <c r="B83" s="74"/>
      <c r="C83" s="74"/>
      <c r="D83" s="74"/>
      <c r="E83" s="74"/>
      <c r="F83" s="74"/>
      <c r="G83" s="74"/>
      <c r="H83" s="74"/>
      <c r="I83" s="74"/>
      <c r="J83" s="74"/>
      <c r="K83" s="74"/>
      <c r="L83" s="74"/>
      <c r="M83" s="74"/>
    </row>
    <row r="84" spans="1:13" ht="18.75" x14ac:dyDescent="0.3">
      <c r="A84" s="74"/>
      <c r="B84" s="74"/>
      <c r="C84" s="74"/>
      <c r="D84" s="74"/>
      <c r="E84" s="74"/>
      <c r="F84" s="74"/>
      <c r="G84" s="74"/>
      <c r="H84" s="74"/>
      <c r="I84" s="74"/>
      <c r="J84" s="74"/>
      <c r="K84" s="74"/>
      <c r="L84" s="74"/>
      <c r="M84" s="74"/>
    </row>
    <row r="85" spans="1:13" ht="18.75" x14ac:dyDescent="0.3">
      <c r="A85" s="74"/>
      <c r="B85" s="74"/>
      <c r="C85" s="74"/>
      <c r="D85" s="74"/>
      <c r="E85" s="74"/>
      <c r="F85" s="74"/>
      <c r="G85" s="74"/>
      <c r="H85" s="74"/>
      <c r="I85" s="74"/>
      <c r="J85" s="74"/>
      <c r="K85" s="74"/>
      <c r="L85" s="74"/>
      <c r="M85" s="74"/>
    </row>
    <row r="86" spans="1:13" ht="18.75" x14ac:dyDescent="0.3">
      <c r="A86" s="74"/>
      <c r="B86" s="74"/>
      <c r="C86" s="74"/>
      <c r="D86" s="74"/>
      <c r="E86" s="74"/>
      <c r="F86" s="74"/>
      <c r="G86" s="74"/>
      <c r="H86" s="74"/>
      <c r="I86" s="74"/>
      <c r="J86" s="74"/>
      <c r="K86" s="74"/>
      <c r="L86" s="74"/>
      <c r="M86" s="74"/>
    </row>
    <row r="87" spans="1:13" ht="18.75" x14ac:dyDescent="0.3">
      <c r="A87" s="74"/>
      <c r="B87" s="74"/>
      <c r="C87" s="74"/>
      <c r="D87" s="74"/>
      <c r="E87" s="74"/>
      <c r="F87" s="74"/>
      <c r="G87" s="74"/>
      <c r="H87" s="74"/>
      <c r="I87" s="74"/>
      <c r="J87" s="74"/>
      <c r="K87" s="74"/>
      <c r="L87" s="74"/>
      <c r="M87" s="74"/>
    </row>
    <row r="88" spans="1:13" ht="18.75" x14ac:dyDescent="0.3">
      <c r="A88" s="74"/>
      <c r="B88" s="74"/>
      <c r="C88" s="74"/>
      <c r="D88" s="74"/>
      <c r="E88" s="74"/>
      <c r="F88" s="74"/>
      <c r="G88" s="74"/>
      <c r="H88" s="74"/>
      <c r="I88" s="74"/>
      <c r="J88" s="74"/>
      <c r="K88" s="74"/>
      <c r="L88" s="74"/>
      <c r="M88" s="74"/>
    </row>
    <row r="89" spans="1:13" ht="18.75" x14ac:dyDescent="0.3">
      <c r="A89" s="74"/>
      <c r="B89" s="74"/>
      <c r="C89" s="74"/>
      <c r="D89" s="74"/>
      <c r="E89" s="74"/>
      <c r="F89" s="74"/>
      <c r="G89" s="74"/>
      <c r="H89" s="74"/>
      <c r="I89" s="74"/>
      <c r="J89" s="74"/>
      <c r="K89" s="74"/>
      <c r="L89" s="74"/>
      <c r="M89" s="74"/>
    </row>
    <row r="90" spans="1:13" ht="18.75" x14ac:dyDescent="0.3">
      <c r="A90" s="74"/>
      <c r="B90" s="74"/>
      <c r="C90" s="74"/>
      <c r="D90" s="74"/>
      <c r="E90" s="74"/>
      <c r="F90" s="74"/>
      <c r="G90" s="74"/>
      <c r="H90" s="74"/>
      <c r="I90" s="74"/>
      <c r="J90" s="74"/>
      <c r="K90" s="74"/>
      <c r="L90" s="74"/>
      <c r="M90" s="74"/>
    </row>
    <row r="91" spans="1:13" ht="18.75" x14ac:dyDescent="0.3">
      <c r="A91" s="74"/>
      <c r="B91" s="74"/>
      <c r="C91" s="74"/>
      <c r="D91" s="74"/>
      <c r="E91" s="74"/>
      <c r="F91" s="74"/>
      <c r="G91" s="74"/>
      <c r="H91" s="74"/>
      <c r="I91" s="74"/>
      <c r="J91" s="74"/>
      <c r="K91" s="74"/>
      <c r="L91" s="74"/>
      <c r="M91" s="74"/>
    </row>
    <row r="92" spans="1:13" ht="18.75" x14ac:dyDescent="0.3">
      <c r="A92" s="74"/>
      <c r="B92" s="74"/>
      <c r="C92" s="74"/>
      <c r="D92" s="74"/>
      <c r="E92" s="74"/>
      <c r="F92" s="74"/>
      <c r="G92" s="74"/>
      <c r="H92" s="74"/>
      <c r="I92" s="74"/>
      <c r="J92" s="74"/>
      <c r="K92" s="74"/>
      <c r="L92" s="74"/>
      <c r="M92" s="74"/>
    </row>
    <row r="93" spans="1:13" ht="18.75" x14ac:dyDescent="0.3">
      <c r="A93" s="74"/>
      <c r="B93" s="74"/>
      <c r="C93" s="74"/>
      <c r="D93" s="74"/>
      <c r="E93" s="74"/>
      <c r="F93" s="74"/>
      <c r="G93" s="74"/>
      <c r="H93" s="74"/>
      <c r="I93" s="74"/>
      <c r="J93" s="74"/>
      <c r="K93" s="74"/>
      <c r="L93" s="74"/>
      <c r="M93" s="74"/>
    </row>
    <row r="94" spans="1:13" ht="18.75" x14ac:dyDescent="0.3">
      <c r="A94" s="74"/>
      <c r="B94" s="74"/>
      <c r="C94" s="74"/>
      <c r="D94" s="74"/>
      <c r="E94" s="74"/>
      <c r="F94" s="74"/>
      <c r="G94" s="74"/>
      <c r="H94" s="74"/>
      <c r="I94" s="74"/>
      <c r="J94" s="74"/>
      <c r="K94" s="74"/>
      <c r="L94" s="74"/>
      <c r="M94" s="74"/>
    </row>
    <row r="95" spans="1:13" ht="18.75" x14ac:dyDescent="0.3">
      <c r="A95" s="74"/>
      <c r="B95" s="74"/>
      <c r="C95" s="74"/>
      <c r="D95" s="74"/>
      <c r="E95" s="74"/>
      <c r="F95" s="74"/>
      <c r="G95" s="74"/>
      <c r="H95" s="74"/>
      <c r="I95" s="74"/>
      <c r="J95" s="74"/>
      <c r="K95" s="74"/>
      <c r="L95" s="74"/>
      <c r="M95" s="74"/>
    </row>
    <row r="96" spans="1:13" ht="18.75" x14ac:dyDescent="0.3">
      <c r="A96" s="74"/>
      <c r="B96" s="74"/>
      <c r="C96" s="74"/>
      <c r="D96" s="74"/>
      <c r="E96" s="74"/>
      <c r="F96" s="74"/>
      <c r="G96" s="74"/>
      <c r="H96" s="74"/>
      <c r="I96" s="74"/>
      <c r="J96" s="74"/>
      <c r="K96" s="74"/>
      <c r="L96" s="74"/>
      <c r="M96" s="74"/>
    </row>
    <row r="97" spans="1:13" ht="18.75" x14ac:dyDescent="0.3">
      <c r="A97" s="74"/>
      <c r="B97" s="74"/>
      <c r="C97" s="74"/>
      <c r="D97" s="74"/>
      <c r="E97" s="74"/>
      <c r="F97" s="74"/>
      <c r="G97" s="74"/>
      <c r="H97" s="74"/>
      <c r="I97" s="74"/>
      <c r="J97" s="74"/>
      <c r="K97" s="74"/>
      <c r="L97" s="74"/>
      <c r="M97" s="74"/>
    </row>
    <row r="98" spans="1:13" ht="18.75" x14ac:dyDescent="0.3">
      <c r="A98" s="74"/>
      <c r="B98" s="74"/>
      <c r="C98" s="74"/>
      <c r="D98" s="74"/>
      <c r="E98" s="74"/>
      <c r="F98" s="74"/>
      <c r="G98" s="74"/>
      <c r="H98" s="74"/>
      <c r="I98" s="74"/>
      <c r="J98" s="74"/>
      <c r="K98" s="74"/>
      <c r="L98" s="74"/>
      <c r="M98" s="74"/>
    </row>
    <row r="99" spans="1:13" ht="18.75" x14ac:dyDescent="0.3">
      <c r="A99" s="74"/>
      <c r="B99" s="74"/>
      <c r="C99" s="74"/>
      <c r="D99" s="74"/>
      <c r="E99" s="74"/>
      <c r="F99" s="74"/>
      <c r="G99" s="74"/>
      <c r="H99" s="74"/>
      <c r="I99" s="74"/>
      <c r="J99" s="74"/>
      <c r="K99" s="74"/>
      <c r="L99" s="74"/>
      <c r="M99" s="74"/>
    </row>
    <row r="100" spans="1:13" ht="18.75" x14ac:dyDescent="0.3">
      <c r="A100" s="74"/>
      <c r="B100" s="74"/>
      <c r="C100" s="74"/>
      <c r="D100" s="74"/>
      <c r="E100" s="74"/>
      <c r="F100" s="74"/>
      <c r="G100" s="74"/>
      <c r="H100" s="74"/>
      <c r="I100" s="74"/>
      <c r="J100" s="74"/>
      <c r="K100" s="74"/>
      <c r="L100" s="74"/>
      <c r="M100" s="74"/>
    </row>
    <row r="101" spans="1:13" ht="18.75" x14ac:dyDescent="0.3">
      <c r="A101" s="74"/>
      <c r="B101" s="74"/>
      <c r="C101" s="74"/>
      <c r="D101" s="74"/>
      <c r="E101" s="74"/>
      <c r="F101" s="74"/>
      <c r="G101" s="74"/>
      <c r="H101" s="74"/>
      <c r="I101" s="74"/>
      <c r="J101" s="74"/>
      <c r="K101" s="74"/>
      <c r="L101" s="74"/>
      <c r="M101" s="74"/>
    </row>
    <row r="102" spans="1:13" ht="18.75" x14ac:dyDescent="0.3">
      <c r="A102" s="74"/>
      <c r="B102" s="74"/>
      <c r="C102" s="74"/>
      <c r="D102" s="74"/>
      <c r="E102" s="74"/>
      <c r="F102" s="74"/>
      <c r="G102" s="74"/>
      <c r="H102" s="74"/>
      <c r="I102" s="74"/>
      <c r="J102" s="74"/>
      <c r="K102" s="74"/>
      <c r="L102" s="74"/>
      <c r="M102" s="74"/>
    </row>
    <row r="103" spans="1:13" ht="18.75" x14ac:dyDescent="0.3">
      <c r="A103" s="74"/>
      <c r="B103" s="74"/>
      <c r="C103" s="74"/>
      <c r="D103" s="74"/>
      <c r="E103" s="74"/>
      <c r="F103" s="74"/>
      <c r="G103" s="74"/>
      <c r="H103" s="74"/>
      <c r="I103" s="74"/>
      <c r="J103" s="74"/>
      <c r="K103" s="74"/>
      <c r="L103" s="74"/>
      <c r="M103" s="74"/>
    </row>
    <row r="104" spans="1:13" ht="18.75" x14ac:dyDescent="0.3">
      <c r="A104" s="74"/>
      <c r="B104" s="74"/>
      <c r="C104" s="74"/>
      <c r="D104" s="74"/>
      <c r="E104" s="74"/>
      <c r="F104" s="74"/>
      <c r="G104" s="74"/>
      <c r="H104" s="74"/>
      <c r="I104" s="74"/>
      <c r="J104" s="74"/>
      <c r="K104" s="74"/>
      <c r="L104" s="74"/>
      <c r="M104" s="74"/>
    </row>
    <row r="105" spans="1:13" ht="18.75" x14ac:dyDescent="0.3">
      <c r="A105" s="74"/>
      <c r="B105" s="74"/>
      <c r="C105" s="74"/>
      <c r="D105" s="74"/>
      <c r="E105" s="74"/>
      <c r="F105" s="74"/>
      <c r="G105" s="74"/>
      <c r="H105" s="74"/>
      <c r="I105" s="74"/>
      <c r="J105" s="74"/>
      <c r="K105" s="74"/>
      <c r="L105" s="74"/>
      <c r="M105" s="74"/>
    </row>
    <row r="106" spans="1:13" ht="18.75" x14ac:dyDescent="0.3">
      <c r="A106" s="74"/>
      <c r="B106" s="74"/>
      <c r="C106" s="74"/>
      <c r="D106" s="74"/>
      <c r="E106" s="74"/>
      <c r="F106" s="74"/>
      <c r="G106" s="74"/>
      <c r="H106" s="74"/>
      <c r="I106" s="74"/>
      <c r="J106" s="74"/>
      <c r="K106" s="74"/>
      <c r="L106" s="74"/>
      <c r="M106" s="74"/>
    </row>
    <row r="107" spans="1:13" ht="18.75" x14ac:dyDescent="0.3">
      <c r="A107" s="74"/>
      <c r="B107" s="74"/>
      <c r="C107" s="74"/>
      <c r="D107" s="74"/>
      <c r="E107" s="74"/>
      <c r="F107" s="74"/>
      <c r="G107" s="74"/>
      <c r="H107" s="74"/>
      <c r="I107" s="74"/>
      <c r="J107" s="74"/>
      <c r="K107" s="74"/>
      <c r="L107" s="74"/>
      <c r="M107" s="74"/>
    </row>
    <row r="108" spans="1:13" ht="18.75" x14ac:dyDescent="0.3">
      <c r="A108" s="74"/>
      <c r="B108" s="74"/>
      <c r="C108" s="74"/>
      <c r="D108" s="74"/>
      <c r="E108" s="74"/>
      <c r="F108" s="74"/>
      <c r="G108" s="74"/>
      <c r="H108" s="74"/>
      <c r="I108" s="74"/>
      <c r="J108" s="74"/>
      <c r="K108" s="74"/>
      <c r="L108" s="74"/>
      <c r="M108" s="74"/>
    </row>
    <row r="109" spans="1:13" ht="18.75" x14ac:dyDescent="0.3">
      <c r="A109" s="74"/>
      <c r="B109" s="74"/>
      <c r="C109" s="74"/>
      <c r="D109" s="74"/>
      <c r="E109" s="74"/>
      <c r="F109" s="74"/>
      <c r="G109" s="74"/>
      <c r="H109" s="74"/>
      <c r="I109" s="74"/>
      <c r="J109" s="74"/>
      <c r="K109" s="74"/>
      <c r="L109" s="74"/>
      <c r="M109" s="74"/>
    </row>
    <row r="110" spans="1:13" ht="18.75" x14ac:dyDescent="0.3">
      <c r="A110" s="74"/>
      <c r="B110" s="74"/>
      <c r="C110" s="74"/>
      <c r="D110" s="74"/>
      <c r="E110" s="74"/>
      <c r="F110" s="74"/>
      <c r="G110" s="74"/>
      <c r="H110" s="74"/>
      <c r="I110" s="74"/>
      <c r="J110" s="74"/>
      <c r="K110" s="74"/>
      <c r="L110" s="74"/>
      <c r="M110" s="74"/>
    </row>
    <row r="111" spans="1:13" ht="18.75" x14ac:dyDescent="0.3">
      <c r="A111" s="74"/>
      <c r="B111" s="74"/>
      <c r="C111" s="74"/>
      <c r="D111" s="74"/>
      <c r="E111" s="74"/>
      <c r="F111" s="74"/>
      <c r="G111" s="74"/>
      <c r="H111" s="74"/>
      <c r="I111" s="74"/>
      <c r="J111" s="74"/>
      <c r="K111" s="74"/>
      <c r="L111" s="74"/>
      <c r="M111" s="74"/>
    </row>
    <row r="112" spans="1:13" ht="18.75" x14ac:dyDescent="0.3">
      <c r="A112" s="74"/>
      <c r="B112" s="74"/>
      <c r="C112" s="74"/>
      <c r="D112" s="74"/>
      <c r="E112" s="74"/>
      <c r="F112" s="74"/>
      <c r="G112" s="74"/>
      <c r="H112" s="74"/>
      <c r="I112" s="74"/>
      <c r="J112" s="74"/>
      <c r="K112" s="74"/>
      <c r="L112" s="74"/>
      <c r="M112" s="74"/>
    </row>
    <row r="113" spans="1:13" ht="18.75" x14ac:dyDescent="0.3">
      <c r="A113" s="74"/>
      <c r="B113" s="74"/>
      <c r="C113" s="74"/>
      <c r="D113" s="74"/>
      <c r="E113" s="74"/>
      <c r="F113" s="74"/>
      <c r="G113" s="74"/>
      <c r="H113" s="74"/>
      <c r="I113" s="74"/>
      <c r="J113" s="74"/>
      <c r="K113" s="74"/>
      <c r="L113" s="74"/>
      <c r="M113" s="74"/>
    </row>
    <row r="114" spans="1:13" ht="18.75" x14ac:dyDescent="0.3">
      <c r="A114" s="74"/>
      <c r="B114" s="74"/>
      <c r="C114" s="74"/>
      <c r="D114" s="74"/>
      <c r="E114" s="74"/>
      <c r="F114" s="74"/>
      <c r="G114" s="74"/>
      <c r="H114" s="74"/>
      <c r="I114" s="74"/>
      <c r="J114" s="74"/>
      <c r="K114" s="74"/>
      <c r="L114" s="74"/>
      <c r="M114" s="74"/>
    </row>
    <row r="115" spans="1:13" ht="18.75" x14ac:dyDescent="0.3">
      <c r="A115" s="74"/>
      <c r="B115" s="74"/>
      <c r="C115" s="74"/>
      <c r="D115" s="74"/>
      <c r="E115" s="74"/>
      <c r="F115" s="74"/>
      <c r="G115" s="74"/>
      <c r="H115" s="74"/>
      <c r="I115" s="74"/>
      <c r="J115" s="74"/>
      <c r="K115" s="74"/>
      <c r="L115" s="74"/>
      <c r="M115" s="74"/>
    </row>
  </sheetData>
  <mergeCells count="3">
    <mergeCell ref="B5:D5"/>
    <mergeCell ref="F5:H5"/>
    <mergeCell ref="J5:L5"/>
  </mergeCells>
  <hyperlinks>
    <hyperlink ref="B1" location="Innhold!A1" display="Tilbake"/>
  </hyperlinks>
  <pageMargins left="0.7" right="0.7" top="0.78740157499999996" bottom="0.78740157499999996"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J92"/>
  <sheetViews>
    <sheetView showGridLines="0" zoomScale="80" zoomScaleNormal="80" workbookViewId="0">
      <pane xSplit="1" ySplit="7" topLeftCell="B8" activePane="bottomRight" state="frozen"/>
      <selection pane="topRight" activeCell="B1" sqref="B1"/>
      <selection pane="bottomLeft" activeCell="A8" sqref="A8"/>
      <selection pane="bottomRight" activeCell="A5" sqref="A5"/>
    </sheetView>
  </sheetViews>
  <sheetFormatPr baseColWidth="10" defaultColWidth="11.42578125" defaultRowHeight="18" x14ac:dyDescent="0.25"/>
  <cols>
    <col min="1" max="1" width="35.85546875" style="81" customWidth="1"/>
    <col min="2" max="2" width="18.140625" style="81" customWidth="1"/>
    <col min="3" max="3" width="17.85546875" style="81" customWidth="1"/>
    <col min="4" max="4" width="11.7109375" style="81" customWidth="1"/>
    <col min="5" max="5" width="4.7109375" style="81" customWidth="1"/>
    <col min="6" max="7" width="13" style="81" customWidth="1"/>
    <col min="8" max="8" width="11.7109375" style="81" customWidth="1"/>
    <col min="9" max="9" width="12.42578125" style="81" customWidth="1"/>
    <col min="10" max="10" width="11.42578125" style="81"/>
    <col min="11" max="12" width="17.140625" style="81" bestFit="1" customWidth="1"/>
    <col min="13" max="16384" width="11.42578125" style="81"/>
  </cols>
  <sheetData>
    <row r="1" spans="1:10" ht="18.75" customHeight="1" x14ac:dyDescent="0.3">
      <c r="A1" s="80" t="s">
        <v>85</v>
      </c>
      <c r="B1" s="73" t="s">
        <v>56</v>
      </c>
      <c r="C1" s="80"/>
      <c r="D1" s="80"/>
      <c r="E1" s="80"/>
      <c r="F1" s="74"/>
      <c r="G1" s="74"/>
      <c r="H1" s="74"/>
      <c r="I1" s="74"/>
      <c r="J1" s="74"/>
    </row>
    <row r="2" spans="1:10" ht="20.100000000000001" customHeight="1" x14ac:dyDescent="0.3">
      <c r="A2" s="80" t="s">
        <v>175</v>
      </c>
      <c r="B2" s="80"/>
      <c r="C2" s="80"/>
      <c r="D2" s="80"/>
      <c r="E2" s="80"/>
      <c r="F2" s="74"/>
      <c r="G2" s="74"/>
      <c r="H2" s="74"/>
      <c r="I2" s="74"/>
      <c r="J2" s="74"/>
    </row>
    <row r="3" spans="1:10" ht="20.100000000000001" customHeight="1" x14ac:dyDescent="0.3">
      <c r="A3" s="75"/>
      <c r="B3" s="75"/>
      <c r="C3" s="75"/>
      <c r="D3" s="75"/>
      <c r="E3" s="261"/>
      <c r="F3" s="74"/>
      <c r="G3" s="74"/>
      <c r="H3" s="74"/>
      <c r="I3" s="74"/>
      <c r="J3" s="74"/>
    </row>
    <row r="4" spans="1:10" ht="20.100000000000001" customHeight="1" x14ac:dyDescent="0.3">
      <c r="A4" s="262"/>
      <c r="B4" s="659" t="s">
        <v>176</v>
      </c>
      <c r="C4" s="659"/>
      <c r="D4" s="660"/>
      <c r="E4" s="89"/>
      <c r="F4" s="661" t="s">
        <v>176</v>
      </c>
      <c r="G4" s="659"/>
      <c r="H4" s="660"/>
      <c r="I4" s="74"/>
      <c r="J4" s="74"/>
    </row>
    <row r="5" spans="1:10" ht="18.75" customHeight="1" x14ac:dyDescent="0.3">
      <c r="A5" s="263" t="s">
        <v>421</v>
      </c>
      <c r="B5" s="662" t="s">
        <v>177</v>
      </c>
      <c r="C5" s="663"/>
      <c r="D5" s="664"/>
      <c r="E5" s="264"/>
      <c r="F5" s="665" t="s">
        <v>178</v>
      </c>
      <c r="G5" s="666"/>
      <c r="H5" s="667"/>
      <c r="I5" s="112"/>
      <c r="J5" s="74"/>
    </row>
    <row r="6" spans="1:10" ht="18.75" customHeight="1" x14ac:dyDescent="0.3">
      <c r="A6" s="122"/>
      <c r="B6" s="120"/>
      <c r="C6" s="192"/>
      <c r="D6" s="265" t="s">
        <v>90</v>
      </c>
      <c r="E6" s="265"/>
      <c r="F6" s="123"/>
      <c r="G6" s="124"/>
      <c r="H6" s="94" t="s">
        <v>90</v>
      </c>
      <c r="I6" s="100"/>
      <c r="J6" s="74"/>
    </row>
    <row r="7" spans="1:10" ht="18.75" customHeight="1" x14ac:dyDescent="0.3">
      <c r="A7" s="126"/>
      <c r="B7" s="97">
        <v>2016</v>
      </c>
      <c r="C7" s="97">
        <v>2017</v>
      </c>
      <c r="D7" s="266" t="s">
        <v>92</v>
      </c>
      <c r="E7" s="265"/>
      <c r="F7" s="97">
        <v>2016</v>
      </c>
      <c r="G7" s="127">
        <v>2017</v>
      </c>
      <c r="H7" s="267" t="s">
        <v>92</v>
      </c>
      <c r="I7" s="100"/>
      <c r="J7" s="74"/>
    </row>
    <row r="8" spans="1:10" ht="18.75" customHeight="1" x14ac:dyDescent="0.3">
      <c r="A8" s="101" t="s">
        <v>179</v>
      </c>
      <c r="B8" s="109">
        <f>SUM(B9:B14)</f>
        <v>126112.70013756999</v>
      </c>
      <c r="C8" s="109">
        <f>SUM(C9:C14)</f>
        <v>222095.05669204</v>
      </c>
      <c r="D8" s="268">
        <f t="shared" ref="D8:D38" si="0">IF(B8=0, "    ---- ", IF(ABS(ROUND(100/B8*C8-100,1))&lt;999,ROUND(100/B8*C8-100,1),IF(ROUND(100/B8*C8-100,1)&gt;999,999,-999)))</f>
        <v>76.099999999999994</v>
      </c>
      <c r="E8" s="269"/>
      <c r="F8" s="268">
        <f>SUM(F9:F14)</f>
        <v>99.977600455007504</v>
      </c>
      <c r="G8" s="268">
        <f>SUM(G9:G14)</f>
        <v>98.348239938439278</v>
      </c>
      <c r="H8" s="269">
        <f t="shared" ref="H8:H38" si="1">IF(F8=0, "    ---- ", IF(ABS(ROUND(100/F8*G8-100,1))&lt;999,ROUND(100/F8*G8-100,1),IF(ROUND(100/F8*G8-100,1)&gt;999,999,-999)))</f>
        <v>-1.6</v>
      </c>
      <c r="I8" s="104"/>
      <c r="J8" s="74"/>
    </row>
    <row r="9" spans="1:10" ht="18.75" customHeight="1" x14ac:dyDescent="0.3">
      <c r="A9" s="86" t="s">
        <v>180</v>
      </c>
      <c r="B9" s="106">
        <f>'Tabell 6'!AR21</f>
        <v>2447.4128499000003</v>
      </c>
      <c r="C9" s="106">
        <f>'Tabell 6'!AS21</f>
        <v>3141.672</v>
      </c>
      <c r="D9" s="270">
        <f t="shared" si="0"/>
        <v>28.4</v>
      </c>
      <c r="E9" s="270"/>
      <c r="F9" s="270">
        <f>'Tabell 6'!AR21/'Tabell 6'!AR29*100</f>
        <v>1.9402206422417201</v>
      </c>
      <c r="G9" s="270">
        <f>'Tabell 6'!AS21/'Tabell 6'!AS29*100</f>
        <v>1.3911967076885885</v>
      </c>
      <c r="H9" s="271">
        <f t="shared" si="1"/>
        <v>-28.3</v>
      </c>
      <c r="I9" s="104"/>
      <c r="J9" s="77"/>
    </row>
    <row r="10" spans="1:10" ht="18.75" customHeight="1" x14ac:dyDescent="0.3">
      <c r="A10" s="86" t="s">
        <v>181</v>
      </c>
      <c r="B10" s="105">
        <f>'Tabell 6'!AR18+'Tabell 6'!AR22</f>
        <v>65184.060890239998</v>
      </c>
      <c r="C10" s="105">
        <f>'Tabell 6'!AS18+'Tabell 6'!AS22</f>
        <v>129071.99631083</v>
      </c>
      <c r="D10" s="270">
        <f t="shared" si="0"/>
        <v>98</v>
      </c>
      <c r="E10" s="270"/>
      <c r="F10" s="270">
        <f>('Tabell 6'!AR18+'Tabell 6'!AR22)/'Tabell 6'!AR29*100</f>
        <v>51.675572631545329</v>
      </c>
      <c r="G10" s="270">
        <f>('Tabell 6'!AS18+'Tabell 6'!AS22)/'Tabell 6'!AS29*100</f>
        <v>57.155723551796726</v>
      </c>
      <c r="H10" s="271">
        <f t="shared" si="1"/>
        <v>10.6</v>
      </c>
      <c r="I10" s="104"/>
      <c r="J10" s="74"/>
    </row>
    <row r="11" spans="1:10" ht="18.75" customHeight="1" x14ac:dyDescent="0.3">
      <c r="A11" s="86" t="s">
        <v>182</v>
      </c>
      <c r="B11" s="105">
        <f>'Tabell 6'!AR14</f>
        <v>1003.0613467500001</v>
      </c>
      <c r="C11" s="105">
        <f>'Tabell 6'!AS14</f>
        <v>1004.6569507500001</v>
      </c>
      <c r="D11" s="270">
        <f t="shared" si="0"/>
        <v>0.2</v>
      </c>
      <c r="E11" s="270"/>
      <c r="F11" s="270">
        <f>'Tabell 6'!AR14/'Tabell 6'!AR29*100</f>
        <v>0.79519086061783506</v>
      </c>
      <c r="G11" s="270">
        <f>'Tabell 6'!AS14/'Tabell 6'!AS29*100</f>
        <v>0.44488267465217768</v>
      </c>
      <c r="H11" s="271">
        <f t="shared" si="1"/>
        <v>-44.1</v>
      </c>
      <c r="I11" s="104"/>
      <c r="J11" s="74"/>
    </row>
    <row r="12" spans="1:10" ht="18.75" customHeight="1" x14ac:dyDescent="0.3">
      <c r="A12" s="108" t="s">
        <v>183</v>
      </c>
      <c r="B12" s="105">
        <f>'Tabell 6'!AR15</f>
        <v>21017.737532120002</v>
      </c>
      <c r="C12" s="105">
        <f>'Tabell 6'!AS15</f>
        <v>36498.891418719999</v>
      </c>
      <c r="D12" s="272">
        <f t="shared" si="0"/>
        <v>73.7</v>
      </c>
      <c r="E12" s="272"/>
      <c r="F12" s="270">
        <f>'Tabell 6'!AR15/'Tabell 6'!AR29*100</f>
        <v>16.662104317505719</v>
      </c>
      <c r="G12" s="270">
        <f>'Tabell 6'!AS15/'Tabell 6'!AS29*100</f>
        <v>16.162456671481472</v>
      </c>
      <c r="H12" s="271">
        <f t="shared" si="1"/>
        <v>-3</v>
      </c>
      <c r="I12" s="104"/>
      <c r="J12" s="74"/>
    </row>
    <row r="13" spans="1:10" ht="18.75" customHeight="1" x14ac:dyDescent="0.3">
      <c r="A13" s="86" t="s">
        <v>184</v>
      </c>
      <c r="B13" s="105">
        <f>'Tabell 6'!AR19+'Tabell 6'!AR23</f>
        <v>16628.334153609998</v>
      </c>
      <c r="C13" s="105">
        <f>'Tabell 6'!AS19+'Tabell 6'!AS23</f>
        <v>29786.128811879997</v>
      </c>
      <c r="D13" s="270">
        <f t="shared" si="0"/>
        <v>79.099999999999994</v>
      </c>
      <c r="E13" s="270"/>
      <c r="F13" s="270">
        <f>('Tabell 6'!AR19+'Tabell 6'!AR23)/'Tabell 6'!AR29*100</f>
        <v>13.182343621447174</v>
      </c>
      <c r="G13" s="270">
        <f>('Tabell 6'!AS19+'Tabell 6'!AS23)/'Tabell 6'!AS29*100</f>
        <v>13.189907901867432</v>
      </c>
      <c r="H13" s="271">
        <f t="shared" si="1"/>
        <v>0.1</v>
      </c>
      <c r="I13" s="104"/>
      <c r="J13" s="74"/>
    </row>
    <row r="14" spans="1:10" ht="18.75" customHeight="1" x14ac:dyDescent="0.3">
      <c r="A14" s="86" t="s">
        <v>185</v>
      </c>
      <c r="B14" s="176">
        <f>'Tabell 6'!AR17-'Tabell 6'!AR18+'Tabell 6'!AR24+'Tabell 6'!AR25+'Tabell 6'!AR26+'Tabell 6'!AR28</f>
        <v>19832.093364949997</v>
      </c>
      <c r="C14" s="176">
        <f>'Tabell 6'!AS17-'Tabell 6'!AS18+'Tabell 6'!AS24+'Tabell 6'!AS25+'Tabell 6'!AS26+'Tabell 6'!AS28</f>
        <v>22591.711199859994</v>
      </c>
      <c r="D14" s="270">
        <f t="shared" si="0"/>
        <v>13.9</v>
      </c>
      <c r="E14" s="270"/>
      <c r="F14" s="270">
        <f>('Tabell 6'!AR17-'Tabell 6'!AR18+'Tabell 6'!AR24+'Tabell 6'!AR25+'Tabell 6'!AR26+'Tabell 6'!AR28)/'Tabell 6'!AR29*100</f>
        <v>15.722168381649727</v>
      </c>
      <c r="G14" s="270">
        <f>('Tabell 6'!AS17-'Tabell 6'!AS18+'Tabell 6'!AS24+'Tabell 6'!AS25+'Tabell 6'!AS26+'Tabell 6'!AS28)/'Tabell 6'!AS29*100</f>
        <v>10.004072430952892</v>
      </c>
      <c r="H14" s="271">
        <f t="shared" si="1"/>
        <v>-36.4</v>
      </c>
      <c r="I14" s="104"/>
      <c r="J14" s="74"/>
    </row>
    <row r="15" spans="1:10" ht="18.75" customHeight="1" x14ac:dyDescent="0.3">
      <c r="A15" s="193"/>
      <c r="B15" s="103"/>
      <c r="C15" s="176"/>
      <c r="D15" s="271"/>
      <c r="E15" s="271"/>
      <c r="F15" s="271"/>
      <c r="G15" s="270"/>
      <c r="H15" s="271"/>
      <c r="I15" s="104"/>
      <c r="J15" s="74"/>
    </row>
    <row r="16" spans="1:10" s="135" customFormat="1" ht="18.75" customHeight="1" x14ac:dyDescent="0.3">
      <c r="A16" s="101" t="s">
        <v>186</v>
      </c>
      <c r="B16" s="109">
        <f>SUM(B17:B22)</f>
        <v>997012.73976354988</v>
      </c>
      <c r="C16" s="109">
        <f>SUM(C17:C22)</f>
        <v>1588772.5298037801</v>
      </c>
      <c r="D16" s="268">
        <f t="shared" si="0"/>
        <v>59.4</v>
      </c>
      <c r="E16" s="268"/>
      <c r="F16" s="268">
        <f>SUM(F17:F22)</f>
        <v>100.00000351244572</v>
      </c>
      <c r="G16" s="268">
        <f>SUM(G17:G22)</f>
        <v>99.999999999752006</v>
      </c>
      <c r="H16" s="269">
        <f t="shared" si="1"/>
        <v>0</v>
      </c>
      <c r="I16" s="110"/>
      <c r="J16" s="75"/>
    </row>
    <row r="17" spans="1:10" ht="18.75" customHeight="1" x14ac:dyDescent="0.3">
      <c r="A17" s="86" t="s">
        <v>180</v>
      </c>
      <c r="B17" s="103">
        <f>'Tabell 6'!AR40</f>
        <v>136871.60286318001</v>
      </c>
      <c r="C17" s="103">
        <f>'Tabell 6'!AS40</f>
        <v>223768.84913120003</v>
      </c>
      <c r="D17" s="270">
        <f t="shared" si="0"/>
        <v>63.5</v>
      </c>
      <c r="E17" s="270"/>
      <c r="F17" s="270">
        <f>'Tabell 6'!AR40/('Tabell 6'!AR45+'Tabell 6'!AR46)*100</f>
        <v>13.728170384581148</v>
      </c>
      <c r="G17" s="270">
        <f>'Tabell 6'!AS40/('Tabell 6'!AS45+'Tabell 6'!AS46)*100</f>
        <v>14.084385582766934</v>
      </c>
      <c r="H17" s="271">
        <f t="shared" si="1"/>
        <v>2.6</v>
      </c>
      <c r="I17" s="104"/>
      <c r="J17" s="74"/>
    </row>
    <row r="18" spans="1:10" ht="18.75" customHeight="1" x14ac:dyDescent="0.3">
      <c r="A18" s="86" t="s">
        <v>181</v>
      </c>
      <c r="B18" s="103">
        <f>'Tabell 6'!AR37+'Tabell 6'!AR41</f>
        <v>402061.20431286999</v>
      </c>
      <c r="C18" s="103">
        <f>'Tabell 6'!AS37+'Tabell 6'!AS41</f>
        <v>588792.33853476006</v>
      </c>
      <c r="D18" s="270">
        <f t="shared" si="0"/>
        <v>46.4</v>
      </c>
      <c r="E18" s="270"/>
      <c r="F18" s="270">
        <f>('Tabell 6'!AR37+'Tabell 6'!AR41)/('Tabell 6'!AR45+'Tabell 6'!AR46)*100</f>
        <v>40.326587855878735</v>
      </c>
      <c r="G18" s="270">
        <f>('Tabell 6'!AS37+'Tabell 6'!AS41)/('Tabell 6'!AS45+'Tabell 6'!AS46)*100</f>
        <v>37.059574450599179</v>
      </c>
      <c r="H18" s="271">
        <f t="shared" si="1"/>
        <v>-8.1</v>
      </c>
      <c r="I18" s="104"/>
      <c r="J18" s="74"/>
    </row>
    <row r="19" spans="1:10" ht="18.75" customHeight="1" x14ac:dyDescent="0.3">
      <c r="A19" s="86" t="s">
        <v>182</v>
      </c>
      <c r="B19" s="103">
        <f>'Tabell 6'!AR33</f>
        <v>16.341999999999999</v>
      </c>
      <c r="C19" s="103">
        <f>'Tabell 6'!AS33</f>
        <v>68.91</v>
      </c>
      <c r="D19" s="270">
        <f t="shared" si="0"/>
        <v>321.7</v>
      </c>
      <c r="E19" s="270"/>
      <c r="F19" s="270">
        <f>'Tabell 6'!AR33/('Tabell 6'!AR45+'Tabell 6'!AR46)*100</f>
        <v>1.6390964650942696E-3</v>
      </c>
      <c r="G19" s="270">
        <f>'Tabell 6'!AS33/('Tabell 6'!AS45+'Tabell 6'!AS46)*100</f>
        <v>4.337310641211789E-3</v>
      </c>
      <c r="H19" s="271">
        <f t="shared" si="1"/>
        <v>164.6</v>
      </c>
      <c r="I19" s="104"/>
      <c r="J19" s="74"/>
    </row>
    <row r="20" spans="1:10" ht="18.75" customHeight="1" x14ac:dyDescent="0.3">
      <c r="A20" s="108" t="s">
        <v>183</v>
      </c>
      <c r="B20" s="105">
        <f>'Tabell 6'!AR34</f>
        <v>117178.70162666</v>
      </c>
      <c r="C20" s="105">
        <f>'Tabell 6'!AS34</f>
        <v>186969.55659456001</v>
      </c>
      <c r="D20" s="272">
        <f t="shared" si="0"/>
        <v>59.6</v>
      </c>
      <c r="E20" s="272"/>
      <c r="F20" s="270">
        <f>'Tabell 6'!AR34/('Tabell 6'!AR45+'Tabell 6'!AR46)*100</f>
        <v>11.752979783416629</v>
      </c>
      <c r="G20" s="270">
        <f>'Tabell 6'!AS34/('Tabell 6'!AS45+'Tabell 6'!AS46)*100</f>
        <v>11.76817656944181</v>
      </c>
      <c r="H20" s="271">
        <f t="shared" si="1"/>
        <v>0.1</v>
      </c>
      <c r="I20" s="104"/>
      <c r="J20" s="74"/>
    </row>
    <row r="21" spans="1:10" ht="18.75" customHeight="1" x14ac:dyDescent="0.3">
      <c r="A21" s="86" t="s">
        <v>184</v>
      </c>
      <c r="B21" s="103">
        <f>'Tabell 6'!AR38+'Tabell 6'!AR42</f>
        <v>311010.84268446988</v>
      </c>
      <c r="C21" s="103">
        <f>'Tabell 6'!AS38+'Tabell 6'!AS42</f>
        <v>567669.23431792005</v>
      </c>
      <c r="D21" s="270">
        <f t="shared" si="0"/>
        <v>82.5</v>
      </c>
      <c r="E21" s="270"/>
      <c r="F21" s="270">
        <f>('Tabell 6'!AR38+'Tabell 6'!AR42)/('Tabell 6'!AR45+'Tabell 6'!AR46)*100</f>
        <v>31.194270765518585</v>
      </c>
      <c r="G21" s="270">
        <f>('Tabell 6'!AS38+'Tabell 6'!AS42)/('Tabell 6'!AS45+'Tabell 6'!AS46)*100</f>
        <v>35.730050946098729</v>
      </c>
      <c r="H21" s="271">
        <f t="shared" si="1"/>
        <v>14.5</v>
      </c>
      <c r="I21" s="104"/>
      <c r="J21" s="74"/>
    </row>
    <row r="22" spans="1:10" ht="18.75" customHeight="1" x14ac:dyDescent="0.3">
      <c r="A22" s="193" t="s">
        <v>185</v>
      </c>
      <c r="B22" s="103">
        <f>'Tabell 6'!AR36-'Tabell 6'!AR37+'Tabell 6'!AR43+'Tabell 6'!AR44+'Tabell 6'!AR46</f>
        <v>29874.046276370009</v>
      </c>
      <c r="C22" s="103">
        <f>'Tabell 6'!AS36-'Tabell 6'!AS37+'Tabell 6'!AS43+'Tabell 6'!AS44+'Tabell 6'!AS46</f>
        <v>21503.641225340001</v>
      </c>
      <c r="D22" s="270">
        <f t="shared" si="0"/>
        <v>-28</v>
      </c>
      <c r="E22" s="270"/>
      <c r="F22" s="271">
        <f>('Tabell 6'!AR36-'Tabell 6'!AR37+'Tabell 6'!AR43+'Tabell 6'!AR44+'Tabell 6'!AR46)/('Tabell 6'!AR45+'Tabell 6'!AR46)*100</f>
        <v>2.9963556265855291</v>
      </c>
      <c r="G22" s="271">
        <f>('Tabell 6'!AS36-'Tabell 6'!AS37+'Tabell 6'!AS43+'Tabell 6'!AS44+'Tabell 6'!AS46)/('Tabell 6'!AS45+'Tabell 6'!AS46)*100</f>
        <v>1.3534751402041463</v>
      </c>
      <c r="H22" s="271">
        <f t="shared" si="1"/>
        <v>-54.8</v>
      </c>
      <c r="I22" s="104"/>
      <c r="J22" s="74"/>
    </row>
    <row r="23" spans="1:10" ht="18.75" customHeight="1" x14ac:dyDescent="0.3">
      <c r="A23" s="86"/>
      <c r="B23" s="176"/>
      <c r="C23" s="176"/>
      <c r="D23" s="271"/>
      <c r="E23" s="270"/>
      <c r="F23" s="270"/>
      <c r="G23" s="271"/>
      <c r="H23" s="271"/>
      <c r="I23" s="182"/>
      <c r="J23" s="74"/>
    </row>
    <row r="24" spans="1:10" ht="18.75" customHeight="1" x14ac:dyDescent="0.3">
      <c r="A24" s="137" t="s">
        <v>187</v>
      </c>
      <c r="B24" s="109">
        <f>SUM(B25:B30)</f>
        <v>206498.092065</v>
      </c>
      <c r="C24" s="109">
        <f>SUM(C25:C30)</f>
        <v>497184.10839228996</v>
      </c>
      <c r="D24" s="268">
        <f t="shared" si="0"/>
        <v>140.80000000000001</v>
      </c>
      <c r="E24" s="268"/>
      <c r="F24" s="269">
        <f>SUM(F25:F30)</f>
        <v>99.999999999999986</v>
      </c>
      <c r="G24" s="269">
        <f>SUM(G25:G30)</f>
        <v>99.999999999999986</v>
      </c>
      <c r="H24" s="271">
        <f t="shared" si="1"/>
        <v>0</v>
      </c>
      <c r="I24" s="182"/>
      <c r="J24" s="74"/>
    </row>
    <row r="25" spans="1:10" ht="18.75" customHeight="1" x14ac:dyDescent="0.3">
      <c r="A25" s="193" t="s">
        <v>180</v>
      </c>
      <c r="B25" s="103">
        <f>'Tabell 6'!AR55</f>
        <v>138958.63181255999</v>
      </c>
      <c r="C25" s="103">
        <f>'Tabell 6'!AS55</f>
        <v>344753.85301095998</v>
      </c>
      <c r="D25" s="270">
        <f t="shared" si="0"/>
        <v>148.1</v>
      </c>
      <c r="E25" s="270"/>
      <c r="F25" s="270">
        <f>'Tabell 6'!AR55/('Tabell 6'!AR60+'Tabell 6'!AR61)*100</f>
        <v>67.292937393736111</v>
      </c>
      <c r="G25" s="270">
        <f>'Tabell 6'!AS55/('Tabell 6'!AS60+'Tabell 6'!AS61)*100</f>
        <v>69.34128569108266</v>
      </c>
      <c r="H25" s="271">
        <f t="shared" si="1"/>
        <v>3</v>
      </c>
      <c r="I25" s="182"/>
      <c r="J25" s="74"/>
    </row>
    <row r="26" spans="1:10" ht="18.75" customHeight="1" x14ac:dyDescent="0.3">
      <c r="A26" s="193" t="s">
        <v>181</v>
      </c>
      <c r="B26" s="103">
        <f>'Tabell 6'!AR52+'Tabell 6'!AR56</f>
        <v>60685.866138779995</v>
      </c>
      <c r="C26" s="103">
        <f>'Tabell 6'!AS52+'Tabell 6'!AS56</f>
        <v>136477.48103249</v>
      </c>
      <c r="D26" s="270">
        <f t="shared" si="0"/>
        <v>124.9</v>
      </c>
      <c r="E26" s="270"/>
      <c r="F26" s="270">
        <f>('Tabell 6'!AR52+'Tabell 6'!AR56)/('Tabell 6'!AR60+'Tabell 6'!AR61)*100</f>
        <v>29.388100166890514</v>
      </c>
      <c r="G26" s="270">
        <f>('Tabell 6'!AS52+'Tabell 6'!AS56)/('Tabell 6'!AS60+'Tabell 6'!AS61)*100</f>
        <v>27.45008915787912</v>
      </c>
      <c r="H26" s="271">
        <f t="shared" si="1"/>
        <v>-6.6</v>
      </c>
      <c r="I26" s="182"/>
      <c r="J26" s="74"/>
    </row>
    <row r="27" spans="1:10" ht="18.75" customHeight="1" x14ac:dyDescent="0.3">
      <c r="A27" s="193" t="s">
        <v>182</v>
      </c>
      <c r="B27" s="103">
        <f>'Tabell 6'!AR48</f>
        <v>0</v>
      </c>
      <c r="C27" s="103">
        <f>'Tabell 6'!AS48</f>
        <v>0</v>
      </c>
      <c r="D27" s="270"/>
      <c r="E27" s="270"/>
      <c r="F27" s="270">
        <f>'Tabell 6'!AR48/('Tabell 6'!AR60+'Tabell 6'!AR61)*100</f>
        <v>0</v>
      </c>
      <c r="G27" s="270">
        <f>'Tabell 6'!AS48/('Tabell 6'!AS60+'Tabell 6'!AS61)*100</f>
        <v>0</v>
      </c>
      <c r="H27" s="271"/>
      <c r="I27" s="182"/>
      <c r="J27" s="74"/>
    </row>
    <row r="28" spans="1:10" ht="18.75" customHeight="1" x14ac:dyDescent="0.3">
      <c r="A28" s="108" t="s">
        <v>183</v>
      </c>
      <c r="B28" s="105">
        <f>'Tabell 6'!AR49</f>
        <v>2903.1306638799997</v>
      </c>
      <c r="C28" s="105">
        <f>'Tabell 6'!AS49</f>
        <v>6833.8019068800004</v>
      </c>
      <c r="D28" s="272">
        <f t="shared" si="0"/>
        <v>135.4</v>
      </c>
      <c r="E28" s="272"/>
      <c r="F28" s="270">
        <f>'Tabell 6'!AR49/('Tabell 6'!AR60+'Tabell 6'!AR61)*100</f>
        <v>1.4058874030497932</v>
      </c>
      <c r="G28" s="270">
        <f>'Tabell 6'!AS49/('Tabell 6'!AS60+'Tabell 6'!AS61)*100</f>
        <v>1.3745012745837741</v>
      </c>
      <c r="H28" s="271">
        <f t="shared" si="1"/>
        <v>-2.2000000000000002</v>
      </c>
      <c r="I28" s="182"/>
      <c r="J28" s="74"/>
    </row>
    <row r="29" spans="1:10" ht="18.75" customHeight="1" x14ac:dyDescent="0.3">
      <c r="A29" s="193" t="s">
        <v>184</v>
      </c>
      <c r="B29" s="103">
        <f>'Tabell 6'!AR53+'Tabell 6'!AR57</f>
        <v>2346.0410514700002</v>
      </c>
      <c r="C29" s="103">
        <f>'Tabell 6'!AS53+'Tabell 6'!AS57</f>
        <v>6279.2918545499997</v>
      </c>
      <c r="D29" s="270">
        <f t="shared" si="0"/>
        <v>167.7</v>
      </c>
      <c r="E29" s="270"/>
      <c r="F29" s="270">
        <f>('Tabell 6'!AR53+'Tabell 6'!AR57)/('Tabell 6'!AR60+'Tabell 6'!AR61)*100</f>
        <v>1.1361078584355782</v>
      </c>
      <c r="G29" s="270">
        <f>('Tabell 6'!AS53+'Tabell 6'!AS57)/('Tabell 6'!AS60+'Tabell 6'!AS61)*100</f>
        <v>1.262971150637721</v>
      </c>
      <c r="H29" s="271">
        <f t="shared" si="1"/>
        <v>11.2</v>
      </c>
      <c r="I29" s="182"/>
      <c r="J29" s="74"/>
    </row>
    <row r="30" spans="1:10" ht="18.75" customHeight="1" x14ac:dyDescent="0.3">
      <c r="A30" s="86" t="s">
        <v>185</v>
      </c>
      <c r="B30" s="103">
        <f>'Tabell 6'!AR51-'Tabell 6'!AR52+'Tabell 6'!AR58+'Tabell 6'!AR59+'Tabell 6'!AR61</f>
        <v>1604.4223983100003</v>
      </c>
      <c r="C30" s="103">
        <f>'Tabell 6'!AS51-'Tabell 6'!AS52+'Tabell 6'!AS58+'Tabell 6'!AS59+'Tabell 6'!AS61</f>
        <v>2839.6805874099996</v>
      </c>
      <c r="D30" s="271">
        <f t="shared" si="0"/>
        <v>77</v>
      </c>
      <c r="E30" s="271"/>
      <c r="F30" s="271">
        <f>('Tabell 6'!AR51-'Tabell 6'!AR52+'Tabell 6'!AR58+'Tabell 6'!AR59+'Tabell 6'!AR61)/('Tabell 6'!AR60+'Tabell 6'!AR61)*100</f>
        <v>0.77696717788800274</v>
      </c>
      <c r="G30" s="271">
        <f>('Tabell 6'!AS51-'Tabell 6'!AS52+'Tabell 6'!AS58+'Tabell 6'!AS59+'Tabell 6'!AS61)/('Tabell 6'!AS60+'Tabell 6'!AS61)*100</f>
        <v>0.57115272581669563</v>
      </c>
      <c r="H30" s="271">
        <f t="shared" si="1"/>
        <v>-26.5</v>
      </c>
      <c r="I30" s="182"/>
      <c r="J30" s="74"/>
    </row>
    <row r="31" spans="1:10" ht="18.75" customHeight="1" x14ac:dyDescent="0.3">
      <c r="A31" s="193"/>
      <c r="B31" s="176"/>
      <c r="C31" s="176"/>
      <c r="D31" s="270"/>
      <c r="E31" s="270"/>
      <c r="F31" s="270"/>
      <c r="G31" s="271"/>
      <c r="H31" s="271"/>
      <c r="I31" s="182"/>
      <c r="J31" s="74"/>
    </row>
    <row r="32" spans="1:10" ht="18.75" customHeight="1" x14ac:dyDescent="0.3">
      <c r="A32" s="137" t="s">
        <v>2</v>
      </c>
      <c r="B32" s="109">
        <f>SUM(B33:B38)</f>
        <v>1329623.5319661198</v>
      </c>
      <c r="C32" s="109">
        <f>SUM(C33:C38)</f>
        <v>2308051.6948881103</v>
      </c>
      <c r="D32" s="268">
        <f t="shared" si="0"/>
        <v>73.599999999999994</v>
      </c>
      <c r="E32" s="268"/>
      <c r="F32" s="268">
        <f>SUM(F33:F38)</f>
        <v>100</v>
      </c>
      <c r="G32" s="268">
        <f>SUM(G33:G38)</f>
        <v>99.999999999999986</v>
      </c>
      <c r="H32" s="269">
        <f t="shared" si="1"/>
        <v>0</v>
      </c>
      <c r="I32" s="182"/>
      <c r="J32" s="74"/>
    </row>
    <row r="33" spans="1:10" ht="18.75" customHeight="1" x14ac:dyDescent="0.3">
      <c r="A33" s="193" t="s">
        <v>180</v>
      </c>
      <c r="B33" s="103">
        <f>B9+B17+B25</f>
        <v>278277.64752563997</v>
      </c>
      <c r="C33" s="103">
        <f t="shared" ref="B33:C38" si="2">C9+C17+C25</f>
        <v>571664.37414215994</v>
      </c>
      <c r="D33" s="270">
        <f t="shared" si="0"/>
        <v>105.4</v>
      </c>
      <c r="E33" s="270"/>
      <c r="F33" s="270">
        <f>B33/B32*100</f>
        <v>20.929055543575529</v>
      </c>
      <c r="G33" s="270">
        <f>C33/C32*100</f>
        <v>24.768265607234291</v>
      </c>
      <c r="H33" s="271">
        <f t="shared" si="1"/>
        <v>18.3</v>
      </c>
      <c r="I33" s="182"/>
      <c r="J33" s="74"/>
    </row>
    <row r="34" spans="1:10" ht="18.75" customHeight="1" x14ac:dyDescent="0.3">
      <c r="A34" s="193" t="s">
        <v>181</v>
      </c>
      <c r="B34" s="103">
        <f t="shared" si="2"/>
        <v>527931.13134188997</v>
      </c>
      <c r="C34" s="103">
        <f t="shared" si="2"/>
        <v>854341.81587808009</v>
      </c>
      <c r="D34" s="270">
        <f t="shared" si="0"/>
        <v>61.8</v>
      </c>
      <c r="E34" s="270"/>
      <c r="F34" s="270">
        <f>B34/B32*100</f>
        <v>39.705308957734523</v>
      </c>
      <c r="G34" s="270">
        <f>C34/C32*100</f>
        <v>37.015714066122634</v>
      </c>
      <c r="H34" s="271">
        <f t="shared" si="1"/>
        <v>-6.8</v>
      </c>
      <c r="I34" s="182"/>
      <c r="J34" s="74"/>
    </row>
    <row r="35" spans="1:10" ht="18.75" customHeight="1" x14ac:dyDescent="0.3">
      <c r="A35" s="193" t="s">
        <v>182</v>
      </c>
      <c r="B35" s="103">
        <f t="shared" si="2"/>
        <v>1019.4033467500001</v>
      </c>
      <c r="C35" s="103">
        <f t="shared" si="2"/>
        <v>1073.5669507500002</v>
      </c>
      <c r="D35" s="270">
        <f t="shared" si="0"/>
        <v>5.3</v>
      </c>
      <c r="E35" s="270"/>
      <c r="F35" s="270">
        <f>B35/B32*100</f>
        <v>7.6668569880273124E-2</v>
      </c>
      <c r="G35" s="270">
        <f>C35/C32*100</f>
        <v>4.6513990701670331E-2</v>
      </c>
      <c r="H35" s="271">
        <f t="shared" si="1"/>
        <v>-39.299999999999997</v>
      </c>
      <c r="I35" s="182"/>
      <c r="J35" s="74"/>
    </row>
    <row r="36" spans="1:10" ht="18.75" customHeight="1" x14ac:dyDescent="0.3">
      <c r="A36" s="108" t="s">
        <v>183</v>
      </c>
      <c r="B36" s="105">
        <f t="shared" si="2"/>
        <v>141099.56982266001</v>
      </c>
      <c r="C36" s="105">
        <f t="shared" si="2"/>
        <v>230302.24992015999</v>
      </c>
      <c r="D36" s="272">
        <f t="shared" si="0"/>
        <v>63.2</v>
      </c>
      <c r="E36" s="272"/>
      <c r="F36" s="270">
        <f>B36/B32*100</f>
        <v>10.611994029168203</v>
      </c>
      <c r="G36" s="270">
        <f>C36/C32*100</f>
        <v>9.9782102121124545</v>
      </c>
      <c r="H36" s="271">
        <f t="shared" si="1"/>
        <v>-6</v>
      </c>
      <c r="I36" s="182"/>
      <c r="J36" s="74"/>
    </row>
    <row r="37" spans="1:10" ht="18.75" customHeight="1" x14ac:dyDescent="0.3">
      <c r="A37" s="193" t="s">
        <v>184</v>
      </c>
      <c r="B37" s="103">
        <f t="shared" si="2"/>
        <v>329985.21788954985</v>
      </c>
      <c r="C37" s="103">
        <f t="shared" si="2"/>
        <v>603734.65498435008</v>
      </c>
      <c r="D37" s="270">
        <f t="shared" si="0"/>
        <v>83</v>
      </c>
      <c r="E37" s="270"/>
      <c r="F37" s="270">
        <f>B37/B32*100</f>
        <v>24.817943572463655</v>
      </c>
      <c r="G37" s="270">
        <f>C37/C32*100</f>
        <v>26.157761384699747</v>
      </c>
      <c r="H37" s="271">
        <f t="shared" si="1"/>
        <v>5.4</v>
      </c>
      <c r="I37" s="182"/>
      <c r="J37" s="74"/>
    </row>
    <row r="38" spans="1:10" ht="18.75" customHeight="1" x14ac:dyDescent="0.3">
      <c r="A38" s="273" t="s">
        <v>185</v>
      </c>
      <c r="B38" s="274">
        <f t="shared" si="2"/>
        <v>51310.562039630007</v>
      </c>
      <c r="C38" s="274">
        <f t="shared" si="2"/>
        <v>46935.033012609994</v>
      </c>
      <c r="D38" s="275">
        <f t="shared" si="0"/>
        <v>-8.5</v>
      </c>
      <c r="E38" s="270"/>
      <c r="F38" s="275">
        <f>B38/B32*100</f>
        <v>3.859029327177812</v>
      </c>
      <c r="G38" s="275">
        <f>C38/C32*100</f>
        <v>2.0335347391291991</v>
      </c>
      <c r="H38" s="276">
        <f t="shared" si="1"/>
        <v>-47.3</v>
      </c>
      <c r="I38" s="182"/>
      <c r="J38" s="74"/>
    </row>
    <row r="39" spans="1:10" ht="18.75" customHeight="1" x14ac:dyDescent="0.3">
      <c r="A39" s="112"/>
      <c r="B39" s="112"/>
      <c r="C39" s="112"/>
      <c r="D39" s="112"/>
      <c r="E39" s="112"/>
      <c r="F39" s="182"/>
      <c r="G39" s="182"/>
      <c r="H39" s="182"/>
      <c r="I39" s="182"/>
      <c r="J39" s="74"/>
    </row>
    <row r="40" spans="1:10" ht="18.75" customHeight="1" x14ac:dyDescent="0.3">
      <c r="A40" s="112" t="s">
        <v>188</v>
      </c>
      <c r="B40" s="112"/>
      <c r="C40" s="112"/>
      <c r="D40" s="112"/>
      <c r="E40" s="112"/>
      <c r="F40" s="182"/>
      <c r="G40" s="182"/>
      <c r="H40" s="182"/>
      <c r="I40" s="182"/>
      <c r="J40" s="74"/>
    </row>
    <row r="41" spans="1:10" ht="18.75" x14ac:dyDescent="0.3">
      <c r="A41" s="112" t="s">
        <v>116</v>
      </c>
      <c r="B41" s="112"/>
      <c r="C41" s="112"/>
      <c r="D41" s="112"/>
      <c r="E41" s="112"/>
      <c r="F41" s="74"/>
      <c r="G41" s="74"/>
      <c r="H41" s="74"/>
      <c r="I41" s="74"/>
      <c r="J41" s="74"/>
    </row>
    <row r="42" spans="1:10" ht="18.75" x14ac:dyDescent="0.3">
      <c r="A42" s="74"/>
      <c r="B42" s="74"/>
      <c r="C42" s="74"/>
      <c r="D42" s="74"/>
      <c r="E42" s="74"/>
      <c r="G42" s="74"/>
      <c r="H42" s="74"/>
      <c r="I42" s="74"/>
      <c r="J42" s="74"/>
    </row>
    <row r="43" spans="1:10" ht="18.75" x14ac:dyDescent="0.3">
      <c r="A43" s="74"/>
      <c r="B43" s="74"/>
      <c r="C43" s="74"/>
      <c r="D43" s="74"/>
      <c r="E43" s="74"/>
      <c r="F43" s="74"/>
      <c r="G43" s="74"/>
      <c r="H43" s="74"/>
      <c r="I43" s="74"/>
      <c r="J43" s="74"/>
    </row>
    <row r="44" spans="1:10" ht="18.75" x14ac:dyDescent="0.3">
      <c r="A44" s="74"/>
      <c r="B44" s="74"/>
      <c r="C44" s="74"/>
      <c r="D44" s="74"/>
      <c r="E44" s="74"/>
      <c r="F44" s="74"/>
      <c r="G44" s="74"/>
      <c r="H44" s="74"/>
      <c r="I44" s="74"/>
      <c r="J44" s="74"/>
    </row>
    <row r="45" spans="1:10" ht="18.75" x14ac:dyDescent="0.3">
      <c r="A45" s="74"/>
      <c r="B45" s="74"/>
      <c r="C45" s="74"/>
      <c r="D45" s="74"/>
      <c r="E45" s="74"/>
      <c r="F45" s="74"/>
      <c r="G45" s="74"/>
      <c r="H45" s="74"/>
      <c r="I45" s="74"/>
      <c r="J45" s="74"/>
    </row>
    <row r="46" spans="1:10" ht="18.75" x14ac:dyDescent="0.3">
      <c r="A46" s="74"/>
      <c r="B46" s="74"/>
      <c r="C46" s="74"/>
      <c r="D46" s="74"/>
      <c r="E46" s="74"/>
      <c r="F46" s="74"/>
      <c r="G46" s="74"/>
      <c r="H46" s="74"/>
      <c r="I46" s="74"/>
      <c r="J46" s="74"/>
    </row>
    <row r="47" spans="1:10" ht="18.75" x14ac:dyDescent="0.3">
      <c r="A47" s="74"/>
      <c r="B47" s="74"/>
      <c r="C47" s="74"/>
      <c r="D47" s="74"/>
      <c r="E47" s="74"/>
      <c r="F47" s="74"/>
      <c r="G47" s="74"/>
      <c r="H47" s="74"/>
      <c r="I47" s="74"/>
      <c r="J47" s="74"/>
    </row>
    <row r="48" spans="1:10" ht="18.75" x14ac:dyDescent="0.3">
      <c r="A48" s="74"/>
      <c r="B48" s="74"/>
      <c r="C48" s="74"/>
      <c r="D48" s="74"/>
      <c r="E48" s="74"/>
      <c r="F48" s="74"/>
      <c r="G48" s="74"/>
      <c r="H48" s="74"/>
      <c r="I48" s="74"/>
      <c r="J48" s="74"/>
    </row>
    <row r="49" spans="1:10" ht="18.75" x14ac:dyDescent="0.3">
      <c r="A49" s="74"/>
      <c r="B49" s="74"/>
      <c r="C49" s="74"/>
      <c r="D49" s="74"/>
      <c r="E49" s="74"/>
      <c r="F49" s="74"/>
      <c r="G49" s="74"/>
      <c r="H49" s="74"/>
      <c r="I49" s="74"/>
      <c r="J49" s="74"/>
    </row>
    <row r="50" spans="1:10" ht="18.75" x14ac:dyDescent="0.3">
      <c r="A50" s="74"/>
      <c r="B50" s="74"/>
      <c r="C50" s="74"/>
      <c r="D50" s="74"/>
      <c r="E50" s="74"/>
      <c r="F50" s="74"/>
      <c r="G50" s="74"/>
      <c r="H50" s="74"/>
      <c r="I50" s="74"/>
      <c r="J50" s="74"/>
    </row>
    <row r="51" spans="1:10" ht="18.75" x14ac:dyDescent="0.3">
      <c r="A51" s="74"/>
      <c r="B51" s="74"/>
      <c r="C51" s="74"/>
      <c r="D51" s="74"/>
      <c r="E51" s="74"/>
      <c r="F51" s="74"/>
      <c r="G51" s="74"/>
      <c r="H51" s="74"/>
      <c r="I51" s="74"/>
      <c r="J51" s="74"/>
    </row>
    <row r="52" spans="1:10" ht="18.75" x14ac:dyDescent="0.3">
      <c r="A52" s="74"/>
      <c r="B52" s="74"/>
      <c r="C52" s="74"/>
      <c r="D52" s="74"/>
      <c r="E52" s="74"/>
      <c r="F52" s="74"/>
      <c r="G52" s="74"/>
      <c r="H52" s="74"/>
      <c r="I52" s="74"/>
      <c r="J52" s="74"/>
    </row>
    <row r="53" spans="1:10" ht="18.75" x14ac:dyDescent="0.3">
      <c r="A53" s="74"/>
      <c r="B53" s="74"/>
      <c r="C53" s="74"/>
      <c r="D53" s="74"/>
      <c r="E53" s="74"/>
      <c r="F53" s="74"/>
      <c r="G53" s="74"/>
      <c r="H53" s="74"/>
      <c r="I53" s="74"/>
      <c r="J53" s="74"/>
    </row>
    <row r="54" spans="1:10" ht="18.75" x14ac:dyDescent="0.3">
      <c r="A54" s="74"/>
      <c r="B54" s="74"/>
      <c r="C54" s="74"/>
      <c r="D54" s="74"/>
      <c r="E54" s="74"/>
      <c r="F54" s="74"/>
      <c r="G54" s="74"/>
      <c r="H54" s="74"/>
      <c r="I54" s="74"/>
      <c r="J54" s="74"/>
    </row>
    <row r="55" spans="1:10" ht="18.75" x14ac:dyDescent="0.3">
      <c r="A55" s="74"/>
      <c r="B55" s="74"/>
      <c r="C55" s="74"/>
      <c r="D55" s="74"/>
      <c r="E55" s="74"/>
      <c r="F55" s="74"/>
      <c r="G55" s="74"/>
      <c r="H55" s="74"/>
      <c r="I55" s="74"/>
      <c r="J55" s="74"/>
    </row>
    <row r="56" spans="1:10" ht="18.75" x14ac:dyDescent="0.3">
      <c r="A56" s="74"/>
      <c r="B56" s="74"/>
      <c r="C56" s="74"/>
      <c r="D56" s="74"/>
      <c r="E56" s="74"/>
      <c r="F56" s="74"/>
      <c r="G56" s="74"/>
      <c r="H56" s="74"/>
      <c r="I56" s="74"/>
      <c r="J56" s="74"/>
    </row>
    <row r="57" spans="1:10" ht="18.75" x14ac:dyDescent="0.3">
      <c r="A57" s="74"/>
      <c r="B57" s="74"/>
      <c r="C57" s="74"/>
      <c r="D57" s="74"/>
      <c r="E57" s="74"/>
      <c r="F57" s="74"/>
      <c r="G57" s="74"/>
      <c r="H57" s="74"/>
      <c r="I57" s="74"/>
      <c r="J57" s="74"/>
    </row>
    <row r="58" spans="1:10" ht="18.75" x14ac:dyDescent="0.3">
      <c r="A58" s="74"/>
      <c r="B58" s="74"/>
      <c r="C58" s="74"/>
      <c r="D58" s="74"/>
      <c r="E58" s="74"/>
      <c r="F58" s="74"/>
      <c r="G58" s="74"/>
      <c r="H58" s="74"/>
      <c r="I58" s="74"/>
      <c r="J58" s="74"/>
    </row>
    <row r="59" spans="1:10" ht="18.75" x14ac:dyDescent="0.3">
      <c r="A59" s="74"/>
      <c r="B59" s="74"/>
      <c r="C59" s="74"/>
      <c r="D59" s="74"/>
      <c r="E59" s="74"/>
      <c r="F59" s="74"/>
      <c r="G59" s="74"/>
      <c r="H59" s="74"/>
      <c r="I59" s="74"/>
      <c r="J59" s="74"/>
    </row>
    <row r="60" spans="1:10" ht="18.75" x14ac:dyDescent="0.3">
      <c r="A60" s="74"/>
      <c r="B60" s="74"/>
      <c r="C60" s="74"/>
      <c r="D60" s="74"/>
      <c r="E60" s="74"/>
      <c r="F60" s="74"/>
      <c r="G60" s="74"/>
      <c r="H60" s="74"/>
      <c r="I60" s="74"/>
      <c r="J60" s="74"/>
    </row>
    <row r="61" spans="1:10" ht="18.75" x14ac:dyDescent="0.3">
      <c r="A61" s="74"/>
      <c r="B61" s="74"/>
      <c r="C61" s="74"/>
      <c r="D61" s="74"/>
      <c r="E61" s="74"/>
      <c r="F61" s="74"/>
      <c r="G61" s="74"/>
      <c r="H61" s="74"/>
      <c r="I61" s="74"/>
      <c r="J61" s="74"/>
    </row>
    <row r="62" spans="1:10" ht="18.75" x14ac:dyDescent="0.3">
      <c r="A62" s="74"/>
      <c r="B62" s="74"/>
      <c r="C62" s="74"/>
      <c r="D62" s="74"/>
      <c r="E62" s="74"/>
      <c r="F62" s="74"/>
      <c r="G62" s="74"/>
      <c r="H62" s="74"/>
      <c r="I62" s="74"/>
      <c r="J62" s="74"/>
    </row>
    <row r="63" spans="1:10" ht="18.75" x14ac:dyDescent="0.3">
      <c r="A63" s="74"/>
      <c r="B63" s="74"/>
      <c r="C63" s="74"/>
      <c r="D63" s="74"/>
      <c r="E63" s="74"/>
      <c r="F63" s="74"/>
      <c r="G63" s="74"/>
      <c r="H63" s="74"/>
      <c r="I63" s="74"/>
      <c r="J63" s="74"/>
    </row>
    <row r="64" spans="1:10" ht="18.75" x14ac:dyDescent="0.3">
      <c r="A64" s="74"/>
      <c r="B64" s="74"/>
      <c r="C64" s="74"/>
      <c r="D64" s="74"/>
      <c r="E64" s="74"/>
      <c r="F64" s="74"/>
      <c r="G64" s="74"/>
      <c r="H64" s="74"/>
      <c r="I64" s="74"/>
      <c r="J64" s="74"/>
    </row>
    <row r="65" spans="1:10" ht="18.75" x14ac:dyDescent="0.3">
      <c r="A65" s="74"/>
      <c r="B65" s="74"/>
      <c r="C65" s="74"/>
      <c r="D65" s="74"/>
      <c r="E65" s="74"/>
      <c r="F65" s="74"/>
      <c r="G65" s="74"/>
      <c r="H65" s="74"/>
      <c r="I65" s="74"/>
      <c r="J65" s="74"/>
    </row>
    <row r="66" spans="1:10" ht="18.75" x14ac:dyDescent="0.3">
      <c r="A66" s="74"/>
      <c r="B66" s="74"/>
      <c r="C66" s="74"/>
      <c r="D66" s="74"/>
      <c r="E66" s="74"/>
      <c r="F66" s="74"/>
      <c r="G66" s="74"/>
      <c r="H66" s="74"/>
      <c r="I66" s="74"/>
      <c r="J66" s="74"/>
    </row>
    <row r="67" spans="1:10" ht="18.75" x14ac:dyDescent="0.3">
      <c r="A67" s="74"/>
      <c r="B67" s="74"/>
      <c r="C67" s="74"/>
      <c r="D67" s="74"/>
      <c r="E67" s="74"/>
      <c r="F67" s="74"/>
      <c r="G67" s="74"/>
      <c r="H67" s="74"/>
      <c r="I67" s="74"/>
      <c r="J67" s="74"/>
    </row>
    <row r="68" spans="1:10" ht="18.75" x14ac:dyDescent="0.3">
      <c r="A68" s="74"/>
      <c r="B68" s="74"/>
      <c r="C68" s="74"/>
      <c r="D68" s="74"/>
      <c r="E68" s="74"/>
      <c r="F68" s="74"/>
      <c r="G68" s="74"/>
      <c r="H68" s="74"/>
      <c r="I68" s="74"/>
      <c r="J68" s="74"/>
    </row>
    <row r="69" spans="1:10" ht="18.75" x14ac:dyDescent="0.3">
      <c r="A69" s="74"/>
      <c r="B69" s="74"/>
      <c r="C69" s="74"/>
      <c r="D69" s="74"/>
      <c r="E69" s="74"/>
      <c r="F69" s="74"/>
      <c r="G69" s="74"/>
      <c r="H69" s="74"/>
      <c r="I69" s="74"/>
      <c r="J69" s="74"/>
    </row>
    <row r="70" spans="1:10" ht="18.75" x14ac:dyDescent="0.3">
      <c r="A70" s="74"/>
      <c r="B70" s="74"/>
      <c r="C70" s="74"/>
      <c r="D70" s="74"/>
      <c r="E70" s="74"/>
      <c r="F70" s="74"/>
      <c r="G70" s="74"/>
      <c r="H70" s="74"/>
      <c r="I70" s="74"/>
      <c r="J70" s="74"/>
    </row>
    <row r="71" spans="1:10" ht="18.75" x14ac:dyDescent="0.3">
      <c r="A71" s="74"/>
      <c r="B71" s="74"/>
      <c r="C71" s="74"/>
      <c r="D71" s="74"/>
      <c r="E71" s="74"/>
      <c r="F71" s="74"/>
      <c r="G71" s="74"/>
      <c r="H71" s="74"/>
      <c r="I71" s="74"/>
      <c r="J71" s="74"/>
    </row>
    <row r="72" spans="1:10" ht="18.75" x14ac:dyDescent="0.3">
      <c r="A72" s="74"/>
      <c r="B72" s="74"/>
      <c r="C72" s="74"/>
      <c r="D72" s="74"/>
      <c r="E72" s="74"/>
      <c r="F72" s="74"/>
      <c r="G72" s="74"/>
      <c r="H72" s="74"/>
      <c r="I72" s="74"/>
      <c r="J72" s="74"/>
    </row>
    <row r="73" spans="1:10" ht="18.75" x14ac:dyDescent="0.3">
      <c r="A73" s="74"/>
      <c r="B73" s="74"/>
      <c r="C73" s="74"/>
      <c r="D73" s="74"/>
      <c r="E73" s="74"/>
      <c r="F73" s="74"/>
      <c r="G73" s="74"/>
      <c r="H73" s="74"/>
      <c r="I73" s="74"/>
      <c r="J73" s="74"/>
    </row>
    <row r="74" spans="1:10" ht="18.75" x14ac:dyDescent="0.3">
      <c r="A74" s="74"/>
      <c r="B74" s="74"/>
      <c r="C74" s="74"/>
      <c r="D74" s="74"/>
      <c r="E74" s="74"/>
      <c r="F74" s="74"/>
      <c r="G74" s="74"/>
      <c r="H74" s="74"/>
      <c r="I74" s="74"/>
      <c r="J74" s="74"/>
    </row>
    <row r="75" spans="1:10" ht="18.75" x14ac:dyDescent="0.3">
      <c r="A75" s="74"/>
      <c r="B75" s="74"/>
      <c r="C75" s="74"/>
      <c r="D75" s="74"/>
      <c r="E75" s="74"/>
      <c r="F75" s="74"/>
      <c r="G75" s="74"/>
      <c r="H75" s="74"/>
      <c r="I75" s="74"/>
      <c r="J75" s="74"/>
    </row>
    <row r="76" spans="1:10" ht="18.75" x14ac:dyDescent="0.3">
      <c r="A76" s="74"/>
      <c r="B76" s="74"/>
      <c r="C76" s="74"/>
      <c r="D76" s="74"/>
      <c r="E76" s="74"/>
      <c r="F76" s="74"/>
      <c r="G76" s="74"/>
      <c r="H76" s="74"/>
      <c r="I76" s="74"/>
      <c r="J76" s="74"/>
    </row>
    <row r="77" spans="1:10" ht="18.75" x14ac:dyDescent="0.3">
      <c r="A77" s="74"/>
      <c r="B77" s="74"/>
      <c r="C77" s="74"/>
      <c r="D77" s="74"/>
      <c r="E77" s="74"/>
      <c r="F77" s="74"/>
      <c r="G77" s="74"/>
      <c r="H77" s="74"/>
      <c r="I77" s="74"/>
      <c r="J77" s="74"/>
    </row>
    <row r="78" spans="1:10" ht="18.75" x14ac:dyDescent="0.3">
      <c r="A78" s="74"/>
      <c r="B78" s="74"/>
      <c r="C78" s="74"/>
      <c r="D78" s="74"/>
      <c r="E78" s="74"/>
      <c r="F78" s="74"/>
      <c r="G78" s="74"/>
      <c r="H78" s="74"/>
      <c r="I78" s="74"/>
      <c r="J78" s="74"/>
    </row>
    <row r="79" spans="1:10" ht="18.75" x14ac:dyDescent="0.3">
      <c r="A79" s="74"/>
      <c r="B79" s="74"/>
      <c r="C79" s="74"/>
      <c r="D79" s="74"/>
      <c r="E79" s="74"/>
      <c r="F79" s="74"/>
      <c r="G79" s="74"/>
      <c r="H79" s="74"/>
      <c r="I79" s="74"/>
      <c r="J79" s="74"/>
    </row>
    <row r="80" spans="1:10" ht="18.75" x14ac:dyDescent="0.3">
      <c r="A80" s="74"/>
      <c r="B80" s="74"/>
      <c r="C80" s="74"/>
      <c r="D80" s="74"/>
      <c r="E80" s="74"/>
      <c r="F80" s="74"/>
      <c r="G80" s="74"/>
      <c r="H80" s="74"/>
      <c r="I80" s="74"/>
      <c r="J80" s="74"/>
    </row>
    <row r="81" spans="1:10" ht="18.75" x14ac:dyDescent="0.3">
      <c r="A81" s="74"/>
      <c r="B81" s="74"/>
      <c r="C81" s="74"/>
      <c r="D81" s="74"/>
      <c r="E81" s="74"/>
      <c r="F81" s="74"/>
      <c r="G81" s="74"/>
      <c r="H81" s="74"/>
      <c r="I81" s="74"/>
      <c r="J81" s="74"/>
    </row>
    <row r="82" spans="1:10" ht="18.75" x14ac:dyDescent="0.3">
      <c r="A82" s="74"/>
      <c r="B82" s="74"/>
      <c r="C82" s="74"/>
      <c r="D82" s="74"/>
      <c r="E82" s="74"/>
      <c r="F82" s="74"/>
      <c r="G82" s="74"/>
      <c r="H82" s="74"/>
      <c r="I82" s="74"/>
      <c r="J82" s="74"/>
    </row>
    <row r="83" spans="1:10" ht="18.75" x14ac:dyDescent="0.3">
      <c r="A83" s="74"/>
      <c r="B83" s="74"/>
      <c r="C83" s="74"/>
      <c r="D83" s="74"/>
      <c r="E83" s="74"/>
      <c r="F83" s="74"/>
      <c r="G83" s="74"/>
      <c r="H83" s="74"/>
      <c r="I83" s="74"/>
      <c r="J83" s="74"/>
    </row>
    <row r="84" spans="1:10" ht="18.75" x14ac:dyDescent="0.3">
      <c r="A84" s="74"/>
      <c r="B84" s="74"/>
      <c r="C84" s="74"/>
      <c r="D84" s="74"/>
      <c r="E84" s="74"/>
      <c r="F84" s="74"/>
      <c r="G84" s="74"/>
      <c r="H84" s="74"/>
      <c r="I84" s="74"/>
      <c r="J84" s="74"/>
    </row>
    <row r="85" spans="1:10" ht="18.75" x14ac:dyDescent="0.3">
      <c r="A85" s="74"/>
      <c r="B85" s="74"/>
      <c r="C85" s="74"/>
      <c r="D85" s="74"/>
      <c r="E85" s="74"/>
      <c r="F85" s="74"/>
      <c r="G85" s="74"/>
      <c r="H85" s="74"/>
      <c r="I85" s="74"/>
      <c r="J85" s="74"/>
    </row>
    <row r="86" spans="1:10" ht="18.75" x14ac:dyDescent="0.3">
      <c r="A86" s="74"/>
      <c r="B86" s="74"/>
      <c r="C86" s="74"/>
      <c r="D86" s="74"/>
      <c r="E86" s="74"/>
      <c r="F86" s="74"/>
      <c r="G86" s="74"/>
      <c r="H86" s="74"/>
      <c r="I86" s="74"/>
      <c r="J86" s="74"/>
    </row>
    <row r="87" spans="1:10" ht="18.75" x14ac:dyDescent="0.3">
      <c r="A87" s="74"/>
      <c r="B87" s="74"/>
      <c r="C87" s="74"/>
      <c r="D87" s="74"/>
      <c r="E87" s="74"/>
      <c r="F87" s="74"/>
      <c r="G87" s="74"/>
      <c r="H87" s="74"/>
      <c r="I87" s="74"/>
      <c r="J87" s="74"/>
    </row>
    <row r="88" spans="1:10" ht="18.75" x14ac:dyDescent="0.3">
      <c r="A88" s="74"/>
      <c r="B88" s="74"/>
      <c r="C88" s="74"/>
      <c r="D88" s="74"/>
      <c r="E88" s="74"/>
      <c r="F88" s="74"/>
      <c r="G88" s="74"/>
      <c r="H88" s="74"/>
      <c r="I88" s="74"/>
      <c r="J88" s="74"/>
    </row>
    <row r="89" spans="1:10" ht="18.75" x14ac:dyDescent="0.3">
      <c r="A89" s="74"/>
      <c r="B89" s="74"/>
      <c r="C89" s="74"/>
      <c r="D89" s="74"/>
      <c r="E89" s="74"/>
      <c r="F89" s="74"/>
      <c r="G89" s="74"/>
      <c r="H89" s="74"/>
      <c r="I89" s="74"/>
      <c r="J89" s="74"/>
    </row>
    <row r="90" spans="1:10" ht="18.75" x14ac:dyDescent="0.3">
      <c r="A90" s="74"/>
      <c r="B90" s="74"/>
      <c r="C90" s="74"/>
      <c r="D90" s="74"/>
      <c r="E90" s="74"/>
      <c r="F90" s="74"/>
      <c r="G90" s="74"/>
      <c r="H90" s="74"/>
      <c r="I90" s="74"/>
      <c r="J90" s="74"/>
    </row>
    <row r="91" spans="1:10" ht="18.75" x14ac:dyDescent="0.3">
      <c r="A91" s="74"/>
      <c r="B91" s="74"/>
      <c r="C91" s="74"/>
      <c r="D91" s="74"/>
      <c r="E91" s="74"/>
      <c r="F91" s="74"/>
      <c r="G91" s="74"/>
      <c r="H91" s="74"/>
      <c r="I91" s="74"/>
      <c r="J91" s="74"/>
    </row>
    <row r="92" spans="1:10" ht="18.75" x14ac:dyDescent="0.3">
      <c r="A92" s="74"/>
      <c r="B92" s="74"/>
      <c r="C92" s="74"/>
      <c r="D92" s="74"/>
      <c r="E92" s="74"/>
      <c r="F92" s="74"/>
      <c r="G92" s="74"/>
      <c r="H92" s="74"/>
      <c r="I92" s="74"/>
      <c r="J92" s="74"/>
    </row>
  </sheetData>
  <mergeCells count="4">
    <mergeCell ref="B4:D4"/>
    <mergeCell ref="F4:H4"/>
    <mergeCell ref="B5:D5"/>
    <mergeCell ref="F5:H5"/>
  </mergeCells>
  <hyperlinks>
    <hyperlink ref="B1" location="Innhold!A1" display="Tilbake"/>
  </hyperlinks>
  <pageMargins left="0.70866141732283472" right="0.70866141732283472" top="0.74803149606299213" bottom="0.74803149606299213" header="0.31496062992125984" footer="0.31496062992125984"/>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N301"/>
  <sheetViews>
    <sheetView showGridLines="0" showZeros="0" zoomScaleNormal="100" zoomScaleSheetLayoutView="80" workbookViewId="0">
      <pane xSplit="1" topLeftCell="B1" activePane="topRight" state="frozen"/>
      <selection pane="topRight" activeCell="A4" sqref="A4"/>
    </sheetView>
  </sheetViews>
  <sheetFormatPr baseColWidth="10" defaultColWidth="11.42578125" defaultRowHeight="12.75" x14ac:dyDescent="0.2"/>
  <cols>
    <col min="1" max="1" width="57.140625" style="1" customWidth="1"/>
    <col min="2" max="2" width="10.7109375" style="1" customWidth="1"/>
    <col min="3" max="3" width="10.85546875" style="1" customWidth="1"/>
    <col min="4" max="4" width="8.7109375" style="1" customWidth="1"/>
    <col min="5" max="5" width="10.7109375" style="1" customWidth="1"/>
    <col min="6" max="6" width="10.85546875" style="1" customWidth="1"/>
    <col min="7" max="7" width="8.7109375" style="1" customWidth="1"/>
    <col min="8" max="8" width="10.7109375" style="1" customWidth="1"/>
    <col min="9" max="9" width="10.85546875" style="1" customWidth="1"/>
    <col min="10" max="10" width="8.7109375" style="1" customWidth="1"/>
    <col min="11" max="16384" width="11.42578125" style="1"/>
  </cols>
  <sheetData>
    <row r="1" spans="1:10" ht="15.75" customHeight="1" x14ac:dyDescent="0.2">
      <c r="A1" s="345">
        <v>1</v>
      </c>
      <c r="B1" s="4"/>
      <c r="C1" s="4"/>
      <c r="D1" s="4"/>
      <c r="E1" s="4"/>
      <c r="F1" s="4"/>
      <c r="G1" s="4"/>
      <c r="H1" s="4"/>
      <c r="I1" s="4"/>
      <c r="J1" s="4"/>
    </row>
    <row r="2" spans="1:10" ht="15.75" customHeight="1" x14ac:dyDescent="0.25">
      <c r="A2" s="164" t="s">
        <v>32</v>
      </c>
      <c r="B2" s="671"/>
      <c r="C2" s="671"/>
      <c r="D2" s="671"/>
      <c r="E2" s="671"/>
      <c r="F2" s="671"/>
      <c r="G2" s="671"/>
      <c r="H2" s="671"/>
      <c r="I2" s="671"/>
      <c r="J2" s="671"/>
    </row>
    <row r="3" spans="1:10" ht="15.75" customHeight="1" x14ac:dyDescent="0.25">
      <c r="A3" s="162"/>
      <c r="B3" s="295"/>
      <c r="C3" s="295"/>
      <c r="D3" s="295"/>
      <c r="E3" s="295"/>
      <c r="F3" s="295"/>
      <c r="G3" s="295"/>
      <c r="H3" s="295"/>
      <c r="I3" s="295"/>
      <c r="J3" s="295"/>
    </row>
    <row r="4" spans="1:10" ht="15.75" customHeight="1" x14ac:dyDescent="0.2">
      <c r="A4" s="143"/>
      <c r="B4" s="668" t="s">
        <v>0</v>
      </c>
      <c r="C4" s="669"/>
      <c r="D4" s="669"/>
      <c r="E4" s="668" t="s">
        <v>1</v>
      </c>
      <c r="F4" s="669"/>
      <c r="G4" s="669"/>
      <c r="H4" s="668" t="s">
        <v>2</v>
      </c>
      <c r="I4" s="669"/>
      <c r="J4" s="670"/>
    </row>
    <row r="5" spans="1:10" ht="15.75" customHeight="1" x14ac:dyDescent="0.2">
      <c r="A5" s="157"/>
      <c r="B5" s="20" t="s">
        <v>411</v>
      </c>
      <c r="C5" s="20" t="s">
        <v>412</v>
      </c>
      <c r="D5" s="251" t="s">
        <v>3</v>
      </c>
      <c r="E5" s="20" t="s">
        <v>411</v>
      </c>
      <c r="F5" s="20" t="s">
        <v>412</v>
      </c>
      <c r="G5" s="251" t="s">
        <v>3</v>
      </c>
      <c r="H5" s="20" t="s">
        <v>411</v>
      </c>
      <c r="I5" s="20" t="s">
        <v>412</v>
      </c>
      <c r="J5" s="251" t="s">
        <v>3</v>
      </c>
    </row>
    <row r="6" spans="1:10" ht="15.75" customHeight="1" x14ac:dyDescent="0.2">
      <c r="A6" s="435"/>
      <c r="B6" s="15"/>
      <c r="C6" s="15"/>
      <c r="D6" s="17" t="s">
        <v>4</v>
      </c>
      <c r="E6" s="16"/>
      <c r="F6" s="16"/>
      <c r="G6" s="15" t="s">
        <v>4</v>
      </c>
      <c r="H6" s="16"/>
      <c r="I6" s="16"/>
      <c r="J6" s="15" t="s">
        <v>4</v>
      </c>
    </row>
    <row r="7" spans="1:10" s="43" customFormat="1" ht="15.75" customHeight="1" x14ac:dyDescent="0.2">
      <c r="A7" s="14" t="s">
        <v>27</v>
      </c>
      <c r="B7" s="236">
        <f>'ACE European Group'!B7+'Danica Pensjonsforsikring'!B7+'DNB Livsforsikring'!B7+'Eika Forsikring AS'!B7+'Frende Livsforsikring'!B7+'Frende Skadeforsikring'!B7+'Gjensidige Forsikring'!B7+'Gjensidige Pensjon'!B7+'Handelsbanken Liv'!B7+'If Skadeforsikring NUF'!B7+KLP!B7+'KLP Bedriftspensjon AS'!B7+'KLP Skadeforsikring AS'!B7+'Landbruksforsikring AS'!B7+'NEMI Forsikring'!B7+'Nordea Liv '!B7+'Oslo Pensjonsforsikring'!B7+'SHB Liv'!B7+'Silver Pensjonsforsikring AS'!B7+'Sparebank 1'!B7+'Storebrand Livsforsikring'!B7+'Telenor Forsikring'!B7+'Tryg Forsikring'!B7</f>
        <v>2947490.6381328413</v>
      </c>
      <c r="C7" s="236">
        <f>'ACE European Group'!C7+'Danica Pensjonsforsikring'!C7+'DNB Livsforsikring'!C7+'Eika Forsikring AS'!C7+'Frende Livsforsikring'!C7+'Frende Skadeforsikring'!C7+'Gjensidige Forsikring'!C7+'Gjensidige Pensjon'!C7+'Handelsbanken Liv'!C7+'If Skadeforsikring NUF'!C7+KLP!C7+'KLP Bedriftspensjon AS'!C7+'KLP Skadeforsikring AS'!C7+'Landbruksforsikring AS'!C7+'NEMI Forsikring'!C7+'Nordea Liv '!C7+'Oslo Pensjonsforsikring'!C7+'SHB Liv'!C7+'Silver Pensjonsforsikring AS'!C7+'Sparebank 1'!C7+'Storebrand Livsforsikring'!C7+'Telenor Forsikring'!C7+'Tryg Forsikring'!C7</f>
        <v>2722938.174325902</v>
      </c>
      <c r="D7" s="159">
        <f t="shared" ref="D7:D12" si="0">IF(B7=0, "    ---- ", IF(ABS(ROUND(100/B7*C7-100,1))&lt;999,ROUND(100/B7*C7-100,1),IF(ROUND(100/B7*C7-100,1)&gt;999,999,-999)))</f>
        <v>-7.6</v>
      </c>
      <c r="E7" s="236">
        <f>'ACE European Group'!F7+'Danica Pensjonsforsikring'!F7+'DNB Livsforsikring'!F7+'Eika Forsikring AS'!F7+'Frende Livsforsikring'!F7+'Frende Skadeforsikring'!F7+'Gjensidige Forsikring'!F7+'Gjensidige Pensjon'!F7+'Handelsbanken Liv'!F7+'If Skadeforsikring NUF'!F7+KLP!F7+'KLP Bedriftspensjon AS'!F7+'KLP Skadeforsikring AS'!F7+'Landbruksforsikring AS'!F7+'NEMI Forsikring'!F7+'Nordea Liv '!F7+'Oslo Pensjonsforsikring'!F7+'SHB Liv'!F7+'Silver Pensjonsforsikring AS'!F7+'Sparebank 1'!F7+'Storebrand Livsforsikring'!F7+'Telenor Forsikring'!F7+'Tryg Forsikring'!F7</f>
        <v>4917957.6875900002</v>
      </c>
      <c r="F7" s="236">
        <f>'ACE European Group'!G7+'Danica Pensjonsforsikring'!G7+'DNB Livsforsikring'!G7+'Eika Forsikring AS'!G7+'Frende Livsforsikring'!G7+'Frende Skadeforsikring'!G7+'Gjensidige Forsikring'!G7+'Gjensidige Pensjon'!G7+'Handelsbanken Liv'!G7+'If Skadeforsikring NUF'!G7+KLP!G7+'KLP Bedriftspensjon AS'!G7+'KLP Skadeforsikring AS'!G7+'Landbruksforsikring AS'!G7+'NEMI Forsikring'!G7+'Nordea Liv '!G7+'Oslo Pensjonsforsikring'!G7+'SHB Liv'!G7+'Silver Pensjonsforsikring AS'!G7+'Sparebank 1'!G7+'Storebrand Livsforsikring'!G7+'Telenor Forsikring'!G7+'Tryg Forsikring'!G7</f>
        <v>4542315.3688300001</v>
      </c>
      <c r="G7" s="159">
        <f t="shared" ref="G7:G12" si="1">IF(E7=0, "    ---- ", IF(ABS(ROUND(100/E7*F7-100,1))&lt;999,ROUND(100/E7*F7-100,1),IF(ROUND(100/E7*F7-100,1)&gt;999,999,-999)))</f>
        <v>-7.6</v>
      </c>
      <c r="H7" s="282">
        <f t="shared" ref="H7:H12" si="2">B7+E7</f>
        <v>7865448.3257228415</v>
      </c>
      <c r="I7" s="283">
        <f t="shared" ref="I7:I12" si="3">C7+F7</f>
        <v>7265253.5431559021</v>
      </c>
      <c r="J7" s="170">
        <f t="shared" ref="J7:J12" si="4">IF(H7=0, "    ---- ", IF(ABS(ROUND(100/H7*I7-100,1))&lt;999,ROUND(100/H7*I7-100,1),IF(ROUND(100/H7*I7-100,1)&gt;999,999,-999)))</f>
        <v>-7.6</v>
      </c>
    </row>
    <row r="8" spans="1:10" ht="15.75" customHeight="1" x14ac:dyDescent="0.2">
      <c r="A8" s="21" t="s">
        <v>29</v>
      </c>
      <c r="B8" s="44">
        <f>'ACE European Group'!B8+'Danica Pensjonsforsikring'!B8+'DNB Livsforsikring'!B8+'Eika Forsikring AS'!B8+'Frende Livsforsikring'!B8+'Frende Skadeforsikring'!B8+'Gjensidige Forsikring'!B8+'Gjensidige Pensjon'!B8+'Handelsbanken Liv'!B8+'If Skadeforsikring NUF'!B8+KLP!B8+'KLP Bedriftspensjon AS'!B8+'KLP Skadeforsikring AS'!B8+'Landbruksforsikring AS'!B8+'NEMI Forsikring'!B8+'Nordea Liv '!B8+'Oslo Pensjonsforsikring'!B8+'SHB Liv'!B8+'Silver Pensjonsforsikring AS'!B8+'Sparebank 1'!B8+'Storebrand Livsforsikring'!B8+'Telenor Forsikring'!B8+'Tryg Forsikring'!B8</f>
        <v>1471799.0544227564</v>
      </c>
      <c r="C8" s="44">
        <f>'ACE European Group'!C8+'Danica Pensjonsforsikring'!C8+'DNB Livsforsikring'!C8+'Eika Forsikring AS'!C8+'Frende Livsforsikring'!C8+'Frende Skadeforsikring'!C8+'Gjensidige Forsikring'!C8+'Gjensidige Pensjon'!C8+'Handelsbanken Liv'!C8+'If Skadeforsikring NUF'!C8+KLP!C8+'KLP Bedriftspensjon AS'!C8+'KLP Skadeforsikring AS'!C8+'Landbruksforsikring AS'!C8+'NEMI Forsikring'!C8+'Nordea Liv '!C8+'Oslo Pensjonsforsikring'!C8+'SHB Liv'!C8+'Silver Pensjonsforsikring AS'!C8+'Sparebank 1'!C8+'Storebrand Livsforsikring'!C8+'Telenor Forsikring'!C8+'Tryg Forsikring'!C8</f>
        <v>1502538.2111488429</v>
      </c>
      <c r="D8" s="165">
        <f>IF(B8=0, "    ---- ", IF(ABS(ROUND(100/B8*C8-100,1))&lt;999,ROUND(100/B8*C8-100,1),IF(ROUND(100/B8*C8-100,1)&gt;999,999,-999)))</f>
        <v>2.1</v>
      </c>
      <c r="E8" s="187">
        <f>'ACE European Group'!F8+'Danica Pensjonsforsikring'!F8+'DNB Livsforsikring'!F8+'Eika Forsikring AS'!F8+'Frende Livsforsikring'!F8+'Frende Skadeforsikring'!F8+'Gjensidige Forsikring'!F8+'Gjensidige Pensjon'!F8+'Handelsbanken Liv'!F8+'If Skadeforsikring NUF'!F8+KLP!F8+'KLP Bedriftspensjon AS'!F8+'KLP Skadeforsikring AS'!F8+'Landbruksforsikring AS'!F8+'NEMI Forsikring'!F8+'Nordea Liv '!F8+'Oslo Pensjonsforsikring'!F8+'SHB Liv'!F8+'Silver Pensjonsforsikring AS'!F8+'Sparebank 1'!F8+'Storebrand Livsforsikring'!F8+'Telenor Forsikring'!F8+'Tryg Forsikring'!F8</f>
        <v>0</v>
      </c>
      <c r="F8" s="187">
        <f>'ACE European Group'!G8+'Danica Pensjonsforsikring'!G8+'DNB Livsforsikring'!G8+'Eika Forsikring AS'!G8+'Frende Livsforsikring'!G8+'Frende Skadeforsikring'!G8+'Gjensidige Forsikring'!G8+'Gjensidige Pensjon'!G8+'Handelsbanken Liv'!G8+'If Skadeforsikring NUF'!G8+KLP!G8+'KLP Bedriftspensjon AS'!G8+'KLP Skadeforsikring AS'!G8+'Landbruksforsikring AS'!G8+'NEMI Forsikring'!G8+'Nordea Liv '!G8+'Oslo Pensjonsforsikring'!G8+'SHB Liv'!G8+'Silver Pensjonsforsikring AS'!G8+'Sparebank 1'!G8+'Storebrand Livsforsikring'!G8+'Telenor Forsikring'!G8+'Tryg Forsikring'!G8</f>
        <v>0</v>
      </c>
      <c r="G8" s="175"/>
      <c r="H8" s="189">
        <f t="shared" si="2"/>
        <v>1471799.0544227564</v>
      </c>
      <c r="I8" s="190">
        <f t="shared" si="3"/>
        <v>1502538.2111488429</v>
      </c>
      <c r="J8" s="170">
        <f t="shared" si="4"/>
        <v>2.1</v>
      </c>
    </row>
    <row r="9" spans="1:10" ht="15.75" customHeight="1" x14ac:dyDescent="0.2">
      <c r="A9" s="21" t="s">
        <v>28</v>
      </c>
      <c r="B9" s="44">
        <f>'ACE European Group'!B9+'Danica Pensjonsforsikring'!B9+'DNB Livsforsikring'!B9+'Eika Forsikring AS'!B9+'Frende Livsforsikring'!B9+'Frende Skadeforsikring'!B9+'Gjensidige Forsikring'!B9+'Gjensidige Pensjon'!B9+'Handelsbanken Liv'!B9+'If Skadeforsikring NUF'!B9+KLP!B9+'KLP Bedriftspensjon AS'!B9+'KLP Skadeforsikring AS'!B9+'Landbruksforsikring AS'!B9+'NEMI Forsikring'!B9+'Nordea Liv '!B9+'Oslo Pensjonsforsikring'!B9+'SHB Liv'!B9+'Silver Pensjonsforsikring AS'!B9+'Sparebank 1'!B9+'Storebrand Livsforsikring'!B9+'Telenor Forsikring'!B9+'Tryg Forsikring'!B9</f>
        <v>772736.45498935098</v>
      </c>
      <c r="C9" s="44">
        <f>'ACE European Group'!C9+'Danica Pensjonsforsikring'!C9+'DNB Livsforsikring'!C9+'Eika Forsikring AS'!C9+'Frende Livsforsikring'!C9+'Frende Skadeforsikring'!C9+'Gjensidige Forsikring'!C9+'Gjensidige Pensjon'!C9+'Handelsbanken Liv'!C9+'If Skadeforsikring NUF'!C9+KLP!C9+'KLP Bedriftspensjon AS'!C9+'KLP Skadeforsikring AS'!C9+'Landbruksforsikring AS'!C9+'NEMI Forsikring'!C9+'Nordea Liv '!C9+'Oslo Pensjonsforsikring'!C9+'SHB Liv'!C9+'Silver Pensjonsforsikring AS'!C9+'Sparebank 1'!C9+'Storebrand Livsforsikring'!C9+'Telenor Forsikring'!C9+'Tryg Forsikring'!C9</f>
        <v>723943.88079135027</v>
      </c>
      <c r="D9" s="175">
        <f t="shared" si="0"/>
        <v>-6.3</v>
      </c>
      <c r="E9" s="187">
        <f>'ACE European Group'!F9+'Danica Pensjonsforsikring'!F9+'DNB Livsforsikring'!F9+'Eika Forsikring AS'!F9+'Frende Livsforsikring'!F9+'Frende Skadeforsikring'!F9+'Gjensidige Forsikring'!F9+'Gjensidige Pensjon'!F9+'Handelsbanken Liv'!F9+'If Skadeforsikring NUF'!F9+KLP!F9+'KLP Bedriftspensjon AS'!F9+'KLP Skadeforsikring AS'!F9+'Landbruksforsikring AS'!F9+'NEMI Forsikring'!F9+'Nordea Liv '!F9+'Oslo Pensjonsforsikring'!F9+'SHB Liv'!F9+'Silver Pensjonsforsikring AS'!F9+'Sparebank 1'!F9+'Storebrand Livsforsikring'!F9+'Telenor Forsikring'!F9+'Tryg Forsikring'!F9</f>
        <v>0</v>
      </c>
      <c r="F9" s="187">
        <f>'ACE European Group'!G9+'Danica Pensjonsforsikring'!G9+'DNB Livsforsikring'!G9+'Eika Forsikring AS'!G9+'Frende Livsforsikring'!G9+'Frende Skadeforsikring'!G9+'Gjensidige Forsikring'!G9+'Gjensidige Pensjon'!G9+'Handelsbanken Liv'!G9+'If Skadeforsikring NUF'!G9+KLP!G9+'KLP Bedriftspensjon AS'!G9+'KLP Skadeforsikring AS'!G9+'Landbruksforsikring AS'!G9+'NEMI Forsikring'!G9+'Nordea Liv '!G9+'Oslo Pensjonsforsikring'!G9+'SHB Liv'!G9+'Silver Pensjonsforsikring AS'!G9+'Sparebank 1'!G9+'Storebrand Livsforsikring'!G9+'Telenor Forsikring'!G9+'Tryg Forsikring'!G9</f>
        <v>0</v>
      </c>
      <c r="G9" s="175"/>
      <c r="H9" s="189">
        <f t="shared" si="2"/>
        <v>772736.45498935098</v>
      </c>
      <c r="I9" s="190">
        <f t="shared" si="3"/>
        <v>723943.88079135027</v>
      </c>
      <c r="J9" s="170">
        <f t="shared" si="4"/>
        <v>-6.3</v>
      </c>
    </row>
    <row r="10" spans="1:10" s="43" customFormat="1" ht="15.75" customHeight="1" x14ac:dyDescent="0.2">
      <c r="A10" s="13" t="s">
        <v>26</v>
      </c>
      <c r="B10" s="236">
        <f>'ACE European Group'!B10+'Danica Pensjonsforsikring'!B10+'DNB Livsforsikring'!B10+'Eika Forsikring AS'!B10+'Frende Livsforsikring'!B10+'Frende Skadeforsikring'!B10+'Gjensidige Forsikring'!B10+'Gjensidige Pensjon'!B10+'Handelsbanken Liv'!B10+'If Skadeforsikring NUF'!B10+KLP!B10+'KLP Bedriftspensjon AS'!B10+'KLP Skadeforsikring AS'!B10+'Landbruksforsikring AS'!B10+'NEMI Forsikring'!B10+'Nordea Liv '!B10+'Oslo Pensjonsforsikring'!B10+'SHB Liv'!B10+'Silver Pensjonsforsikring AS'!B10+'Sparebank 1'!B10+'Storebrand Livsforsikring'!B10+'Telenor Forsikring'!B10+'Tryg Forsikring'!B10</f>
        <v>24891548.256353438</v>
      </c>
      <c r="C10" s="236">
        <f>'ACE European Group'!C10+'Danica Pensjonsforsikring'!C10+'DNB Livsforsikring'!C10+'Eika Forsikring AS'!C10+'Frende Livsforsikring'!C10+'Frende Skadeforsikring'!C10+'Gjensidige Forsikring'!C10+'Gjensidige Pensjon'!C10+'Handelsbanken Liv'!C10+'If Skadeforsikring NUF'!C10+KLP!C10+'KLP Bedriftspensjon AS'!C10+'KLP Skadeforsikring AS'!C10+'Landbruksforsikring AS'!C10+'NEMI Forsikring'!C10+'Nordea Liv '!C10+'Oslo Pensjonsforsikring'!C10+'SHB Liv'!C10+'Silver Pensjonsforsikring AS'!C10+'Sparebank 1'!C10+'Storebrand Livsforsikring'!C10+'Telenor Forsikring'!C10+'Tryg Forsikring'!C10</f>
        <v>23009416.501435529</v>
      </c>
      <c r="D10" s="159">
        <f t="shared" si="0"/>
        <v>-7.6</v>
      </c>
      <c r="E10" s="236">
        <f>'ACE European Group'!F10+'Danica Pensjonsforsikring'!F10+'DNB Livsforsikring'!F10+'Eika Forsikring AS'!F10+'Frende Livsforsikring'!F10+'Frende Skadeforsikring'!F10+'Gjensidige Forsikring'!F10+'Gjensidige Pensjon'!F10+'Handelsbanken Liv'!F10+'If Skadeforsikring NUF'!F10+KLP!F10+'KLP Bedriftspensjon AS'!F10+'KLP Skadeforsikring AS'!F10+'Landbruksforsikring AS'!F10+'NEMI Forsikring'!F10+'Nordea Liv '!F10+'Oslo Pensjonsforsikring'!F10+'SHB Liv'!F10+'Silver Pensjonsforsikring AS'!F10+'Sparebank 1'!F10+'Storebrand Livsforsikring'!F10+'Telenor Forsikring'!F10+'Tryg Forsikring'!F10</f>
        <v>29055196.927181602</v>
      </c>
      <c r="F10" s="236">
        <f>'ACE European Group'!G10+'Danica Pensjonsforsikring'!G10+'DNB Livsforsikring'!G10+'Eika Forsikring AS'!G10+'Frende Livsforsikring'!G10+'Frende Skadeforsikring'!G10+'Gjensidige Forsikring'!G10+'Gjensidige Pensjon'!G10+'Handelsbanken Liv'!G10+'If Skadeforsikring NUF'!G10+KLP!G10+'KLP Bedriftspensjon AS'!G10+'KLP Skadeforsikring AS'!G10+'Landbruksforsikring AS'!G10+'NEMI Forsikring'!G10+'Nordea Liv '!G10+'Oslo Pensjonsforsikring'!G10+'SHB Liv'!G10+'Silver Pensjonsforsikring AS'!G10+'Sparebank 1'!G10+'Storebrand Livsforsikring'!G10+'Telenor Forsikring'!G10+'Tryg Forsikring'!G10</f>
        <v>37662908.370349906</v>
      </c>
      <c r="G10" s="159">
        <f t="shared" si="1"/>
        <v>29.6</v>
      </c>
      <c r="H10" s="282">
        <f t="shared" si="2"/>
        <v>53946745.183535039</v>
      </c>
      <c r="I10" s="283">
        <f t="shared" si="3"/>
        <v>60672324.871785432</v>
      </c>
      <c r="J10" s="170">
        <f t="shared" si="4"/>
        <v>12.5</v>
      </c>
    </row>
    <row r="11" spans="1:10" s="43" customFormat="1" ht="15.75" customHeight="1" x14ac:dyDescent="0.2">
      <c r="A11" s="13" t="s">
        <v>25</v>
      </c>
      <c r="B11" s="236">
        <f>'ACE European Group'!B11+'Danica Pensjonsforsikring'!B11+'DNB Livsforsikring'!B11+'Eika Forsikring AS'!B11+'Frende Livsforsikring'!B11+'Frende Skadeforsikring'!B11+'Gjensidige Forsikring'!B11+'Gjensidige Pensjon'!B11+'Handelsbanken Liv'!B11+'If Skadeforsikring NUF'!B11+KLP!B11+'KLP Bedriftspensjon AS'!B11+'KLP Skadeforsikring AS'!B11+'Landbruksforsikring AS'!B11+'NEMI Forsikring'!B11+'Nordea Liv '!B11+'Oslo Pensjonsforsikring'!B11+'SHB Liv'!B11+'Silver Pensjonsforsikring AS'!B11+'Sparebank 1'!B11+'Storebrand Livsforsikring'!B11+'Telenor Forsikring'!B11+'Tryg Forsikring'!B11</f>
        <v>55105</v>
      </c>
      <c r="C11" s="236">
        <f>'ACE European Group'!C11+'Danica Pensjonsforsikring'!C11+'DNB Livsforsikring'!C11+'Eika Forsikring AS'!C11+'Frende Livsforsikring'!C11+'Frende Skadeforsikring'!C11+'Gjensidige Forsikring'!C11+'Gjensidige Pensjon'!C11+'Handelsbanken Liv'!C11+'If Skadeforsikring NUF'!C11+KLP!C11+'KLP Bedriftspensjon AS'!C11+'KLP Skadeforsikring AS'!C11+'Landbruksforsikring AS'!C11+'NEMI Forsikring'!C11+'Nordea Liv '!C11+'Oslo Pensjonsforsikring'!C11+'SHB Liv'!C11+'Silver Pensjonsforsikring AS'!C11+'Sparebank 1'!C11+'Storebrand Livsforsikring'!C11+'Telenor Forsikring'!C11+'Tryg Forsikring'!C11</f>
        <v>11125</v>
      </c>
      <c r="D11" s="170">
        <f t="shared" si="0"/>
        <v>-79.8</v>
      </c>
      <c r="E11" s="236">
        <f>'ACE European Group'!F11+'Danica Pensjonsforsikring'!F11+'DNB Livsforsikring'!F11+'Eika Forsikring AS'!F11+'Frende Livsforsikring'!F11+'Frende Skadeforsikring'!F11+'Gjensidige Forsikring'!F11+'Gjensidige Pensjon'!F11+'Handelsbanken Liv'!F11+'If Skadeforsikring NUF'!F11+KLP!F11+'KLP Bedriftspensjon AS'!F11+'KLP Skadeforsikring AS'!F11+'Landbruksforsikring AS'!F11+'NEMI Forsikring'!F11+'Nordea Liv '!F11+'Oslo Pensjonsforsikring'!F11+'SHB Liv'!F11+'Silver Pensjonsforsikring AS'!F11+'Sparebank 1'!F11+'Storebrand Livsforsikring'!F11+'Telenor Forsikring'!F11+'Tryg Forsikring'!F11</f>
        <v>239573.11532000001</v>
      </c>
      <c r="F11" s="236">
        <f>'ACE European Group'!G11+'Danica Pensjonsforsikring'!G11+'DNB Livsforsikring'!G11+'Eika Forsikring AS'!G11+'Frende Livsforsikring'!G11+'Frende Skadeforsikring'!G11+'Gjensidige Forsikring'!G11+'Gjensidige Pensjon'!G11+'Handelsbanken Liv'!G11+'If Skadeforsikring NUF'!G11+KLP!G11+'KLP Bedriftspensjon AS'!G11+'KLP Skadeforsikring AS'!G11+'Landbruksforsikring AS'!G11+'NEMI Forsikring'!G11+'Nordea Liv '!G11+'Oslo Pensjonsforsikring'!G11+'SHB Liv'!G11+'Silver Pensjonsforsikring AS'!G11+'Sparebank 1'!G11+'Storebrand Livsforsikring'!G11+'Telenor Forsikring'!G11+'Tryg Forsikring'!G11</f>
        <v>160937.64699000001</v>
      </c>
      <c r="G11" s="170">
        <f t="shared" si="1"/>
        <v>-32.799999999999997</v>
      </c>
      <c r="H11" s="282">
        <f t="shared" si="2"/>
        <v>294678.11531999998</v>
      </c>
      <c r="I11" s="283">
        <f t="shared" si="3"/>
        <v>172062.64699000001</v>
      </c>
      <c r="J11" s="170">
        <f t="shared" si="4"/>
        <v>-41.6</v>
      </c>
    </row>
    <row r="12" spans="1:10" s="43" customFormat="1" ht="15.75" customHeight="1" x14ac:dyDescent="0.2">
      <c r="A12" s="41" t="s">
        <v>24</v>
      </c>
      <c r="B12" s="281">
        <f>'ACE European Group'!B12+'Danica Pensjonsforsikring'!B12+'DNB Livsforsikring'!B12+'Eika Forsikring AS'!B12+'Frende Livsforsikring'!B12+'Frende Skadeforsikring'!B12+'Gjensidige Forsikring'!B12+'Gjensidige Pensjon'!B12+'Handelsbanken Liv'!B12+'If Skadeforsikring NUF'!B12+KLP!B12+'KLP Bedriftspensjon AS'!B12+'KLP Skadeforsikring AS'!B12+'Landbruksforsikring AS'!B12+'NEMI Forsikring'!B12+'Nordea Liv '!B12+'Oslo Pensjonsforsikring'!B12+'SHB Liv'!B12+'Silver Pensjonsforsikring AS'!B12+'Sparebank 1'!B12+'Storebrand Livsforsikring'!B12+'Telenor Forsikring'!B12+'Tryg Forsikring'!B12</f>
        <v>26669.740440000001</v>
      </c>
      <c r="C12" s="281">
        <f>'ACE European Group'!C12+'Danica Pensjonsforsikring'!C12+'DNB Livsforsikring'!C12+'Eika Forsikring AS'!C12+'Frende Livsforsikring'!C12+'Frende Skadeforsikring'!C12+'Gjensidige Forsikring'!C12+'Gjensidige Pensjon'!C12+'Handelsbanken Liv'!C12+'If Skadeforsikring NUF'!C12+KLP!C12+'KLP Bedriftspensjon AS'!C12+'KLP Skadeforsikring AS'!C12+'Landbruksforsikring AS'!C12+'NEMI Forsikring'!C12+'Nordea Liv '!C12+'Oslo Pensjonsforsikring'!C12+'SHB Liv'!C12+'Silver Pensjonsforsikring AS'!C12+'Sparebank 1'!C12+'Storebrand Livsforsikring'!C12+'Telenor Forsikring'!C12+'Tryg Forsikring'!C12</f>
        <v>716</v>
      </c>
      <c r="D12" s="169">
        <f t="shared" si="0"/>
        <v>-97.3</v>
      </c>
      <c r="E12" s="281">
        <f>'ACE European Group'!F12+'Danica Pensjonsforsikring'!F12+'DNB Livsforsikring'!F12+'Eika Forsikring AS'!F12+'Frende Livsforsikring'!F12+'Frende Skadeforsikring'!F12+'Gjensidige Forsikring'!F12+'Gjensidige Pensjon'!F12+'Handelsbanken Liv'!F12+'If Skadeforsikring NUF'!F12+KLP!F12+'KLP Bedriftspensjon AS'!F12+'KLP Skadeforsikring AS'!F12+'Landbruksforsikring AS'!F12+'NEMI Forsikring'!F12+'Nordea Liv '!F12+'Oslo Pensjonsforsikring'!F12+'SHB Liv'!F12+'Silver Pensjonsforsikring AS'!F12+'Sparebank 1'!F12+'Storebrand Livsforsikring'!F12+'Telenor Forsikring'!F12+'Tryg Forsikring'!F12</f>
        <v>77556.113299999997</v>
      </c>
      <c r="F12" s="281">
        <f>'ACE European Group'!G12+'Danica Pensjonsforsikring'!G12+'DNB Livsforsikring'!G12+'Eika Forsikring AS'!G12+'Frende Livsforsikring'!G12+'Frende Skadeforsikring'!G12+'Gjensidige Forsikring'!G12+'Gjensidige Pensjon'!G12+'Handelsbanken Liv'!G12+'If Skadeforsikring NUF'!G12+KLP!G12+'KLP Bedriftspensjon AS'!G12+'KLP Skadeforsikring AS'!G12+'Landbruksforsikring AS'!G12+'NEMI Forsikring'!G12+'Nordea Liv '!G12+'Oslo Pensjonsforsikring'!G12+'SHB Liv'!G12+'Silver Pensjonsforsikring AS'!G12+'Sparebank 1'!G12+'Storebrand Livsforsikring'!G12+'Telenor Forsikring'!G12+'Tryg Forsikring'!G12</f>
        <v>73601.430009999996</v>
      </c>
      <c r="G12" s="168">
        <f t="shared" si="1"/>
        <v>-5.0999999999999996</v>
      </c>
      <c r="H12" s="284">
        <f t="shared" si="2"/>
        <v>104225.85373999999</v>
      </c>
      <c r="I12" s="285">
        <f t="shared" si="3"/>
        <v>74317.430009999996</v>
      </c>
      <c r="J12" s="168">
        <f t="shared" si="4"/>
        <v>-28.7</v>
      </c>
    </row>
    <row r="13" spans="1:10" s="43" customFormat="1" ht="15.75" customHeight="1" x14ac:dyDescent="0.2">
      <c r="A13" s="167"/>
      <c r="B13" s="35"/>
      <c r="C13" s="5"/>
      <c r="D13" s="32"/>
      <c r="E13" s="35"/>
      <c r="F13" s="5"/>
      <c r="G13" s="32"/>
      <c r="H13" s="48"/>
      <c r="I13" s="48"/>
      <c r="J13" s="32"/>
    </row>
    <row r="14" spans="1:10" ht="15.75" customHeight="1" x14ac:dyDescent="0.2">
      <c r="A14" s="152" t="s">
        <v>296</v>
      </c>
    </row>
    <row r="15" spans="1:10" ht="15.75" customHeight="1" x14ac:dyDescent="0.2">
      <c r="A15" s="148"/>
      <c r="E15" s="7"/>
      <c r="F15" s="7"/>
      <c r="G15" s="7"/>
      <c r="H15" s="7"/>
      <c r="I15" s="7"/>
      <c r="J15" s="7"/>
    </row>
    <row r="16" spans="1:10" s="3" customFormat="1" ht="15.75" customHeight="1" x14ac:dyDescent="0.25">
      <c r="A16" s="163"/>
      <c r="C16" s="30"/>
      <c r="D16" s="30"/>
      <c r="E16" s="30"/>
      <c r="F16" s="30"/>
      <c r="G16" s="30"/>
      <c r="H16" s="30"/>
      <c r="I16" s="30"/>
      <c r="J16" s="30"/>
    </row>
    <row r="17" spans="1:11" ht="15.75" customHeight="1" x14ac:dyDescent="0.25">
      <c r="A17" s="146" t="s">
        <v>293</v>
      </c>
      <c r="B17" s="28"/>
      <c r="C17" s="28"/>
      <c r="D17" s="29"/>
      <c r="E17" s="28"/>
      <c r="F17" s="28"/>
      <c r="G17" s="28"/>
      <c r="H17" s="28"/>
      <c r="I17" s="28"/>
      <c r="J17" s="28"/>
    </row>
    <row r="18" spans="1:11" ht="15.75" customHeight="1" x14ac:dyDescent="0.25">
      <c r="A18" s="148"/>
      <c r="B18" s="671"/>
      <c r="C18" s="671"/>
      <c r="D18" s="671"/>
      <c r="E18" s="671"/>
      <c r="F18" s="671"/>
      <c r="G18" s="671"/>
      <c r="H18" s="671"/>
      <c r="I18" s="671"/>
      <c r="J18" s="671"/>
    </row>
    <row r="19" spans="1:11" ht="15.75" customHeight="1" x14ac:dyDescent="0.2">
      <c r="A19" s="143"/>
      <c r="B19" s="668" t="s">
        <v>0</v>
      </c>
      <c r="C19" s="669"/>
      <c r="D19" s="669"/>
      <c r="E19" s="668" t="s">
        <v>1</v>
      </c>
      <c r="F19" s="669"/>
      <c r="G19" s="670"/>
      <c r="H19" s="669" t="s">
        <v>2</v>
      </c>
      <c r="I19" s="669"/>
      <c r="J19" s="670"/>
    </row>
    <row r="20" spans="1:11" ht="15.75" customHeight="1" x14ac:dyDescent="0.2">
      <c r="A20" s="140" t="s">
        <v>5</v>
      </c>
      <c r="B20" s="20" t="s">
        <v>411</v>
      </c>
      <c r="C20" s="20" t="s">
        <v>412</v>
      </c>
      <c r="D20" s="251" t="s">
        <v>3</v>
      </c>
      <c r="E20" s="20" t="s">
        <v>411</v>
      </c>
      <c r="F20" s="20" t="s">
        <v>412</v>
      </c>
      <c r="G20" s="251" t="s">
        <v>3</v>
      </c>
      <c r="H20" s="20" t="s">
        <v>411</v>
      </c>
      <c r="I20" s="20" t="s">
        <v>412</v>
      </c>
      <c r="J20" s="251" t="s">
        <v>3</v>
      </c>
    </row>
    <row r="21" spans="1:11" ht="15.75" customHeight="1" x14ac:dyDescent="0.2">
      <c r="A21" s="436"/>
      <c r="B21" s="15"/>
      <c r="C21" s="15"/>
      <c r="D21" s="17" t="s">
        <v>4</v>
      </c>
      <c r="E21" s="16"/>
      <c r="F21" s="16"/>
      <c r="G21" s="15" t="s">
        <v>4</v>
      </c>
      <c r="H21" s="16"/>
      <c r="I21" s="16"/>
      <c r="J21" s="15" t="s">
        <v>4</v>
      </c>
    </row>
    <row r="22" spans="1:11" s="43" customFormat="1" ht="15.75" customHeight="1" x14ac:dyDescent="0.2">
      <c r="A22" s="14" t="s">
        <v>27</v>
      </c>
      <c r="B22" s="236">
        <f>'ACE European Group'!B22+'Danica Pensjonsforsikring'!B22+'DNB Livsforsikring'!B22+'Eika Forsikring AS'!B22+'Frende Livsforsikring'!B22+'Frende Skadeforsikring'!B22+'Gjensidige Forsikring'!B22+'Gjensidige Pensjon'!B22+'Handelsbanken Liv'!B22+'If Skadeforsikring NUF'!B22+KLP!B22+'KLP Bedriftspensjon AS'!B22+'KLP Skadeforsikring AS'!B22+'Landbruksforsikring AS'!B22+'NEMI Forsikring'!B22+'Nordea Liv '!B22+'Oslo Pensjonsforsikring'!B22+'SHB Liv'!B22+'Silver Pensjonsforsikring AS'!B22+'Sparebank 1'!B22+'Storebrand Livsforsikring'!B22+'Telenor Forsikring'!B22+'Tryg Forsikring'!B22</f>
        <v>746277.84198045172</v>
      </c>
      <c r="C22" s="236">
        <f>'ACE European Group'!C22+'Danica Pensjonsforsikring'!C22+'DNB Livsforsikring'!C22+'Eika Forsikring AS'!C22+'Frende Livsforsikring'!C22+'Frende Skadeforsikring'!C22+'Gjensidige Forsikring'!C22+'Gjensidige Pensjon'!C22+'Handelsbanken Liv'!C22+'If Skadeforsikring NUF'!C22+KLP!C22+'KLP Bedriftspensjon AS'!C22+'KLP Skadeforsikring AS'!C22+'Landbruksforsikring AS'!C22+'NEMI Forsikring'!C22+'Nordea Liv '!C22+'Oslo Pensjonsforsikring'!C22+'SHB Liv'!C22+'Silver Pensjonsforsikring AS'!C22+'Sparebank 1'!C22+'Storebrand Livsforsikring'!C22+'Telenor Forsikring'!C22+'Tryg Forsikring'!C22</f>
        <v>958903.54897960112</v>
      </c>
      <c r="D22" s="11">
        <f t="shared" ref="D22:D37" si="5">IF(B22=0, "    ---- ", IF(ABS(ROUND(100/B22*C22-100,1))&lt;999,ROUND(100/B22*C22-100,1),IF(ROUND(100/B22*C22-100,1)&gt;999,999,-999)))</f>
        <v>28.5</v>
      </c>
      <c r="E22" s="236">
        <f>'ACE European Group'!F22+'Danica Pensjonsforsikring'!F22+'DNB Livsforsikring'!F22+'Eika Forsikring AS'!F22+'Frende Livsforsikring'!F22+'Frende Skadeforsikring'!F22+'Gjensidige Forsikring'!F22+'Gjensidige Pensjon'!F22+'Handelsbanken Liv'!F22+'If Skadeforsikring NUF'!F22+KLP!F22+'KLP Bedriftspensjon AS'!F22+'KLP Skadeforsikring AS'!F22+'Landbruksforsikring AS'!F22+'NEMI Forsikring'!F22+'Nordea Liv '!F22+'Oslo Pensjonsforsikring'!F22+'SHB Liv'!F22+'Silver Pensjonsforsikring AS'!F22+'Sparebank 1'!F22+'Storebrand Livsforsikring'!F22+'Telenor Forsikring'!F22+'Tryg Forsikring'!F22</f>
        <v>221188.05156026001</v>
      </c>
      <c r="F22" s="306">
        <f>'ACE European Group'!G22+'Danica Pensjonsforsikring'!G22+'DNB Livsforsikring'!G22+'Eika Forsikring AS'!G22+'Frende Livsforsikring'!G22+'Frende Skadeforsikring'!G22+'Gjensidige Forsikring'!G22+'Gjensidige Pensjon'!G22+'Handelsbanken Liv'!G22+'If Skadeforsikring NUF'!G22+KLP!G22+'KLP Bedriftspensjon AS'!G22+'KLP Skadeforsikring AS'!G22+'Landbruksforsikring AS'!G22+'NEMI Forsikring'!G22+'Nordea Liv '!G22+'Oslo Pensjonsforsikring'!G22+'SHB Liv'!G22+'Silver Pensjonsforsikring AS'!G22+'Sparebank 1'!G22+'Storebrand Livsforsikring'!G22+'Telenor Forsikring'!G22+'Tryg Forsikring'!G22</f>
        <v>199375.40350000001</v>
      </c>
      <c r="G22" s="344">
        <f t="shared" ref="G22:G33" si="6">IF(E22=0, "    ---- ", IF(ABS(ROUND(100/E22*F22-100,1))&lt;999,ROUND(100/E22*F22-100,1),IF(ROUND(100/E22*F22-100,1)&gt;999,999,-999)))</f>
        <v>-9.9</v>
      </c>
      <c r="H22" s="306">
        <f>SUM(B22,E22)</f>
        <v>967465.89354071172</v>
      </c>
      <c r="I22" s="236">
        <f t="shared" ref="I22:I37" si="7">SUM(C22,F22)</f>
        <v>1158278.9524796011</v>
      </c>
      <c r="J22" s="24">
        <f t="shared" ref="J22:J37" si="8">IF(H22=0, "    ---- ", IF(ABS(ROUND(100/H22*I22-100,1))&lt;999,ROUND(100/H22*I22-100,1),IF(ROUND(100/H22*I22-100,1)&gt;999,999,-999)))</f>
        <v>19.7</v>
      </c>
    </row>
    <row r="23" spans="1:11" ht="15.75" customHeight="1" x14ac:dyDescent="0.2">
      <c r="A23" s="294" t="s">
        <v>305</v>
      </c>
      <c r="B23" s="44" t="str">
        <f>IF($A$1=4,'ACE European Group'!B23+'Danica Pensjonsforsikring'!B23+'DNB Livsforsikring'!B23+'Eika Forsikring AS'!B23+'Frende Livsforsikring'!B23+'Frende Skadeforsikring'!B23+'Gjensidige Forsikring'!B23+'Gjensidige Pensjon'!B23+'Handelsbanken Liv'!B23+'If Skadeforsikring NUF'!B23+KLP!B23+'KLP Bedriftspensjon AS'!B23+'KLP Skadeforsikring AS'!B23+'Landbruksforsikring AS'!B23+'NEMI Forsikring'!B23+'Nordea Liv '!B23+'Oslo Pensjonsforsikring'!B23+'SHB Liv'!B23+'Silver Pensjonsforsikring AS'!B23+'Sparebank 1'!B23+'Storebrand Livsforsikring'!B23+'Telenor Forsikring'!B23+'Tryg Forsikring'!B23,"")</f>
        <v/>
      </c>
      <c r="C23" s="44" t="str">
        <f>IF($A$1=4,'ACE European Group'!C23+'Danica Pensjonsforsikring'!C23+'DNB Livsforsikring'!C23+'Eika Forsikring AS'!C23+'Frende Livsforsikring'!C23+'Frende Skadeforsikring'!C23+'Gjensidige Forsikring'!C23+'Gjensidige Pensjon'!C23+'Handelsbanken Liv'!C23+'If Skadeforsikring NUF'!C23+KLP!C23+'KLP Bedriftspensjon AS'!C23+'KLP Skadeforsikring AS'!C23+'Landbruksforsikring AS'!C23+'NEMI Forsikring'!C23+'Nordea Liv '!C23+'Oslo Pensjonsforsikring'!C23+'SHB Liv'!C23+'Silver Pensjonsforsikring AS'!C23+'Sparebank 1'!C23+'Storebrand Livsforsikring'!C23+'Telenor Forsikring'!C23+'Tryg Forsikring'!C23,"")</f>
        <v/>
      </c>
      <c r="D23" s="27" t="str">
        <f>IF($A$1=4,IF(B23=0, "    ---- ", IF(ABS(ROUND(100/B23*C23-100,1))&lt;999,ROUND(100/B23*C23-100,1),IF(ROUND(100/B23*C23-100,1)&gt;999,999,-999))),"")</f>
        <v/>
      </c>
      <c r="E23" s="44" t="str">
        <f>IF($A$1=4,'ACE European Group'!F23+'Danica Pensjonsforsikring'!F23+'DNB Livsforsikring'!F23+'Eika Forsikring AS'!F23+'Frende Livsforsikring'!F23+'Frende Skadeforsikring'!F23+'Gjensidige Forsikring'!F23+'Gjensidige Pensjon'!F23+'Handelsbanken Liv'!F23+'If Skadeforsikring NUF'!F23+KLP!F23+'KLP Bedriftspensjon AS'!F23+'KLP Skadeforsikring AS'!F23+'Landbruksforsikring AS'!F23+'NEMI Forsikring'!F23+'Nordea Liv '!F23+'Oslo Pensjonsforsikring'!F23+'SHB Liv'!F23+'Silver Pensjonsforsikring AS'!F23+'Sparebank 1'!F23+'Storebrand Livsforsikring'!F23+'Telenor Forsikring'!F23+'Tryg Forsikring'!F23,"")</f>
        <v/>
      </c>
      <c r="F23" s="44" t="str">
        <f>IF($A$1=4,'ACE European Group'!G23+'Danica Pensjonsforsikring'!G23+'DNB Livsforsikring'!G23+'Eika Forsikring AS'!G23+'Frende Livsforsikring'!G23+'Frende Skadeforsikring'!G23+'Gjensidige Forsikring'!G23+'Gjensidige Pensjon'!G23+'Handelsbanken Liv'!G23+'If Skadeforsikring NUF'!G23+KLP!G23+'KLP Bedriftspensjon AS'!G23+'KLP Skadeforsikring AS'!G23+'Landbruksforsikring AS'!G23+'NEMI Forsikring'!G23+'Nordea Liv '!G23+'Oslo Pensjonsforsikring'!G23+'SHB Liv'!G23+'Silver Pensjonsforsikring AS'!G23+'Sparebank 1'!G23+'Storebrand Livsforsikring'!G23+'Telenor Forsikring'!G23+'Tryg Forsikring'!G23,"")</f>
        <v/>
      </c>
      <c r="G23" s="165" t="str">
        <f>IF($A$1=4,IF(E23=0, "    ---- ", IF(ABS(ROUND(100/E23*F23-100,1))&lt;999,ROUND(100/E23*F23-100,1),IF(ROUND(100/E23*F23-100,1)&gt;999,999,-999))),"")</f>
        <v/>
      </c>
      <c r="H23" s="234">
        <f t="shared" ref="H23:H37" si="9">SUM(B23,E23)</f>
        <v>0</v>
      </c>
      <c r="I23" s="44">
        <f t="shared" si="7"/>
        <v>0</v>
      </c>
      <c r="J23" s="23"/>
    </row>
    <row r="24" spans="1:11" ht="15.75" customHeight="1" x14ac:dyDescent="0.2">
      <c r="A24" s="294" t="s">
        <v>306</v>
      </c>
      <c r="B24" s="44" t="str">
        <f>IF($A$1=4,'ACE European Group'!B24+'Danica Pensjonsforsikring'!B24+'DNB Livsforsikring'!B24+'Eika Forsikring AS'!B24+'Frende Livsforsikring'!B24+'Frende Skadeforsikring'!B24+'Gjensidige Forsikring'!B24+'Gjensidige Pensjon'!B24+'Handelsbanken Liv'!B24+'If Skadeforsikring NUF'!B24+KLP!B24+'KLP Bedriftspensjon AS'!B24+'KLP Skadeforsikring AS'!B24+'Landbruksforsikring AS'!B24+'NEMI Forsikring'!B24+'Nordea Liv '!B24+'Oslo Pensjonsforsikring'!B24+'SHB Liv'!B24+'Silver Pensjonsforsikring AS'!B24+'Sparebank 1'!B24+'Storebrand Livsforsikring'!B24+'Telenor Forsikring'!B24+'Tryg Forsikring'!B24,"")</f>
        <v/>
      </c>
      <c r="C24" s="44" t="str">
        <f>IF($A$1=4,'ACE European Group'!C24+'Danica Pensjonsforsikring'!C24+'DNB Livsforsikring'!C24+'Eika Forsikring AS'!C24+'Frende Livsforsikring'!C24+'Frende Skadeforsikring'!C24+'Gjensidige Forsikring'!C24+'Gjensidige Pensjon'!C24+'Handelsbanken Liv'!C24+'If Skadeforsikring NUF'!C24+KLP!C24+'KLP Bedriftspensjon AS'!C24+'KLP Skadeforsikring AS'!C24+'Landbruksforsikring AS'!C24+'NEMI Forsikring'!C24+'Nordea Liv '!C24+'Oslo Pensjonsforsikring'!C24+'SHB Liv'!C24+'Silver Pensjonsforsikring AS'!C24+'Sparebank 1'!C24+'Storebrand Livsforsikring'!C24+'Telenor Forsikring'!C24+'Tryg Forsikring'!C24,"")</f>
        <v/>
      </c>
      <c r="D24" s="27" t="str">
        <f t="shared" ref="D24:D26" si="10">IF($A$1=4,IF(B24=0, "    ---- ", IF(ABS(ROUND(100/B24*C24-100,1))&lt;999,ROUND(100/B24*C24-100,1),IF(ROUND(100/B24*C24-100,1)&gt;999,999,-999))),"")</f>
        <v/>
      </c>
      <c r="E24" s="44" t="str">
        <f>IF($A$1=4,'ACE European Group'!F24+'Danica Pensjonsforsikring'!F24+'DNB Livsforsikring'!F24+'Eika Forsikring AS'!F24+'Frende Livsforsikring'!F24+'Frende Skadeforsikring'!F24+'Gjensidige Forsikring'!F24+'Gjensidige Pensjon'!F24+'Handelsbanken Liv'!F24+'If Skadeforsikring NUF'!F24+KLP!F24+'KLP Bedriftspensjon AS'!F24+'KLP Skadeforsikring AS'!F24+'Landbruksforsikring AS'!F24+'NEMI Forsikring'!F24+'Nordea Liv '!F24+'Oslo Pensjonsforsikring'!F24+'SHB Liv'!F24+'Silver Pensjonsforsikring AS'!F24+'Sparebank 1'!F24+'Storebrand Livsforsikring'!F24+'Telenor Forsikring'!F24+'Tryg Forsikring'!F24,"")</f>
        <v/>
      </c>
      <c r="F24" s="44" t="str">
        <f>IF($A$1=4,'ACE European Group'!G24+'Danica Pensjonsforsikring'!G24+'DNB Livsforsikring'!G24+'Eika Forsikring AS'!G24+'Frende Livsforsikring'!G24+'Frende Skadeforsikring'!G24+'Gjensidige Forsikring'!G24+'Gjensidige Pensjon'!G24+'Handelsbanken Liv'!G24+'If Skadeforsikring NUF'!G24+KLP!G24+'KLP Bedriftspensjon AS'!G24+'KLP Skadeforsikring AS'!G24+'Landbruksforsikring AS'!G24+'NEMI Forsikring'!G24+'Nordea Liv '!G24+'Oslo Pensjonsforsikring'!G24+'SHB Liv'!G24+'Silver Pensjonsforsikring AS'!G24+'Sparebank 1'!G24+'Storebrand Livsforsikring'!G24+'Telenor Forsikring'!G24+'Tryg Forsikring'!G24,"")</f>
        <v/>
      </c>
      <c r="G24" s="165" t="str">
        <f t="shared" ref="G24:G26" si="11">IF($A$1=4,IF(E24=0, "    ---- ", IF(ABS(ROUND(100/E24*F24-100,1))&lt;999,ROUND(100/E24*F24-100,1),IF(ROUND(100/E24*F24-100,1)&gt;999,999,-999))),"")</f>
        <v/>
      </c>
      <c r="H24" s="234">
        <f t="shared" si="9"/>
        <v>0</v>
      </c>
      <c r="I24" s="44">
        <f t="shared" si="7"/>
        <v>0</v>
      </c>
      <c r="J24" s="11"/>
    </row>
    <row r="25" spans="1:11" ht="15.75" customHeight="1" x14ac:dyDescent="0.2">
      <c r="A25" s="294" t="s">
        <v>307</v>
      </c>
      <c r="B25" s="44" t="str">
        <f>IF($A$1=4,'ACE European Group'!B25+'Danica Pensjonsforsikring'!B25+'DNB Livsforsikring'!B25+'Eika Forsikring AS'!B25+'Frende Livsforsikring'!B25+'Frende Skadeforsikring'!B25+'Gjensidige Forsikring'!B25+'Gjensidige Pensjon'!B25+'Handelsbanken Liv'!B25+'If Skadeforsikring NUF'!B25+KLP!B25+'KLP Bedriftspensjon AS'!B25+'KLP Skadeforsikring AS'!B25+'Landbruksforsikring AS'!B25+'NEMI Forsikring'!B25+'Nordea Liv '!B25+'Oslo Pensjonsforsikring'!B25+'SHB Liv'!B25+'Silver Pensjonsforsikring AS'!B25+'Sparebank 1'!B25+'Storebrand Livsforsikring'!B25+'Telenor Forsikring'!B25+'Tryg Forsikring'!B25,"")</f>
        <v/>
      </c>
      <c r="C25" s="44" t="str">
        <f>IF($A$1=4,'ACE European Group'!C25+'Danica Pensjonsforsikring'!C25+'DNB Livsforsikring'!C25+'Eika Forsikring AS'!C25+'Frende Livsforsikring'!C25+'Frende Skadeforsikring'!C25+'Gjensidige Forsikring'!C25+'Gjensidige Pensjon'!C25+'Handelsbanken Liv'!C25+'If Skadeforsikring NUF'!C25+KLP!C25+'KLP Bedriftspensjon AS'!C25+'KLP Skadeforsikring AS'!C25+'Landbruksforsikring AS'!C25+'NEMI Forsikring'!C25+'Nordea Liv '!C25+'Oslo Pensjonsforsikring'!C25+'SHB Liv'!C25+'Silver Pensjonsforsikring AS'!C25+'Sparebank 1'!C25+'Storebrand Livsforsikring'!C25+'Telenor Forsikring'!C25+'Tryg Forsikring'!C25,"")</f>
        <v/>
      </c>
      <c r="D25" s="27" t="str">
        <f t="shared" si="10"/>
        <v/>
      </c>
      <c r="E25" s="44" t="str">
        <f>IF($A$1=4,'ACE European Group'!F25+'Danica Pensjonsforsikring'!F25+'DNB Livsforsikring'!F25+'Eika Forsikring AS'!F25+'Frende Livsforsikring'!F25+'Frende Skadeforsikring'!F25+'Gjensidige Forsikring'!F25+'Gjensidige Pensjon'!F25+'Handelsbanken Liv'!F25+'If Skadeforsikring NUF'!F25+KLP!F25+'KLP Bedriftspensjon AS'!F25+'KLP Skadeforsikring AS'!F25+'Landbruksforsikring AS'!F25+'NEMI Forsikring'!F25+'Nordea Liv '!F25+'Oslo Pensjonsforsikring'!F25+'SHB Liv'!F25+'Silver Pensjonsforsikring AS'!F25+'Sparebank 1'!F25+'Storebrand Livsforsikring'!F25+'Telenor Forsikring'!F25+'Tryg Forsikring'!F25,"")</f>
        <v/>
      </c>
      <c r="F25" s="44" t="str">
        <f>IF($A$1=4,'ACE European Group'!G25+'Danica Pensjonsforsikring'!G25+'DNB Livsforsikring'!G25+'Eika Forsikring AS'!G25+'Frende Livsforsikring'!G25+'Frende Skadeforsikring'!G25+'Gjensidige Forsikring'!G25+'Gjensidige Pensjon'!G25+'Handelsbanken Liv'!G25+'If Skadeforsikring NUF'!G25+KLP!G25+'KLP Bedriftspensjon AS'!G25+'KLP Skadeforsikring AS'!G25+'Landbruksforsikring AS'!G25+'NEMI Forsikring'!G25+'Nordea Liv '!G25+'Oslo Pensjonsforsikring'!G25+'SHB Liv'!G25+'Silver Pensjonsforsikring AS'!G25+'Sparebank 1'!G25+'Storebrand Livsforsikring'!G25+'Telenor Forsikring'!G25+'Tryg Forsikring'!G25,"")</f>
        <v/>
      </c>
      <c r="G25" s="165" t="str">
        <f t="shared" si="11"/>
        <v/>
      </c>
      <c r="H25" s="234">
        <f t="shared" si="9"/>
        <v>0</v>
      </c>
      <c r="I25" s="44">
        <f t="shared" si="7"/>
        <v>0</v>
      </c>
      <c r="J25" s="27"/>
    </row>
    <row r="26" spans="1:11" ht="15.75" customHeight="1" x14ac:dyDescent="0.2">
      <c r="A26" s="294" t="s">
        <v>11</v>
      </c>
      <c r="B26" s="44" t="str">
        <f>IF($A$1=4,'ACE European Group'!B26+'Danica Pensjonsforsikring'!B26+'DNB Livsforsikring'!B26+'Eika Forsikring AS'!B26+'Frende Livsforsikring'!B26+'Frende Skadeforsikring'!B26+'Gjensidige Forsikring'!B26+'Gjensidige Pensjon'!B26+'Handelsbanken Liv'!B26+'If Skadeforsikring NUF'!B26+KLP!B26+'KLP Bedriftspensjon AS'!B26+'KLP Skadeforsikring AS'!B26+'Landbruksforsikring AS'!B26+'NEMI Forsikring'!B26+'Nordea Liv '!B26+'Oslo Pensjonsforsikring'!B26+'SHB Liv'!B26+'Silver Pensjonsforsikring AS'!B26+'Sparebank 1'!B26+'Storebrand Livsforsikring'!B26+'Telenor Forsikring'!B26+'Tryg Forsikring'!B26,"")</f>
        <v/>
      </c>
      <c r="C26" s="44" t="str">
        <f>IF($A$1=4,'ACE European Group'!C26+'Danica Pensjonsforsikring'!C26+'DNB Livsforsikring'!C26+'Eika Forsikring AS'!C26+'Frende Livsforsikring'!C26+'Frende Skadeforsikring'!C26+'Gjensidige Forsikring'!C26+'Gjensidige Pensjon'!C26+'Handelsbanken Liv'!C26+'If Skadeforsikring NUF'!C26+KLP!C26+'KLP Bedriftspensjon AS'!C26+'KLP Skadeforsikring AS'!C26+'Landbruksforsikring AS'!C26+'NEMI Forsikring'!C26+'Nordea Liv '!C26+'Oslo Pensjonsforsikring'!C26+'SHB Liv'!C26+'Silver Pensjonsforsikring AS'!C26+'Sparebank 1'!C26+'Storebrand Livsforsikring'!C26+'Telenor Forsikring'!C26+'Tryg Forsikring'!C26,"")</f>
        <v/>
      </c>
      <c r="D26" s="27" t="str">
        <f t="shared" si="10"/>
        <v/>
      </c>
      <c r="E26" s="44" t="str">
        <f>IF($A$1=4,'ACE European Group'!F26+'Danica Pensjonsforsikring'!F26+'DNB Livsforsikring'!F26+'Eika Forsikring AS'!F26+'Frende Livsforsikring'!F26+'Frende Skadeforsikring'!F26+'Gjensidige Forsikring'!F26+'Gjensidige Pensjon'!F26+'Handelsbanken Liv'!F26+'If Skadeforsikring NUF'!F26+KLP!F26+'KLP Bedriftspensjon AS'!F26+'KLP Skadeforsikring AS'!F26+'Landbruksforsikring AS'!F26+'NEMI Forsikring'!F26+'Nordea Liv '!F26+'Oslo Pensjonsforsikring'!F26+'SHB Liv'!F26+'Silver Pensjonsforsikring AS'!F26+'Sparebank 1'!F26+'Storebrand Livsforsikring'!F26+'Telenor Forsikring'!F26+'Tryg Forsikring'!F26,"")</f>
        <v/>
      </c>
      <c r="F26" s="44" t="str">
        <f>IF($A$1=4,'ACE European Group'!G26+'Danica Pensjonsforsikring'!G26+'DNB Livsforsikring'!G26+'Eika Forsikring AS'!G26+'Frende Livsforsikring'!G26+'Frende Skadeforsikring'!G26+'Gjensidige Forsikring'!G26+'Gjensidige Pensjon'!G26+'Handelsbanken Liv'!G26+'If Skadeforsikring NUF'!G26+KLP!G26+'KLP Bedriftspensjon AS'!G26+'KLP Skadeforsikring AS'!G26+'Landbruksforsikring AS'!G26+'NEMI Forsikring'!G26+'Nordea Liv '!G26+'Oslo Pensjonsforsikring'!G26+'SHB Liv'!G26+'Silver Pensjonsforsikring AS'!G26+'Sparebank 1'!G26+'Storebrand Livsforsikring'!G26+'Telenor Forsikring'!G26+'Tryg Forsikring'!G26,"")</f>
        <v/>
      </c>
      <c r="G26" s="165" t="str">
        <f t="shared" si="11"/>
        <v/>
      </c>
      <c r="H26" s="234">
        <f t="shared" si="9"/>
        <v>0</v>
      </c>
      <c r="I26" s="44">
        <f t="shared" si="7"/>
        <v>0</v>
      </c>
      <c r="J26" s="27"/>
    </row>
    <row r="27" spans="1:11" ht="15.75" customHeight="1" x14ac:dyDescent="0.2">
      <c r="A27" s="49" t="s">
        <v>297</v>
      </c>
      <c r="B27" s="44">
        <f>'ACE European Group'!B27+'Danica Pensjonsforsikring'!B27+'DNB Livsforsikring'!B27+'Eika Forsikring AS'!B27+'Frende Livsforsikring'!B27+'Frende Skadeforsikring'!B27+'Gjensidige Forsikring'!B27+'Gjensidige Pensjon'!B27+'Handelsbanken Liv'!B27+'If Skadeforsikring NUF'!B27+KLP!B27+'KLP Bedriftspensjon AS'!B27+'KLP Skadeforsikring AS'!B27+'Landbruksforsikring AS'!B27+'NEMI Forsikring'!B27+'Nordea Liv '!B27+'Oslo Pensjonsforsikring'!B27+'SHB Liv'!B27+'Silver Pensjonsforsikring AS'!B27+'Sparebank 1'!B27+'Storebrand Livsforsikring'!B27+'Telenor Forsikring'!B27+'Tryg Forsikring'!B27</f>
        <v>900482.91202757915</v>
      </c>
      <c r="C27" s="44">
        <f>'ACE European Group'!C27+'Danica Pensjonsforsikring'!C27+'DNB Livsforsikring'!C27+'Eika Forsikring AS'!C27+'Frende Livsforsikring'!C27+'Frende Skadeforsikring'!C27+'Gjensidige Forsikring'!C27+'Gjensidige Pensjon'!C27+'Handelsbanken Liv'!C27+'If Skadeforsikring NUF'!C27+KLP!C27+'KLP Bedriftspensjon AS'!C27+'KLP Skadeforsikring AS'!C27+'Landbruksforsikring AS'!C27+'NEMI Forsikring'!C27+'Nordea Liv '!C27+'Oslo Pensjonsforsikring'!C27+'SHB Liv'!C27+'Silver Pensjonsforsikring AS'!C27+'Sparebank 1'!C27+'Storebrand Livsforsikring'!C27+'Telenor Forsikring'!C27+'Tryg Forsikring'!C27</f>
        <v>989064.78877081024</v>
      </c>
      <c r="D27" s="23">
        <f t="shared" si="5"/>
        <v>9.8000000000000007</v>
      </c>
      <c r="E27" s="187">
        <f>'ACE European Group'!F27+'Danica Pensjonsforsikring'!F27+'DNB Livsforsikring'!F27+'Eika Forsikring AS'!F27+'Frende Livsforsikring'!F27+'Frende Skadeforsikring'!F27+'Gjensidige Forsikring'!F27+'Gjensidige Pensjon'!F27+'Handelsbanken Liv'!F27+'If Skadeforsikring NUF'!F27+KLP!F27+'KLP Bedriftspensjon AS'!F27+'KLP Skadeforsikring AS'!F27+'Landbruksforsikring AS'!F27+'NEMI Forsikring'!F27+'Nordea Liv '!F27+'Oslo Pensjonsforsikring'!F27+'SHB Liv'!F27+'Silver Pensjonsforsikring AS'!F27+'Sparebank 1'!F27+'Storebrand Livsforsikring'!F27+'Telenor Forsikring'!F27+'Tryg Forsikring'!F27</f>
        <v>0</v>
      </c>
      <c r="F27" s="187">
        <f>'ACE European Group'!G27+'Danica Pensjonsforsikring'!G27+'DNB Livsforsikring'!G27+'Eika Forsikring AS'!G27+'Frende Livsforsikring'!G27+'Frende Skadeforsikring'!G27+'Gjensidige Forsikring'!G27+'Gjensidige Pensjon'!G27+'Handelsbanken Liv'!G27+'If Skadeforsikring NUF'!G27+KLP!G27+'KLP Bedriftspensjon AS'!G27+'KLP Skadeforsikring AS'!G27+'Landbruksforsikring AS'!G27+'NEMI Forsikring'!G27+'Nordea Liv '!G27+'Oslo Pensjonsforsikring'!G27+'SHB Liv'!G27+'Silver Pensjonsforsikring AS'!G27+'Sparebank 1'!G27+'Storebrand Livsforsikring'!G27+'Telenor Forsikring'!G27+'Tryg Forsikring'!G27</f>
        <v>0</v>
      </c>
      <c r="G27" s="165"/>
      <c r="H27" s="234">
        <f t="shared" si="9"/>
        <v>900482.91202757915</v>
      </c>
      <c r="I27" s="44">
        <f t="shared" si="7"/>
        <v>989064.78877081024</v>
      </c>
      <c r="J27" s="23">
        <f t="shared" si="8"/>
        <v>9.8000000000000007</v>
      </c>
      <c r="K27" s="3"/>
    </row>
    <row r="28" spans="1:11" s="396" customFormat="1" ht="15.75" customHeight="1" x14ac:dyDescent="0.2">
      <c r="A28" s="13" t="s">
        <v>26</v>
      </c>
      <c r="B28" s="236">
        <f>'ACE European Group'!B28+'Danica Pensjonsforsikring'!B28+'DNB Livsforsikring'!B28+'Eika Forsikring AS'!B28+'Frende Livsforsikring'!B28+'Frende Skadeforsikring'!B28+'Gjensidige Forsikring'!B28+'Gjensidige Pensjon'!B28+'Handelsbanken Liv'!B28+'If Skadeforsikring NUF'!B28+KLP!B28+'KLP Bedriftspensjon AS'!B28+'KLP Skadeforsikring AS'!B28+'Landbruksforsikring AS'!B28+'NEMI Forsikring'!B28+'Nordea Liv '!B28+'Oslo Pensjonsforsikring'!B28+'SHB Liv'!B28+'Silver Pensjonsforsikring AS'!B28+'Sparebank 1'!B28+'Storebrand Livsforsikring'!B28+'Telenor Forsikring'!B28+'Tryg Forsikring'!B28</f>
        <v>52091228.016380668</v>
      </c>
      <c r="C28" s="236">
        <f>'ACE European Group'!C28+'Danica Pensjonsforsikring'!C28+'DNB Livsforsikring'!C28+'Eika Forsikring AS'!C28+'Frende Livsforsikring'!C28+'Frende Skadeforsikring'!C28+'Gjensidige Forsikring'!C28+'Gjensidige Pensjon'!C28+'Handelsbanken Liv'!C28+'If Skadeforsikring NUF'!C28+KLP!C28+'KLP Bedriftspensjon AS'!C28+'KLP Skadeforsikring AS'!C28+'Landbruksforsikring AS'!C28+'NEMI Forsikring'!C28+'Nordea Liv '!C28+'Oslo Pensjonsforsikring'!C28+'SHB Liv'!C28+'Silver Pensjonsforsikring AS'!C28+'Sparebank 1'!C28+'Storebrand Livsforsikring'!C28+'Telenor Forsikring'!C28+'Tryg Forsikring'!C28</f>
        <v>50951731.75711979</v>
      </c>
      <c r="D28" s="24">
        <f t="shared" si="5"/>
        <v>-2.2000000000000002</v>
      </c>
      <c r="E28" s="306">
        <f>'ACE European Group'!F28+'Danica Pensjonsforsikring'!F28+'DNB Livsforsikring'!F28+'Eika Forsikring AS'!F28+'Frende Livsforsikring'!F28+'Frende Skadeforsikring'!F28+'Gjensidige Forsikring'!F28+'Gjensidige Pensjon'!F28+'Handelsbanken Liv'!F28+'If Skadeforsikring NUF'!F28+KLP!F28+'KLP Bedriftspensjon AS'!F28+'KLP Skadeforsikring AS'!F28+'Landbruksforsikring AS'!F28+'NEMI Forsikring'!F28+'Nordea Liv '!F28+'Oslo Pensjonsforsikring'!F28+'SHB Liv'!F28+'Silver Pensjonsforsikring AS'!F28+'Sparebank 1'!F28+'Storebrand Livsforsikring'!F28+'Telenor Forsikring'!F28+'Tryg Forsikring'!F28</f>
        <v>18713535.354049999</v>
      </c>
      <c r="F28" s="306">
        <f>'ACE European Group'!G28+'Danica Pensjonsforsikring'!G28+'DNB Livsforsikring'!G28+'Eika Forsikring AS'!G28+'Frende Livsforsikring'!G28+'Frende Skadeforsikring'!G28+'Gjensidige Forsikring'!G28+'Gjensidige Pensjon'!G28+'Handelsbanken Liv'!G28+'If Skadeforsikring NUF'!G28+KLP!G28+'KLP Bedriftspensjon AS'!G28+'KLP Skadeforsikring AS'!G28+'Landbruksforsikring AS'!G28+'NEMI Forsikring'!G28+'Nordea Liv '!G28+'Oslo Pensjonsforsikring'!G28+'SHB Liv'!G28+'Silver Pensjonsforsikring AS'!G28+'Sparebank 1'!G28+'Storebrand Livsforsikring'!G28+'Telenor Forsikring'!G28+'Tryg Forsikring'!G28</f>
        <v>19636367.939539999</v>
      </c>
      <c r="G28" s="170">
        <f t="shared" si="6"/>
        <v>4.9000000000000004</v>
      </c>
      <c r="H28" s="306">
        <f t="shared" si="9"/>
        <v>70804763.370430663</v>
      </c>
      <c r="I28" s="236">
        <f t="shared" si="7"/>
        <v>70588099.696659788</v>
      </c>
      <c r="J28" s="24">
        <f t="shared" si="8"/>
        <v>-0.3</v>
      </c>
    </row>
    <row r="29" spans="1:11" s="3" customFormat="1" ht="15.75" customHeight="1" x14ac:dyDescent="0.2">
      <c r="A29" s="294" t="s">
        <v>305</v>
      </c>
      <c r="B29" s="44" t="str">
        <f>IF($A$1=4,'ACE European Group'!B29+'Danica Pensjonsforsikring'!B29+'DNB Livsforsikring'!B29+'Eika Forsikring AS'!B29+'Frende Livsforsikring'!B29+'Frende Skadeforsikring'!B29+'Gjensidige Forsikring'!B29+'Gjensidige Pensjon'!B29+'Handelsbanken Liv'!B29+'If Skadeforsikring NUF'!B29+KLP!B29+'KLP Bedriftspensjon AS'!B29+'KLP Skadeforsikring AS'!B29+'Landbruksforsikring AS'!B29+'NEMI Forsikring'!B29+'Nordea Liv '!B29+'Oslo Pensjonsforsikring'!B29+'SHB Liv'!B29+'Silver Pensjonsforsikring AS'!B29+'Sparebank 1'!B29+'Storebrand Livsforsikring'!B29+'Telenor Forsikring'!B29+'Tryg Forsikring'!B29,"")</f>
        <v/>
      </c>
      <c r="C29" s="44" t="str">
        <f>IF($A$1=4,'ACE European Group'!C29+'Danica Pensjonsforsikring'!C29+'DNB Livsforsikring'!C29+'Eika Forsikring AS'!C29+'Frende Livsforsikring'!C29+'Frende Skadeforsikring'!C29+'Gjensidige Forsikring'!C29+'Gjensidige Pensjon'!C29+'Handelsbanken Liv'!C29+'If Skadeforsikring NUF'!C29+KLP!C29+'KLP Bedriftspensjon AS'!C29+'KLP Skadeforsikring AS'!C29+'Landbruksforsikring AS'!C29+'NEMI Forsikring'!C29+'Nordea Liv '!C29+'Oslo Pensjonsforsikring'!C29+'SHB Liv'!C29+'Silver Pensjonsforsikring AS'!C29+'Sparebank 1'!C29+'Storebrand Livsforsikring'!C29+'Telenor Forsikring'!C29+'Tryg Forsikring'!C29,"")</f>
        <v/>
      </c>
      <c r="D29" s="27" t="str">
        <f t="shared" ref="D29:D31" si="12">IF($A$1=4,IF(B29=0, "    ---- ", IF(ABS(ROUND(100/B29*C29-100,1))&lt;999,ROUND(100/B29*C29-100,1),IF(ROUND(100/B29*C29-100,1)&gt;999,999,-999))),"")</f>
        <v/>
      </c>
      <c r="E29" s="44" t="str">
        <f>IF($A$1=4,'ACE European Group'!F29+'Danica Pensjonsforsikring'!F29+'DNB Livsforsikring'!F29+'Eika Forsikring AS'!F29+'Frende Livsforsikring'!F29+'Frende Skadeforsikring'!F29+'Gjensidige Forsikring'!F29+'Gjensidige Pensjon'!F29+'Handelsbanken Liv'!F29+'If Skadeforsikring NUF'!F29+KLP!F29+'KLP Bedriftspensjon AS'!F29+'KLP Skadeforsikring AS'!F29+'Landbruksforsikring AS'!F29+'NEMI Forsikring'!F29+'Nordea Liv '!F29+'Oslo Pensjonsforsikring'!F29+'SHB Liv'!F29+'Silver Pensjonsforsikring AS'!F29+'Sparebank 1'!F29+'Storebrand Livsforsikring'!F29+'Telenor Forsikring'!F29+'Tryg Forsikring'!F29,"")</f>
        <v/>
      </c>
      <c r="F29" s="44" t="str">
        <f>IF($A$1=4,'ACE European Group'!G29+'Danica Pensjonsforsikring'!G29+'DNB Livsforsikring'!G29+'Eika Forsikring AS'!G29+'Frende Livsforsikring'!G29+'Frende Skadeforsikring'!G29+'Gjensidige Forsikring'!G29+'Gjensidige Pensjon'!G29+'Handelsbanken Liv'!G29+'If Skadeforsikring NUF'!G29+KLP!G29+'KLP Bedriftspensjon AS'!G29+'KLP Skadeforsikring AS'!G29+'Landbruksforsikring AS'!G29+'NEMI Forsikring'!G29+'Nordea Liv '!G29+'Oslo Pensjonsforsikring'!G29+'SHB Liv'!G29+'Silver Pensjonsforsikring AS'!G29+'Sparebank 1'!G29+'Storebrand Livsforsikring'!G29+'Telenor Forsikring'!G29+'Tryg Forsikring'!G29,"")</f>
        <v/>
      </c>
      <c r="G29" s="165" t="str">
        <f t="shared" ref="G29:G31" si="13">IF($A$1=4,IF(E29=0, "    ---- ", IF(ABS(ROUND(100/E29*F29-100,1))&lt;999,ROUND(100/E29*F29-100,1),IF(ROUND(100/E29*F29-100,1)&gt;999,999,-999))),"")</f>
        <v/>
      </c>
      <c r="H29" s="234">
        <f t="shared" si="9"/>
        <v>0</v>
      </c>
      <c r="I29" s="44">
        <f t="shared" si="7"/>
        <v>0</v>
      </c>
      <c r="J29" s="23"/>
    </row>
    <row r="30" spans="1:11" s="3" customFormat="1" ht="15.75" customHeight="1" x14ac:dyDescent="0.2">
      <c r="A30" s="294" t="s">
        <v>306</v>
      </c>
      <c r="B30" s="44" t="str">
        <f>IF($A$1=4,'ACE European Group'!B30+'Danica Pensjonsforsikring'!B30+'DNB Livsforsikring'!B30+'Eika Forsikring AS'!B30+'Frende Livsforsikring'!B30+'Frende Skadeforsikring'!B30+'Gjensidige Forsikring'!B30+'Gjensidige Pensjon'!B30+'Handelsbanken Liv'!B30+'If Skadeforsikring NUF'!B30+KLP!B30+'KLP Bedriftspensjon AS'!B30+'KLP Skadeforsikring AS'!B30+'Landbruksforsikring AS'!B30+'NEMI Forsikring'!B30+'Nordea Liv '!B30+'Oslo Pensjonsforsikring'!B30+'SHB Liv'!B30+'Silver Pensjonsforsikring AS'!B30+'Sparebank 1'!B30+'Storebrand Livsforsikring'!B30+'Telenor Forsikring'!B30+'Tryg Forsikring'!B30,"")</f>
        <v/>
      </c>
      <c r="C30" s="44" t="str">
        <f>IF($A$1=4,'ACE European Group'!C30+'Danica Pensjonsforsikring'!C30+'DNB Livsforsikring'!C30+'Eika Forsikring AS'!C30+'Frende Livsforsikring'!C30+'Frende Skadeforsikring'!C30+'Gjensidige Forsikring'!C30+'Gjensidige Pensjon'!C30+'Handelsbanken Liv'!C30+'If Skadeforsikring NUF'!C30+KLP!C30+'KLP Bedriftspensjon AS'!C30+'KLP Skadeforsikring AS'!C30+'Landbruksforsikring AS'!C30+'NEMI Forsikring'!C30+'Nordea Liv '!C30+'Oslo Pensjonsforsikring'!C30+'SHB Liv'!C30+'Silver Pensjonsforsikring AS'!C30+'Sparebank 1'!C30+'Storebrand Livsforsikring'!C30+'Telenor Forsikring'!C30+'Tryg Forsikring'!C30,"")</f>
        <v/>
      </c>
      <c r="D30" s="27" t="str">
        <f t="shared" si="12"/>
        <v/>
      </c>
      <c r="E30" s="44" t="str">
        <f>IF($A$1=4,'ACE European Group'!F30+'Danica Pensjonsforsikring'!F30+'DNB Livsforsikring'!F30+'Eika Forsikring AS'!F30+'Frende Livsforsikring'!F30+'Frende Skadeforsikring'!F30+'Gjensidige Forsikring'!F30+'Gjensidige Pensjon'!F30+'Handelsbanken Liv'!F30+'If Skadeforsikring NUF'!F30+KLP!F30+'KLP Bedriftspensjon AS'!F30+'KLP Skadeforsikring AS'!F30+'Landbruksforsikring AS'!F30+'NEMI Forsikring'!F30+'Nordea Liv '!F30+'Oslo Pensjonsforsikring'!F30+'SHB Liv'!F30+'Silver Pensjonsforsikring AS'!F30+'Sparebank 1'!F30+'Storebrand Livsforsikring'!F30+'Telenor Forsikring'!F30+'Tryg Forsikring'!F30,"")</f>
        <v/>
      </c>
      <c r="F30" s="44" t="str">
        <f>IF($A$1=4,'ACE European Group'!G30+'Danica Pensjonsforsikring'!G30+'DNB Livsforsikring'!G30+'Eika Forsikring AS'!G30+'Frende Livsforsikring'!G30+'Frende Skadeforsikring'!G30+'Gjensidige Forsikring'!G30+'Gjensidige Pensjon'!G30+'Handelsbanken Liv'!G30+'If Skadeforsikring NUF'!G30+KLP!G30+'KLP Bedriftspensjon AS'!G30+'KLP Skadeforsikring AS'!G30+'Landbruksforsikring AS'!G30+'NEMI Forsikring'!G30+'Nordea Liv '!G30+'Oslo Pensjonsforsikring'!G30+'SHB Liv'!G30+'Silver Pensjonsforsikring AS'!G30+'Sparebank 1'!G30+'Storebrand Livsforsikring'!G30+'Telenor Forsikring'!G30+'Tryg Forsikring'!G30,"")</f>
        <v/>
      </c>
      <c r="G30" s="165" t="str">
        <f t="shared" si="13"/>
        <v/>
      </c>
      <c r="H30" s="234">
        <f t="shared" si="9"/>
        <v>0</v>
      </c>
      <c r="I30" s="44">
        <f t="shared" si="7"/>
        <v>0</v>
      </c>
      <c r="J30" s="23"/>
    </row>
    <row r="31" spans="1:11" ht="15.75" customHeight="1" x14ac:dyDescent="0.2">
      <c r="A31" s="294" t="s">
        <v>307</v>
      </c>
      <c r="B31" s="44" t="str">
        <f>IF($A$1=4,'ACE European Group'!B31+'Danica Pensjonsforsikring'!B31+'DNB Livsforsikring'!B31+'Eika Forsikring AS'!B31+'Frende Livsforsikring'!B31+'Frende Skadeforsikring'!B31+'Gjensidige Forsikring'!B31+'Gjensidige Pensjon'!B31+'Handelsbanken Liv'!B31+'If Skadeforsikring NUF'!B31+KLP!B31+'KLP Bedriftspensjon AS'!B31+'KLP Skadeforsikring AS'!B31+'Landbruksforsikring AS'!B31+'NEMI Forsikring'!B31+'Nordea Liv '!B31+'Oslo Pensjonsforsikring'!B31+'SHB Liv'!B31+'Silver Pensjonsforsikring AS'!B31+'Sparebank 1'!B31+'Storebrand Livsforsikring'!B31+'Telenor Forsikring'!B31+'Tryg Forsikring'!B31,"")</f>
        <v/>
      </c>
      <c r="C31" s="44" t="str">
        <f>IF($A$1=4,'ACE European Group'!C31+'Danica Pensjonsforsikring'!C31+'DNB Livsforsikring'!C31+'Eika Forsikring AS'!C31+'Frende Livsforsikring'!C31+'Frende Skadeforsikring'!C31+'Gjensidige Forsikring'!C31+'Gjensidige Pensjon'!C31+'Handelsbanken Liv'!C31+'If Skadeforsikring NUF'!C31+KLP!C31+'KLP Bedriftspensjon AS'!C31+'KLP Skadeforsikring AS'!C31+'Landbruksforsikring AS'!C31+'NEMI Forsikring'!C31+'Nordea Liv '!C31+'Oslo Pensjonsforsikring'!C31+'SHB Liv'!C31+'Silver Pensjonsforsikring AS'!C31+'Sparebank 1'!C31+'Storebrand Livsforsikring'!C31+'Telenor Forsikring'!C31+'Tryg Forsikring'!C31,"")</f>
        <v/>
      </c>
      <c r="D31" s="27" t="str">
        <f t="shared" si="12"/>
        <v/>
      </c>
      <c r="E31" s="44" t="str">
        <f>IF($A$1=4,'ACE European Group'!F31+'Danica Pensjonsforsikring'!F31+'DNB Livsforsikring'!F31+'Eika Forsikring AS'!F31+'Frende Livsforsikring'!F31+'Frende Skadeforsikring'!F31+'Gjensidige Forsikring'!F31+'Gjensidige Pensjon'!F31+'Handelsbanken Liv'!F31+'If Skadeforsikring NUF'!F31+KLP!F31+'KLP Bedriftspensjon AS'!F31+'KLP Skadeforsikring AS'!F31+'Landbruksforsikring AS'!F31+'NEMI Forsikring'!F31+'Nordea Liv '!F31+'Oslo Pensjonsforsikring'!F31+'SHB Liv'!F31+'Silver Pensjonsforsikring AS'!F31+'Sparebank 1'!F31+'Storebrand Livsforsikring'!F31+'Telenor Forsikring'!F31+'Tryg Forsikring'!F31,"")</f>
        <v/>
      </c>
      <c r="F31" s="44" t="str">
        <f>IF($A$1=4,'ACE European Group'!G31+'Danica Pensjonsforsikring'!G31+'DNB Livsforsikring'!G31+'Eika Forsikring AS'!G31+'Frende Livsforsikring'!G31+'Frende Skadeforsikring'!G31+'Gjensidige Forsikring'!G31+'Gjensidige Pensjon'!G31+'Handelsbanken Liv'!G31+'If Skadeforsikring NUF'!G31+KLP!G31+'KLP Bedriftspensjon AS'!G31+'KLP Skadeforsikring AS'!G31+'Landbruksforsikring AS'!G31+'NEMI Forsikring'!G31+'Nordea Liv '!G31+'Oslo Pensjonsforsikring'!G31+'SHB Liv'!G31+'Silver Pensjonsforsikring AS'!G31+'Sparebank 1'!G31+'Storebrand Livsforsikring'!G31+'Telenor Forsikring'!G31+'Tryg Forsikring'!G31,"")</f>
        <v/>
      </c>
      <c r="G31" s="165" t="str">
        <f t="shared" si="13"/>
        <v/>
      </c>
      <c r="H31" s="234">
        <f t="shared" si="9"/>
        <v>0</v>
      </c>
      <c r="I31" s="44">
        <f t="shared" si="7"/>
        <v>0</v>
      </c>
      <c r="J31" s="24"/>
    </row>
    <row r="32" spans="1:11" s="43" customFormat="1" ht="15.75" customHeight="1" x14ac:dyDescent="0.2">
      <c r="A32" s="13" t="s">
        <v>25</v>
      </c>
      <c r="B32" s="236">
        <f>'ACE European Group'!B32+'Danica Pensjonsforsikring'!B32+'DNB Livsforsikring'!B32+'Eika Forsikring AS'!B32+'Frende Livsforsikring'!B32+'Frende Skadeforsikring'!B32+'Gjensidige Forsikring'!B32+'Gjensidige Pensjon'!B32+'Handelsbanken Liv'!B32+'If Skadeforsikring NUF'!B32+KLP!B32+'KLP Bedriftspensjon AS'!B32+'KLP Skadeforsikring AS'!B32+'Landbruksforsikring AS'!B32+'NEMI Forsikring'!B32+'Nordea Liv '!B32+'Oslo Pensjonsforsikring'!B32+'SHB Liv'!B32+'Silver Pensjonsforsikring AS'!B32+'Sparebank 1'!B32+'Storebrand Livsforsikring'!B32+'Telenor Forsikring'!B32+'Tryg Forsikring'!B32</f>
        <v>27549.156279999999</v>
      </c>
      <c r="C32" s="236">
        <f>'ACE European Group'!C32+'Danica Pensjonsforsikring'!C32+'DNB Livsforsikring'!C32+'Eika Forsikring AS'!C32+'Frende Livsforsikring'!C32+'Frende Skadeforsikring'!C32+'Gjensidige Forsikring'!C32+'Gjensidige Pensjon'!C32+'Handelsbanken Liv'!C32+'If Skadeforsikring NUF'!C32+KLP!C32+'KLP Bedriftspensjon AS'!C32+'KLP Skadeforsikring AS'!C32+'Landbruksforsikring AS'!C32+'NEMI Forsikring'!C32+'Nordea Liv '!C32+'Oslo Pensjonsforsikring'!C32+'SHB Liv'!C32+'Silver Pensjonsforsikring AS'!C32+'Sparebank 1'!C32+'Storebrand Livsforsikring'!C32+'Telenor Forsikring'!C32+'Tryg Forsikring'!C32</f>
        <v>23479.014999999999</v>
      </c>
      <c r="D32" s="24">
        <f t="shared" si="5"/>
        <v>-14.8</v>
      </c>
      <c r="E32" s="306">
        <f>'ACE European Group'!F32+'Danica Pensjonsforsikring'!F32+'DNB Livsforsikring'!F32+'Eika Forsikring AS'!F32+'Frende Livsforsikring'!F32+'Frende Skadeforsikring'!F32+'Gjensidige Forsikring'!F32+'Gjensidige Pensjon'!F32+'Handelsbanken Liv'!F32+'If Skadeforsikring NUF'!F32+KLP!F32+'KLP Bedriftspensjon AS'!F32+'KLP Skadeforsikring AS'!F32+'Landbruksforsikring AS'!F32+'NEMI Forsikring'!F32+'Nordea Liv '!F32+'Oslo Pensjonsforsikring'!F32+'SHB Liv'!F32+'Silver Pensjonsforsikring AS'!F32+'Sparebank 1'!F32+'Storebrand Livsforsikring'!F32+'Telenor Forsikring'!F32+'Tryg Forsikring'!F32</f>
        <v>-2656.7276399999992</v>
      </c>
      <c r="F32" s="306">
        <f>'ACE European Group'!G32+'Danica Pensjonsforsikring'!G32+'DNB Livsforsikring'!G32+'Eika Forsikring AS'!G32+'Frende Livsforsikring'!G32+'Frende Skadeforsikring'!G32+'Gjensidige Forsikring'!G32+'Gjensidige Pensjon'!G32+'Handelsbanken Liv'!G32+'If Skadeforsikring NUF'!G32+KLP!G32+'KLP Bedriftspensjon AS'!G32+'KLP Skadeforsikring AS'!G32+'Landbruksforsikring AS'!G32+'NEMI Forsikring'!G32+'Nordea Liv '!G32+'Oslo Pensjonsforsikring'!G32+'SHB Liv'!G32+'Silver Pensjonsforsikring AS'!G32+'Sparebank 1'!G32+'Storebrand Livsforsikring'!G32+'Telenor Forsikring'!G32+'Tryg Forsikring'!G32</f>
        <v>18732.257140000002</v>
      </c>
      <c r="G32" s="170">
        <f t="shared" si="6"/>
        <v>-805.1</v>
      </c>
      <c r="H32" s="306">
        <f t="shared" si="9"/>
        <v>24892.428639999998</v>
      </c>
      <c r="I32" s="236">
        <f t="shared" si="7"/>
        <v>42211.272140000001</v>
      </c>
      <c r="J32" s="24">
        <f t="shared" si="8"/>
        <v>69.599999999999994</v>
      </c>
    </row>
    <row r="33" spans="1:10" s="43" customFormat="1" ht="15.75" customHeight="1" x14ac:dyDescent="0.2">
      <c r="A33" s="13" t="s">
        <v>24</v>
      </c>
      <c r="B33" s="236">
        <f>'ACE European Group'!B33+'Danica Pensjonsforsikring'!B33+'DNB Livsforsikring'!B33+'Eika Forsikring AS'!B33+'Frende Livsforsikring'!B33+'Frende Skadeforsikring'!B33+'Gjensidige Forsikring'!B33+'Gjensidige Pensjon'!B33+'Handelsbanken Liv'!B33+'If Skadeforsikring NUF'!B33+KLP!B33+'KLP Bedriftspensjon AS'!B33+'KLP Skadeforsikring AS'!B33+'Landbruksforsikring AS'!B33+'NEMI Forsikring'!B33+'Nordea Liv '!B33+'Oslo Pensjonsforsikring'!B33+'SHB Liv'!B33+'Silver Pensjonsforsikring AS'!B33+'Sparebank 1'!B33+'Storebrand Livsforsikring'!B33+'Telenor Forsikring'!B33+'Tryg Forsikring'!B33</f>
        <v>-49803.512549999999</v>
      </c>
      <c r="C33" s="236">
        <f>'ACE European Group'!C33+'Danica Pensjonsforsikring'!C33+'DNB Livsforsikring'!C33+'Eika Forsikring AS'!C33+'Frende Livsforsikring'!C33+'Frende Skadeforsikring'!C33+'Gjensidige Forsikring'!C33+'Gjensidige Pensjon'!C33+'Handelsbanken Liv'!C33+'If Skadeforsikring NUF'!C33+KLP!C33+'KLP Bedriftspensjon AS'!C33+'KLP Skadeforsikring AS'!C33+'Landbruksforsikring AS'!C33+'NEMI Forsikring'!C33+'Nordea Liv '!C33+'Oslo Pensjonsforsikring'!C33+'SHB Liv'!C33+'Silver Pensjonsforsikring AS'!C33+'Sparebank 1'!C33+'Storebrand Livsforsikring'!C33+'Telenor Forsikring'!C33+'Tryg Forsikring'!C33</f>
        <v>-31174.214189999999</v>
      </c>
      <c r="D33" s="24">
        <f t="shared" si="5"/>
        <v>-37.4</v>
      </c>
      <c r="E33" s="306">
        <f>'ACE European Group'!F33+'Danica Pensjonsforsikring'!F33+'DNB Livsforsikring'!F33+'Eika Forsikring AS'!F33+'Frende Livsforsikring'!F33+'Frende Skadeforsikring'!F33+'Gjensidige Forsikring'!F33+'Gjensidige Pensjon'!F33+'Handelsbanken Liv'!F33+'If Skadeforsikring NUF'!F33+KLP!F33+'KLP Bedriftspensjon AS'!F33+'KLP Skadeforsikring AS'!F33+'Landbruksforsikring AS'!F33+'NEMI Forsikring'!F33+'Nordea Liv '!F33+'Oslo Pensjonsforsikring'!F33+'SHB Liv'!F33+'Silver Pensjonsforsikring AS'!F33+'Sparebank 1'!F33+'Storebrand Livsforsikring'!F33+'Telenor Forsikring'!F33+'Tryg Forsikring'!F33</f>
        <v>51565.633950000003</v>
      </c>
      <c r="F33" s="306">
        <f>'ACE European Group'!G33+'Danica Pensjonsforsikring'!G33+'DNB Livsforsikring'!G33+'Eika Forsikring AS'!G33+'Frende Livsforsikring'!G33+'Frende Skadeforsikring'!G33+'Gjensidige Forsikring'!G33+'Gjensidige Pensjon'!G33+'Handelsbanken Liv'!G33+'If Skadeforsikring NUF'!G33+KLP!G33+'KLP Bedriftspensjon AS'!G33+'KLP Skadeforsikring AS'!G33+'Landbruksforsikring AS'!G33+'NEMI Forsikring'!G33+'Nordea Liv '!G33+'Oslo Pensjonsforsikring'!G33+'SHB Liv'!G33+'Silver Pensjonsforsikring AS'!G33+'Sparebank 1'!G33+'Storebrand Livsforsikring'!G33+'Telenor Forsikring'!G33+'Tryg Forsikring'!G33</f>
        <v>65486.656130000003</v>
      </c>
      <c r="G33" s="170">
        <f t="shared" si="6"/>
        <v>27</v>
      </c>
      <c r="H33" s="306">
        <f t="shared" si="9"/>
        <v>1762.1214000000036</v>
      </c>
      <c r="I33" s="236">
        <f t="shared" si="7"/>
        <v>34312.441940000004</v>
      </c>
      <c r="J33" s="24">
        <f t="shared" si="8"/>
        <v>999</v>
      </c>
    </row>
    <row r="34" spans="1:10" s="43" customFormat="1" ht="15.75" customHeight="1" x14ac:dyDescent="0.2">
      <c r="A34" s="12" t="s">
        <v>308</v>
      </c>
      <c r="B34" s="236">
        <f>'ACE European Group'!B34+'Danica Pensjonsforsikring'!B34+'DNB Livsforsikring'!B34+'Eika Forsikring AS'!B34+'Frende Livsforsikring'!B34+'Frende Skadeforsikring'!B34+'Gjensidige Forsikring'!B34+'Gjensidige Pensjon'!B34+'Handelsbanken Liv'!B34+'If Skadeforsikring NUF'!B34+KLP!B34+'KLP Bedriftspensjon AS'!B34+'KLP Skadeforsikring AS'!B34+'Landbruksforsikring AS'!B34+'NEMI Forsikring'!B34+'Nordea Liv '!B34+'Oslo Pensjonsforsikring'!B34+'SHB Liv'!B34+'Silver Pensjonsforsikring AS'!B34+'Sparebank 1'!B34+'Storebrand Livsforsikring'!B34+'Telenor Forsikring'!B34+'Tryg Forsikring'!B34</f>
        <v>2904.652</v>
      </c>
      <c r="C34" s="236">
        <f>'ACE European Group'!C34+'Danica Pensjonsforsikring'!C34+'DNB Livsforsikring'!C34+'Eika Forsikring AS'!C34+'Frende Livsforsikring'!C34+'Frende Skadeforsikring'!C34+'Gjensidige Forsikring'!C34+'Gjensidige Pensjon'!C34+'Handelsbanken Liv'!C34+'If Skadeforsikring NUF'!C34+KLP!C34+'KLP Bedriftspensjon AS'!C34+'KLP Skadeforsikring AS'!C34+'Landbruksforsikring AS'!C34+'NEMI Forsikring'!C34+'Nordea Liv '!C34+'Oslo Pensjonsforsikring'!C34+'SHB Liv'!C34+'Silver Pensjonsforsikring AS'!C34+'Sparebank 1'!C34+'Storebrand Livsforsikring'!C34+'Telenor Forsikring'!C34+'Tryg Forsikring'!C34</f>
        <v>2332.3380000000002</v>
      </c>
      <c r="D34" s="11">
        <f t="shared" si="5"/>
        <v>-19.7</v>
      </c>
      <c r="E34" s="317">
        <f>'ACE European Group'!F34+'Danica Pensjonsforsikring'!F34+'DNB Livsforsikring'!F34+'Eika Forsikring AS'!F34+'Frende Livsforsikring'!F34+'Frende Skadeforsikring'!F34+'Gjensidige Forsikring'!F34+'Gjensidige Pensjon'!F34+'Handelsbanken Liv'!F34+'If Skadeforsikring NUF'!F34+KLP!F34+'KLP Bedriftspensjon AS'!F34+'KLP Skadeforsikring AS'!F34+'Landbruksforsikring AS'!F34+'NEMI Forsikring'!F34+'Nordea Liv '!F34+'Oslo Pensjonsforsikring'!F34+'SHB Liv'!F34+'Silver Pensjonsforsikring AS'!F34+'Sparebank 1'!F34+'Storebrand Livsforsikring'!F34+'Telenor Forsikring'!F34+'Tryg Forsikring'!F34</f>
        <v>0</v>
      </c>
      <c r="F34" s="317">
        <f>'ACE European Group'!G34+'Danica Pensjonsforsikring'!G34+'DNB Livsforsikring'!G34+'Eika Forsikring AS'!G34+'Frende Livsforsikring'!G34+'Frende Skadeforsikring'!G34+'Gjensidige Forsikring'!G34+'Gjensidige Pensjon'!G34+'Handelsbanken Liv'!G34+'If Skadeforsikring NUF'!G34+KLP!G34+'KLP Bedriftspensjon AS'!G34+'KLP Skadeforsikring AS'!G34+'Landbruksforsikring AS'!G34+'NEMI Forsikring'!G34+'Nordea Liv '!G34+'Oslo Pensjonsforsikring'!G34+'SHB Liv'!G34+'Silver Pensjonsforsikring AS'!G34+'Sparebank 1'!G34+'Storebrand Livsforsikring'!G34+'Telenor Forsikring'!G34+'Tryg Forsikring'!G34</f>
        <v>0</v>
      </c>
      <c r="G34" s="170" t="str">
        <f t="shared" ref="G34:G37" si="14">IF($A$1=4,IF(E34=0, "    ---- ", IF(ABS(ROUND(100/E34*F34-100,1))&lt;999,ROUND(100/E34*F34-100,1),IF(ROUND(100/E34*F34-100,1)&gt;999,999,-999))),"")</f>
        <v/>
      </c>
      <c r="H34" s="306">
        <f t="shared" si="9"/>
        <v>2904.652</v>
      </c>
      <c r="I34" s="236">
        <f t="shared" si="7"/>
        <v>2332.3380000000002</v>
      </c>
      <c r="J34" s="11">
        <f t="shared" si="8"/>
        <v>-19.7</v>
      </c>
    </row>
    <row r="35" spans="1:10" s="43" customFormat="1" ht="15.75" customHeight="1" x14ac:dyDescent="0.2">
      <c r="A35" s="12" t="s">
        <v>309</v>
      </c>
      <c r="B35" s="236">
        <f>'ACE European Group'!B35+'Danica Pensjonsforsikring'!B35+'DNB Livsforsikring'!B35+'Eika Forsikring AS'!B35+'Frende Livsforsikring'!B35+'Frende Skadeforsikring'!B35+'Gjensidige Forsikring'!B35+'Gjensidige Pensjon'!B35+'Handelsbanken Liv'!B35+'If Skadeforsikring NUF'!B35+KLP!B35+'KLP Bedriftspensjon AS'!B35+'KLP Skadeforsikring AS'!B35+'Landbruksforsikring AS'!B35+'NEMI Forsikring'!B35+'Nordea Liv '!B35+'Oslo Pensjonsforsikring'!B35+'SHB Liv'!B35+'Silver Pensjonsforsikring AS'!B35+'Sparebank 1'!B35+'Storebrand Livsforsikring'!B35+'Telenor Forsikring'!B35+'Tryg Forsikring'!B35</f>
        <v>4193322.8560000001</v>
      </c>
      <c r="C35" s="236">
        <f>'ACE European Group'!C35+'Danica Pensjonsforsikring'!C35+'DNB Livsforsikring'!C35+'Eika Forsikring AS'!C35+'Frende Livsforsikring'!C35+'Frende Skadeforsikring'!C35+'Gjensidige Forsikring'!C35+'Gjensidige Pensjon'!C35+'Handelsbanken Liv'!C35+'If Skadeforsikring NUF'!C35+KLP!C35+'KLP Bedriftspensjon AS'!C35+'KLP Skadeforsikring AS'!C35+'Landbruksforsikring AS'!C35+'NEMI Forsikring'!C35+'Nordea Liv '!C35+'Oslo Pensjonsforsikring'!C35+'SHB Liv'!C35+'Silver Pensjonsforsikring AS'!C35+'Sparebank 1'!C35+'Storebrand Livsforsikring'!C35+'Telenor Forsikring'!C35+'Tryg Forsikring'!C35</f>
        <v>4064956.4709999999</v>
      </c>
      <c r="D35" s="24">
        <f t="shared" si="5"/>
        <v>-3.1</v>
      </c>
      <c r="E35" s="318">
        <f>'ACE European Group'!F35+'Danica Pensjonsforsikring'!F35+'DNB Livsforsikring'!F35+'Eika Forsikring AS'!F35+'Frende Livsforsikring'!F35+'Frende Skadeforsikring'!F35+'Gjensidige Forsikring'!F35+'Gjensidige Pensjon'!F35+'Handelsbanken Liv'!F35+'If Skadeforsikring NUF'!F35+KLP!F35+'KLP Bedriftspensjon AS'!F35+'KLP Skadeforsikring AS'!F35+'Landbruksforsikring AS'!F35+'NEMI Forsikring'!F35+'Nordea Liv '!F35+'Oslo Pensjonsforsikring'!F35+'SHB Liv'!F35+'Silver Pensjonsforsikring AS'!F35+'Sparebank 1'!F35+'Storebrand Livsforsikring'!F35+'Telenor Forsikring'!F35+'Tryg Forsikring'!F35</f>
        <v>0</v>
      </c>
      <c r="F35" s="318">
        <f>'ACE European Group'!G35+'Danica Pensjonsforsikring'!G35+'DNB Livsforsikring'!G35+'Eika Forsikring AS'!G35+'Frende Livsforsikring'!G35+'Frende Skadeforsikring'!G35+'Gjensidige Forsikring'!G35+'Gjensidige Pensjon'!G35+'Handelsbanken Liv'!G35+'If Skadeforsikring NUF'!G35+KLP!G35+'KLP Bedriftspensjon AS'!G35+'KLP Skadeforsikring AS'!G35+'Landbruksforsikring AS'!G35+'NEMI Forsikring'!G35+'Nordea Liv '!G35+'Oslo Pensjonsforsikring'!G35+'SHB Liv'!G35+'Silver Pensjonsforsikring AS'!G35+'Sparebank 1'!G35+'Storebrand Livsforsikring'!G35+'Telenor Forsikring'!G35+'Tryg Forsikring'!G35</f>
        <v>0</v>
      </c>
      <c r="G35" s="170" t="str">
        <f t="shared" si="14"/>
        <v/>
      </c>
      <c r="H35" s="306">
        <f t="shared" si="9"/>
        <v>4193322.8560000001</v>
      </c>
      <c r="I35" s="236">
        <f t="shared" si="7"/>
        <v>4064956.4709999999</v>
      </c>
      <c r="J35" s="24">
        <f t="shared" si="8"/>
        <v>-3.1</v>
      </c>
    </row>
    <row r="36" spans="1:10" s="43" customFormat="1" ht="15.75" customHeight="1" x14ac:dyDescent="0.2">
      <c r="A36" s="12" t="s">
        <v>310</v>
      </c>
      <c r="B36" s="236">
        <f>'ACE European Group'!B36+'Danica Pensjonsforsikring'!B36+'DNB Livsforsikring'!B36+'Eika Forsikring AS'!B36+'Frende Livsforsikring'!B36+'Frende Skadeforsikring'!B36+'Gjensidige Forsikring'!B36+'Gjensidige Pensjon'!B36+'Handelsbanken Liv'!B36+'If Skadeforsikring NUF'!B36+KLP!B36+'KLP Bedriftspensjon AS'!B36+'KLP Skadeforsikring AS'!B36+'Landbruksforsikring AS'!B36+'NEMI Forsikring'!B36+'Nordea Liv '!B36+'Oslo Pensjonsforsikring'!B36+'SHB Liv'!B36+'Silver Pensjonsforsikring AS'!B36+'Sparebank 1'!B36+'Storebrand Livsforsikring'!B36+'Telenor Forsikring'!B36+'Tryg Forsikring'!B36</f>
        <v>0</v>
      </c>
      <c r="C36" s="236">
        <f>'ACE European Group'!C36+'Danica Pensjonsforsikring'!C36+'DNB Livsforsikring'!C36+'Eika Forsikring AS'!C36+'Frende Livsforsikring'!C36+'Frende Skadeforsikring'!C36+'Gjensidige Forsikring'!C36+'Gjensidige Pensjon'!C36+'Handelsbanken Liv'!C36+'If Skadeforsikring NUF'!C36+KLP!C36+'KLP Bedriftspensjon AS'!C36+'KLP Skadeforsikring AS'!C36+'Landbruksforsikring AS'!C36+'NEMI Forsikring'!C36+'Nordea Liv '!C36+'Oslo Pensjonsforsikring'!C36+'SHB Liv'!C36+'Silver Pensjonsforsikring AS'!C36+'Sparebank 1'!C36+'Storebrand Livsforsikring'!C36+'Telenor Forsikring'!C36+'Tryg Forsikring'!C36</f>
        <v>0</v>
      </c>
      <c r="D36" s="24"/>
      <c r="E36" s="317">
        <f>'ACE European Group'!F36+'Danica Pensjonsforsikring'!F36+'DNB Livsforsikring'!F36+'Eika Forsikring AS'!F36+'Frende Livsforsikring'!F36+'Frende Skadeforsikring'!F36+'Gjensidige Forsikring'!F36+'Gjensidige Pensjon'!F36+'Handelsbanken Liv'!F36+'If Skadeforsikring NUF'!F36+KLP!F36+'KLP Bedriftspensjon AS'!F36+'KLP Skadeforsikring AS'!F36+'Landbruksforsikring AS'!F36+'NEMI Forsikring'!F36+'Nordea Liv '!F36+'Oslo Pensjonsforsikring'!F36+'SHB Liv'!F36+'Silver Pensjonsforsikring AS'!F36+'Sparebank 1'!F36+'Storebrand Livsforsikring'!F36+'Telenor Forsikring'!F36+'Tryg Forsikring'!F36</f>
        <v>0</v>
      </c>
      <c r="F36" s="319">
        <f>'ACE European Group'!G36+'Danica Pensjonsforsikring'!G36+'DNB Livsforsikring'!G36+'Eika Forsikring AS'!G36+'Frende Livsforsikring'!G36+'Frende Skadeforsikring'!G36+'Gjensidige Forsikring'!G36+'Gjensidige Pensjon'!G36+'Handelsbanken Liv'!G36+'If Skadeforsikring NUF'!G36+KLP!G36+'KLP Bedriftspensjon AS'!G36+'KLP Skadeforsikring AS'!G36+'Landbruksforsikring AS'!G36+'NEMI Forsikring'!G36+'Nordea Liv '!G36+'Oslo Pensjonsforsikring'!G36+'SHB Liv'!G36+'Silver Pensjonsforsikring AS'!G36+'Sparebank 1'!G36+'Storebrand Livsforsikring'!G36+'Telenor Forsikring'!G36+'Tryg Forsikring'!G36</f>
        <v>0</v>
      </c>
      <c r="G36" s="170" t="str">
        <f t="shared" si="14"/>
        <v/>
      </c>
      <c r="H36" s="306">
        <f t="shared" si="9"/>
        <v>0</v>
      </c>
      <c r="I36" s="236">
        <f t="shared" si="7"/>
        <v>0</v>
      </c>
      <c r="J36" s="24"/>
    </row>
    <row r="37" spans="1:10" s="43" customFormat="1" ht="15.75" customHeight="1" x14ac:dyDescent="0.2">
      <c r="A37" s="18" t="s">
        <v>311</v>
      </c>
      <c r="B37" s="281">
        <f>'ACE European Group'!B37+'Danica Pensjonsforsikring'!B37+'DNB Livsforsikring'!B37+'Eika Forsikring AS'!B37+'Frende Livsforsikring'!B37+'Frende Skadeforsikring'!B37+'Gjensidige Forsikring'!B37+'Gjensidige Pensjon'!B37+'Handelsbanken Liv'!B37+'If Skadeforsikring NUF'!B37+KLP!B37+'KLP Bedriftspensjon AS'!B37+'KLP Skadeforsikring AS'!B37+'Landbruksforsikring AS'!B37+'NEMI Forsikring'!B37+'Nordea Liv '!B37+'Oslo Pensjonsforsikring'!B37+'SHB Liv'!B37+'Silver Pensjonsforsikring AS'!B37+'Sparebank 1'!B37+'Storebrand Livsforsikring'!B37+'Telenor Forsikring'!B37+'Tryg Forsikring'!B37</f>
        <v>9</v>
      </c>
      <c r="C37" s="281">
        <f>'ACE European Group'!C37+'Danica Pensjonsforsikring'!C37+'DNB Livsforsikring'!C37+'Eika Forsikring AS'!C37+'Frende Livsforsikring'!C37+'Frende Skadeforsikring'!C37+'Gjensidige Forsikring'!C37+'Gjensidige Pensjon'!C37+'Handelsbanken Liv'!C37+'If Skadeforsikring NUF'!C37+KLP!C37+'KLP Bedriftspensjon AS'!C37+'KLP Skadeforsikring AS'!C37+'Landbruksforsikring AS'!C37+'NEMI Forsikring'!C37+'Nordea Liv '!C37+'Oslo Pensjonsforsikring'!C37+'SHB Liv'!C37+'Silver Pensjonsforsikring AS'!C37+'Sparebank 1'!C37+'Storebrand Livsforsikring'!C37+'Telenor Forsikring'!C37+'Tryg Forsikring'!C37</f>
        <v>4</v>
      </c>
      <c r="D37" s="36">
        <f t="shared" si="5"/>
        <v>-55.6</v>
      </c>
      <c r="E37" s="320">
        <f>'ACE European Group'!F37+'Danica Pensjonsforsikring'!F37+'DNB Livsforsikring'!F37+'Eika Forsikring AS'!F37+'Frende Livsforsikring'!F37+'Frende Skadeforsikring'!F37+'Gjensidige Forsikring'!F37+'Gjensidige Pensjon'!F37+'Handelsbanken Liv'!F37+'If Skadeforsikring NUF'!F37+KLP!F37+'KLP Bedriftspensjon AS'!F37+'KLP Skadeforsikring AS'!F37+'Landbruksforsikring AS'!F37+'NEMI Forsikring'!F37+'Nordea Liv '!F37+'Oslo Pensjonsforsikring'!F37+'SHB Liv'!F37+'Silver Pensjonsforsikring AS'!F37+'Sparebank 1'!F37+'Storebrand Livsforsikring'!F37+'Telenor Forsikring'!F37+'Tryg Forsikring'!F37</f>
        <v>0</v>
      </c>
      <c r="F37" s="320">
        <f>'ACE European Group'!G37+'Danica Pensjonsforsikring'!G37+'DNB Livsforsikring'!G37+'Eika Forsikring AS'!G37+'Frende Livsforsikring'!G37+'Frende Skadeforsikring'!G37+'Gjensidige Forsikring'!G37+'Gjensidige Pensjon'!G37+'Handelsbanken Liv'!G37+'If Skadeforsikring NUF'!G37+KLP!G37+'KLP Bedriftspensjon AS'!G37+'KLP Skadeforsikring AS'!G37+'Landbruksforsikring AS'!G37+'NEMI Forsikring'!G37+'Nordea Liv '!G37+'Oslo Pensjonsforsikring'!G37+'SHB Liv'!G37+'Silver Pensjonsforsikring AS'!G37+'Sparebank 1'!G37+'Storebrand Livsforsikring'!G37+'Telenor Forsikring'!G37+'Tryg Forsikring'!G37</f>
        <v>0</v>
      </c>
      <c r="G37" s="168" t="str">
        <f t="shared" si="14"/>
        <v/>
      </c>
      <c r="H37" s="312">
        <f t="shared" si="9"/>
        <v>9</v>
      </c>
      <c r="I37" s="281">
        <f t="shared" si="7"/>
        <v>4</v>
      </c>
      <c r="J37" s="36">
        <f t="shared" si="8"/>
        <v>-55.6</v>
      </c>
    </row>
    <row r="38" spans="1:10" ht="15.75" customHeight="1" x14ac:dyDescent="0.2">
      <c r="A38" s="47"/>
    </row>
    <row r="39" spans="1:10" ht="15.75" customHeight="1" x14ac:dyDescent="0.2">
      <c r="A39" s="154"/>
    </row>
    <row r="40" spans="1:10" ht="15.75" customHeight="1" x14ac:dyDescent="0.25">
      <c r="A40" s="146" t="s">
        <v>294</v>
      </c>
      <c r="B40" s="671"/>
      <c r="C40" s="671"/>
      <c r="D40" s="671"/>
      <c r="E40" s="672"/>
      <c r="F40" s="672"/>
      <c r="G40" s="672"/>
      <c r="H40" s="672"/>
      <c r="I40" s="672"/>
      <c r="J40" s="672"/>
    </row>
    <row r="41" spans="1:10" ht="15.75" customHeight="1" x14ac:dyDescent="0.25">
      <c r="A41" s="162"/>
      <c r="B41" s="295"/>
      <c r="C41" s="295"/>
      <c r="D41" s="295"/>
      <c r="E41" s="296"/>
      <c r="F41" s="296"/>
      <c r="G41" s="296"/>
      <c r="H41" s="296"/>
      <c r="I41" s="296"/>
      <c r="J41" s="296"/>
    </row>
    <row r="42" spans="1:10" s="3" customFormat="1" ht="15.75" customHeight="1" x14ac:dyDescent="0.25">
      <c r="A42" s="249"/>
      <c r="B42" s="321" t="s">
        <v>0</v>
      </c>
      <c r="C42" s="322"/>
      <c r="D42" s="257"/>
      <c r="E42" s="42"/>
      <c r="F42" s="42"/>
      <c r="G42" s="40"/>
      <c r="H42" s="42"/>
      <c r="I42" s="42"/>
      <c r="J42" s="40"/>
    </row>
    <row r="43" spans="1:10" s="3" customFormat="1" ht="15.75" customHeight="1" x14ac:dyDescent="0.2">
      <c r="A43" s="140"/>
      <c r="B43" s="254" t="s">
        <v>411</v>
      </c>
      <c r="C43" s="255" t="s">
        <v>412</v>
      </c>
      <c r="D43" s="252" t="s">
        <v>3</v>
      </c>
      <c r="E43" s="42"/>
      <c r="F43" s="42"/>
      <c r="G43" s="40"/>
      <c r="H43" s="42"/>
      <c r="I43" s="42"/>
      <c r="J43" s="40"/>
    </row>
    <row r="44" spans="1:10" s="3" customFormat="1" ht="15.75" customHeight="1" x14ac:dyDescent="0.2">
      <c r="A44" s="436"/>
      <c r="B44" s="46"/>
      <c r="C44" s="256"/>
      <c r="D44" s="17" t="s">
        <v>4</v>
      </c>
      <c r="E44" s="40"/>
      <c r="F44" s="40"/>
      <c r="G44" s="40"/>
      <c r="H44" s="40"/>
      <c r="I44" s="40"/>
      <c r="J44" s="40"/>
    </row>
    <row r="45" spans="1:10" s="396" customFormat="1" ht="15.75" customHeight="1" x14ac:dyDescent="0.2">
      <c r="A45" s="14" t="s">
        <v>27</v>
      </c>
      <c r="B45" s="236">
        <f>'ACE European Group'!B45+'Danica Pensjonsforsikring'!B45+'DNB Livsforsikring'!B45+'Eika Forsikring AS'!B45+'Frende Livsforsikring'!B45+'Frende Skadeforsikring'!B45+'Gjensidige Forsikring'!B45+'Gjensidige Pensjon'!B45+'Handelsbanken Liv'!B45+'If Skadeforsikring NUF'!B45+KLP!B45+'KLP Bedriftspensjon AS'!B45+'KLP Skadeforsikring AS'!B45+'Landbruksforsikring AS'!B45+'NEMI Forsikring'!B45+'Nordea Liv '!B45+'Oslo Pensjonsforsikring'!B45+'SHB Liv'!B45+'Silver Pensjonsforsikring AS'!B45+'Sparebank 1'!B45+'Storebrand Livsforsikring'!B45+'Telenor Forsikring'!B45+'Tryg Forsikring'!B45</f>
        <v>2682270.9502600003</v>
      </c>
      <c r="C45" s="323">
        <f>'ACE European Group'!C45+'Danica Pensjonsforsikring'!C45+'DNB Livsforsikring'!C45+'Eika Forsikring AS'!C45+'Frende Livsforsikring'!C45+'Frende Skadeforsikring'!C45+'Gjensidige Forsikring'!C45+'Gjensidige Pensjon'!C45+'Handelsbanken Liv'!C45+'If Skadeforsikring NUF'!C45+KLP!C45+'KLP Bedriftspensjon AS'!C45+'KLP Skadeforsikring AS'!C45+'Landbruksforsikring AS'!C45+'NEMI Forsikring'!C45+'Nordea Liv '!C45+'Oslo Pensjonsforsikring'!C45+'SHB Liv'!C45+'Silver Pensjonsforsikring AS'!C45+'Sparebank 1'!C45+'Storebrand Livsforsikring'!C45+'Telenor Forsikring'!C45+'Tryg Forsikring'!C45</f>
        <v>2741998.0199699998</v>
      </c>
      <c r="D45" s="24">
        <f t="shared" ref="D45:D56" si="15">IF(B45=0, "    ---- ", IF(ABS(ROUND(100/B45*C45-100,1))&lt;999,ROUND(100/B45*C45-100,1),IF(ROUND(100/B45*C45-100,1)&gt;999,999,-999)))</f>
        <v>2.2000000000000002</v>
      </c>
      <c r="E45" s="397"/>
      <c r="F45" s="398"/>
      <c r="G45" s="32"/>
      <c r="H45" s="399"/>
      <c r="I45" s="399"/>
      <c r="J45" s="32"/>
    </row>
    <row r="46" spans="1:10" s="3" customFormat="1" ht="15.75" customHeight="1" x14ac:dyDescent="0.2">
      <c r="A46" s="38" t="s">
        <v>312</v>
      </c>
      <c r="B46" s="44">
        <f>'ACE European Group'!B46+'Danica Pensjonsforsikring'!B46+'DNB Livsforsikring'!B46+'Eika Forsikring AS'!B46+'Frende Livsforsikring'!B46+'Frende Skadeforsikring'!B46+'Gjensidige Forsikring'!B46+'Gjensidige Pensjon'!B46+'Handelsbanken Liv'!B46+'If Skadeforsikring NUF'!B46+KLP!B46+'KLP Bedriftspensjon AS'!B46+'KLP Skadeforsikring AS'!B46+'Landbruksforsikring AS'!B46+'NEMI Forsikring'!B46+'Nordea Liv '!B46+'Oslo Pensjonsforsikring'!B46+'SHB Liv'!B46+'Silver Pensjonsforsikring AS'!B46+'Sparebank 1'!B46+'Storebrand Livsforsikring'!B46+'Telenor Forsikring'!B46+'Tryg Forsikring'!B46</f>
        <v>1507213.1267599999</v>
      </c>
      <c r="C46" s="44">
        <f>'ACE European Group'!C46+'Danica Pensjonsforsikring'!C46+'DNB Livsforsikring'!C46+'Eika Forsikring AS'!C46+'Frende Livsforsikring'!C46+'Frende Skadeforsikring'!C46+'Gjensidige Forsikring'!C46+'Gjensidige Pensjon'!C46+'Handelsbanken Liv'!C46+'If Skadeforsikring NUF'!C46+KLP!C46+'KLP Bedriftspensjon AS'!C46+'KLP Skadeforsikring AS'!C46+'Landbruksforsikring AS'!C46+'NEMI Forsikring'!C46+'Nordea Liv '!C46+'Oslo Pensjonsforsikring'!C46+'SHB Liv'!C46+'Silver Pensjonsforsikring AS'!C46+'Sparebank 1'!C46+'Storebrand Livsforsikring'!C46+'Telenor Forsikring'!C46+'Tryg Forsikring'!C46</f>
        <v>1455530.23911</v>
      </c>
      <c r="D46" s="24">
        <f t="shared" si="15"/>
        <v>-3.4</v>
      </c>
      <c r="E46" s="35"/>
      <c r="F46" s="5"/>
      <c r="G46" s="34"/>
      <c r="H46" s="33"/>
      <c r="I46" s="33"/>
      <c r="J46" s="32"/>
    </row>
    <row r="47" spans="1:10" s="3" customFormat="1" ht="15.75" customHeight="1" x14ac:dyDescent="0.2">
      <c r="A47" s="38" t="s">
        <v>313</v>
      </c>
      <c r="B47" s="191">
        <f>'ACE European Group'!B47+'Danica Pensjonsforsikring'!B47+'DNB Livsforsikring'!B47+'Eika Forsikring AS'!B47+'Frende Livsforsikring'!B47+'Frende Skadeforsikring'!B47+'Gjensidige Forsikring'!B47+'Gjensidige Pensjon'!B47+'Handelsbanken Liv'!B47+'If Skadeforsikring NUF'!B47+KLP!B47+'KLP Bedriftspensjon AS'!B47+'KLP Skadeforsikring AS'!B47+'Landbruksforsikring AS'!B47+'NEMI Forsikring'!B47+'Nordea Liv '!B47+'Oslo Pensjonsforsikring'!B47+'SHB Liv'!B47+'Silver Pensjonsforsikring AS'!B47+'Sparebank 1'!B47+'Storebrand Livsforsikring'!B47+'Telenor Forsikring'!B47+'Tryg Forsikring'!B47</f>
        <v>1175057.8234999999</v>
      </c>
      <c r="C47" s="191">
        <f>'ACE European Group'!C47+'Danica Pensjonsforsikring'!C47+'DNB Livsforsikring'!C47+'Eika Forsikring AS'!C47+'Frende Livsforsikring'!C47+'Frende Skadeforsikring'!C47+'Gjensidige Forsikring'!C47+'Gjensidige Pensjon'!C47+'Handelsbanken Liv'!C47+'If Skadeforsikring NUF'!C47+KLP!C47+'KLP Bedriftspensjon AS'!C47+'KLP Skadeforsikring AS'!C47+'Landbruksforsikring AS'!C47+'NEMI Forsikring'!C47+'Nordea Liv '!C47+'Oslo Pensjonsforsikring'!C47+'SHB Liv'!C47+'Silver Pensjonsforsikring AS'!C47+'Sparebank 1'!C47+'Storebrand Livsforsikring'!C47+'Telenor Forsikring'!C47+'Tryg Forsikring'!C47</f>
        <v>1286467.7808600001</v>
      </c>
      <c r="D47" s="24">
        <f t="shared" si="15"/>
        <v>9.5</v>
      </c>
      <c r="E47" s="35"/>
      <c r="F47" s="5"/>
      <c r="G47" s="34"/>
      <c r="H47" s="37"/>
      <c r="I47" s="37"/>
      <c r="J47" s="32"/>
    </row>
    <row r="48" spans="1:10" s="3" customFormat="1" ht="15.75" customHeight="1" x14ac:dyDescent="0.2">
      <c r="A48" s="294" t="s">
        <v>6</v>
      </c>
      <c r="B48" s="44" t="str">
        <f>IF($A$1=4,'ACE European Group'!B48+'Danica Pensjonsforsikring'!B48+'DNB Livsforsikring'!B48+'Eika Forsikring AS'!B48+'Frende Livsforsikring'!B48+'Frende Skadeforsikring'!B48+'Gjensidige Forsikring'!B48+'Gjensidige Pensjon'!B48+'Handelsbanken Liv'!B48+'If Skadeforsikring NUF'!B48+KLP!B48+'KLP Bedriftspensjon AS'!B48+'KLP Skadeforsikring AS'!B48+'Landbruksforsikring AS'!B48+'NEMI Forsikring'!B48+'Nordea Liv '!B48+'Oslo Pensjonsforsikring'!B48+'SHB Liv'!B48+'Silver Pensjonsforsikring AS'!B48+'Sparebank 1'!B48+'Storebrand Livsforsikring'!B48+'Telenor Forsikring'!B48+'Tryg Forsikring'!B48,"")</f>
        <v/>
      </c>
      <c r="C48" s="44" t="str">
        <f>IF($A$1=4,'ACE European Group'!C48+'Danica Pensjonsforsikring'!C48+'DNB Livsforsikring'!C48+'Eika Forsikring AS'!C48+'Frende Livsforsikring'!C48+'Frende Skadeforsikring'!C48+'Gjensidige Forsikring'!C48+'Gjensidige Pensjon'!C48+'Handelsbanken Liv'!C48+'If Skadeforsikring NUF'!C48+KLP!C48+'KLP Bedriftspensjon AS'!C48+'KLP Skadeforsikring AS'!C48+'Landbruksforsikring AS'!C48+'NEMI Forsikring'!C48+'Nordea Liv '!C48+'Oslo Pensjonsforsikring'!C48+'SHB Liv'!C48+'Silver Pensjonsforsikring AS'!C48+'Sparebank 1'!C48+'Storebrand Livsforsikring'!C48+'Telenor Forsikring'!C48+'Tryg Forsikring'!C48,"")</f>
        <v/>
      </c>
      <c r="D48" s="27" t="str">
        <f t="shared" ref="D48:D50" si="16">IF($A$1=4,IF(B48=0, "    ---- ", IF(ABS(ROUND(100/B48*C48-100,1))&lt;999,ROUND(100/B48*C48-100,1),IF(ROUND(100/B48*C48-100,1)&gt;999,999,-999))),"")</f>
        <v/>
      </c>
      <c r="E48" s="35"/>
      <c r="F48" s="5"/>
      <c r="G48" s="34"/>
      <c r="H48" s="33"/>
      <c r="I48" s="33"/>
      <c r="J48" s="32"/>
    </row>
    <row r="49" spans="1:10" s="3" customFormat="1" ht="15.75" customHeight="1" x14ac:dyDescent="0.2">
      <c r="A49" s="294" t="s">
        <v>7</v>
      </c>
      <c r="B49" s="44" t="str">
        <f>IF($A$1=4,'ACE European Group'!B49+'Danica Pensjonsforsikring'!B49+'DNB Livsforsikring'!B49+'Eika Forsikring AS'!B49+'Frende Livsforsikring'!B49+'Frende Skadeforsikring'!B49+'Gjensidige Forsikring'!B49+'Gjensidige Pensjon'!B49+'Handelsbanken Liv'!B49+'If Skadeforsikring NUF'!B49+KLP!B49+'KLP Bedriftspensjon AS'!B49+'KLP Skadeforsikring AS'!B49+'Landbruksforsikring AS'!B49+'NEMI Forsikring'!B49+'Nordea Liv '!B49+'Oslo Pensjonsforsikring'!B49+'SHB Liv'!B49+'Silver Pensjonsforsikring AS'!B49+'Sparebank 1'!B49+'Storebrand Livsforsikring'!B49+'Telenor Forsikring'!B49+'Tryg Forsikring'!B49,"")</f>
        <v/>
      </c>
      <c r="C49" s="44" t="str">
        <f>IF($A$1=4,'ACE European Group'!C49+'Danica Pensjonsforsikring'!C49+'DNB Livsforsikring'!C49+'Eika Forsikring AS'!C49+'Frende Livsforsikring'!C49+'Frende Skadeforsikring'!C49+'Gjensidige Forsikring'!C49+'Gjensidige Pensjon'!C49+'Handelsbanken Liv'!C49+'If Skadeforsikring NUF'!C49+KLP!C49+'KLP Bedriftspensjon AS'!C49+'KLP Skadeforsikring AS'!C49+'Landbruksforsikring AS'!C49+'NEMI Forsikring'!C49+'Nordea Liv '!C49+'Oslo Pensjonsforsikring'!C49+'SHB Liv'!C49+'Silver Pensjonsforsikring AS'!C49+'Sparebank 1'!C49+'Storebrand Livsforsikring'!C49+'Telenor Forsikring'!C49+'Tryg Forsikring'!C49,"")</f>
        <v/>
      </c>
      <c r="D49" s="27" t="str">
        <f t="shared" si="16"/>
        <v/>
      </c>
      <c r="E49" s="35"/>
      <c r="F49" s="5"/>
      <c r="G49" s="34"/>
      <c r="H49" s="33"/>
      <c r="I49" s="33"/>
      <c r="J49" s="32"/>
    </row>
    <row r="50" spans="1:10" s="3" customFormat="1" ht="15.75" customHeight="1" x14ac:dyDescent="0.2">
      <c r="A50" s="294" t="s">
        <v>8</v>
      </c>
      <c r="B50" s="44" t="str">
        <f>IF($A$1=4,'ACE European Group'!B50+'Danica Pensjonsforsikring'!B50+'DNB Livsforsikring'!B50+'Eika Forsikring AS'!B50+'Frende Livsforsikring'!B50+'Frende Skadeforsikring'!B50+'Gjensidige Forsikring'!B50+'Gjensidige Pensjon'!B50+'Handelsbanken Liv'!B50+'If Skadeforsikring NUF'!B50+KLP!B50+'KLP Bedriftspensjon AS'!B50+'KLP Skadeforsikring AS'!B50+'Landbruksforsikring AS'!B50+'NEMI Forsikring'!B50+'Nordea Liv '!B50+'Oslo Pensjonsforsikring'!B50+'SHB Liv'!B50+'Silver Pensjonsforsikring AS'!B50+'Sparebank 1'!B50+'Storebrand Livsforsikring'!B50+'Telenor Forsikring'!B50+'Tryg Forsikring'!B50,"")</f>
        <v/>
      </c>
      <c r="C50" s="44" t="str">
        <f>IF($A$1=4,'ACE European Group'!C50+'Danica Pensjonsforsikring'!C50+'DNB Livsforsikring'!C50+'Eika Forsikring AS'!C50+'Frende Livsforsikring'!C50+'Frende Skadeforsikring'!C50+'Gjensidige Forsikring'!C50+'Gjensidige Pensjon'!C50+'Handelsbanken Liv'!C50+'If Skadeforsikring NUF'!C50+KLP!C50+'KLP Bedriftspensjon AS'!C50+'KLP Skadeforsikring AS'!C50+'Landbruksforsikring AS'!C50+'NEMI Forsikring'!C50+'Nordea Liv '!C50+'Oslo Pensjonsforsikring'!C50+'SHB Liv'!C50+'Silver Pensjonsforsikring AS'!C50+'Sparebank 1'!C50+'Storebrand Livsforsikring'!C50+'Telenor Forsikring'!C50+'Tryg Forsikring'!C50,"")</f>
        <v/>
      </c>
      <c r="D50" s="27" t="str">
        <f t="shared" si="16"/>
        <v/>
      </c>
      <c r="E50" s="35"/>
      <c r="F50" s="5"/>
      <c r="G50" s="34"/>
      <c r="H50" s="33"/>
      <c r="I50" s="33"/>
      <c r="J50" s="32"/>
    </row>
    <row r="51" spans="1:10" s="396" customFormat="1" ht="15.75" customHeight="1" x14ac:dyDescent="0.2">
      <c r="A51" s="39" t="s">
        <v>314</v>
      </c>
      <c r="B51" s="236">
        <f>'ACE European Group'!B51+'Danica Pensjonsforsikring'!B51+'DNB Livsforsikring'!B51+'Eika Forsikring AS'!B51+'Frende Livsforsikring'!B51+'Frende Skadeforsikring'!B51+'Gjensidige Forsikring'!B51+'Gjensidige Pensjon'!B51+'Handelsbanken Liv'!B51+'If Skadeforsikring NUF'!B51+KLP!B51+'KLP Bedriftspensjon AS'!B51+'KLP Skadeforsikring AS'!B51+'Landbruksforsikring AS'!B51+'NEMI Forsikring'!B51+'Nordea Liv '!B51+'Oslo Pensjonsforsikring'!B51+'SHB Liv'!B51+'Silver Pensjonsforsikring AS'!B51+'Sparebank 1'!B51+'Storebrand Livsforsikring'!B51+'Telenor Forsikring'!B51+'Tryg Forsikring'!B51</f>
        <v>142588.90299999999</v>
      </c>
      <c r="C51" s="236">
        <f>'ACE European Group'!C51+'Danica Pensjonsforsikring'!C51+'DNB Livsforsikring'!C51+'Eika Forsikring AS'!C51+'Frende Livsforsikring'!C51+'Frende Skadeforsikring'!C51+'Gjensidige Forsikring'!C51+'Gjensidige Pensjon'!C51+'Handelsbanken Liv'!C51+'If Skadeforsikring NUF'!C51+KLP!C51+'KLP Bedriftspensjon AS'!C51+'KLP Skadeforsikring AS'!C51+'Landbruksforsikring AS'!C51+'NEMI Forsikring'!C51+'Nordea Liv '!C51+'Oslo Pensjonsforsikring'!C51+'SHB Liv'!C51+'Silver Pensjonsforsikring AS'!C51+'Sparebank 1'!C51+'Storebrand Livsforsikring'!C51+'Telenor Forsikring'!C51+'Tryg Forsikring'!C51</f>
        <v>141666.20300000001</v>
      </c>
      <c r="D51" s="24">
        <f t="shared" si="15"/>
        <v>-0.6</v>
      </c>
      <c r="E51" s="397"/>
      <c r="F51" s="398"/>
      <c r="G51" s="32"/>
      <c r="H51" s="173"/>
      <c r="I51" s="173"/>
      <c r="J51" s="32"/>
    </row>
    <row r="52" spans="1:10" s="3" customFormat="1" ht="15.75" customHeight="1" x14ac:dyDescent="0.2">
      <c r="A52" s="38" t="s">
        <v>312</v>
      </c>
      <c r="B52" s="44">
        <f>'ACE European Group'!B52+'Danica Pensjonsforsikring'!B52+'DNB Livsforsikring'!B52+'Eika Forsikring AS'!B52+'Frende Livsforsikring'!B52+'Frende Skadeforsikring'!B52+'Gjensidige Forsikring'!B52+'Gjensidige Pensjon'!B52+'Handelsbanken Liv'!B52+'If Skadeforsikring NUF'!B52+KLP!B52+'KLP Bedriftspensjon AS'!B52+'KLP Skadeforsikring AS'!B52+'Landbruksforsikring AS'!B52+'NEMI Forsikring'!B52+'Nordea Liv '!B52+'Oslo Pensjonsforsikring'!B52+'SHB Liv'!B52+'Silver Pensjonsforsikring AS'!B52+'Sparebank 1'!B52+'Storebrand Livsforsikring'!B52+'Telenor Forsikring'!B52+'Tryg Forsikring'!B52</f>
        <v>114692.512</v>
      </c>
      <c r="C52" s="44">
        <f>'ACE European Group'!C52+'Danica Pensjonsforsikring'!C52+'DNB Livsforsikring'!C52+'Eika Forsikring AS'!C52+'Frende Livsforsikring'!C52+'Frende Skadeforsikring'!C52+'Gjensidige Forsikring'!C52+'Gjensidige Pensjon'!C52+'Handelsbanken Liv'!C52+'If Skadeforsikring NUF'!C52+KLP!C52+'KLP Bedriftspensjon AS'!C52+'KLP Skadeforsikring AS'!C52+'Landbruksforsikring AS'!C52+'NEMI Forsikring'!C52+'Nordea Liv '!C52+'Oslo Pensjonsforsikring'!C52+'SHB Liv'!C52+'Silver Pensjonsforsikring AS'!C52+'Sparebank 1'!C52+'Storebrand Livsforsikring'!C52+'Telenor Forsikring'!C52+'Tryg Forsikring'!C52</f>
        <v>84317.303</v>
      </c>
      <c r="D52" s="24">
        <f t="shared" si="15"/>
        <v>-26.5</v>
      </c>
      <c r="E52" s="35"/>
      <c r="F52" s="5"/>
      <c r="G52" s="34"/>
      <c r="H52" s="33"/>
      <c r="I52" s="33"/>
      <c r="J52" s="32"/>
    </row>
    <row r="53" spans="1:10" s="3" customFormat="1" ht="15.75" customHeight="1" x14ac:dyDescent="0.2">
      <c r="A53" s="38" t="s">
        <v>313</v>
      </c>
      <c r="B53" s="44">
        <f>'ACE European Group'!B53+'Danica Pensjonsforsikring'!B53+'DNB Livsforsikring'!B53+'Eika Forsikring AS'!B53+'Frende Livsforsikring'!B53+'Frende Skadeforsikring'!B53+'Gjensidige Forsikring'!B53+'Gjensidige Pensjon'!B53+'Handelsbanken Liv'!B53+'If Skadeforsikring NUF'!B53+KLP!B53+'KLP Bedriftspensjon AS'!B53+'KLP Skadeforsikring AS'!B53+'Landbruksforsikring AS'!B53+'NEMI Forsikring'!B53+'Nordea Liv '!B53+'Oslo Pensjonsforsikring'!B53+'SHB Liv'!B53+'Silver Pensjonsforsikring AS'!B53+'Sparebank 1'!B53+'Storebrand Livsforsikring'!B53+'Telenor Forsikring'!B53+'Tryg Forsikring'!B53</f>
        <v>27896.391000000003</v>
      </c>
      <c r="C53" s="44">
        <f>'ACE European Group'!C53+'Danica Pensjonsforsikring'!C53+'DNB Livsforsikring'!C53+'Eika Forsikring AS'!C53+'Frende Livsforsikring'!C53+'Frende Skadeforsikring'!C53+'Gjensidige Forsikring'!C53+'Gjensidige Pensjon'!C53+'Handelsbanken Liv'!C53+'If Skadeforsikring NUF'!C53+KLP!C53+'KLP Bedriftspensjon AS'!C53+'KLP Skadeforsikring AS'!C53+'Landbruksforsikring AS'!C53+'NEMI Forsikring'!C53+'Nordea Liv '!C53+'Oslo Pensjonsforsikring'!C53+'SHB Liv'!C53+'Silver Pensjonsforsikring AS'!C53+'Sparebank 1'!C53+'Storebrand Livsforsikring'!C53+'Telenor Forsikring'!C53+'Tryg Forsikring'!C53</f>
        <v>57348.9</v>
      </c>
      <c r="D53" s="24">
        <f t="shared" si="15"/>
        <v>105.6</v>
      </c>
      <c r="E53" s="35"/>
      <c r="F53" s="5"/>
      <c r="G53" s="34"/>
      <c r="H53" s="33"/>
      <c r="I53" s="33"/>
      <c r="J53" s="32"/>
    </row>
    <row r="54" spans="1:10" s="396" customFormat="1" ht="15.75" customHeight="1" x14ac:dyDescent="0.2">
      <c r="A54" s="39" t="s">
        <v>315</v>
      </c>
      <c r="B54" s="236">
        <f>'ACE European Group'!B54+'Danica Pensjonsforsikring'!B54+'DNB Livsforsikring'!B54+'Eika Forsikring AS'!B54+'Frende Livsforsikring'!B54+'Frende Skadeforsikring'!B54+'Gjensidige Forsikring'!B54+'Gjensidige Pensjon'!B54+'Handelsbanken Liv'!B54+'If Skadeforsikring NUF'!B54+KLP!B54+'KLP Bedriftspensjon AS'!B54+'KLP Skadeforsikring AS'!B54+'Landbruksforsikring AS'!B54+'NEMI Forsikring'!B54+'Nordea Liv '!B54+'Oslo Pensjonsforsikring'!B54+'SHB Liv'!B54+'Silver Pensjonsforsikring AS'!B54+'Sparebank 1'!B54+'Storebrand Livsforsikring'!B54+'Telenor Forsikring'!B54+'Tryg Forsikring'!B54</f>
        <v>131957.84700000001</v>
      </c>
      <c r="C54" s="236">
        <f>'ACE European Group'!C54+'Danica Pensjonsforsikring'!C54+'DNB Livsforsikring'!C54+'Eika Forsikring AS'!C54+'Frende Livsforsikring'!C54+'Frende Skadeforsikring'!C54+'Gjensidige Forsikring'!C54+'Gjensidige Pensjon'!C54+'Handelsbanken Liv'!C54+'If Skadeforsikring NUF'!C54+KLP!C54+'KLP Bedriftspensjon AS'!C54+'KLP Skadeforsikring AS'!C54+'Landbruksforsikring AS'!C54+'NEMI Forsikring'!C54+'Nordea Liv '!C54+'Oslo Pensjonsforsikring'!C54+'SHB Liv'!C54+'Silver Pensjonsforsikring AS'!C54+'Sparebank 1'!C54+'Storebrand Livsforsikring'!C54+'Telenor Forsikring'!C54+'Tryg Forsikring'!C54</f>
        <v>86314.465999999986</v>
      </c>
      <c r="D54" s="24">
        <f t="shared" si="15"/>
        <v>-34.6</v>
      </c>
      <c r="E54" s="397"/>
      <c r="F54" s="398"/>
      <c r="G54" s="32"/>
      <c r="H54" s="173"/>
      <c r="I54" s="173"/>
      <c r="J54" s="32"/>
    </row>
    <row r="55" spans="1:10" s="3" customFormat="1" ht="15.75" customHeight="1" x14ac:dyDescent="0.2">
      <c r="A55" s="38" t="s">
        <v>312</v>
      </c>
      <c r="B55" s="44">
        <f>'ACE European Group'!B55+'Danica Pensjonsforsikring'!B55+'DNB Livsforsikring'!B55+'Eika Forsikring AS'!B55+'Frende Livsforsikring'!B55+'Frende Skadeforsikring'!B55+'Gjensidige Forsikring'!B55+'Gjensidige Pensjon'!B55+'Handelsbanken Liv'!B55+'If Skadeforsikring NUF'!B55+KLP!B55+'KLP Bedriftspensjon AS'!B55+'KLP Skadeforsikring AS'!B55+'Landbruksforsikring AS'!B55+'NEMI Forsikring'!B55+'Nordea Liv '!B55+'Oslo Pensjonsforsikring'!B55+'SHB Liv'!B55+'Silver Pensjonsforsikring AS'!B55+'Sparebank 1'!B55+'Storebrand Livsforsikring'!B55+'Telenor Forsikring'!B55+'Tryg Forsikring'!B55</f>
        <v>131877.54699999999</v>
      </c>
      <c r="C55" s="44">
        <f>'ACE European Group'!C55+'Danica Pensjonsforsikring'!C55+'DNB Livsforsikring'!C55+'Eika Forsikring AS'!C55+'Frende Livsforsikring'!C55+'Frende Skadeforsikring'!C55+'Gjensidige Forsikring'!C55+'Gjensidige Pensjon'!C55+'Handelsbanken Liv'!C55+'If Skadeforsikring NUF'!C55+KLP!C55+'KLP Bedriftspensjon AS'!C55+'KLP Skadeforsikring AS'!C55+'Landbruksforsikring AS'!C55+'NEMI Forsikring'!C55+'Nordea Liv '!C55+'Oslo Pensjonsforsikring'!C55+'SHB Liv'!C55+'Silver Pensjonsforsikring AS'!C55+'Sparebank 1'!C55+'Storebrand Livsforsikring'!C55+'Telenor Forsikring'!C55+'Tryg Forsikring'!C55</f>
        <v>86314.465999999986</v>
      </c>
      <c r="D55" s="24">
        <f t="shared" si="15"/>
        <v>-34.5</v>
      </c>
      <c r="E55" s="35"/>
      <c r="F55" s="5"/>
      <c r="G55" s="34"/>
      <c r="H55" s="33"/>
      <c r="I55" s="33"/>
      <c r="J55" s="32"/>
    </row>
    <row r="56" spans="1:10" s="3" customFormat="1" ht="15.75" customHeight="1" x14ac:dyDescent="0.2">
      <c r="A56" s="46" t="s">
        <v>313</v>
      </c>
      <c r="B56" s="45">
        <f>'ACE European Group'!B56+'Danica Pensjonsforsikring'!B56+'DNB Livsforsikring'!B56+'Eika Forsikring AS'!B56+'Frende Livsforsikring'!B56+'Frende Skadeforsikring'!B56+'Gjensidige Forsikring'!B56+'Gjensidige Pensjon'!B56+'Handelsbanken Liv'!B56+'If Skadeforsikring NUF'!B56+KLP!B56+'KLP Bedriftspensjon AS'!B56+'KLP Skadeforsikring AS'!B56+'Landbruksforsikring AS'!B56+'NEMI Forsikring'!B56+'Nordea Liv '!B56+'Oslo Pensjonsforsikring'!B56+'SHB Liv'!B56+'Silver Pensjonsforsikring AS'!B56+'Sparebank 1'!B56+'Storebrand Livsforsikring'!B56+'Telenor Forsikring'!B56+'Tryg Forsikring'!B56</f>
        <v>80.3</v>
      </c>
      <c r="C56" s="45">
        <f>'ACE European Group'!C56+'Danica Pensjonsforsikring'!C56+'DNB Livsforsikring'!C56+'Eika Forsikring AS'!C56+'Frende Livsforsikring'!C56+'Frende Skadeforsikring'!C56+'Gjensidige Forsikring'!C56+'Gjensidige Pensjon'!C56+'Handelsbanken Liv'!C56+'If Skadeforsikring NUF'!C56+KLP!C56+'KLP Bedriftspensjon AS'!C56+'KLP Skadeforsikring AS'!C56+'Landbruksforsikring AS'!C56+'NEMI Forsikring'!C56+'Nordea Liv '!C56+'Oslo Pensjonsforsikring'!C56+'SHB Liv'!C56+'Silver Pensjonsforsikring AS'!C56+'Sparebank 1'!C56+'Storebrand Livsforsikring'!C56+'Telenor Forsikring'!C56+'Tryg Forsikring'!C56</f>
        <v>0</v>
      </c>
      <c r="D56" s="36">
        <f t="shared" si="15"/>
        <v>-100</v>
      </c>
      <c r="E56" s="35"/>
      <c r="F56" s="5"/>
      <c r="G56" s="34"/>
      <c r="H56" s="33"/>
      <c r="I56" s="33"/>
      <c r="J56" s="32"/>
    </row>
    <row r="57" spans="1:10" s="3" customFormat="1" ht="15.75" customHeight="1" x14ac:dyDescent="0.25">
      <c r="A57" s="163"/>
      <c r="B57" s="30"/>
      <c r="C57" s="30"/>
      <c r="D57" s="30"/>
      <c r="E57" s="31"/>
      <c r="F57" s="31"/>
      <c r="G57" s="31"/>
      <c r="H57" s="31"/>
      <c r="I57" s="31"/>
      <c r="J57" s="31"/>
    </row>
    <row r="58" spans="1:10" ht="15.75" customHeight="1" x14ac:dyDescent="0.2">
      <c r="A58" s="154"/>
    </row>
    <row r="59" spans="1:10" ht="15.75" customHeight="1" x14ac:dyDescent="0.25">
      <c r="A59" s="146" t="s">
        <v>295</v>
      </c>
      <c r="C59" s="26"/>
      <c r="D59" s="25"/>
      <c r="E59" s="26"/>
      <c r="F59" s="26"/>
      <c r="G59" s="25"/>
      <c r="H59" s="26"/>
      <c r="I59" s="26"/>
      <c r="J59" s="25"/>
    </row>
    <row r="60" spans="1:10" ht="20.100000000000001" customHeight="1" x14ac:dyDescent="0.25">
      <c r="A60" s="148"/>
      <c r="B60" s="671"/>
      <c r="C60" s="671"/>
      <c r="D60" s="671"/>
      <c r="E60" s="671"/>
      <c r="F60" s="671"/>
      <c r="G60" s="671"/>
      <c r="H60" s="671"/>
      <c r="I60" s="671"/>
      <c r="J60" s="671"/>
    </row>
    <row r="61" spans="1:10" ht="15.75" customHeight="1" x14ac:dyDescent="0.2">
      <c r="A61" s="143"/>
      <c r="B61" s="668" t="s">
        <v>0</v>
      </c>
      <c r="C61" s="669"/>
      <c r="D61" s="669"/>
      <c r="E61" s="668" t="s">
        <v>1</v>
      </c>
      <c r="F61" s="669"/>
      <c r="G61" s="670"/>
      <c r="H61" s="669" t="s">
        <v>2</v>
      </c>
      <c r="I61" s="669"/>
      <c r="J61" s="670"/>
    </row>
    <row r="62" spans="1:10" ht="15.75" customHeight="1" x14ac:dyDescent="0.2">
      <c r="A62" s="140"/>
      <c r="B62" s="253" t="s">
        <v>411</v>
      </c>
      <c r="C62" s="253" t="s">
        <v>412</v>
      </c>
      <c r="D62" s="19" t="s">
        <v>3</v>
      </c>
      <c r="E62" s="253" t="s">
        <v>411</v>
      </c>
      <c r="F62" s="253" t="s">
        <v>412</v>
      </c>
      <c r="G62" s="19" t="s">
        <v>3</v>
      </c>
      <c r="H62" s="253" t="s">
        <v>411</v>
      </c>
      <c r="I62" s="253" t="s">
        <v>412</v>
      </c>
      <c r="J62" s="19" t="s">
        <v>3</v>
      </c>
    </row>
    <row r="63" spans="1:10" ht="15.75" customHeight="1" x14ac:dyDescent="0.2">
      <c r="A63" s="436"/>
      <c r="B63" s="15"/>
      <c r="C63" s="15"/>
      <c r="D63" s="17" t="s">
        <v>4</v>
      </c>
      <c r="E63" s="16"/>
      <c r="F63" s="16"/>
      <c r="G63" s="15" t="s">
        <v>4</v>
      </c>
      <c r="H63" s="16"/>
      <c r="I63" s="16"/>
      <c r="J63" s="15" t="s">
        <v>4</v>
      </c>
    </row>
    <row r="64" spans="1:10" s="43" customFormat="1" ht="15.75" customHeight="1" x14ac:dyDescent="0.2">
      <c r="A64" s="14" t="s">
        <v>27</v>
      </c>
      <c r="B64" s="324">
        <f>'ACE European Group'!B64+'Danica Pensjonsforsikring'!B64+'DNB Livsforsikring'!B64+'Eika Forsikring AS'!B64+'Frende Livsforsikring'!B64+'Frende Skadeforsikring'!B64+'Gjensidige Forsikring'!B64+'Gjensidige Pensjon'!B64+'Handelsbanken Liv'!B64+'If Skadeforsikring NUF'!B64+KLP!B64+'KLP Bedriftspensjon AS'!B64+'KLP Skadeforsikring AS'!B64+'Landbruksforsikring AS'!B64+'NEMI Forsikring'!B64+'Nordea Liv '!B64+'Oslo Pensjonsforsikring'!B64+'SHB Liv'!B64+'Silver Pensjonsforsikring AS'!B64+'Sparebank 1'!B64+'Storebrand Livsforsikring'!B64+'Telenor Forsikring'!B64+'Tryg Forsikring'!B64</f>
        <v>8244721.4609099999</v>
      </c>
      <c r="C64" s="324">
        <f>'ACE European Group'!C64+'Danica Pensjonsforsikring'!C64+'DNB Livsforsikring'!C64+'Eika Forsikring AS'!C64+'Frende Livsforsikring'!C64+'Frende Skadeforsikring'!C64+'Gjensidige Forsikring'!C64+'Gjensidige Pensjon'!C64+'Handelsbanken Liv'!C64+'If Skadeforsikring NUF'!C64+KLP!C64+'KLP Bedriftspensjon AS'!C64+'KLP Skadeforsikring AS'!C64+'Landbruksforsikring AS'!C64+'NEMI Forsikring'!C64+'Nordea Liv '!C64+'Oslo Pensjonsforsikring'!C64+'SHB Liv'!C64+'Silver Pensjonsforsikring AS'!C64+'Sparebank 1'!C64+'Storebrand Livsforsikring'!C64+'Telenor Forsikring'!C64+'Tryg Forsikring'!C64</f>
        <v>5371254.9564800002</v>
      </c>
      <c r="D64" s="24">
        <f t="shared" ref="D64:D109" si="17">IF(B64=0, "    ---- ", IF(ABS(ROUND(100/B64*C64-100,1))&lt;999,ROUND(100/B64*C64-100,1),IF(ROUND(100/B64*C64-100,1)&gt;999,999,-999)))</f>
        <v>-34.9</v>
      </c>
      <c r="E64" s="236">
        <f>'ACE European Group'!F64+'Danica Pensjonsforsikring'!F64+'DNB Livsforsikring'!F64+'Eika Forsikring AS'!F64+'Frende Livsforsikring'!F64+'Frende Skadeforsikring'!F64+'Gjensidige Forsikring'!F64+'Gjensidige Pensjon'!F64+'Handelsbanken Liv'!F64+'If Skadeforsikring NUF'!F64+KLP!F64+'KLP Bedriftspensjon AS'!F64+'KLP Skadeforsikring AS'!F64+'Landbruksforsikring AS'!F64+'NEMI Forsikring'!F64+'Nordea Liv '!F64+'Oslo Pensjonsforsikring'!F64+'SHB Liv'!F64+'Silver Pensjonsforsikring AS'!F64+'Sparebank 1'!F64+'Storebrand Livsforsikring'!F64+'Telenor Forsikring'!F64+'Tryg Forsikring'!F64</f>
        <v>11203988.1823</v>
      </c>
      <c r="F64" s="236">
        <f>'ACE European Group'!G64+'Danica Pensjonsforsikring'!G64+'DNB Livsforsikring'!G64+'Eika Forsikring AS'!G64+'Frende Livsforsikring'!G64+'Frende Skadeforsikring'!G64+'Gjensidige Forsikring'!G64+'Gjensidige Pensjon'!G64+'Handelsbanken Liv'!G64+'If Skadeforsikring NUF'!G64+KLP!G64+'KLP Bedriftspensjon AS'!G64+'KLP Skadeforsikring AS'!G64+'Landbruksforsikring AS'!G64+'NEMI Forsikring'!G64+'Nordea Liv '!G64+'Oslo Pensjonsforsikring'!G64+'SHB Liv'!G64+'Silver Pensjonsforsikring AS'!G64+'Sparebank 1'!G64+'Storebrand Livsforsikring'!G64+'Telenor Forsikring'!G64+'Tryg Forsikring'!G64</f>
        <v>12983353.548999999</v>
      </c>
      <c r="G64" s="170">
        <f t="shared" ref="G64:G109" si="18">IF(E64=0, "    ---- ", IF(ABS(ROUND(100/E64*F64-100,1))&lt;999,ROUND(100/E64*F64-100,1),IF(ROUND(100/E64*F64-100,1)&gt;999,999,-999)))</f>
        <v>15.9</v>
      </c>
      <c r="H64" s="324">
        <f t="shared" ref="H64:H84" si="19">SUM(B64,E64)</f>
        <v>19448709.643210001</v>
      </c>
      <c r="I64" s="324">
        <f t="shared" ref="I64:I84" si="20">SUM(C64,F64)</f>
        <v>18354608.505479999</v>
      </c>
      <c r="J64" s="24">
        <f t="shared" ref="J64:J109" si="21">IF(H64=0, "    ---- ", IF(ABS(ROUND(100/H64*I64-100,1))&lt;999,ROUND(100/H64*I64-100,1),IF(ROUND(100/H64*I64-100,1)&gt;999,999,-999)))</f>
        <v>-5.6</v>
      </c>
    </row>
    <row r="65" spans="1:10" ht="15.75" customHeight="1" x14ac:dyDescent="0.25">
      <c r="A65" s="21" t="s">
        <v>9</v>
      </c>
      <c r="B65" s="234">
        <f>'ACE European Group'!B65+'Danica Pensjonsforsikring'!B65+'DNB Livsforsikring'!B65+'Eika Forsikring AS'!B65+'Frende Livsforsikring'!B65+'Frende Skadeforsikring'!B65+'Gjensidige Forsikring'!B65+'Gjensidige Pensjon'!B65+'Handelsbanken Liv'!B65+'If Skadeforsikring NUF'!B65+KLP!B65+'KLP Bedriftspensjon AS'!B65+'KLP Skadeforsikring AS'!B65+'Landbruksforsikring AS'!B65+'NEMI Forsikring'!B65+'Nordea Liv '!B65+'Oslo Pensjonsforsikring'!B65+'SHB Liv'!B65+'Silver Pensjonsforsikring AS'!B65+'Sparebank 1'!B65+'Storebrand Livsforsikring'!B65+'Telenor Forsikring'!B65+'Tryg Forsikring'!B65</f>
        <v>8016021.2718099989</v>
      </c>
      <c r="C65" s="234">
        <f>'ACE European Group'!C65+'Danica Pensjonsforsikring'!C65+'DNB Livsforsikring'!C65+'Eika Forsikring AS'!C65+'Frende Livsforsikring'!C65+'Frende Skadeforsikring'!C65+'Gjensidige Forsikring'!C65+'Gjensidige Pensjon'!C65+'Handelsbanken Liv'!C65+'If Skadeforsikring NUF'!C65+KLP!C65+'KLP Bedriftspensjon AS'!C65+'KLP Skadeforsikring AS'!C65+'Landbruksforsikring AS'!C65+'NEMI Forsikring'!C65+'Nordea Liv '!C65+'Oslo Pensjonsforsikring'!C65+'SHB Liv'!C65+'Silver Pensjonsforsikring AS'!C65+'Sparebank 1'!C65+'Storebrand Livsforsikring'!C65+'Telenor Forsikring'!C65+'Tryg Forsikring'!C65</f>
        <v>5131744.1606900003</v>
      </c>
      <c r="D65" s="241">
        <f t="shared" si="17"/>
        <v>-36</v>
      </c>
      <c r="E65" s="44">
        <f>'ACE European Group'!F65+'Danica Pensjonsforsikring'!F65+'DNB Livsforsikring'!F65+'Eika Forsikring AS'!F65+'Frende Livsforsikring'!F65+'Frende Skadeforsikring'!F65+'Gjensidige Forsikring'!F65+'Gjensidige Pensjon'!F65+'Handelsbanken Liv'!F65+'If Skadeforsikring NUF'!F65+KLP!F65+'KLP Bedriftspensjon AS'!F65+'KLP Skadeforsikring AS'!F65+'Landbruksforsikring AS'!F65+'NEMI Forsikring'!F65+'Nordea Liv '!F65+'Oslo Pensjonsforsikring'!F65+'SHB Liv'!F65+'Silver Pensjonsforsikring AS'!F65+'Sparebank 1'!F65+'Storebrand Livsforsikring'!F65+'Telenor Forsikring'!F65+'Tryg Forsikring'!F65</f>
        <v>0</v>
      </c>
      <c r="F65" s="44">
        <f>'ACE European Group'!G65+'Danica Pensjonsforsikring'!G65+'DNB Livsforsikring'!G65+'Eika Forsikring AS'!G65+'Frende Livsforsikring'!G65+'Frende Skadeforsikring'!G65+'Gjensidige Forsikring'!G65+'Gjensidige Pensjon'!G65+'Handelsbanken Liv'!G65+'If Skadeforsikring NUF'!G65+KLP!G65+'KLP Bedriftspensjon AS'!G65+'KLP Skadeforsikring AS'!G65+'Landbruksforsikring AS'!G65+'NEMI Forsikring'!G65+'Nordea Liv '!G65+'Oslo Pensjonsforsikring'!G65+'SHB Liv'!G65+'Silver Pensjonsforsikring AS'!G65+'Sparebank 1'!G65+'Storebrand Livsforsikring'!G65+'Telenor Forsikring'!G65+'Tryg Forsikring'!G65</f>
        <v>0</v>
      </c>
      <c r="G65" s="165"/>
      <c r="H65" s="237">
        <f t="shared" si="19"/>
        <v>8016021.2718099989</v>
      </c>
      <c r="I65" s="237">
        <f t="shared" si="20"/>
        <v>5131744.1606900003</v>
      </c>
      <c r="J65" s="23">
        <f t="shared" si="21"/>
        <v>-36</v>
      </c>
    </row>
    <row r="66" spans="1:10" ht="15.75" customHeight="1" x14ac:dyDescent="0.25">
      <c r="A66" s="21" t="s">
        <v>10</v>
      </c>
      <c r="B66" s="234">
        <f>'ACE European Group'!B66+'Danica Pensjonsforsikring'!B66+'DNB Livsforsikring'!B66+'Eika Forsikring AS'!B66+'Frende Livsforsikring'!B66+'Frende Skadeforsikring'!B66+'Gjensidige Forsikring'!B66+'Gjensidige Pensjon'!B66+'Handelsbanken Liv'!B66+'If Skadeforsikring NUF'!B66+KLP!B66+'KLP Bedriftspensjon AS'!B66+'KLP Skadeforsikring AS'!B66+'Landbruksforsikring AS'!B66+'NEMI Forsikring'!B66+'Nordea Liv '!B66+'Oslo Pensjonsforsikring'!B66+'SHB Liv'!B66+'Silver Pensjonsforsikring AS'!B66+'Sparebank 1'!B66+'Storebrand Livsforsikring'!B66+'Telenor Forsikring'!B66+'Tryg Forsikring'!B66</f>
        <v>120147.6707</v>
      </c>
      <c r="C66" s="234">
        <f>'ACE European Group'!C66+'Danica Pensjonsforsikring'!C66+'DNB Livsforsikring'!C66+'Eika Forsikring AS'!C66+'Frende Livsforsikring'!C66+'Frende Skadeforsikring'!C66+'Gjensidige Forsikring'!C66+'Gjensidige Pensjon'!C66+'Handelsbanken Liv'!C66+'If Skadeforsikring NUF'!C66+KLP!C66+'KLP Bedriftspensjon AS'!C66+'KLP Skadeforsikring AS'!C66+'Landbruksforsikring AS'!C66+'NEMI Forsikring'!C66+'Nordea Liv '!C66+'Oslo Pensjonsforsikring'!C66+'SHB Liv'!C66+'Silver Pensjonsforsikring AS'!C66+'Sparebank 1'!C66+'Storebrand Livsforsikring'!C66+'Telenor Forsikring'!C66+'Tryg Forsikring'!C66</f>
        <v>117473.33254999999</v>
      </c>
      <c r="D66" s="241">
        <f t="shared" si="17"/>
        <v>-2.2000000000000002</v>
      </c>
      <c r="E66" s="44">
        <f>'ACE European Group'!F66+'Danica Pensjonsforsikring'!F66+'DNB Livsforsikring'!F66+'Eika Forsikring AS'!F66+'Frende Livsforsikring'!F66+'Frende Skadeforsikring'!F66+'Gjensidige Forsikring'!F66+'Gjensidige Pensjon'!F66+'Handelsbanken Liv'!F66+'If Skadeforsikring NUF'!F66+KLP!F66+'KLP Bedriftspensjon AS'!F66+'KLP Skadeforsikring AS'!F66+'Landbruksforsikring AS'!F66+'NEMI Forsikring'!F66+'Nordea Liv '!F66+'Oslo Pensjonsforsikring'!F66+'SHB Liv'!F66+'Silver Pensjonsforsikring AS'!F66+'Sparebank 1'!F66+'Storebrand Livsforsikring'!F66+'Telenor Forsikring'!F66+'Tryg Forsikring'!F66</f>
        <v>11122093.612299999</v>
      </c>
      <c r="F66" s="44">
        <f>'ACE European Group'!G66+'Danica Pensjonsforsikring'!G66+'DNB Livsforsikring'!G66+'Eika Forsikring AS'!G66+'Frende Livsforsikring'!G66+'Frende Skadeforsikring'!G66+'Gjensidige Forsikring'!G66+'Gjensidige Pensjon'!G66+'Handelsbanken Liv'!G66+'If Skadeforsikring NUF'!G66+KLP!G66+'KLP Bedriftspensjon AS'!G66+'KLP Skadeforsikring AS'!G66+'Landbruksforsikring AS'!G66+'NEMI Forsikring'!G66+'Nordea Liv '!G66+'Oslo Pensjonsforsikring'!G66+'SHB Liv'!G66+'Silver Pensjonsforsikring AS'!G66+'Sparebank 1'!G66+'Storebrand Livsforsikring'!G66+'Telenor Forsikring'!G66+'Tryg Forsikring'!G66</f>
        <v>12854109.17182</v>
      </c>
      <c r="G66" s="165">
        <f t="shared" si="18"/>
        <v>15.6</v>
      </c>
      <c r="H66" s="237">
        <f t="shared" si="19"/>
        <v>11242241.283</v>
      </c>
      <c r="I66" s="237">
        <f t="shared" si="20"/>
        <v>12971582.50437</v>
      </c>
      <c r="J66" s="23">
        <f t="shared" si="21"/>
        <v>15.4</v>
      </c>
    </row>
    <row r="67" spans="1:10" ht="15.75" customHeight="1" x14ac:dyDescent="0.2">
      <c r="A67" s="294" t="s">
        <v>316</v>
      </c>
      <c r="B67" s="44" t="str">
        <f>IF($A$1=4,'ACE European Group'!B67+'Danica Pensjonsforsikring'!B67+'DNB Livsforsikring'!B67+'Eika Forsikring AS'!B67+'Frende Livsforsikring'!B67+'Frende Skadeforsikring'!B67+'Gjensidige Forsikring'!B67+'Gjensidige Pensjon'!B67+'Handelsbanken Liv'!B67+'If Skadeforsikring NUF'!B67+KLP!B67+'KLP Bedriftspensjon AS'!B67+'KLP Skadeforsikring AS'!B67+'Landbruksforsikring AS'!B67+'NEMI Forsikring'!B67+'Nordea Liv '!B67+'Oslo Pensjonsforsikring'!B67+'SHB Liv'!B67+'Silver Pensjonsforsikring AS'!B67+'Sparebank 1'!B67+'Storebrand Livsforsikring'!B67+'Telenor Forsikring'!B67+'Tryg Forsikring'!B67,"")</f>
        <v/>
      </c>
      <c r="C67" s="44" t="str">
        <f>IF($A$1=4,'ACE European Group'!C67+'Danica Pensjonsforsikring'!C67+'DNB Livsforsikring'!C67+'Eika Forsikring AS'!C67+'Frende Livsforsikring'!C67+'Frende Skadeforsikring'!C67+'Gjensidige Forsikring'!C67+'Gjensidige Pensjon'!C67+'Handelsbanken Liv'!C67+'If Skadeforsikring NUF'!C67+KLP!C67+'KLP Bedriftspensjon AS'!C67+'KLP Skadeforsikring AS'!C67+'Landbruksforsikring AS'!C67+'NEMI Forsikring'!C67+'Nordea Liv '!C67+'Oslo Pensjonsforsikring'!C67+'SHB Liv'!C67+'Silver Pensjonsforsikring AS'!C67+'Sparebank 1'!C67+'Storebrand Livsforsikring'!C67+'Telenor Forsikring'!C67+'Tryg Forsikring'!C67,"")</f>
        <v/>
      </c>
      <c r="D67" s="27" t="str">
        <f>IF($A$1=4,IF(B67=0, "    ---- ", IF(ABS(ROUND(100/B67*C67-100,1))&lt;999,ROUND(100/B67*C67-100,1),IF(ROUND(100/B67*C67-100,1)&gt;999,999,-999))),"")</f>
        <v/>
      </c>
      <c r="E67" s="44" t="str">
        <f>IF($A$1=4,'ACE European Group'!F67+'Danica Pensjonsforsikring'!F67+'DNB Livsforsikring'!F67+'Eika Forsikring AS'!F67+'Frende Livsforsikring'!F67+'Frende Skadeforsikring'!F67+'Gjensidige Forsikring'!F67+'Gjensidige Pensjon'!F67+'Handelsbanken Liv'!F67+'If Skadeforsikring NUF'!F67+KLP!F67+'KLP Bedriftspensjon AS'!F67+'KLP Skadeforsikring AS'!F67+'Landbruksforsikring AS'!F67+'NEMI Forsikring'!F67+'Nordea Liv '!F67+'Oslo Pensjonsforsikring'!F67+'SHB Liv'!F67+'Silver Pensjonsforsikring AS'!F67+'Sparebank 1'!F67+'Storebrand Livsforsikring'!F67+'Telenor Forsikring'!F67+'Tryg Forsikring'!F67,"")</f>
        <v/>
      </c>
      <c r="F67" s="44" t="str">
        <f>IF($A$1=4,'ACE European Group'!G67+'Danica Pensjonsforsikring'!G67+'DNB Livsforsikring'!G67+'Eika Forsikring AS'!G67+'Frende Livsforsikring'!G67+'Frende Skadeforsikring'!G67+'Gjensidige Forsikring'!G67+'Gjensidige Pensjon'!G67+'Handelsbanken Liv'!G67+'If Skadeforsikring NUF'!G67+KLP!G67+'KLP Bedriftspensjon AS'!G67+'KLP Skadeforsikring AS'!G67+'Landbruksforsikring AS'!G67+'NEMI Forsikring'!G67+'Nordea Liv '!G67+'Oslo Pensjonsforsikring'!G67+'SHB Liv'!G67+'Silver Pensjonsforsikring AS'!G67+'Sparebank 1'!G67+'Storebrand Livsforsikring'!G67+'Telenor Forsikring'!G67+'Tryg Forsikring'!G67,"")</f>
        <v/>
      </c>
      <c r="G67" s="165" t="str">
        <f t="shared" ref="G67:G72" si="22">IF($A$1=4,IF(E67=0, "    ---- ", IF(ABS(ROUND(100/E67*F67-100,1))&lt;999,ROUND(100/E67*F67-100,1),IF(ROUND(100/E67*F67-100,1)&gt;999,999,-999))),"")</f>
        <v/>
      </c>
      <c r="H67" s="237">
        <f t="shared" si="19"/>
        <v>0</v>
      </c>
      <c r="I67" s="237">
        <f t="shared" si="20"/>
        <v>0</v>
      </c>
      <c r="J67" s="23"/>
    </row>
    <row r="68" spans="1:10" ht="15.75" customHeight="1" x14ac:dyDescent="0.2">
      <c r="A68" s="294" t="s">
        <v>12</v>
      </c>
      <c r="B68" s="235">
        <f>'ACE European Group'!B68+'Danica Pensjonsforsikring'!B68+'DNB Livsforsikring'!B68+'Eika Forsikring AS'!B68+'Frende Livsforsikring'!B68+'Frende Skadeforsikring'!B68+'Gjensidige Forsikring'!B68+'Gjensidige Pensjon'!B68+'Handelsbanken Liv'!B68+'If Skadeforsikring NUF'!B68+KLP!B68+'KLP Bedriftspensjon AS'!B68+'KLP Skadeforsikring AS'!B68+'Landbruksforsikring AS'!B68+'NEMI Forsikring'!B68+'Nordea Liv '!B68+'Oslo Pensjonsforsikring'!B68+'SHB Liv'!B68+'Silver Pensjonsforsikring AS'!B68+'Sparebank 1'!B68+'Storebrand Livsforsikring'!B68+'Telenor Forsikring'!B68+'Tryg Forsikring'!B68</f>
        <v>0</v>
      </c>
      <c r="C68" s="235">
        <f>'ACE European Group'!C68+'Danica Pensjonsforsikring'!C68+'DNB Livsforsikring'!C68+'Eika Forsikring AS'!C68+'Frende Livsforsikring'!C68+'Frende Skadeforsikring'!C68+'Gjensidige Forsikring'!C68+'Gjensidige Pensjon'!C68+'Handelsbanken Liv'!C68+'If Skadeforsikring NUF'!C68+KLP!C68+'KLP Bedriftspensjon AS'!C68+'KLP Skadeforsikring AS'!C68+'Landbruksforsikring AS'!C68+'NEMI Forsikring'!C68+'Nordea Liv '!C68+'Oslo Pensjonsforsikring'!C68+'SHB Liv'!C68+'Silver Pensjonsforsikring AS'!C68+'Sparebank 1'!C68+'Storebrand Livsforsikring'!C68+'Telenor Forsikring'!C68+'Tryg Forsikring'!C68</f>
        <v>0</v>
      </c>
      <c r="D68" s="27" t="str">
        <f t="shared" ref="D68:D69" si="23">IF($A$1=4,IF(B68=0, "    ---- ", IF(ABS(ROUND(100/B68*C68-100,1))&lt;999,ROUND(100/B68*C68-100,1),IF(ROUND(100/B68*C68-100,1)&gt;999,999,-999))),"")</f>
        <v/>
      </c>
      <c r="E68" s="44" t="str">
        <f>IF($A$1=4,'ACE European Group'!F68+'Danica Pensjonsforsikring'!F68+'DNB Livsforsikring'!F68+'Eika Forsikring AS'!F68+'Frende Livsforsikring'!F68+'Frende Skadeforsikring'!F68+'Gjensidige Forsikring'!F68+'Gjensidige Pensjon'!F68+'Handelsbanken Liv'!F68+'If Skadeforsikring NUF'!F68+KLP!F68+'KLP Bedriftspensjon AS'!F68+'KLP Skadeforsikring AS'!F68+'Landbruksforsikring AS'!F68+'NEMI Forsikring'!F68+'Nordea Liv '!F68+'Oslo Pensjonsforsikring'!F68+'SHB Liv'!F68+'Silver Pensjonsforsikring AS'!F68+'Sparebank 1'!F68+'Storebrand Livsforsikring'!F68+'Telenor Forsikring'!F68+'Tryg Forsikring'!F68,"")</f>
        <v/>
      </c>
      <c r="F68" s="44" t="str">
        <f>IF($A$1=4,'ACE European Group'!G68+'Danica Pensjonsforsikring'!G68+'DNB Livsforsikring'!G68+'Eika Forsikring AS'!G68+'Frende Livsforsikring'!G68+'Frende Skadeforsikring'!G68+'Gjensidige Forsikring'!G68+'Gjensidige Pensjon'!G68+'Handelsbanken Liv'!G68+'If Skadeforsikring NUF'!G68+KLP!G68+'KLP Bedriftspensjon AS'!G68+'KLP Skadeforsikring AS'!G68+'Landbruksforsikring AS'!G68+'NEMI Forsikring'!G68+'Nordea Liv '!G68+'Oslo Pensjonsforsikring'!G68+'SHB Liv'!G68+'Silver Pensjonsforsikring AS'!G68+'Sparebank 1'!G68+'Storebrand Livsforsikring'!G68+'Telenor Forsikring'!G68+'Tryg Forsikring'!G68,"")</f>
        <v/>
      </c>
      <c r="G68" s="165" t="str">
        <f t="shared" si="22"/>
        <v/>
      </c>
      <c r="H68" s="237">
        <f t="shared" si="19"/>
        <v>0</v>
      </c>
      <c r="I68" s="237">
        <f t="shared" si="20"/>
        <v>0</v>
      </c>
      <c r="J68" s="23"/>
    </row>
    <row r="69" spans="1:10" ht="15.75" customHeight="1" x14ac:dyDescent="0.2">
      <c r="A69" s="294" t="s">
        <v>13</v>
      </c>
      <c r="B69" s="235">
        <f>'ACE European Group'!B69+'Danica Pensjonsforsikring'!B69+'DNB Livsforsikring'!B69+'Eika Forsikring AS'!B69+'Frende Livsforsikring'!B69+'Frende Skadeforsikring'!B69+'Gjensidige Forsikring'!B69+'Gjensidige Pensjon'!B69+'Handelsbanken Liv'!B69+'If Skadeforsikring NUF'!B69+KLP!B69+'KLP Bedriftspensjon AS'!B69+'KLP Skadeforsikring AS'!B69+'Landbruksforsikring AS'!B69+'NEMI Forsikring'!B69+'Nordea Liv '!B69+'Oslo Pensjonsforsikring'!B69+'SHB Liv'!B69+'Silver Pensjonsforsikring AS'!B69+'Sparebank 1'!B69+'Storebrand Livsforsikring'!B69+'Telenor Forsikring'!B69+'Tryg Forsikring'!B69</f>
        <v>0</v>
      </c>
      <c r="C69" s="235">
        <f>'ACE European Group'!C69+'Danica Pensjonsforsikring'!C69+'DNB Livsforsikring'!C69+'Eika Forsikring AS'!C69+'Frende Livsforsikring'!C69+'Frende Skadeforsikring'!C69+'Gjensidige Forsikring'!C69+'Gjensidige Pensjon'!C69+'Handelsbanken Liv'!C69+'If Skadeforsikring NUF'!C69+KLP!C69+'KLP Bedriftspensjon AS'!C69+'KLP Skadeforsikring AS'!C69+'Landbruksforsikring AS'!C69+'NEMI Forsikring'!C69+'Nordea Liv '!C69+'Oslo Pensjonsforsikring'!C69+'SHB Liv'!C69+'Silver Pensjonsforsikring AS'!C69+'Sparebank 1'!C69+'Storebrand Livsforsikring'!C69+'Telenor Forsikring'!C69+'Tryg Forsikring'!C69</f>
        <v>0</v>
      </c>
      <c r="D69" s="27" t="str">
        <f t="shared" si="23"/>
        <v/>
      </c>
      <c r="E69" s="44" t="str">
        <f>IF($A$1=4,'ACE European Group'!F69+'Danica Pensjonsforsikring'!F69+'DNB Livsforsikring'!F69+'Eika Forsikring AS'!F69+'Frende Livsforsikring'!F69+'Frende Skadeforsikring'!F69+'Gjensidige Forsikring'!F69+'Gjensidige Pensjon'!F69+'Handelsbanken Liv'!F69+'If Skadeforsikring NUF'!F69+KLP!F69+'KLP Bedriftspensjon AS'!F69+'KLP Skadeforsikring AS'!F69+'Landbruksforsikring AS'!F69+'NEMI Forsikring'!F69+'Nordea Liv '!F69+'Oslo Pensjonsforsikring'!F69+'SHB Liv'!F69+'Silver Pensjonsforsikring AS'!F69+'Sparebank 1'!F69+'Storebrand Livsforsikring'!F69+'Telenor Forsikring'!F69+'Tryg Forsikring'!F69,"")</f>
        <v/>
      </c>
      <c r="F69" s="44" t="str">
        <f>IF($A$1=4,'ACE European Group'!G69+'Danica Pensjonsforsikring'!G69+'DNB Livsforsikring'!G69+'Eika Forsikring AS'!G69+'Frende Livsforsikring'!G69+'Frende Skadeforsikring'!G69+'Gjensidige Forsikring'!G69+'Gjensidige Pensjon'!G69+'Handelsbanken Liv'!G69+'If Skadeforsikring NUF'!G69+KLP!G69+'KLP Bedriftspensjon AS'!G69+'KLP Skadeforsikring AS'!G69+'Landbruksforsikring AS'!G69+'NEMI Forsikring'!G69+'Nordea Liv '!G69+'Oslo Pensjonsforsikring'!G69+'SHB Liv'!G69+'Silver Pensjonsforsikring AS'!G69+'Sparebank 1'!G69+'Storebrand Livsforsikring'!G69+'Telenor Forsikring'!G69+'Tryg Forsikring'!G69,"")</f>
        <v/>
      </c>
      <c r="G69" s="165" t="str">
        <f t="shared" si="22"/>
        <v/>
      </c>
      <c r="H69" s="237">
        <f t="shared" si="19"/>
        <v>0</v>
      </c>
      <c r="I69" s="237">
        <f t="shared" si="20"/>
        <v>0</v>
      </c>
      <c r="J69" s="23"/>
    </row>
    <row r="70" spans="1:10" ht="15.75" customHeight="1" x14ac:dyDescent="0.2">
      <c r="A70" s="294" t="s">
        <v>317</v>
      </c>
      <c r="B70" s="44" t="str">
        <f>IF($A$1=4,'ACE European Group'!B70+'Danica Pensjonsforsikring'!B70+'DNB Livsforsikring'!B70+'Eika Forsikring AS'!B70+'Frende Livsforsikring'!B70+'Frende Skadeforsikring'!B70+'Gjensidige Forsikring'!B70+'Gjensidige Pensjon'!B70+'Handelsbanken Liv'!B70+'If Skadeforsikring NUF'!B70+KLP!B70+'KLP Bedriftspensjon AS'!B70+'KLP Skadeforsikring AS'!B70+'Landbruksforsikring AS'!B70+'NEMI Forsikring'!B70+'Nordea Liv '!B70+'Oslo Pensjonsforsikring'!B70+'SHB Liv'!B70+'Silver Pensjonsforsikring AS'!B70+'Sparebank 1'!B70+'Storebrand Livsforsikring'!B70+'Telenor Forsikring'!B70+'Tryg Forsikring'!B70,"")</f>
        <v/>
      </c>
      <c r="C70" s="44" t="str">
        <f>IF($A$1=4,'ACE European Group'!C70+'Danica Pensjonsforsikring'!C70+'DNB Livsforsikring'!C70+'Eika Forsikring AS'!C70+'Frende Livsforsikring'!C70+'Frende Skadeforsikring'!C70+'Gjensidige Forsikring'!C70+'Gjensidige Pensjon'!C70+'Handelsbanken Liv'!C70+'If Skadeforsikring NUF'!C70+KLP!C70+'KLP Bedriftspensjon AS'!C70+'KLP Skadeforsikring AS'!C70+'Landbruksforsikring AS'!C70+'NEMI Forsikring'!C70+'Nordea Liv '!C70+'Oslo Pensjonsforsikring'!C70+'SHB Liv'!C70+'Silver Pensjonsforsikring AS'!C70+'Sparebank 1'!C70+'Storebrand Livsforsikring'!C70+'Telenor Forsikring'!C70+'Tryg Forsikring'!C70,"")</f>
        <v/>
      </c>
      <c r="D70" s="27" t="str">
        <f>IF($A$1=4,IF(B70=0, "    ---- ", IF(ABS(ROUND(100/B70*C70-100,1))&lt;999,ROUND(100/B70*C70-100,1),IF(ROUND(100/B70*C70-100,1)&gt;999,999,-999))),"")</f>
        <v/>
      </c>
      <c r="E70" s="44" t="str">
        <f>IF($A$1=4,'ACE European Group'!F70+'Danica Pensjonsforsikring'!F70+'DNB Livsforsikring'!F70+'Eika Forsikring AS'!F70+'Frende Livsforsikring'!F70+'Frende Skadeforsikring'!F70+'Gjensidige Forsikring'!F70+'Gjensidige Pensjon'!F70+'Handelsbanken Liv'!F70+'If Skadeforsikring NUF'!F70+KLP!F70+'KLP Bedriftspensjon AS'!F70+'KLP Skadeforsikring AS'!F70+'Landbruksforsikring AS'!F70+'NEMI Forsikring'!F70+'Nordea Liv '!F70+'Oslo Pensjonsforsikring'!F70+'SHB Liv'!F70+'Silver Pensjonsforsikring AS'!F70+'Sparebank 1'!F70+'Storebrand Livsforsikring'!F70+'Telenor Forsikring'!F70+'Tryg Forsikring'!F70,"")</f>
        <v/>
      </c>
      <c r="F70" s="44" t="str">
        <f>IF($A$1=4,'ACE European Group'!G70+'Danica Pensjonsforsikring'!G70+'DNB Livsforsikring'!G70+'Eika Forsikring AS'!G70+'Frende Livsforsikring'!G70+'Frende Skadeforsikring'!G70+'Gjensidige Forsikring'!G70+'Gjensidige Pensjon'!G70+'Handelsbanken Liv'!G70+'If Skadeforsikring NUF'!G70+KLP!G70+'KLP Bedriftspensjon AS'!G70+'KLP Skadeforsikring AS'!G70+'Landbruksforsikring AS'!G70+'NEMI Forsikring'!G70+'Nordea Liv '!G70+'Oslo Pensjonsforsikring'!G70+'SHB Liv'!G70+'Silver Pensjonsforsikring AS'!G70+'Sparebank 1'!G70+'Storebrand Livsforsikring'!G70+'Telenor Forsikring'!G70+'Tryg Forsikring'!G70,"")</f>
        <v/>
      </c>
      <c r="G70" s="165" t="str">
        <f t="shared" si="22"/>
        <v/>
      </c>
      <c r="H70" s="237">
        <f t="shared" si="19"/>
        <v>0</v>
      </c>
      <c r="I70" s="237">
        <f t="shared" si="20"/>
        <v>0</v>
      </c>
      <c r="J70" s="24"/>
    </row>
    <row r="71" spans="1:10" ht="15.75" customHeight="1" x14ac:dyDescent="0.2">
      <c r="A71" s="294" t="s">
        <v>12</v>
      </c>
      <c r="B71" s="235">
        <f>'ACE European Group'!B71+'Danica Pensjonsforsikring'!B71+'DNB Livsforsikring'!B71+'Eika Forsikring AS'!B71+'Frende Livsforsikring'!B71+'Frende Skadeforsikring'!B71+'Gjensidige Forsikring'!B71+'Gjensidige Pensjon'!B71+'Handelsbanken Liv'!B71+'If Skadeforsikring NUF'!B71+KLP!B71+'KLP Bedriftspensjon AS'!B71+'KLP Skadeforsikring AS'!B71+'Landbruksforsikring AS'!B71+'NEMI Forsikring'!B71+'Nordea Liv '!B71+'Oslo Pensjonsforsikring'!B71+'SHB Liv'!B71+'Silver Pensjonsforsikring AS'!B71+'Sparebank 1'!B71+'Storebrand Livsforsikring'!B71+'Telenor Forsikring'!B71+'Tryg Forsikring'!B71</f>
        <v>0</v>
      </c>
      <c r="C71" s="235">
        <f>'ACE European Group'!C71+'Danica Pensjonsforsikring'!C71+'DNB Livsforsikring'!C71+'Eika Forsikring AS'!C71+'Frende Livsforsikring'!C71+'Frende Skadeforsikring'!C71+'Gjensidige Forsikring'!C71+'Gjensidige Pensjon'!C71+'Handelsbanken Liv'!C71+'If Skadeforsikring NUF'!C71+KLP!C71+'KLP Bedriftspensjon AS'!C71+'KLP Skadeforsikring AS'!C71+'Landbruksforsikring AS'!C71+'NEMI Forsikring'!C71+'Nordea Liv '!C71+'Oslo Pensjonsforsikring'!C71+'SHB Liv'!C71+'Silver Pensjonsforsikring AS'!C71+'Sparebank 1'!C71+'Storebrand Livsforsikring'!C71+'Telenor Forsikring'!C71+'Tryg Forsikring'!C71</f>
        <v>0</v>
      </c>
      <c r="D71" s="27" t="str">
        <f t="shared" ref="D71:D72" si="24">IF($A$1=4,IF(B71=0, "    ---- ", IF(ABS(ROUND(100/B71*C71-100,1))&lt;999,ROUND(100/B71*C71-100,1),IF(ROUND(100/B71*C71-100,1)&gt;999,999,-999))),"")</f>
        <v/>
      </c>
      <c r="E71" s="44" t="str">
        <f>IF($A$1=4,'ACE European Group'!F71+'Danica Pensjonsforsikring'!F71+'DNB Livsforsikring'!F71+'Eika Forsikring AS'!F71+'Frende Livsforsikring'!F71+'Frende Skadeforsikring'!F71+'Gjensidige Forsikring'!F71+'Gjensidige Pensjon'!F71+'Handelsbanken Liv'!F71+'If Skadeforsikring NUF'!F71+KLP!F71+'KLP Bedriftspensjon AS'!F71+'KLP Skadeforsikring AS'!F71+'Landbruksforsikring AS'!F71+'NEMI Forsikring'!F71+'Nordea Liv '!F71+'Oslo Pensjonsforsikring'!F71+'SHB Liv'!F71+'Silver Pensjonsforsikring AS'!F71+'Sparebank 1'!F71+'Storebrand Livsforsikring'!F71+'Telenor Forsikring'!F71+'Tryg Forsikring'!F71,"")</f>
        <v/>
      </c>
      <c r="F71" s="44" t="str">
        <f>IF($A$1=4,'ACE European Group'!G71+'Danica Pensjonsforsikring'!G71+'DNB Livsforsikring'!G71+'Eika Forsikring AS'!G71+'Frende Livsforsikring'!G71+'Frende Skadeforsikring'!G71+'Gjensidige Forsikring'!G71+'Gjensidige Pensjon'!G71+'Handelsbanken Liv'!G71+'If Skadeforsikring NUF'!G71+KLP!G71+'KLP Bedriftspensjon AS'!G71+'KLP Skadeforsikring AS'!G71+'Landbruksforsikring AS'!G71+'NEMI Forsikring'!G71+'Nordea Liv '!G71+'Oslo Pensjonsforsikring'!G71+'SHB Liv'!G71+'Silver Pensjonsforsikring AS'!G71+'Sparebank 1'!G71+'Storebrand Livsforsikring'!G71+'Telenor Forsikring'!G71+'Tryg Forsikring'!G71,"")</f>
        <v/>
      </c>
      <c r="G71" s="165" t="str">
        <f t="shared" si="22"/>
        <v/>
      </c>
      <c r="H71" s="237">
        <f t="shared" si="19"/>
        <v>0</v>
      </c>
      <c r="I71" s="237">
        <f t="shared" si="20"/>
        <v>0</v>
      </c>
      <c r="J71" s="23"/>
    </row>
    <row r="72" spans="1:10" s="3" customFormat="1" ht="15.75" customHeight="1" x14ac:dyDescent="0.2">
      <c r="A72" s="294" t="s">
        <v>13</v>
      </c>
      <c r="B72" s="235">
        <f>'ACE European Group'!B72+'Danica Pensjonsforsikring'!B72+'DNB Livsforsikring'!B72+'Eika Forsikring AS'!B72+'Frende Livsforsikring'!B72+'Frende Skadeforsikring'!B72+'Gjensidige Forsikring'!B72+'Gjensidige Pensjon'!B72+'Handelsbanken Liv'!B72+'If Skadeforsikring NUF'!B72+KLP!B72+'KLP Bedriftspensjon AS'!B72+'KLP Skadeforsikring AS'!B72+'Landbruksforsikring AS'!B72+'NEMI Forsikring'!B72+'Nordea Liv '!B72+'Oslo Pensjonsforsikring'!B72+'SHB Liv'!B72+'Silver Pensjonsforsikring AS'!B72+'Sparebank 1'!B72+'Storebrand Livsforsikring'!B72+'Telenor Forsikring'!B72+'Tryg Forsikring'!B72</f>
        <v>0</v>
      </c>
      <c r="C72" s="235">
        <f>'ACE European Group'!C72+'Danica Pensjonsforsikring'!C72+'DNB Livsforsikring'!C72+'Eika Forsikring AS'!C72+'Frende Livsforsikring'!C72+'Frende Skadeforsikring'!C72+'Gjensidige Forsikring'!C72+'Gjensidige Pensjon'!C72+'Handelsbanken Liv'!C72+'If Skadeforsikring NUF'!C72+KLP!C72+'KLP Bedriftspensjon AS'!C72+'KLP Skadeforsikring AS'!C72+'Landbruksforsikring AS'!C72+'NEMI Forsikring'!C72+'Nordea Liv '!C72+'Oslo Pensjonsforsikring'!C72+'SHB Liv'!C72+'Silver Pensjonsforsikring AS'!C72+'Sparebank 1'!C72+'Storebrand Livsforsikring'!C72+'Telenor Forsikring'!C72+'Tryg Forsikring'!C72</f>
        <v>0</v>
      </c>
      <c r="D72" s="27" t="str">
        <f t="shared" si="24"/>
        <v/>
      </c>
      <c r="E72" s="44" t="str">
        <f>IF($A$1=4,'ACE European Group'!F72+'Danica Pensjonsforsikring'!F72+'DNB Livsforsikring'!F72+'Eika Forsikring AS'!F72+'Frende Livsforsikring'!F72+'Frende Skadeforsikring'!F72+'Gjensidige Forsikring'!F72+'Gjensidige Pensjon'!F72+'Handelsbanken Liv'!F72+'If Skadeforsikring NUF'!F72+KLP!F72+'KLP Bedriftspensjon AS'!F72+'KLP Skadeforsikring AS'!F72+'Landbruksforsikring AS'!F72+'NEMI Forsikring'!F72+'Nordea Liv '!F72+'Oslo Pensjonsforsikring'!F72+'SHB Liv'!F72+'Silver Pensjonsforsikring AS'!F72+'Sparebank 1'!F72+'Storebrand Livsforsikring'!F72+'Telenor Forsikring'!F72+'Tryg Forsikring'!F72,"")</f>
        <v/>
      </c>
      <c r="F72" s="44" t="str">
        <f>IF($A$1=4,'ACE European Group'!G72+'Danica Pensjonsforsikring'!G72+'DNB Livsforsikring'!G72+'Eika Forsikring AS'!G72+'Frende Livsforsikring'!G72+'Frende Skadeforsikring'!G72+'Gjensidige Forsikring'!G72+'Gjensidige Pensjon'!G72+'Handelsbanken Liv'!G72+'If Skadeforsikring NUF'!G72+KLP!G72+'KLP Bedriftspensjon AS'!G72+'KLP Skadeforsikring AS'!G72+'Landbruksforsikring AS'!G72+'NEMI Forsikring'!G72+'Nordea Liv '!G72+'Oslo Pensjonsforsikring'!G72+'SHB Liv'!G72+'Silver Pensjonsforsikring AS'!G72+'Sparebank 1'!G72+'Storebrand Livsforsikring'!G72+'Telenor Forsikring'!G72+'Tryg Forsikring'!G72,"")</f>
        <v/>
      </c>
      <c r="G72" s="165" t="str">
        <f t="shared" si="22"/>
        <v/>
      </c>
      <c r="H72" s="237">
        <f t="shared" si="19"/>
        <v>0</v>
      </c>
      <c r="I72" s="237">
        <f t="shared" si="20"/>
        <v>0</v>
      </c>
      <c r="J72" s="23"/>
    </row>
    <row r="73" spans="1:10" s="3" customFormat="1" ht="15.75" customHeight="1" x14ac:dyDescent="0.2">
      <c r="A73" s="21" t="s">
        <v>400</v>
      </c>
      <c r="B73" s="44">
        <f>'ACE European Group'!B73+'Danica Pensjonsforsikring'!B73+'DNB Livsforsikring'!B73+'Eika Forsikring AS'!B73+'Frende Livsforsikring'!B73+'Frende Skadeforsikring'!B73+'Gjensidige Forsikring'!B73+'Gjensidige Pensjon'!B73+'Handelsbanken Liv'!B73+'If Skadeforsikring NUF'!B73+KLP!B73+'KLP Bedriftspensjon AS'!B73+'KLP Skadeforsikring AS'!B73+'Landbruksforsikring AS'!B73+'NEMI Forsikring'!B73+'Nordea Liv '!B73+'Oslo Pensjonsforsikring'!B73+'SHB Liv'!B73+'Silver Pensjonsforsikring AS'!B73+'Sparebank 1'!B73+'Storebrand Livsforsikring'!B73+'Telenor Forsikring'!B73+'Tryg Forsikring'!B73</f>
        <v>108552.5184</v>
      </c>
      <c r="C73" s="44">
        <f>'ACE European Group'!C73+'Danica Pensjonsforsikring'!C73+'DNB Livsforsikring'!C73+'Eika Forsikring AS'!C73+'Frende Livsforsikring'!C73+'Frende Skadeforsikring'!C73+'Gjensidige Forsikring'!C73+'Gjensidige Pensjon'!C73+'Handelsbanken Liv'!C73+'If Skadeforsikring NUF'!C73+KLP!C73+'KLP Bedriftspensjon AS'!C73+'KLP Skadeforsikring AS'!C73+'Landbruksforsikring AS'!C73+'NEMI Forsikring'!C73+'Nordea Liv '!C73+'Oslo Pensjonsforsikring'!C73+'SHB Liv'!C73+'Silver Pensjonsforsikring AS'!C73+'Sparebank 1'!C73+'Storebrand Livsforsikring'!C73+'Telenor Forsikring'!C73+'Tryg Forsikring'!C73</f>
        <v>122037.46324000001</v>
      </c>
      <c r="D73" s="23">
        <f t="shared" si="17"/>
        <v>12.4</v>
      </c>
      <c r="E73" s="44">
        <f>'ACE European Group'!F73+'Danica Pensjonsforsikring'!F73+'DNB Livsforsikring'!F73+'Eika Forsikring AS'!F73+'Frende Livsforsikring'!F73+'Frende Skadeforsikring'!F73+'Gjensidige Forsikring'!F73+'Gjensidige Pensjon'!F73+'Handelsbanken Liv'!F73+'If Skadeforsikring NUF'!F73+KLP!F73+'KLP Bedriftspensjon AS'!F73+'KLP Skadeforsikring AS'!F73+'Landbruksforsikring AS'!F73+'NEMI Forsikring'!F73+'Nordea Liv '!F73+'Oslo Pensjonsforsikring'!F73+'SHB Liv'!F73+'Silver Pensjonsforsikring AS'!F73+'Sparebank 1'!F73+'Storebrand Livsforsikring'!F73+'Telenor Forsikring'!F73+'Tryg Forsikring'!F73</f>
        <v>81894.570000000007</v>
      </c>
      <c r="F73" s="44">
        <f>'ACE European Group'!G73+'Danica Pensjonsforsikring'!G73+'DNB Livsforsikring'!G73+'Eika Forsikring AS'!G73+'Frende Livsforsikring'!G73+'Frende Skadeforsikring'!G73+'Gjensidige Forsikring'!G73+'Gjensidige Pensjon'!G73+'Handelsbanken Liv'!G73+'If Skadeforsikring NUF'!G73+KLP!G73+'KLP Bedriftspensjon AS'!G73+'KLP Skadeforsikring AS'!G73+'Landbruksforsikring AS'!G73+'NEMI Forsikring'!G73+'Nordea Liv '!G73+'Oslo Pensjonsforsikring'!G73+'SHB Liv'!G73+'Silver Pensjonsforsikring AS'!G73+'Sparebank 1'!G73+'Storebrand Livsforsikring'!G73+'Telenor Forsikring'!G73+'Tryg Forsikring'!G73</f>
        <v>129244.37718</v>
      </c>
      <c r="G73" s="165">
        <f t="shared" si="18"/>
        <v>57.8</v>
      </c>
      <c r="H73" s="237">
        <f t="shared" si="19"/>
        <v>190447.08840000001</v>
      </c>
      <c r="I73" s="237">
        <f t="shared" si="20"/>
        <v>251281.84042000002</v>
      </c>
      <c r="J73" s="23">
        <f t="shared" si="21"/>
        <v>31.9</v>
      </c>
    </row>
    <row r="74" spans="1:10" s="3" customFormat="1" ht="15.75" customHeight="1" x14ac:dyDescent="0.2">
      <c r="A74" s="21" t="s">
        <v>399</v>
      </c>
      <c r="B74" s="44">
        <f>'ACE European Group'!B74+'Danica Pensjonsforsikring'!B74+'DNB Livsforsikring'!B74+'Eika Forsikring AS'!B74+'Frende Livsforsikring'!B74+'Frende Skadeforsikring'!B74+'Gjensidige Forsikring'!B74+'Gjensidige Pensjon'!B74+'Handelsbanken Liv'!B74+'If Skadeforsikring NUF'!B74+KLP!B74+'KLP Bedriftspensjon AS'!B74+'KLP Skadeforsikring AS'!B74+'Landbruksforsikring AS'!B74+'NEMI Forsikring'!B74+'Nordea Liv '!B74+'Oslo Pensjonsforsikring'!B74+'SHB Liv'!B74+'Silver Pensjonsforsikring AS'!B74+'Sparebank 1'!B74+'Storebrand Livsforsikring'!B74+'Telenor Forsikring'!B74+'Tryg Forsikring'!B74</f>
        <v>0</v>
      </c>
      <c r="C74" s="44">
        <f>'ACE European Group'!C74+'Danica Pensjonsforsikring'!C74+'DNB Livsforsikring'!C74+'Eika Forsikring AS'!C74+'Frende Livsforsikring'!C74+'Frende Skadeforsikring'!C74+'Gjensidige Forsikring'!C74+'Gjensidige Pensjon'!C74+'Handelsbanken Liv'!C74+'If Skadeforsikring NUF'!C74+KLP!C74+'KLP Bedriftspensjon AS'!C74+'KLP Skadeforsikring AS'!C74+'Landbruksforsikring AS'!C74+'NEMI Forsikring'!C74+'Nordea Liv '!C74+'Oslo Pensjonsforsikring'!C74+'SHB Liv'!C74+'Silver Pensjonsforsikring AS'!C74+'Sparebank 1'!C74+'Storebrand Livsforsikring'!C74+'Telenor Forsikring'!C74+'Tryg Forsikring'!C74</f>
        <v>740857.6015600001</v>
      </c>
      <c r="D74" s="23" t="str">
        <f t="shared" ref="D74" si="25">IF(B74=0, "    ---- ", IF(ABS(ROUND(100/B74*C74-100,1))&lt;999,ROUND(100/B74*C74-100,1),IF(ROUND(100/B74*C74-100,1)&gt;999,999,-999)))</f>
        <v xml:space="preserve">    ---- </v>
      </c>
      <c r="E74" s="44">
        <f>'ACE European Group'!F74+'Danica Pensjonsforsikring'!F74+'DNB Livsforsikring'!F74+'Eika Forsikring AS'!F74+'Frende Livsforsikring'!F74+'Frende Skadeforsikring'!F74+'Gjensidige Forsikring'!F74+'Gjensidige Pensjon'!F74+'Handelsbanken Liv'!F74+'If Skadeforsikring NUF'!F74+KLP!F74+'KLP Bedriftspensjon AS'!F74+'KLP Skadeforsikring AS'!F74+'Landbruksforsikring AS'!F74+'NEMI Forsikring'!F74+'Nordea Liv '!F74+'Oslo Pensjonsforsikring'!F74+'SHB Liv'!F74+'Silver Pensjonsforsikring AS'!F74+'Sparebank 1'!F74+'Storebrand Livsforsikring'!F74+'Telenor Forsikring'!F74+'Tryg Forsikring'!F74</f>
        <v>0</v>
      </c>
      <c r="F74" s="44">
        <f>'ACE European Group'!G74+'Danica Pensjonsforsikring'!G74+'DNB Livsforsikring'!G74+'Eika Forsikring AS'!G74+'Frende Livsforsikring'!G74+'Frende Skadeforsikring'!G74+'Gjensidige Forsikring'!G74+'Gjensidige Pensjon'!G74+'Handelsbanken Liv'!G74+'If Skadeforsikring NUF'!G74+KLP!G74+'KLP Bedriftspensjon AS'!G74+'KLP Skadeforsikring AS'!G74+'Landbruksforsikring AS'!G74+'NEMI Forsikring'!G74+'Nordea Liv '!G74+'Oslo Pensjonsforsikring'!G74+'SHB Liv'!G74+'Silver Pensjonsforsikring AS'!G74+'Sparebank 1'!G74+'Storebrand Livsforsikring'!G74+'Telenor Forsikring'!G74+'Tryg Forsikring'!G74</f>
        <v>0</v>
      </c>
      <c r="G74" s="165"/>
      <c r="H74" s="237">
        <f t="shared" ref="H74" si="26">SUM(B74,E74)</f>
        <v>0</v>
      </c>
      <c r="I74" s="237">
        <f t="shared" ref="I74" si="27">SUM(C74,F74)</f>
        <v>740857.6015600001</v>
      </c>
      <c r="J74" s="23" t="str">
        <f t="shared" ref="J74" si="28">IF(H74=0, "    ---- ", IF(ABS(ROUND(100/H74*I74-100,1))&lt;999,ROUND(100/H74*I74-100,1),IF(ROUND(100/H74*I74-100,1)&gt;999,999,-999)))</f>
        <v xml:space="preserve">    ---- </v>
      </c>
    </row>
    <row r="75" spans="1:10" ht="15.75" customHeight="1" x14ac:dyDescent="0.2">
      <c r="A75" s="21" t="s">
        <v>318</v>
      </c>
      <c r="B75" s="44">
        <f>'ACE European Group'!B75+'Danica Pensjonsforsikring'!B75+'DNB Livsforsikring'!B75+'Eika Forsikring AS'!B75+'Frende Livsforsikring'!B75+'Frende Skadeforsikring'!B75+'Gjensidige Forsikring'!B75+'Gjensidige Pensjon'!B75+'Handelsbanken Liv'!B75+'If Skadeforsikring NUF'!B75+KLP!B75+'KLP Bedriftspensjon AS'!B75+'KLP Skadeforsikring AS'!B75+'Landbruksforsikring AS'!B75+'NEMI Forsikring'!B75+'Nordea Liv '!B75+'Oslo Pensjonsforsikring'!B75+'SHB Liv'!B75+'Silver Pensjonsforsikring AS'!B75+'Sparebank 1'!B75+'Storebrand Livsforsikring'!B75+'Telenor Forsikring'!B75+'Tryg Forsikring'!B75</f>
        <v>7898861.0505100004</v>
      </c>
      <c r="C75" s="234">
        <f>'ACE European Group'!C75+'Danica Pensjonsforsikring'!C75+'DNB Livsforsikring'!C75+'Eika Forsikring AS'!C75+'Frende Livsforsikring'!C75+'Frende Skadeforsikring'!C75+'Gjensidige Forsikring'!C75+'Gjensidige Pensjon'!C75+'Handelsbanken Liv'!C75+'If Skadeforsikring NUF'!C75+KLP!C75+'KLP Bedriftspensjon AS'!C75+'KLP Skadeforsikring AS'!C75+'Landbruksforsikring AS'!C75+'NEMI Forsikring'!C75+'Nordea Liv '!C75+'Oslo Pensjonsforsikring'!C75+'SHB Liv'!C75+'Silver Pensjonsforsikring AS'!C75+'Sparebank 1'!C75+'Storebrand Livsforsikring'!C75+'Telenor Forsikring'!C75+'Tryg Forsikring'!C75</f>
        <v>5104266.2472400004</v>
      </c>
      <c r="D75" s="23">
        <f t="shared" si="17"/>
        <v>-35.4</v>
      </c>
      <c r="E75" s="44">
        <f>'ACE European Group'!F75+'Danica Pensjonsforsikring'!F75+'DNB Livsforsikring'!F75+'Eika Forsikring AS'!F75+'Frende Livsforsikring'!F75+'Frende Skadeforsikring'!F75+'Gjensidige Forsikring'!F75+'Gjensidige Pensjon'!F75+'Handelsbanken Liv'!F75+'If Skadeforsikring NUF'!F75+KLP!F75+'KLP Bedriftspensjon AS'!F75+'KLP Skadeforsikring AS'!F75+'Landbruksforsikring AS'!F75+'NEMI Forsikring'!F75+'Nordea Liv '!F75+'Oslo Pensjonsforsikring'!F75+'SHB Liv'!F75+'Silver Pensjonsforsikring AS'!F75+'Sparebank 1'!F75+'Storebrand Livsforsikring'!F75+'Telenor Forsikring'!F75+'Tryg Forsikring'!F75</f>
        <v>11114587.491249999</v>
      </c>
      <c r="F75" s="44">
        <f>'ACE European Group'!G75+'Danica Pensjonsforsikring'!G75+'DNB Livsforsikring'!G75+'Eika Forsikring AS'!G75+'Frende Livsforsikring'!G75+'Frende Skadeforsikring'!G75+'Gjensidige Forsikring'!G75+'Gjensidige Pensjon'!G75+'Handelsbanken Liv'!G75+'If Skadeforsikring NUF'!G75+KLP!G75+'KLP Bedriftspensjon AS'!G75+'KLP Skadeforsikring AS'!G75+'Landbruksforsikring AS'!G75+'NEMI Forsikring'!G75+'Nordea Liv '!G75+'Oslo Pensjonsforsikring'!G75+'SHB Liv'!G75+'Silver Pensjonsforsikring AS'!G75+'Sparebank 1'!G75+'Storebrand Livsforsikring'!G75+'Telenor Forsikring'!G75+'Tryg Forsikring'!G75</f>
        <v>12845716.86881</v>
      </c>
      <c r="G75" s="165">
        <f t="shared" si="18"/>
        <v>15.6</v>
      </c>
      <c r="H75" s="237">
        <f t="shared" si="19"/>
        <v>19013448.541759998</v>
      </c>
      <c r="I75" s="237">
        <f t="shared" si="20"/>
        <v>17949983.116050001</v>
      </c>
      <c r="J75" s="23">
        <f t="shared" si="21"/>
        <v>-5.6</v>
      </c>
    </row>
    <row r="76" spans="1:10" ht="15.75" customHeight="1" x14ac:dyDescent="0.2">
      <c r="A76" s="21" t="s">
        <v>9</v>
      </c>
      <c r="B76" s="44">
        <f>'ACE European Group'!B76+'Danica Pensjonsforsikring'!B76+'DNB Livsforsikring'!B76+'Eika Forsikring AS'!B76+'Frende Livsforsikring'!B76+'Frende Skadeforsikring'!B76+'Gjensidige Forsikring'!B76+'Gjensidige Pensjon'!B76+'Handelsbanken Liv'!B76+'If Skadeforsikring NUF'!B76+KLP!B76+'KLP Bedriftspensjon AS'!B76+'KLP Skadeforsikring AS'!B76+'Landbruksforsikring AS'!B76+'NEMI Forsikring'!B76+'Nordea Liv '!B76+'Oslo Pensjonsforsikring'!B76+'SHB Liv'!B76+'Silver Pensjonsforsikring AS'!B76+'Sparebank 1'!B76+'Storebrand Livsforsikring'!B76+'Telenor Forsikring'!B76+'Tryg Forsikring'!B76</f>
        <v>7780794.4458099995</v>
      </c>
      <c r="C76" s="234">
        <f>'ACE European Group'!C76+'Danica Pensjonsforsikring'!C76+'DNB Livsforsikring'!C76+'Eika Forsikring AS'!C76+'Frende Livsforsikring'!C76+'Frende Skadeforsikring'!C76+'Gjensidige Forsikring'!C76+'Gjensidige Pensjon'!C76+'Handelsbanken Liv'!C76+'If Skadeforsikring NUF'!C76+KLP!C76+'KLP Bedriftspensjon AS'!C76+'KLP Skadeforsikring AS'!C76+'Landbruksforsikring AS'!C76+'NEMI Forsikring'!C76+'Nordea Liv '!C76+'Oslo Pensjonsforsikring'!C76+'SHB Liv'!C76+'Silver Pensjonsforsikring AS'!C76+'Sparebank 1'!C76+'Storebrand Livsforsikring'!C76+'Telenor Forsikring'!C76+'Tryg Forsikring'!C76</f>
        <v>4989012.7676899992</v>
      </c>
      <c r="D76" s="23">
        <f t="shared" si="17"/>
        <v>-35.9</v>
      </c>
      <c r="E76" s="44">
        <f>'ACE European Group'!F76+'Danica Pensjonsforsikring'!F76+'DNB Livsforsikring'!F76+'Eika Forsikring AS'!F76+'Frende Livsforsikring'!F76+'Frende Skadeforsikring'!F76+'Gjensidige Forsikring'!F76+'Gjensidige Pensjon'!F76+'Handelsbanken Liv'!F76+'If Skadeforsikring NUF'!F76+KLP!F76+'KLP Bedriftspensjon AS'!F76+'KLP Skadeforsikring AS'!F76+'Landbruksforsikring AS'!F76+'NEMI Forsikring'!F76+'Nordea Liv '!F76+'Oslo Pensjonsforsikring'!F76+'SHB Liv'!F76+'Silver Pensjonsforsikring AS'!F76+'Sparebank 1'!F76+'Storebrand Livsforsikring'!F76+'Telenor Forsikring'!F76+'Tryg Forsikring'!F76</f>
        <v>0</v>
      </c>
      <c r="F76" s="44">
        <f>'ACE European Group'!G76+'Danica Pensjonsforsikring'!G76+'DNB Livsforsikring'!G76+'Eika Forsikring AS'!G76+'Frende Livsforsikring'!G76+'Frende Skadeforsikring'!G76+'Gjensidige Forsikring'!G76+'Gjensidige Pensjon'!G76+'Handelsbanken Liv'!G76+'If Skadeforsikring NUF'!G76+KLP!G76+'KLP Bedriftspensjon AS'!G76+'KLP Skadeforsikring AS'!G76+'Landbruksforsikring AS'!G76+'NEMI Forsikring'!G76+'Nordea Liv '!G76+'Oslo Pensjonsforsikring'!G76+'SHB Liv'!G76+'Silver Pensjonsforsikring AS'!G76+'Sparebank 1'!G76+'Storebrand Livsforsikring'!G76+'Telenor Forsikring'!G76+'Tryg Forsikring'!G76</f>
        <v>0</v>
      </c>
      <c r="G76" s="165"/>
      <c r="H76" s="237">
        <f t="shared" si="19"/>
        <v>7780794.4458099995</v>
      </c>
      <c r="I76" s="237">
        <f t="shared" si="20"/>
        <v>4989012.7676899992</v>
      </c>
      <c r="J76" s="23">
        <f t="shared" si="21"/>
        <v>-35.9</v>
      </c>
    </row>
    <row r="77" spans="1:10" ht="15.75" customHeight="1" x14ac:dyDescent="0.2">
      <c r="A77" s="21" t="s">
        <v>10</v>
      </c>
      <c r="B77" s="44">
        <f>'ACE European Group'!B77+'Danica Pensjonsforsikring'!B77+'DNB Livsforsikring'!B77+'Eika Forsikring AS'!B77+'Frende Livsforsikring'!B77+'Frende Skadeforsikring'!B77+'Gjensidige Forsikring'!B77+'Gjensidige Pensjon'!B77+'Handelsbanken Liv'!B77+'If Skadeforsikring NUF'!B77+KLP!B77+'KLP Bedriftspensjon AS'!B77+'KLP Skadeforsikring AS'!B77+'Landbruksforsikring AS'!B77+'NEMI Forsikring'!B77+'Nordea Liv '!B77+'Oslo Pensjonsforsikring'!B77+'SHB Liv'!B77+'Silver Pensjonsforsikring AS'!B77+'Sparebank 1'!B77+'Storebrand Livsforsikring'!B77+'Telenor Forsikring'!B77+'Tryg Forsikring'!B77</f>
        <v>118066.60470000001</v>
      </c>
      <c r="C77" s="144">
        <f>'ACE European Group'!C77+'Danica Pensjonsforsikring'!C77+'DNB Livsforsikring'!C77+'Eika Forsikring AS'!C77+'Frende Livsforsikring'!C77+'Frende Skadeforsikring'!C77+'Gjensidige Forsikring'!C77+'Gjensidige Pensjon'!C77+'Handelsbanken Liv'!C77+'If Skadeforsikring NUF'!C77+KLP!C77+'KLP Bedriftspensjon AS'!C77+'KLP Skadeforsikring AS'!C77+'Landbruksforsikring AS'!C77+'NEMI Forsikring'!C77+'Nordea Liv '!C77+'Oslo Pensjonsforsikring'!C77+'SHB Liv'!C77+'Silver Pensjonsforsikring AS'!C77+'Sparebank 1'!C77+'Storebrand Livsforsikring'!C77+'Telenor Forsikring'!C77+'Tryg Forsikring'!C77</f>
        <v>115253.47954999999</v>
      </c>
      <c r="D77" s="23">
        <f t="shared" si="17"/>
        <v>-2.4</v>
      </c>
      <c r="E77" s="44">
        <f>'ACE European Group'!F77+'Danica Pensjonsforsikring'!F77+'DNB Livsforsikring'!F77+'Eika Forsikring AS'!F77+'Frende Livsforsikring'!F77+'Frende Skadeforsikring'!F77+'Gjensidige Forsikring'!F77+'Gjensidige Pensjon'!F77+'Handelsbanken Liv'!F77+'If Skadeforsikring NUF'!F77+KLP!F77+'KLP Bedriftspensjon AS'!F77+'KLP Skadeforsikring AS'!F77+'Landbruksforsikring AS'!F77+'NEMI Forsikring'!F77+'Nordea Liv '!F77+'Oslo Pensjonsforsikring'!F77+'SHB Liv'!F77+'Silver Pensjonsforsikring AS'!F77+'Sparebank 1'!F77+'Storebrand Livsforsikring'!F77+'Telenor Forsikring'!F77+'Tryg Forsikring'!F77</f>
        <v>11114587.491249999</v>
      </c>
      <c r="F77" s="44">
        <f>'ACE European Group'!G77+'Danica Pensjonsforsikring'!G77+'DNB Livsforsikring'!G77+'Eika Forsikring AS'!G77+'Frende Livsforsikring'!G77+'Frende Skadeforsikring'!G77+'Gjensidige Forsikring'!G77+'Gjensidige Pensjon'!G77+'Handelsbanken Liv'!G77+'If Skadeforsikring NUF'!G77+KLP!G77+'KLP Bedriftspensjon AS'!G77+'KLP Skadeforsikring AS'!G77+'Landbruksforsikring AS'!G77+'NEMI Forsikring'!G77+'Nordea Liv '!G77+'Oslo Pensjonsforsikring'!G77+'SHB Liv'!G77+'Silver Pensjonsforsikring AS'!G77+'Sparebank 1'!G77+'Storebrand Livsforsikring'!G77+'Telenor Forsikring'!G77+'Tryg Forsikring'!G77</f>
        <v>12845716.86881</v>
      </c>
      <c r="G77" s="165">
        <f t="shared" si="18"/>
        <v>15.6</v>
      </c>
      <c r="H77" s="237">
        <f t="shared" si="19"/>
        <v>11232654.095949998</v>
      </c>
      <c r="I77" s="237">
        <f t="shared" si="20"/>
        <v>12960970.34836</v>
      </c>
      <c r="J77" s="23">
        <f t="shared" si="21"/>
        <v>15.4</v>
      </c>
    </row>
    <row r="78" spans="1:10" ht="15.75" customHeight="1" x14ac:dyDescent="0.2">
      <c r="A78" s="294" t="s">
        <v>316</v>
      </c>
      <c r="B78" s="44" t="str">
        <f>IF($A$1=4,'ACE European Group'!B78+'Danica Pensjonsforsikring'!B78+'DNB Livsforsikring'!B78+'Eika Forsikring AS'!B78+'Frende Livsforsikring'!B78+'Frende Skadeforsikring'!B78+'Gjensidige Forsikring'!B78+'Gjensidige Pensjon'!B78+'Handelsbanken Liv'!B78+'If Skadeforsikring NUF'!B78+KLP!B78+'KLP Bedriftspensjon AS'!B78+'KLP Skadeforsikring AS'!B78+'Landbruksforsikring AS'!B78+'NEMI Forsikring'!B78+'Nordea Liv '!B78+'Oslo Pensjonsforsikring'!B78+'SHB Liv'!B78+'Silver Pensjonsforsikring AS'!B78+'Sparebank 1'!B78+'Storebrand Livsforsikring'!B78+'Telenor Forsikring'!B78+'Tryg Forsikring'!B78,"")</f>
        <v/>
      </c>
      <c r="C78" s="44" t="str">
        <f>IF($A$1=4,'ACE European Group'!C78+'Danica Pensjonsforsikring'!C78+'DNB Livsforsikring'!C78+'Eika Forsikring AS'!C78+'Frende Livsforsikring'!C78+'Frende Skadeforsikring'!C78+'Gjensidige Forsikring'!C78+'Gjensidige Pensjon'!C78+'Handelsbanken Liv'!C78+'If Skadeforsikring NUF'!C78+KLP!C78+'KLP Bedriftspensjon AS'!C78+'KLP Skadeforsikring AS'!C78+'Landbruksforsikring AS'!C78+'NEMI Forsikring'!C78+'Nordea Liv '!C78+'Oslo Pensjonsforsikring'!C78+'SHB Liv'!C78+'Silver Pensjonsforsikring AS'!C78+'Sparebank 1'!C78+'Storebrand Livsforsikring'!C78+'Telenor Forsikring'!C78+'Tryg Forsikring'!C78,"")</f>
        <v/>
      </c>
      <c r="D78" s="27" t="str">
        <f>IF($A$1=4,IF(B78=0, "    ---- ", IF(ABS(ROUND(100/B78*C78-100,1))&lt;999,ROUND(100/B78*C78-100,1),IF(ROUND(100/B78*C78-100,1)&gt;999,999,-999))),"")</f>
        <v/>
      </c>
      <c r="E78" s="44" t="str">
        <f>IF($A$1=4,'ACE European Group'!F78+'Danica Pensjonsforsikring'!F78+'DNB Livsforsikring'!F78+'Eika Forsikring AS'!F78+'Frende Livsforsikring'!F78+'Frende Skadeforsikring'!F78+'Gjensidige Forsikring'!F78+'Gjensidige Pensjon'!F78+'Handelsbanken Liv'!F78+'If Skadeforsikring NUF'!F78+KLP!F78+'KLP Bedriftspensjon AS'!F78+'KLP Skadeforsikring AS'!F78+'Landbruksforsikring AS'!F78+'NEMI Forsikring'!F78+'Nordea Liv '!F78+'Oslo Pensjonsforsikring'!F78+'SHB Liv'!F78+'Silver Pensjonsforsikring AS'!F78+'Sparebank 1'!F78+'Storebrand Livsforsikring'!F78+'Telenor Forsikring'!F78+'Tryg Forsikring'!F78,"")</f>
        <v/>
      </c>
      <c r="F78" s="44" t="str">
        <f>IF($A$1=4,'ACE European Group'!G78+'Danica Pensjonsforsikring'!G78+'DNB Livsforsikring'!G78+'Eika Forsikring AS'!G78+'Frende Livsforsikring'!G78+'Frende Skadeforsikring'!G78+'Gjensidige Forsikring'!G78+'Gjensidige Pensjon'!G78+'Handelsbanken Liv'!G78+'If Skadeforsikring NUF'!G78+KLP!G78+'KLP Bedriftspensjon AS'!G78+'KLP Skadeforsikring AS'!G78+'Landbruksforsikring AS'!G78+'NEMI Forsikring'!G78+'Nordea Liv '!G78+'Oslo Pensjonsforsikring'!G78+'SHB Liv'!G78+'Silver Pensjonsforsikring AS'!G78+'Sparebank 1'!G78+'Storebrand Livsforsikring'!G78+'Telenor Forsikring'!G78+'Tryg Forsikring'!G78,"")</f>
        <v/>
      </c>
      <c r="G78" s="165" t="str">
        <f t="shared" ref="G78:G83" si="29">IF($A$1=4,IF(E78=0, "    ---- ", IF(ABS(ROUND(100/E78*F78-100,1))&lt;999,ROUND(100/E78*F78-100,1),IF(ROUND(100/E78*F78-100,1)&gt;999,999,-999))),"")</f>
        <v/>
      </c>
      <c r="H78" s="237">
        <f t="shared" si="19"/>
        <v>0</v>
      </c>
      <c r="I78" s="237">
        <f t="shared" si="20"/>
        <v>0</v>
      </c>
      <c r="J78" s="23"/>
    </row>
    <row r="79" spans="1:10" ht="15.75" customHeight="1" x14ac:dyDescent="0.2">
      <c r="A79" s="294" t="s">
        <v>12</v>
      </c>
      <c r="B79" s="235">
        <f>'ACE European Group'!B79+'Danica Pensjonsforsikring'!B79+'DNB Livsforsikring'!B79+'Eika Forsikring AS'!B79+'Frende Livsforsikring'!B79+'Frende Skadeforsikring'!B79+'Gjensidige Forsikring'!B79+'Gjensidige Pensjon'!B79+'Handelsbanken Liv'!B79+'If Skadeforsikring NUF'!B79+KLP!B79+'KLP Bedriftspensjon AS'!B79+'KLP Skadeforsikring AS'!B79+'Landbruksforsikring AS'!B79+'NEMI Forsikring'!B79+'Nordea Liv '!B79+'Oslo Pensjonsforsikring'!B79+'SHB Liv'!B79+'Silver Pensjonsforsikring AS'!B79+'Sparebank 1'!B79+'Storebrand Livsforsikring'!B79+'Telenor Forsikring'!B79+'Tryg Forsikring'!B79</f>
        <v>0</v>
      </c>
      <c r="C79" s="235">
        <f>'ACE European Group'!C79+'Danica Pensjonsforsikring'!C79+'DNB Livsforsikring'!C79+'Eika Forsikring AS'!C79+'Frende Livsforsikring'!C79+'Frende Skadeforsikring'!C79+'Gjensidige Forsikring'!C79+'Gjensidige Pensjon'!C79+'Handelsbanken Liv'!C79+'If Skadeforsikring NUF'!C79+KLP!C79+'KLP Bedriftspensjon AS'!C79+'KLP Skadeforsikring AS'!C79+'Landbruksforsikring AS'!C79+'NEMI Forsikring'!C79+'Nordea Liv '!C79+'Oslo Pensjonsforsikring'!C79+'SHB Liv'!C79+'Silver Pensjonsforsikring AS'!C79+'Sparebank 1'!C79+'Storebrand Livsforsikring'!C79+'Telenor Forsikring'!C79+'Tryg Forsikring'!C79</f>
        <v>0</v>
      </c>
      <c r="D79" s="27" t="str">
        <f t="shared" ref="D79:D83" si="30">IF($A$1=4,IF(B79=0, "    ---- ", IF(ABS(ROUND(100/B79*C79-100,1))&lt;999,ROUND(100/B79*C79-100,1),IF(ROUND(100/B79*C79-100,1)&gt;999,999,-999))),"")</f>
        <v/>
      </c>
      <c r="E79" s="44" t="str">
        <f>IF($A$1=4,'ACE European Group'!F79+'Danica Pensjonsforsikring'!F79+'DNB Livsforsikring'!F79+'Eika Forsikring AS'!F79+'Frende Livsforsikring'!F79+'Frende Skadeforsikring'!F79+'Gjensidige Forsikring'!F79+'Gjensidige Pensjon'!F79+'Handelsbanken Liv'!F79+'If Skadeforsikring NUF'!F79+KLP!F79+'KLP Bedriftspensjon AS'!F79+'KLP Skadeforsikring AS'!F79+'Landbruksforsikring AS'!F79+'NEMI Forsikring'!F79+'Nordea Liv '!F79+'Oslo Pensjonsforsikring'!F79+'SHB Liv'!F79+'Silver Pensjonsforsikring AS'!F79+'Sparebank 1'!F79+'Storebrand Livsforsikring'!F79+'Telenor Forsikring'!F79+'Tryg Forsikring'!F79,"")</f>
        <v/>
      </c>
      <c r="F79" s="44" t="str">
        <f>IF($A$1=4,'ACE European Group'!G79+'Danica Pensjonsforsikring'!G79+'DNB Livsforsikring'!G79+'Eika Forsikring AS'!G79+'Frende Livsforsikring'!G79+'Frende Skadeforsikring'!G79+'Gjensidige Forsikring'!G79+'Gjensidige Pensjon'!G79+'Handelsbanken Liv'!G79+'If Skadeforsikring NUF'!G79+KLP!G79+'KLP Bedriftspensjon AS'!G79+'KLP Skadeforsikring AS'!G79+'Landbruksforsikring AS'!G79+'NEMI Forsikring'!G79+'Nordea Liv '!G79+'Oslo Pensjonsforsikring'!G79+'SHB Liv'!G79+'Silver Pensjonsforsikring AS'!G79+'Sparebank 1'!G79+'Storebrand Livsforsikring'!G79+'Telenor Forsikring'!G79+'Tryg Forsikring'!G79,"")</f>
        <v/>
      </c>
      <c r="G79" s="165" t="str">
        <f t="shared" si="29"/>
        <v/>
      </c>
      <c r="H79" s="237">
        <f t="shared" si="19"/>
        <v>0</v>
      </c>
      <c r="I79" s="237">
        <f t="shared" si="20"/>
        <v>0</v>
      </c>
      <c r="J79" s="23"/>
    </row>
    <row r="80" spans="1:10" ht="15.75" customHeight="1" x14ac:dyDescent="0.2">
      <c r="A80" s="294" t="s">
        <v>13</v>
      </c>
      <c r="B80" s="235">
        <f>'ACE European Group'!B80+'Danica Pensjonsforsikring'!B80+'DNB Livsforsikring'!B80+'Eika Forsikring AS'!B80+'Frende Livsforsikring'!B80+'Frende Skadeforsikring'!B80+'Gjensidige Forsikring'!B80+'Gjensidige Pensjon'!B80+'Handelsbanken Liv'!B80+'If Skadeforsikring NUF'!B80+KLP!B80+'KLP Bedriftspensjon AS'!B80+'KLP Skadeforsikring AS'!B80+'Landbruksforsikring AS'!B80+'NEMI Forsikring'!B80+'Nordea Liv '!B80+'Oslo Pensjonsforsikring'!B80+'SHB Liv'!B80+'Silver Pensjonsforsikring AS'!B80+'Sparebank 1'!B80+'Storebrand Livsforsikring'!B80+'Telenor Forsikring'!B80+'Tryg Forsikring'!B80</f>
        <v>0</v>
      </c>
      <c r="C80" s="235">
        <f>'ACE European Group'!C80+'Danica Pensjonsforsikring'!C80+'DNB Livsforsikring'!C80+'Eika Forsikring AS'!C80+'Frende Livsforsikring'!C80+'Frende Skadeforsikring'!C80+'Gjensidige Forsikring'!C80+'Gjensidige Pensjon'!C80+'Handelsbanken Liv'!C80+'If Skadeforsikring NUF'!C80+KLP!C80+'KLP Bedriftspensjon AS'!C80+'KLP Skadeforsikring AS'!C80+'Landbruksforsikring AS'!C80+'NEMI Forsikring'!C80+'Nordea Liv '!C80+'Oslo Pensjonsforsikring'!C80+'SHB Liv'!C80+'Silver Pensjonsforsikring AS'!C80+'Sparebank 1'!C80+'Storebrand Livsforsikring'!C80+'Telenor Forsikring'!C80+'Tryg Forsikring'!C80</f>
        <v>0</v>
      </c>
      <c r="D80" s="27" t="str">
        <f t="shared" si="30"/>
        <v/>
      </c>
      <c r="E80" s="44" t="str">
        <f>IF($A$1=4,'ACE European Group'!F80+'Danica Pensjonsforsikring'!F80+'DNB Livsforsikring'!F80+'Eika Forsikring AS'!F80+'Frende Livsforsikring'!F80+'Frende Skadeforsikring'!F80+'Gjensidige Forsikring'!F80+'Gjensidige Pensjon'!F80+'Handelsbanken Liv'!F80+'If Skadeforsikring NUF'!F80+KLP!F80+'KLP Bedriftspensjon AS'!F80+'KLP Skadeforsikring AS'!F80+'Landbruksforsikring AS'!F80+'NEMI Forsikring'!F80+'Nordea Liv '!F80+'Oslo Pensjonsforsikring'!F80+'SHB Liv'!F80+'Silver Pensjonsforsikring AS'!F80+'Sparebank 1'!F80+'Storebrand Livsforsikring'!F80+'Telenor Forsikring'!F80+'Tryg Forsikring'!F80,"")</f>
        <v/>
      </c>
      <c r="F80" s="44" t="str">
        <f>IF($A$1=4,'ACE European Group'!G80+'Danica Pensjonsforsikring'!G80+'DNB Livsforsikring'!G80+'Eika Forsikring AS'!G80+'Frende Livsforsikring'!G80+'Frende Skadeforsikring'!G80+'Gjensidige Forsikring'!G80+'Gjensidige Pensjon'!G80+'Handelsbanken Liv'!G80+'If Skadeforsikring NUF'!G80+KLP!G80+'KLP Bedriftspensjon AS'!G80+'KLP Skadeforsikring AS'!G80+'Landbruksforsikring AS'!G80+'NEMI Forsikring'!G80+'Nordea Liv '!G80+'Oslo Pensjonsforsikring'!G80+'SHB Liv'!G80+'Silver Pensjonsforsikring AS'!G80+'Sparebank 1'!G80+'Storebrand Livsforsikring'!G80+'Telenor Forsikring'!G80+'Tryg Forsikring'!G80,"")</f>
        <v/>
      </c>
      <c r="G80" s="165" t="str">
        <f t="shared" si="29"/>
        <v/>
      </c>
      <c r="H80" s="237">
        <f t="shared" si="19"/>
        <v>0</v>
      </c>
      <c r="I80" s="237">
        <f t="shared" si="20"/>
        <v>0</v>
      </c>
      <c r="J80" s="23"/>
    </row>
    <row r="81" spans="1:10" ht="15.75" customHeight="1" x14ac:dyDescent="0.2">
      <c r="A81" s="294" t="s">
        <v>317</v>
      </c>
      <c r="B81" s="44" t="str">
        <f>IF($A$1=4,'ACE European Group'!B81+'Danica Pensjonsforsikring'!B81+'DNB Livsforsikring'!B81+'Eika Forsikring AS'!B81+'Frende Livsforsikring'!B81+'Frende Skadeforsikring'!B81+'Gjensidige Forsikring'!B81+'Gjensidige Pensjon'!B81+'Handelsbanken Liv'!B81+'If Skadeforsikring NUF'!B81+KLP!B81+'KLP Bedriftspensjon AS'!B81+'KLP Skadeforsikring AS'!B81+'Landbruksforsikring AS'!B81+'NEMI Forsikring'!B81+'Nordea Liv '!B81+'Oslo Pensjonsforsikring'!B81+'SHB Liv'!B81+'Silver Pensjonsforsikring AS'!B81+'Sparebank 1'!B81+'Storebrand Livsforsikring'!B81+'Telenor Forsikring'!B81+'Tryg Forsikring'!B81,"")</f>
        <v/>
      </c>
      <c r="C81" s="44" t="str">
        <f>IF($A$1=4,'ACE European Group'!C81+'Danica Pensjonsforsikring'!C81+'DNB Livsforsikring'!C81+'Eika Forsikring AS'!C81+'Frende Livsforsikring'!C81+'Frende Skadeforsikring'!C81+'Gjensidige Forsikring'!C81+'Gjensidige Pensjon'!C81+'Handelsbanken Liv'!C81+'If Skadeforsikring NUF'!C81+KLP!C81+'KLP Bedriftspensjon AS'!C81+'KLP Skadeforsikring AS'!C81+'Landbruksforsikring AS'!C81+'NEMI Forsikring'!C81+'Nordea Liv '!C81+'Oslo Pensjonsforsikring'!C81+'SHB Liv'!C81+'Silver Pensjonsforsikring AS'!C81+'Sparebank 1'!C81+'Storebrand Livsforsikring'!C81+'Telenor Forsikring'!C81+'Tryg Forsikring'!C81,"")</f>
        <v/>
      </c>
      <c r="D81" s="27" t="str">
        <f t="shared" si="30"/>
        <v/>
      </c>
      <c r="E81" s="44" t="str">
        <f>IF($A$1=4,'ACE European Group'!F81+'Danica Pensjonsforsikring'!F81+'DNB Livsforsikring'!F81+'Eika Forsikring AS'!F81+'Frende Livsforsikring'!F81+'Frende Skadeforsikring'!F81+'Gjensidige Forsikring'!F81+'Gjensidige Pensjon'!F81+'Handelsbanken Liv'!F81+'If Skadeforsikring NUF'!F81+KLP!F81+'KLP Bedriftspensjon AS'!F81+'KLP Skadeforsikring AS'!F81+'Landbruksforsikring AS'!F81+'NEMI Forsikring'!F81+'Nordea Liv '!F81+'Oslo Pensjonsforsikring'!F81+'SHB Liv'!F81+'Silver Pensjonsforsikring AS'!F81+'Sparebank 1'!F81+'Storebrand Livsforsikring'!F81+'Telenor Forsikring'!F81+'Tryg Forsikring'!F81,"")</f>
        <v/>
      </c>
      <c r="F81" s="44" t="str">
        <f>IF($A$1=4,'ACE European Group'!G81+'Danica Pensjonsforsikring'!G81+'DNB Livsforsikring'!G81+'Eika Forsikring AS'!G81+'Frende Livsforsikring'!G81+'Frende Skadeforsikring'!G81+'Gjensidige Forsikring'!G81+'Gjensidige Pensjon'!G81+'Handelsbanken Liv'!G81+'If Skadeforsikring NUF'!G81+KLP!G81+'KLP Bedriftspensjon AS'!G81+'KLP Skadeforsikring AS'!G81+'Landbruksforsikring AS'!G81+'NEMI Forsikring'!G81+'Nordea Liv '!G81+'Oslo Pensjonsforsikring'!G81+'SHB Liv'!G81+'Silver Pensjonsforsikring AS'!G81+'Sparebank 1'!G81+'Storebrand Livsforsikring'!G81+'Telenor Forsikring'!G81+'Tryg Forsikring'!G81,"")</f>
        <v/>
      </c>
      <c r="G81" s="165" t="str">
        <f t="shared" si="29"/>
        <v/>
      </c>
      <c r="H81" s="237">
        <f t="shared" si="19"/>
        <v>0</v>
      </c>
      <c r="I81" s="237">
        <f t="shared" si="20"/>
        <v>0</v>
      </c>
      <c r="J81" s="24"/>
    </row>
    <row r="82" spans="1:10" ht="15.75" customHeight="1" x14ac:dyDescent="0.2">
      <c r="A82" s="294" t="s">
        <v>12</v>
      </c>
      <c r="B82" s="235">
        <f>'ACE European Group'!B82+'Danica Pensjonsforsikring'!B82+'DNB Livsforsikring'!B82+'Eika Forsikring AS'!B82+'Frende Livsforsikring'!B82+'Frende Skadeforsikring'!B82+'Gjensidige Forsikring'!B82+'Gjensidige Pensjon'!B82+'Handelsbanken Liv'!B82+'If Skadeforsikring NUF'!B82+KLP!B82+'KLP Bedriftspensjon AS'!B82+'KLP Skadeforsikring AS'!B82+'Landbruksforsikring AS'!B82+'NEMI Forsikring'!B82+'Nordea Liv '!B82+'Oslo Pensjonsforsikring'!B82+'SHB Liv'!B82+'Silver Pensjonsforsikring AS'!B82+'Sparebank 1'!B82+'Storebrand Livsforsikring'!B82+'Telenor Forsikring'!B82+'Tryg Forsikring'!B82</f>
        <v>0</v>
      </c>
      <c r="C82" s="235">
        <f>'ACE European Group'!C82+'Danica Pensjonsforsikring'!C82+'DNB Livsforsikring'!C82+'Eika Forsikring AS'!C82+'Frende Livsforsikring'!C82+'Frende Skadeforsikring'!C82+'Gjensidige Forsikring'!C82+'Gjensidige Pensjon'!C82+'Handelsbanken Liv'!C82+'If Skadeforsikring NUF'!C82+KLP!C82+'KLP Bedriftspensjon AS'!C82+'KLP Skadeforsikring AS'!C82+'Landbruksforsikring AS'!C82+'NEMI Forsikring'!C82+'Nordea Liv '!C82+'Oslo Pensjonsforsikring'!C82+'SHB Liv'!C82+'Silver Pensjonsforsikring AS'!C82+'Sparebank 1'!C82+'Storebrand Livsforsikring'!C82+'Telenor Forsikring'!C82+'Tryg Forsikring'!C82</f>
        <v>0</v>
      </c>
      <c r="D82" s="27" t="str">
        <f t="shared" si="30"/>
        <v/>
      </c>
      <c r="E82" s="44" t="str">
        <f>IF($A$1=4,'ACE European Group'!F82+'Danica Pensjonsforsikring'!F82+'DNB Livsforsikring'!F82+'Eika Forsikring AS'!F82+'Frende Livsforsikring'!F82+'Frende Skadeforsikring'!F82+'Gjensidige Forsikring'!F82+'Gjensidige Pensjon'!F82+'Handelsbanken Liv'!F82+'If Skadeforsikring NUF'!F82+KLP!F82+'KLP Bedriftspensjon AS'!F82+'KLP Skadeforsikring AS'!F82+'Landbruksforsikring AS'!F82+'NEMI Forsikring'!F82+'Nordea Liv '!F82+'Oslo Pensjonsforsikring'!F82+'SHB Liv'!F82+'Silver Pensjonsforsikring AS'!F82+'Sparebank 1'!F82+'Storebrand Livsforsikring'!F82+'Telenor Forsikring'!F82+'Tryg Forsikring'!F82,"")</f>
        <v/>
      </c>
      <c r="F82" s="44" t="str">
        <f>IF($A$1=4,'ACE European Group'!G82+'Danica Pensjonsforsikring'!G82+'DNB Livsforsikring'!G82+'Eika Forsikring AS'!G82+'Frende Livsforsikring'!G82+'Frende Skadeforsikring'!G82+'Gjensidige Forsikring'!G82+'Gjensidige Pensjon'!G82+'Handelsbanken Liv'!G82+'If Skadeforsikring NUF'!G82+KLP!G82+'KLP Bedriftspensjon AS'!G82+'KLP Skadeforsikring AS'!G82+'Landbruksforsikring AS'!G82+'NEMI Forsikring'!G82+'Nordea Liv '!G82+'Oslo Pensjonsforsikring'!G82+'SHB Liv'!G82+'Silver Pensjonsforsikring AS'!G82+'Sparebank 1'!G82+'Storebrand Livsforsikring'!G82+'Telenor Forsikring'!G82+'Tryg Forsikring'!G82,"")</f>
        <v/>
      </c>
      <c r="G82" s="165" t="str">
        <f t="shared" si="29"/>
        <v/>
      </c>
      <c r="H82" s="237">
        <f t="shared" si="19"/>
        <v>0</v>
      </c>
      <c r="I82" s="237">
        <f t="shared" si="20"/>
        <v>0</v>
      </c>
      <c r="J82" s="23"/>
    </row>
    <row r="83" spans="1:10" ht="15.75" customHeight="1" x14ac:dyDescent="0.2">
      <c r="A83" s="294" t="s">
        <v>13</v>
      </c>
      <c r="B83" s="235">
        <f>'ACE European Group'!B83+'Danica Pensjonsforsikring'!B83+'DNB Livsforsikring'!B83+'Eika Forsikring AS'!B83+'Frende Livsforsikring'!B83+'Frende Skadeforsikring'!B83+'Gjensidige Forsikring'!B83+'Gjensidige Pensjon'!B83+'Handelsbanken Liv'!B83+'If Skadeforsikring NUF'!B83+KLP!B83+'KLP Bedriftspensjon AS'!B83+'KLP Skadeforsikring AS'!B83+'Landbruksforsikring AS'!B83+'NEMI Forsikring'!B83+'Nordea Liv '!B83+'Oslo Pensjonsforsikring'!B83+'SHB Liv'!B83+'Silver Pensjonsforsikring AS'!B83+'Sparebank 1'!B83+'Storebrand Livsforsikring'!B83+'Telenor Forsikring'!B83+'Tryg Forsikring'!B83</f>
        <v>0</v>
      </c>
      <c r="C83" s="235">
        <f>'ACE European Group'!C83+'Danica Pensjonsforsikring'!C83+'DNB Livsforsikring'!C83+'Eika Forsikring AS'!C83+'Frende Livsforsikring'!C83+'Frende Skadeforsikring'!C83+'Gjensidige Forsikring'!C83+'Gjensidige Pensjon'!C83+'Handelsbanken Liv'!C83+'If Skadeforsikring NUF'!C83+KLP!C83+'KLP Bedriftspensjon AS'!C83+'KLP Skadeforsikring AS'!C83+'Landbruksforsikring AS'!C83+'NEMI Forsikring'!C83+'Nordea Liv '!C83+'Oslo Pensjonsforsikring'!C83+'SHB Liv'!C83+'Silver Pensjonsforsikring AS'!C83+'Sparebank 1'!C83+'Storebrand Livsforsikring'!C83+'Telenor Forsikring'!C83+'Tryg Forsikring'!C83</f>
        <v>0</v>
      </c>
      <c r="D83" s="27" t="str">
        <f t="shared" si="30"/>
        <v/>
      </c>
      <c r="E83" s="44" t="str">
        <f>IF($A$1=4,'ACE European Group'!F83+'Danica Pensjonsforsikring'!F83+'DNB Livsforsikring'!F83+'Eika Forsikring AS'!F83+'Frende Livsforsikring'!F83+'Frende Skadeforsikring'!F83+'Gjensidige Forsikring'!F83+'Gjensidige Pensjon'!F83+'Handelsbanken Liv'!F83+'If Skadeforsikring NUF'!F83+KLP!F83+'KLP Bedriftspensjon AS'!F83+'KLP Skadeforsikring AS'!F83+'Landbruksforsikring AS'!F83+'NEMI Forsikring'!F83+'Nordea Liv '!F83+'Oslo Pensjonsforsikring'!F83+'SHB Liv'!F83+'Silver Pensjonsforsikring AS'!F83+'Sparebank 1'!F83+'Storebrand Livsforsikring'!F83+'Telenor Forsikring'!F83+'Tryg Forsikring'!F83,"")</f>
        <v/>
      </c>
      <c r="F83" s="44" t="str">
        <f>IF($A$1=4,'ACE European Group'!G83+'Danica Pensjonsforsikring'!G83+'DNB Livsforsikring'!G83+'Eika Forsikring AS'!G83+'Frende Livsforsikring'!G83+'Frende Skadeforsikring'!G83+'Gjensidige Forsikring'!G83+'Gjensidige Pensjon'!G83+'Handelsbanken Liv'!G83+'If Skadeforsikring NUF'!G83+KLP!G83+'KLP Bedriftspensjon AS'!G83+'KLP Skadeforsikring AS'!G83+'Landbruksforsikring AS'!G83+'NEMI Forsikring'!G83+'Nordea Liv '!G83+'Oslo Pensjonsforsikring'!G83+'SHB Liv'!G83+'Silver Pensjonsforsikring AS'!G83+'Sparebank 1'!G83+'Storebrand Livsforsikring'!G83+'Telenor Forsikring'!G83+'Tryg Forsikring'!G83,"")</f>
        <v/>
      </c>
      <c r="G83" s="165" t="str">
        <f t="shared" si="29"/>
        <v/>
      </c>
      <c r="H83" s="237">
        <f t="shared" si="19"/>
        <v>0</v>
      </c>
      <c r="I83" s="237">
        <f t="shared" si="20"/>
        <v>0</v>
      </c>
      <c r="J83" s="23"/>
    </row>
    <row r="84" spans="1:10" ht="15.75" customHeight="1" x14ac:dyDescent="0.2">
      <c r="A84" s="21" t="s">
        <v>327</v>
      </c>
      <c r="B84" s="234">
        <f>'ACE European Group'!B84+'Danica Pensjonsforsikring'!B84+'DNB Livsforsikring'!B84+'Eika Forsikring AS'!B84+'Frende Livsforsikring'!B84+'Frende Skadeforsikring'!B84+'Gjensidige Forsikring'!B84+'Gjensidige Pensjon'!B84+'Handelsbanken Liv'!B84+'If Skadeforsikring NUF'!B84+KLP!B84+'KLP Bedriftspensjon AS'!B84+'KLP Skadeforsikring AS'!B84+'Landbruksforsikring AS'!B84+'NEMI Forsikring'!B84+'Nordea Liv '!B84+'Oslo Pensjonsforsikring'!B84+'SHB Liv'!B84+'Silver Pensjonsforsikring AS'!B84+'Sparebank 1'!B84+'Storebrand Livsforsikring'!B84+'Telenor Forsikring'!B84+'Tryg Forsikring'!B84</f>
        <v>237307.89200000002</v>
      </c>
      <c r="C84" s="234">
        <f>'ACE European Group'!C84+'Danica Pensjonsforsikring'!C84+'DNB Livsforsikring'!C84+'Eika Forsikring AS'!C84+'Frende Livsforsikring'!C84+'Frende Skadeforsikring'!C84+'Gjensidige Forsikring'!C84+'Gjensidige Pensjon'!C84+'Handelsbanken Liv'!C84+'If Skadeforsikring NUF'!C84+KLP!C84+'KLP Bedriftspensjon AS'!C84+'KLP Skadeforsikring AS'!C84+'Landbruksforsikring AS'!C84+'NEMI Forsikring'!C84+'Nordea Liv '!C84+'Oslo Pensjonsforsikring'!C84+'SHB Liv'!C84+'Silver Pensjonsforsikring AS'!C84+'Sparebank 1'!C84+'Storebrand Livsforsikring'!C84+'Telenor Forsikring'!C84+'Tryg Forsikring'!C84</f>
        <v>144951.24599999998</v>
      </c>
      <c r="D84" s="23">
        <f t="shared" si="17"/>
        <v>-38.9</v>
      </c>
      <c r="E84" s="44">
        <f>'ACE European Group'!F84+'Danica Pensjonsforsikring'!F84+'DNB Livsforsikring'!F84+'Eika Forsikring AS'!F84+'Frende Livsforsikring'!F84+'Frende Skadeforsikring'!F84+'Gjensidige Forsikring'!F84+'Gjensidige Pensjon'!F84+'Handelsbanken Liv'!F84+'If Skadeforsikring NUF'!F84+KLP!F84+'KLP Bedriftspensjon AS'!F84+'KLP Skadeforsikring AS'!F84+'Landbruksforsikring AS'!F84+'NEMI Forsikring'!F84+'Nordea Liv '!F84+'Oslo Pensjonsforsikring'!F84+'SHB Liv'!F84+'Silver Pensjonsforsikring AS'!F84+'Sparebank 1'!F84+'Storebrand Livsforsikring'!F84+'Telenor Forsikring'!F84+'Tryg Forsikring'!F84</f>
        <v>7506.1210499999997</v>
      </c>
      <c r="F84" s="44">
        <f>'ACE European Group'!G84+'Danica Pensjonsforsikring'!G84+'DNB Livsforsikring'!G84+'Eika Forsikring AS'!G84+'Frende Livsforsikring'!G84+'Frende Skadeforsikring'!G84+'Gjensidige Forsikring'!G84+'Gjensidige Pensjon'!G84+'Handelsbanken Liv'!G84+'If Skadeforsikring NUF'!G84+KLP!G84+'KLP Bedriftspensjon AS'!G84+'KLP Skadeforsikring AS'!G84+'Landbruksforsikring AS'!G84+'NEMI Forsikring'!G84+'Nordea Liv '!G84+'Oslo Pensjonsforsikring'!G84+'SHB Liv'!G84+'Silver Pensjonsforsikring AS'!G84+'Sparebank 1'!G84+'Storebrand Livsforsikring'!G84+'Telenor Forsikring'!G84+'Tryg Forsikring'!G84</f>
        <v>8392.3030099999996</v>
      </c>
      <c r="G84" s="165">
        <f t="shared" si="18"/>
        <v>11.8</v>
      </c>
      <c r="H84" s="237">
        <f t="shared" si="19"/>
        <v>244814.01305000001</v>
      </c>
      <c r="I84" s="237">
        <f t="shared" si="20"/>
        <v>153343.54900999999</v>
      </c>
      <c r="J84" s="23">
        <f t="shared" si="21"/>
        <v>-37.4</v>
      </c>
    </row>
    <row r="85" spans="1:10" s="43" customFormat="1" ht="15.75" customHeight="1" x14ac:dyDescent="0.2">
      <c r="A85" s="13" t="s">
        <v>26</v>
      </c>
      <c r="B85" s="306">
        <f>'ACE European Group'!B85+'Danica Pensjonsforsikring'!B85+'DNB Livsforsikring'!B85+'Eika Forsikring AS'!B85+'Frende Livsforsikring'!B85+'Frende Skadeforsikring'!B85+'Gjensidige Forsikring'!B85+'Gjensidige Pensjon'!B85+'Handelsbanken Liv'!B85+'If Skadeforsikring NUF'!B85+KLP!B85+'KLP Bedriftspensjon AS'!B85+'KLP Skadeforsikring AS'!B85+'Landbruksforsikring AS'!B85+'NEMI Forsikring'!B85+'Nordea Liv '!B85+'Oslo Pensjonsforsikring'!B85+'SHB Liv'!B85+'Silver Pensjonsforsikring AS'!B85+'Sparebank 1'!B85+'Storebrand Livsforsikring'!B85+'Telenor Forsikring'!B85+'Tryg Forsikring'!B85</f>
        <v>374786691.41905582</v>
      </c>
      <c r="C85" s="306">
        <f>'ACE European Group'!C85+'Danica Pensjonsforsikring'!C85+'DNB Livsforsikring'!C85+'Eika Forsikring AS'!C85+'Frende Livsforsikring'!C85+'Frende Skadeforsikring'!C85+'Gjensidige Forsikring'!C85+'Gjensidige Pensjon'!C85+'Handelsbanken Liv'!C85+'If Skadeforsikring NUF'!C85+KLP!C85+'KLP Bedriftspensjon AS'!C85+'KLP Skadeforsikring AS'!C85+'Landbruksforsikring AS'!C85+'NEMI Forsikring'!C85+'Nordea Liv '!C85+'Oslo Pensjonsforsikring'!C85+'SHB Liv'!C85+'Silver Pensjonsforsikring AS'!C85+'Sparebank 1'!C85+'Storebrand Livsforsikring'!C85+'Telenor Forsikring'!C85+'Tryg Forsikring'!C85</f>
        <v>373810169.08005464</v>
      </c>
      <c r="D85" s="24">
        <f t="shared" si="17"/>
        <v>-0.3</v>
      </c>
      <c r="E85" s="236">
        <f>'ACE European Group'!F85+'Danica Pensjonsforsikring'!F85+'DNB Livsforsikring'!F85+'Eika Forsikring AS'!F85+'Frende Livsforsikring'!F85+'Frende Skadeforsikring'!F85+'Gjensidige Forsikring'!F85+'Gjensidige Pensjon'!F85+'Handelsbanken Liv'!F85+'If Skadeforsikring NUF'!F85+KLP!F85+'KLP Bedriftspensjon AS'!F85+'KLP Skadeforsikring AS'!F85+'Landbruksforsikring AS'!F85+'NEMI Forsikring'!F85+'Nordea Liv '!F85+'Oslo Pensjonsforsikring'!F85+'SHB Liv'!F85+'Silver Pensjonsforsikring AS'!F85+'Sparebank 1'!F85+'Storebrand Livsforsikring'!F85+'Telenor Forsikring'!F85+'Tryg Forsikring'!F85</f>
        <v>156542547.97675839</v>
      </c>
      <c r="F85" s="236">
        <f>'ACE European Group'!G85+'Danica Pensjonsforsikring'!G85+'DNB Livsforsikring'!G85+'Eika Forsikring AS'!G85+'Frende Livsforsikring'!G85+'Frende Skadeforsikring'!G85+'Gjensidige Forsikring'!G85+'Gjensidige Pensjon'!G85+'Handelsbanken Liv'!G85+'If Skadeforsikring NUF'!G85+KLP!G85+'KLP Bedriftspensjon AS'!G85+'KLP Skadeforsikring AS'!G85+'Landbruksforsikring AS'!G85+'NEMI Forsikring'!G85+'Nordea Liv '!G85+'Oslo Pensjonsforsikring'!G85+'SHB Liv'!G85+'Silver Pensjonsforsikring AS'!G85+'Sparebank 1'!G85+'Storebrand Livsforsikring'!G85+'Telenor Forsikring'!G85+'Tryg Forsikring'!G85</f>
        <v>198886422.12118009</v>
      </c>
      <c r="G85" s="170">
        <f t="shared" si="18"/>
        <v>27</v>
      </c>
      <c r="H85" s="324">
        <f t="shared" ref="H85:H109" si="31">SUM(B85,E85)</f>
        <v>531329239.39581418</v>
      </c>
      <c r="I85" s="324">
        <f t="shared" ref="I85:I109" si="32">SUM(C85,F85)</f>
        <v>572696591.2012347</v>
      </c>
      <c r="J85" s="24">
        <f t="shared" si="21"/>
        <v>7.8</v>
      </c>
    </row>
    <row r="86" spans="1:10" ht="15.75" customHeight="1" x14ac:dyDescent="0.2">
      <c r="A86" s="21" t="s">
        <v>9</v>
      </c>
      <c r="B86" s="234">
        <f>'ACE European Group'!B86+'Danica Pensjonsforsikring'!B86+'DNB Livsforsikring'!B86+'Eika Forsikring AS'!B86+'Frende Livsforsikring'!B86+'Frende Skadeforsikring'!B86+'Gjensidige Forsikring'!B86+'Gjensidige Pensjon'!B86+'Handelsbanken Liv'!B86+'If Skadeforsikring NUF'!B86+KLP!B86+'KLP Bedriftspensjon AS'!B86+'KLP Skadeforsikring AS'!B86+'Landbruksforsikring AS'!B86+'NEMI Forsikring'!B86+'Nordea Liv '!B86+'Oslo Pensjonsforsikring'!B86+'SHB Liv'!B86+'Silver Pensjonsforsikring AS'!B86+'Sparebank 1'!B86+'Storebrand Livsforsikring'!B86+'Telenor Forsikring'!B86+'Tryg Forsikring'!B86</f>
        <v>372464336.52736533</v>
      </c>
      <c r="C86" s="234">
        <f>'ACE European Group'!C86+'Danica Pensjonsforsikring'!C86+'DNB Livsforsikring'!C86+'Eika Forsikring AS'!C86+'Frende Livsforsikring'!C86+'Frende Skadeforsikring'!C86+'Gjensidige Forsikring'!C86+'Gjensidige Pensjon'!C86+'Handelsbanken Liv'!C86+'If Skadeforsikring NUF'!C86+KLP!C86+'KLP Bedriftspensjon AS'!C86+'KLP Skadeforsikring AS'!C86+'Landbruksforsikring AS'!C86+'NEMI Forsikring'!C86+'Nordea Liv '!C86+'Oslo Pensjonsforsikring'!C86+'SHB Liv'!C86+'Silver Pensjonsforsikring AS'!C86+'Sparebank 1'!C86+'Storebrand Livsforsikring'!C86+'Telenor Forsikring'!C86+'Tryg Forsikring'!C86</f>
        <v>371068440.08094376</v>
      </c>
      <c r="D86" s="23">
        <f t="shared" si="17"/>
        <v>-0.4</v>
      </c>
      <c r="E86" s="44">
        <f>'ACE European Group'!F86+'Danica Pensjonsforsikring'!F86+'DNB Livsforsikring'!F86+'Eika Forsikring AS'!F86+'Frende Livsforsikring'!F86+'Frende Skadeforsikring'!F86+'Gjensidige Forsikring'!F86+'Gjensidige Pensjon'!F86+'Handelsbanken Liv'!F86+'If Skadeforsikring NUF'!F86+KLP!F86+'KLP Bedriftspensjon AS'!F86+'KLP Skadeforsikring AS'!F86+'Landbruksforsikring AS'!F86+'NEMI Forsikring'!F86+'Nordea Liv '!F86+'Oslo Pensjonsforsikring'!F86+'SHB Liv'!F86+'Silver Pensjonsforsikring AS'!F86+'Sparebank 1'!F86+'Storebrand Livsforsikring'!F86+'Telenor Forsikring'!F86+'Tryg Forsikring'!F86</f>
        <v>0</v>
      </c>
      <c r="F86" s="44">
        <f>'ACE European Group'!G86+'Danica Pensjonsforsikring'!G86+'DNB Livsforsikring'!G86+'Eika Forsikring AS'!G86+'Frende Livsforsikring'!G86+'Frende Skadeforsikring'!G86+'Gjensidige Forsikring'!G86+'Gjensidige Pensjon'!G86+'Handelsbanken Liv'!G86+'If Skadeforsikring NUF'!G86+KLP!G86+'KLP Bedriftspensjon AS'!G86+'KLP Skadeforsikring AS'!G86+'Landbruksforsikring AS'!G86+'NEMI Forsikring'!G86+'Nordea Liv '!G86+'Oslo Pensjonsforsikring'!G86+'SHB Liv'!G86+'Silver Pensjonsforsikring AS'!G86+'Sparebank 1'!G86+'Storebrand Livsforsikring'!G86+'Telenor Forsikring'!G86+'Tryg Forsikring'!G86</f>
        <v>0</v>
      </c>
      <c r="G86" s="165"/>
      <c r="H86" s="237">
        <f t="shared" si="31"/>
        <v>372464336.52736533</v>
      </c>
      <c r="I86" s="237">
        <f t="shared" si="32"/>
        <v>371068440.08094376</v>
      </c>
      <c r="J86" s="23">
        <f t="shared" si="21"/>
        <v>-0.4</v>
      </c>
    </row>
    <row r="87" spans="1:10" ht="15.75" customHeight="1" x14ac:dyDescent="0.2">
      <c r="A87" s="21" t="s">
        <v>10</v>
      </c>
      <c r="B87" s="234">
        <f>'ACE European Group'!B87+'Danica Pensjonsforsikring'!B87+'DNB Livsforsikring'!B87+'Eika Forsikring AS'!B87+'Frende Livsforsikring'!B87+'Frende Skadeforsikring'!B87+'Gjensidige Forsikring'!B87+'Gjensidige Pensjon'!B87+'Handelsbanken Liv'!B87+'If Skadeforsikring NUF'!B87+KLP!B87+'KLP Bedriftspensjon AS'!B87+'KLP Skadeforsikring AS'!B87+'Landbruksforsikring AS'!B87+'NEMI Forsikring'!B87+'Nordea Liv '!B87+'Oslo Pensjonsforsikring'!B87+'SHB Liv'!B87+'Silver Pensjonsforsikring AS'!B87+'Sparebank 1'!B87+'Storebrand Livsforsikring'!B87+'Telenor Forsikring'!B87+'Tryg Forsikring'!B87</f>
        <v>2226220.8276904603</v>
      </c>
      <c r="C87" s="234">
        <f>'ACE European Group'!C87+'Danica Pensjonsforsikring'!C87+'DNB Livsforsikring'!C87+'Eika Forsikring AS'!C87+'Frende Livsforsikring'!C87+'Frende Skadeforsikring'!C87+'Gjensidige Forsikring'!C87+'Gjensidige Pensjon'!C87+'Handelsbanken Liv'!C87+'If Skadeforsikring NUF'!C87+KLP!C87+'KLP Bedriftspensjon AS'!C87+'KLP Skadeforsikring AS'!C87+'Landbruksforsikring AS'!C87+'NEMI Forsikring'!C87+'Nordea Liv '!C87+'Oslo Pensjonsforsikring'!C87+'SHB Liv'!C87+'Silver Pensjonsforsikring AS'!C87+'Sparebank 1'!C87+'Storebrand Livsforsikring'!C87+'Telenor Forsikring'!C87+'Tryg Forsikring'!C87</f>
        <v>2499099.4692608798</v>
      </c>
      <c r="D87" s="23">
        <f t="shared" si="17"/>
        <v>12.3</v>
      </c>
      <c r="E87" s="44">
        <f>'ACE European Group'!F87+'Danica Pensjonsforsikring'!F87+'DNB Livsforsikring'!F87+'Eika Forsikring AS'!F87+'Frende Livsforsikring'!F87+'Frende Skadeforsikring'!F87+'Gjensidige Forsikring'!F87+'Gjensidige Pensjon'!F87+'Handelsbanken Liv'!F87+'If Skadeforsikring NUF'!F87+KLP!F87+'KLP Bedriftspensjon AS'!F87+'KLP Skadeforsikring AS'!F87+'Landbruksforsikring AS'!F87+'NEMI Forsikring'!F87+'Nordea Liv '!F87+'Oslo Pensjonsforsikring'!F87+'SHB Liv'!F87+'Silver Pensjonsforsikring AS'!F87+'Sparebank 1'!F87+'Storebrand Livsforsikring'!F87+'Telenor Forsikring'!F87+'Tryg Forsikring'!F87</f>
        <v>156479466.57245839</v>
      </c>
      <c r="F87" s="44">
        <f>'ACE European Group'!G87+'Danica Pensjonsforsikring'!G87+'DNB Livsforsikring'!G87+'Eika Forsikring AS'!G87+'Frende Livsforsikring'!G87+'Frende Skadeforsikring'!G87+'Gjensidige Forsikring'!G87+'Gjensidige Pensjon'!G87+'Handelsbanken Liv'!G87+'If Skadeforsikring NUF'!G87+KLP!G87+'KLP Bedriftspensjon AS'!G87+'KLP Skadeforsikring AS'!G87+'Landbruksforsikring AS'!G87+'NEMI Forsikring'!G87+'Nordea Liv '!G87+'Oslo Pensjonsforsikring'!G87+'SHB Liv'!G87+'Silver Pensjonsforsikring AS'!G87+'Sparebank 1'!G87+'Storebrand Livsforsikring'!G87+'Telenor Forsikring'!G87+'Tryg Forsikring'!G87</f>
        <v>198527023.85459012</v>
      </c>
      <c r="G87" s="165">
        <f t="shared" si="18"/>
        <v>26.9</v>
      </c>
      <c r="H87" s="237">
        <f t="shared" si="31"/>
        <v>158705687.40014884</v>
      </c>
      <c r="I87" s="237">
        <f t="shared" si="32"/>
        <v>201026123.32385099</v>
      </c>
      <c r="J87" s="23">
        <f t="shared" si="21"/>
        <v>26.7</v>
      </c>
    </row>
    <row r="88" spans="1:10" ht="15.75" customHeight="1" x14ac:dyDescent="0.2">
      <c r="A88" s="294" t="s">
        <v>316</v>
      </c>
      <c r="B88" s="44" t="str">
        <f>IF($A$1=4,'ACE European Group'!B88+'Danica Pensjonsforsikring'!B88+'DNB Livsforsikring'!B88+'Eika Forsikring AS'!B88+'Frende Livsforsikring'!B88+'Frende Skadeforsikring'!B88+'Gjensidige Forsikring'!B88+'Gjensidige Pensjon'!B88+'Handelsbanken Liv'!B88+'If Skadeforsikring NUF'!B88+KLP!B88+'KLP Bedriftspensjon AS'!B88+'KLP Skadeforsikring AS'!B88+'Landbruksforsikring AS'!B88+'NEMI Forsikring'!B88+'Nordea Liv '!B88+'Oslo Pensjonsforsikring'!B88+'SHB Liv'!B88+'Silver Pensjonsforsikring AS'!B88+'Sparebank 1'!B88+'Storebrand Livsforsikring'!B88+'Telenor Forsikring'!B88+'Tryg Forsikring'!B88,"")</f>
        <v/>
      </c>
      <c r="C88" s="44" t="str">
        <f>IF($A$1=4,'ACE European Group'!C88+'Danica Pensjonsforsikring'!C88+'DNB Livsforsikring'!C88+'Eika Forsikring AS'!C88+'Frende Livsforsikring'!C88+'Frende Skadeforsikring'!C88+'Gjensidige Forsikring'!C88+'Gjensidige Pensjon'!C88+'Handelsbanken Liv'!C88+'If Skadeforsikring NUF'!C88+KLP!C88+'KLP Bedriftspensjon AS'!C88+'KLP Skadeforsikring AS'!C88+'Landbruksforsikring AS'!C88+'NEMI Forsikring'!C88+'Nordea Liv '!C88+'Oslo Pensjonsforsikring'!C88+'SHB Liv'!C88+'Silver Pensjonsforsikring AS'!C88+'Sparebank 1'!C88+'Storebrand Livsforsikring'!C88+'Telenor Forsikring'!C88+'Tryg Forsikring'!C88,"")</f>
        <v/>
      </c>
      <c r="D88" s="27" t="str">
        <f t="shared" ref="D88:D93" si="33">IF($A$1=4,IF(B88=0, "    ---- ", IF(ABS(ROUND(100/B88*C88-100,1))&lt;999,ROUND(100/B88*C88-100,1),IF(ROUND(100/B88*C88-100,1)&gt;999,999,-999))),"")</f>
        <v/>
      </c>
      <c r="E88" s="44" t="str">
        <f>IF($A$1=4,'ACE European Group'!F88+'Danica Pensjonsforsikring'!F88+'DNB Livsforsikring'!F88+'Eika Forsikring AS'!F88+'Frende Livsforsikring'!F88+'Frende Skadeforsikring'!F88+'Gjensidige Forsikring'!F88+'Gjensidige Pensjon'!F88+'Handelsbanken Liv'!F88+'If Skadeforsikring NUF'!F88+KLP!F88+'KLP Bedriftspensjon AS'!F88+'KLP Skadeforsikring AS'!F88+'Landbruksforsikring AS'!F88+'NEMI Forsikring'!F88+'Nordea Liv '!F88+'Oslo Pensjonsforsikring'!F88+'SHB Liv'!F88+'Silver Pensjonsforsikring AS'!F88+'Sparebank 1'!F88+'Storebrand Livsforsikring'!F88+'Telenor Forsikring'!F88+'Tryg Forsikring'!F88,"")</f>
        <v/>
      </c>
      <c r="F88" s="44" t="str">
        <f>IF($A$1=4,'ACE European Group'!G88+'Danica Pensjonsforsikring'!G88+'DNB Livsforsikring'!G88+'Eika Forsikring AS'!G88+'Frende Livsforsikring'!G88+'Frende Skadeforsikring'!G88+'Gjensidige Forsikring'!G88+'Gjensidige Pensjon'!G88+'Handelsbanken Liv'!G88+'If Skadeforsikring NUF'!G88+KLP!G88+'KLP Bedriftspensjon AS'!G88+'KLP Skadeforsikring AS'!G88+'Landbruksforsikring AS'!G88+'NEMI Forsikring'!G88+'Nordea Liv '!G88+'Oslo Pensjonsforsikring'!G88+'SHB Liv'!G88+'Silver Pensjonsforsikring AS'!G88+'Sparebank 1'!G88+'Storebrand Livsforsikring'!G88+'Telenor Forsikring'!G88+'Tryg Forsikring'!G88,"")</f>
        <v/>
      </c>
      <c r="G88" s="165" t="str">
        <f t="shared" ref="G88:G93" si="34">IF($A$1=4,IF(E88=0, "    ---- ", IF(ABS(ROUND(100/E88*F88-100,1))&lt;999,ROUND(100/E88*F88-100,1),IF(ROUND(100/E88*F88-100,1)&gt;999,999,-999))),"")</f>
        <v/>
      </c>
      <c r="H88" s="237">
        <f t="shared" si="31"/>
        <v>0</v>
      </c>
      <c r="I88" s="237">
        <f t="shared" si="32"/>
        <v>0</v>
      </c>
      <c r="J88" s="23"/>
    </row>
    <row r="89" spans="1:10" ht="15.75" customHeight="1" x14ac:dyDescent="0.2">
      <c r="A89" s="294" t="s">
        <v>12</v>
      </c>
      <c r="B89" s="235">
        <f>'ACE European Group'!B89+'Danica Pensjonsforsikring'!B89+'DNB Livsforsikring'!B89+'Eika Forsikring AS'!B89+'Frende Livsforsikring'!B89+'Frende Skadeforsikring'!B89+'Gjensidige Forsikring'!B89+'Gjensidige Pensjon'!B89+'Handelsbanken Liv'!B89+'If Skadeforsikring NUF'!B89+KLP!B89+'KLP Bedriftspensjon AS'!B89+'KLP Skadeforsikring AS'!B89+'Landbruksforsikring AS'!B89+'NEMI Forsikring'!B89+'Nordea Liv '!B89+'Oslo Pensjonsforsikring'!B89+'SHB Liv'!B89+'Silver Pensjonsforsikring AS'!B89+'Sparebank 1'!B89+'Storebrand Livsforsikring'!B89+'Telenor Forsikring'!B89+'Tryg Forsikring'!B89</f>
        <v>0</v>
      </c>
      <c r="C89" s="235">
        <f>'ACE European Group'!C89+'Danica Pensjonsforsikring'!C89+'DNB Livsforsikring'!C89+'Eika Forsikring AS'!C89+'Frende Livsforsikring'!C89+'Frende Skadeforsikring'!C89+'Gjensidige Forsikring'!C89+'Gjensidige Pensjon'!C89+'Handelsbanken Liv'!C89+'If Skadeforsikring NUF'!C89+KLP!C89+'KLP Bedriftspensjon AS'!C89+'KLP Skadeforsikring AS'!C89+'Landbruksforsikring AS'!C89+'NEMI Forsikring'!C89+'Nordea Liv '!C89+'Oslo Pensjonsforsikring'!C89+'SHB Liv'!C89+'Silver Pensjonsforsikring AS'!C89+'Sparebank 1'!C89+'Storebrand Livsforsikring'!C89+'Telenor Forsikring'!C89+'Tryg Forsikring'!C89</f>
        <v>0</v>
      </c>
      <c r="D89" s="27" t="str">
        <f t="shared" si="33"/>
        <v/>
      </c>
      <c r="E89" s="44" t="str">
        <f>IF($A$1=4,'ACE European Group'!F89+'Danica Pensjonsforsikring'!F89+'DNB Livsforsikring'!F89+'Eika Forsikring AS'!F89+'Frende Livsforsikring'!F89+'Frende Skadeforsikring'!F89+'Gjensidige Forsikring'!F89+'Gjensidige Pensjon'!F89+'Handelsbanken Liv'!F89+'If Skadeforsikring NUF'!F89+KLP!F89+'KLP Bedriftspensjon AS'!F89+'KLP Skadeforsikring AS'!F89+'Landbruksforsikring AS'!F89+'NEMI Forsikring'!F89+'Nordea Liv '!F89+'Oslo Pensjonsforsikring'!F89+'SHB Liv'!F89+'Silver Pensjonsforsikring AS'!F89+'Sparebank 1'!F89+'Storebrand Livsforsikring'!F89+'Telenor Forsikring'!F89+'Tryg Forsikring'!F89,"")</f>
        <v/>
      </c>
      <c r="F89" s="44" t="str">
        <f>IF($A$1=4,'ACE European Group'!G89+'Danica Pensjonsforsikring'!G89+'DNB Livsforsikring'!G89+'Eika Forsikring AS'!G89+'Frende Livsforsikring'!G89+'Frende Skadeforsikring'!G89+'Gjensidige Forsikring'!G89+'Gjensidige Pensjon'!G89+'Handelsbanken Liv'!G89+'If Skadeforsikring NUF'!G89+KLP!G89+'KLP Bedriftspensjon AS'!G89+'KLP Skadeforsikring AS'!G89+'Landbruksforsikring AS'!G89+'NEMI Forsikring'!G89+'Nordea Liv '!G89+'Oslo Pensjonsforsikring'!G89+'SHB Liv'!G89+'Silver Pensjonsforsikring AS'!G89+'Sparebank 1'!G89+'Storebrand Livsforsikring'!G89+'Telenor Forsikring'!G89+'Tryg Forsikring'!G89,"")</f>
        <v/>
      </c>
      <c r="G89" s="165" t="str">
        <f t="shared" si="34"/>
        <v/>
      </c>
      <c r="H89" s="237">
        <f t="shared" si="31"/>
        <v>0</v>
      </c>
      <c r="I89" s="237">
        <f t="shared" si="32"/>
        <v>0</v>
      </c>
      <c r="J89" s="23"/>
    </row>
    <row r="90" spans="1:10" ht="15.75" customHeight="1" x14ac:dyDescent="0.2">
      <c r="A90" s="294" t="s">
        <v>13</v>
      </c>
      <c r="B90" s="235">
        <f>'ACE European Group'!B90+'Danica Pensjonsforsikring'!B90+'DNB Livsforsikring'!B90+'Eika Forsikring AS'!B90+'Frende Livsforsikring'!B90+'Frende Skadeforsikring'!B90+'Gjensidige Forsikring'!B90+'Gjensidige Pensjon'!B90+'Handelsbanken Liv'!B90+'If Skadeforsikring NUF'!B90+KLP!B90+'KLP Bedriftspensjon AS'!B90+'KLP Skadeforsikring AS'!B90+'Landbruksforsikring AS'!B90+'NEMI Forsikring'!B90+'Nordea Liv '!B90+'Oslo Pensjonsforsikring'!B90+'SHB Liv'!B90+'Silver Pensjonsforsikring AS'!B90+'Sparebank 1'!B90+'Storebrand Livsforsikring'!B90+'Telenor Forsikring'!B90+'Tryg Forsikring'!B90</f>
        <v>0</v>
      </c>
      <c r="C90" s="235">
        <f>'ACE European Group'!C90+'Danica Pensjonsforsikring'!C90+'DNB Livsforsikring'!C90+'Eika Forsikring AS'!C90+'Frende Livsforsikring'!C90+'Frende Skadeforsikring'!C90+'Gjensidige Forsikring'!C90+'Gjensidige Pensjon'!C90+'Handelsbanken Liv'!C90+'If Skadeforsikring NUF'!C90+KLP!C90+'KLP Bedriftspensjon AS'!C90+'KLP Skadeforsikring AS'!C90+'Landbruksforsikring AS'!C90+'NEMI Forsikring'!C90+'Nordea Liv '!C90+'Oslo Pensjonsforsikring'!C90+'SHB Liv'!C90+'Silver Pensjonsforsikring AS'!C90+'Sparebank 1'!C90+'Storebrand Livsforsikring'!C90+'Telenor Forsikring'!C90+'Tryg Forsikring'!C90</f>
        <v>0</v>
      </c>
      <c r="D90" s="27" t="str">
        <f t="shared" si="33"/>
        <v/>
      </c>
      <c r="E90" s="44" t="str">
        <f>IF($A$1=4,'ACE European Group'!F90+'Danica Pensjonsforsikring'!F90+'DNB Livsforsikring'!F90+'Eika Forsikring AS'!F90+'Frende Livsforsikring'!F90+'Frende Skadeforsikring'!F90+'Gjensidige Forsikring'!F90+'Gjensidige Pensjon'!F90+'Handelsbanken Liv'!F90+'If Skadeforsikring NUF'!F90+KLP!F90+'KLP Bedriftspensjon AS'!F90+'KLP Skadeforsikring AS'!F90+'Landbruksforsikring AS'!F90+'NEMI Forsikring'!F90+'Nordea Liv '!F90+'Oslo Pensjonsforsikring'!F90+'SHB Liv'!F90+'Silver Pensjonsforsikring AS'!F90+'Sparebank 1'!F90+'Storebrand Livsforsikring'!F90+'Telenor Forsikring'!F90+'Tryg Forsikring'!F90,"")</f>
        <v/>
      </c>
      <c r="F90" s="44" t="str">
        <f>IF($A$1=4,'ACE European Group'!G90+'Danica Pensjonsforsikring'!G90+'DNB Livsforsikring'!G90+'Eika Forsikring AS'!G90+'Frende Livsforsikring'!G90+'Frende Skadeforsikring'!G90+'Gjensidige Forsikring'!G90+'Gjensidige Pensjon'!G90+'Handelsbanken Liv'!G90+'If Skadeforsikring NUF'!G90+KLP!G90+'KLP Bedriftspensjon AS'!G90+'KLP Skadeforsikring AS'!G90+'Landbruksforsikring AS'!G90+'NEMI Forsikring'!G90+'Nordea Liv '!G90+'Oslo Pensjonsforsikring'!G90+'SHB Liv'!G90+'Silver Pensjonsforsikring AS'!G90+'Sparebank 1'!G90+'Storebrand Livsforsikring'!G90+'Telenor Forsikring'!G90+'Tryg Forsikring'!G90,"")</f>
        <v/>
      </c>
      <c r="G90" s="165" t="str">
        <f t="shared" si="34"/>
        <v/>
      </c>
      <c r="H90" s="237">
        <f t="shared" si="31"/>
        <v>0</v>
      </c>
      <c r="I90" s="237">
        <f t="shared" si="32"/>
        <v>0</v>
      </c>
      <c r="J90" s="23"/>
    </row>
    <row r="91" spans="1:10" ht="15.75" customHeight="1" x14ac:dyDescent="0.2">
      <c r="A91" s="294" t="s">
        <v>317</v>
      </c>
      <c r="B91" s="44" t="str">
        <f>IF($A$1=4,'ACE European Group'!B91+'Danica Pensjonsforsikring'!B91+'DNB Livsforsikring'!B91+'Eika Forsikring AS'!B91+'Frende Livsforsikring'!B91+'Frende Skadeforsikring'!B91+'Gjensidige Forsikring'!B91+'Gjensidige Pensjon'!B91+'Handelsbanken Liv'!B91+'If Skadeforsikring NUF'!B91+KLP!B91+'KLP Bedriftspensjon AS'!B91+'KLP Skadeforsikring AS'!B91+'Landbruksforsikring AS'!B91+'NEMI Forsikring'!B91+'Nordea Liv '!B91+'Oslo Pensjonsforsikring'!B91+'SHB Liv'!B91+'Silver Pensjonsforsikring AS'!B91+'Sparebank 1'!B91+'Storebrand Livsforsikring'!B91+'Telenor Forsikring'!B91+'Tryg Forsikring'!B91,"")</f>
        <v/>
      </c>
      <c r="C91" s="44" t="str">
        <f>IF($A$1=4,'ACE European Group'!C91+'Danica Pensjonsforsikring'!C91+'DNB Livsforsikring'!C91+'Eika Forsikring AS'!C91+'Frende Livsforsikring'!C91+'Frende Skadeforsikring'!C91+'Gjensidige Forsikring'!C91+'Gjensidige Pensjon'!C91+'Handelsbanken Liv'!C91+'If Skadeforsikring NUF'!C91+KLP!C91+'KLP Bedriftspensjon AS'!C91+'KLP Skadeforsikring AS'!C91+'Landbruksforsikring AS'!C91+'NEMI Forsikring'!C91+'Nordea Liv '!C91+'Oslo Pensjonsforsikring'!C91+'SHB Liv'!C91+'Silver Pensjonsforsikring AS'!C91+'Sparebank 1'!C91+'Storebrand Livsforsikring'!C91+'Telenor Forsikring'!C91+'Tryg Forsikring'!C91,"")</f>
        <v/>
      </c>
      <c r="D91" s="27" t="str">
        <f t="shared" si="33"/>
        <v/>
      </c>
      <c r="E91" s="44" t="str">
        <f>IF($A$1=4,'ACE European Group'!F91+'Danica Pensjonsforsikring'!F91+'DNB Livsforsikring'!F91+'Eika Forsikring AS'!F91+'Frende Livsforsikring'!F91+'Frende Skadeforsikring'!F91+'Gjensidige Forsikring'!F91+'Gjensidige Pensjon'!F91+'Handelsbanken Liv'!F91+'If Skadeforsikring NUF'!F91+KLP!F91+'KLP Bedriftspensjon AS'!F91+'KLP Skadeforsikring AS'!F91+'Landbruksforsikring AS'!F91+'NEMI Forsikring'!F91+'Nordea Liv '!F91+'Oslo Pensjonsforsikring'!F91+'SHB Liv'!F91+'Silver Pensjonsforsikring AS'!F91+'Sparebank 1'!F91+'Storebrand Livsforsikring'!F91+'Telenor Forsikring'!F91+'Tryg Forsikring'!F91,"")</f>
        <v/>
      </c>
      <c r="F91" s="44" t="str">
        <f>IF($A$1=4,'ACE European Group'!G91+'Danica Pensjonsforsikring'!G91+'DNB Livsforsikring'!G91+'Eika Forsikring AS'!G91+'Frende Livsforsikring'!G91+'Frende Skadeforsikring'!G91+'Gjensidige Forsikring'!G91+'Gjensidige Pensjon'!G91+'Handelsbanken Liv'!G91+'If Skadeforsikring NUF'!G91+KLP!G91+'KLP Bedriftspensjon AS'!G91+'KLP Skadeforsikring AS'!G91+'Landbruksforsikring AS'!G91+'NEMI Forsikring'!G91+'Nordea Liv '!G91+'Oslo Pensjonsforsikring'!G91+'SHB Liv'!G91+'Silver Pensjonsforsikring AS'!G91+'Sparebank 1'!G91+'Storebrand Livsforsikring'!G91+'Telenor Forsikring'!G91+'Tryg Forsikring'!G91,"")</f>
        <v/>
      </c>
      <c r="G91" s="165" t="str">
        <f t="shared" si="34"/>
        <v/>
      </c>
      <c r="H91" s="237">
        <f t="shared" si="31"/>
        <v>0</v>
      </c>
      <c r="I91" s="237">
        <f t="shared" si="32"/>
        <v>0</v>
      </c>
      <c r="J91" s="23"/>
    </row>
    <row r="92" spans="1:10" ht="15.75" customHeight="1" x14ac:dyDescent="0.2">
      <c r="A92" s="294" t="s">
        <v>12</v>
      </c>
      <c r="B92" s="235">
        <f>'ACE European Group'!B92+'Danica Pensjonsforsikring'!B92+'DNB Livsforsikring'!B92+'Eika Forsikring AS'!B92+'Frende Livsforsikring'!B92+'Frende Skadeforsikring'!B92+'Gjensidige Forsikring'!B92+'Gjensidige Pensjon'!B92+'Handelsbanken Liv'!B92+'If Skadeforsikring NUF'!B92+KLP!B92+'KLP Bedriftspensjon AS'!B92+'KLP Skadeforsikring AS'!B92+'Landbruksforsikring AS'!B92+'NEMI Forsikring'!B92+'Nordea Liv '!B92+'Oslo Pensjonsforsikring'!B92+'SHB Liv'!B92+'Silver Pensjonsforsikring AS'!B92+'Sparebank 1'!B92+'Storebrand Livsforsikring'!B92+'Telenor Forsikring'!B92+'Tryg Forsikring'!B92</f>
        <v>0</v>
      </c>
      <c r="C92" s="235">
        <f>'ACE European Group'!C92+'Danica Pensjonsforsikring'!C92+'DNB Livsforsikring'!C92+'Eika Forsikring AS'!C92+'Frende Livsforsikring'!C92+'Frende Skadeforsikring'!C92+'Gjensidige Forsikring'!C92+'Gjensidige Pensjon'!C92+'Handelsbanken Liv'!C92+'If Skadeforsikring NUF'!C92+KLP!C92+'KLP Bedriftspensjon AS'!C92+'KLP Skadeforsikring AS'!C92+'Landbruksforsikring AS'!C92+'NEMI Forsikring'!C92+'Nordea Liv '!C92+'Oslo Pensjonsforsikring'!C92+'SHB Liv'!C92+'Silver Pensjonsforsikring AS'!C92+'Sparebank 1'!C92+'Storebrand Livsforsikring'!C92+'Telenor Forsikring'!C92+'Tryg Forsikring'!C92</f>
        <v>0</v>
      </c>
      <c r="D92" s="27" t="str">
        <f t="shared" si="33"/>
        <v/>
      </c>
      <c r="E92" s="44" t="str">
        <f>IF($A$1=4,'ACE European Group'!F92+'Danica Pensjonsforsikring'!F92+'DNB Livsforsikring'!F92+'Eika Forsikring AS'!F92+'Frende Livsforsikring'!F92+'Frende Skadeforsikring'!F92+'Gjensidige Forsikring'!F92+'Gjensidige Pensjon'!F92+'Handelsbanken Liv'!F92+'If Skadeforsikring NUF'!F92+KLP!F92+'KLP Bedriftspensjon AS'!F92+'KLP Skadeforsikring AS'!F92+'Landbruksforsikring AS'!F92+'NEMI Forsikring'!F92+'Nordea Liv '!F92+'Oslo Pensjonsforsikring'!F92+'SHB Liv'!F92+'Silver Pensjonsforsikring AS'!F92+'Sparebank 1'!F92+'Storebrand Livsforsikring'!F92+'Telenor Forsikring'!F92+'Tryg Forsikring'!F92,"")</f>
        <v/>
      </c>
      <c r="F92" s="44" t="str">
        <f>IF($A$1=4,'ACE European Group'!G92+'Danica Pensjonsforsikring'!G92+'DNB Livsforsikring'!G92+'Eika Forsikring AS'!G92+'Frende Livsforsikring'!G92+'Frende Skadeforsikring'!G92+'Gjensidige Forsikring'!G92+'Gjensidige Pensjon'!G92+'Handelsbanken Liv'!G92+'If Skadeforsikring NUF'!G92+KLP!G92+'KLP Bedriftspensjon AS'!G92+'KLP Skadeforsikring AS'!G92+'Landbruksforsikring AS'!G92+'NEMI Forsikring'!G92+'Nordea Liv '!G92+'Oslo Pensjonsforsikring'!G92+'SHB Liv'!G92+'Silver Pensjonsforsikring AS'!G92+'Sparebank 1'!G92+'Storebrand Livsforsikring'!G92+'Telenor Forsikring'!G92+'Tryg Forsikring'!G92,"")</f>
        <v/>
      </c>
      <c r="G92" s="165" t="str">
        <f t="shared" si="34"/>
        <v/>
      </c>
      <c r="H92" s="237">
        <f t="shared" si="31"/>
        <v>0</v>
      </c>
      <c r="I92" s="237">
        <f t="shared" si="32"/>
        <v>0</v>
      </c>
      <c r="J92" s="23"/>
    </row>
    <row r="93" spans="1:10" ht="15.75" customHeight="1" x14ac:dyDescent="0.2">
      <c r="A93" s="294" t="s">
        <v>13</v>
      </c>
      <c r="B93" s="235">
        <f>'ACE European Group'!B93+'Danica Pensjonsforsikring'!B93+'DNB Livsforsikring'!B93+'Eika Forsikring AS'!B93+'Frende Livsforsikring'!B93+'Frende Skadeforsikring'!B93+'Gjensidige Forsikring'!B93+'Gjensidige Pensjon'!B93+'Handelsbanken Liv'!B93+'If Skadeforsikring NUF'!B93+KLP!B93+'KLP Bedriftspensjon AS'!B93+'KLP Skadeforsikring AS'!B93+'Landbruksforsikring AS'!B93+'NEMI Forsikring'!B93+'Nordea Liv '!B93+'Oslo Pensjonsforsikring'!B93+'SHB Liv'!B93+'Silver Pensjonsforsikring AS'!B93+'Sparebank 1'!B93+'Storebrand Livsforsikring'!B93+'Telenor Forsikring'!B93+'Tryg Forsikring'!B93</f>
        <v>0</v>
      </c>
      <c r="C93" s="235">
        <f>'ACE European Group'!C93+'Danica Pensjonsforsikring'!C93+'DNB Livsforsikring'!C93+'Eika Forsikring AS'!C93+'Frende Livsforsikring'!C93+'Frende Skadeforsikring'!C93+'Gjensidige Forsikring'!C93+'Gjensidige Pensjon'!C93+'Handelsbanken Liv'!C93+'If Skadeforsikring NUF'!C93+KLP!C93+'KLP Bedriftspensjon AS'!C93+'KLP Skadeforsikring AS'!C93+'Landbruksforsikring AS'!C93+'NEMI Forsikring'!C93+'Nordea Liv '!C93+'Oslo Pensjonsforsikring'!C93+'SHB Liv'!C93+'Silver Pensjonsforsikring AS'!C93+'Sparebank 1'!C93+'Storebrand Livsforsikring'!C93+'Telenor Forsikring'!C93+'Tryg Forsikring'!C93</f>
        <v>0</v>
      </c>
      <c r="D93" s="27" t="str">
        <f t="shared" si="33"/>
        <v/>
      </c>
      <c r="E93" s="44" t="str">
        <f>IF($A$1=4,'ACE European Group'!F93+'Danica Pensjonsforsikring'!F93+'DNB Livsforsikring'!F93+'Eika Forsikring AS'!F93+'Frende Livsforsikring'!F93+'Frende Skadeforsikring'!F93+'Gjensidige Forsikring'!F93+'Gjensidige Pensjon'!F93+'Handelsbanken Liv'!F93+'If Skadeforsikring NUF'!F93+KLP!F93+'KLP Bedriftspensjon AS'!F93+'KLP Skadeforsikring AS'!F93+'Landbruksforsikring AS'!F93+'NEMI Forsikring'!F93+'Nordea Liv '!F93+'Oslo Pensjonsforsikring'!F93+'SHB Liv'!F93+'Silver Pensjonsforsikring AS'!F93+'Sparebank 1'!F93+'Storebrand Livsforsikring'!F93+'Telenor Forsikring'!F93+'Tryg Forsikring'!F93,"")</f>
        <v/>
      </c>
      <c r="F93" s="44" t="str">
        <f>IF($A$1=4,'ACE European Group'!G93+'Danica Pensjonsforsikring'!G93+'DNB Livsforsikring'!G93+'Eika Forsikring AS'!G93+'Frende Livsforsikring'!G93+'Frende Skadeforsikring'!G93+'Gjensidige Forsikring'!G93+'Gjensidige Pensjon'!G93+'Handelsbanken Liv'!G93+'If Skadeforsikring NUF'!G93+KLP!G93+'KLP Bedriftspensjon AS'!G93+'KLP Skadeforsikring AS'!G93+'Landbruksforsikring AS'!G93+'NEMI Forsikring'!G93+'Nordea Liv '!G93+'Oslo Pensjonsforsikring'!G93+'SHB Liv'!G93+'Silver Pensjonsforsikring AS'!G93+'Sparebank 1'!G93+'Storebrand Livsforsikring'!G93+'Telenor Forsikring'!G93+'Tryg Forsikring'!G93,"")</f>
        <v/>
      </c>
      <c r="G93" s="165" t="str">
        <f t="shared" si="34"/>
        <v/>
      </c>
      <c r="H93" s="237">
        <f t="shared" si="31"/>
        <v>0</v>
      </c>
      <c r="I93" s="237">
        <f t="shared" si="32"/>
        <v>0</v>
      </c>
      <c r="J93" s="23"/>
    </row>
    <row r="94" spans="1:10" ht="15.75" customHeight="1" x14ac:dyDescent="0.2">
      <c r="A94" s="21" t="s">
        <v>400</v>
      </c>
      <c r="B94" s="234">
        <f>'ACE European Group'!B94+'Danica Pensjonsforsikring'!B94+'DNB Livsforsikring'!B94+'Eika Forsikring AS'!B94+'Frende Livsforsikring'!B94+'Frende Skadeforsikring'!B94+'Gjensidige Forsikring'!B94+'Gjensidige Pensjon'!B94+'Handelsbanken Liv'!B94+'If Skadeforsikring NUF'!B94+KLP!B94+'KLP Bedriftspensjon AS'!B94+'KLP Skadeforsikring AS'!B94+'Landbruksforsikring AS'!B94+'NEMI Forsikring'!B94+'Nordea Liv '!B94+'Oslo Pensjonsforsikring'!B94+'SHB Liv'!B94+'Silver Pensjonsforsikring AS'!B94+'Sparebank 1'!B94+'Storebrand Livsforsikring'!B94+'Telenor Forsikring'!B94+'Tryg Forsikring'!B94</f>
        <v>96134.063999999998</v>
      </c>
      <c r="C94" s="234">
        <f>'ACE European Group'!C94+'Danica Pensjonsforsikring'!C94+'DNB Livsforsikring'!C94+'Eika Forsikring AS'!C94+'Frende Livsforsikring'!C94+'Frende Skadeforsikring'!C94+'Gjensidige Forsikring'!C94+'Gjensidige Pensjon'!C94+'Handelsbanken Liv'!C94+'If Skadeforsikring NUF'!C94+KLP!C94+'KLP Bedriftspensjon AS'!C94+'KLP Skadeforsikring AS'!C94+'Landbruksforsikring AS'!C94+'NEMI Forsikring'!C94+'Nordea Liv '!C94+'Oslo Pensjonsforsikring'!C94+'SHB Liv'!C94+'Silver Pensjonsforsikring AS'!C94+'Sparebank 1'!C94+'Storebrand Livsforsikring'!C94+'Telenor Forsikring'!C94+'Tryg Forsikring'!C94</f>
        <v>242629.52984999999</v>
      </c>
      <c r="D94" s="23">
        <f t="shared" si="17"/>
        <v>152.4</v>
      </c>
      <c r="E94" s="44">
        <f>'ACE European Group'!F94+'Danica Pensjonsforsikring'!F94+'DNB Livsforsikring'!F94+'Eika Forsikring AS'!F94+'Frende Livsforsikring'!F94+'Frende Skadeforsikring'!F94+'Gjensidige Forsikring'!F94+'Gjensidige Pensjon'!F94+'Handelsbanken Liv'!F94+'If Skadeforsikring NUF'!F94+KLP!F94+'KLP Bedriftspensjon AS'!F94+'KLP Skadeforsikring AS'!F94+'Landbruksforsikring AS'!F94+'NEMI Forsikring'!F94+'Nordea Liv '!F94+'Oslo Pensjonsforsikring'!F94+'SHB Liv'!F94+'Silver Pensjonsforsikring AS'!F94+'Sparebank 1'!F94+'Storebrand Livsforsikring'!F94+'Telenor Forsikring'!F94+'Tryg Forsikring'!F94</f>
        <v>63081.404300000002</v>
      </c>
      <c r="F94" s="44">
        <f>'ACE European Group'!G94+'Danica Pensjonsforsikring'!G94+'DNB Livsforsikring'!G94+'Eika Forsikring AS'!G94+'Frende Livsforsikring'!G94+'Frende Skadeforsikring'!G94+'Gjensidige Forsikring'!G94+'Gjensidige Pensjon'!G94+'Handelsbanken Liv'!G94+'If Skadeforsikring NUF'!G94+KLP!G94+'KLP Bedriftspensjon AS'!G94+'KLP Skadeforsikring AS'!G94+'Landbruksforsikring AS'!G94+'NEMI Forsikring'!G94+'Nordea Liv '!G94+'Oslo Pensjonsforsikring'!G94+'SHB Liv'!G94+'Silver Pensjonsforsikring AS'!G94+'Sparebank 1'!G94+'Storebrand Livsforsikring'!G94+'Telenor Forsikring'!G94+'Tryg Forsikring'!G94</f>
        <v>359398.26659000001</v>
      </c>
      <c r="G94" s="165">
        <f t="shared" si="18"/>
        <v>469.7</v>
      </c>
      <c r="H94" s="237">
        <f t="shared" si="31"/>
        <v>159215.46830000001</v>
      </c>
      <c r="I94" s="237">
        <f t="shared" si="32"/>
        <v>602027.79643999995</v>
      </c>
      <c r="J94" s="23">
        <f t="shared" si="21"/>
        <v>278.10000000000002</v>
      </c>
    </row>
    <row r="95" spans="1:10" ht="15.75" customHeight="1" x14ac:dyDescent="0.2">
      <c r="A95" s="21" t="s">
        <v>399</v>
      </c>
      <c r="B95" s="234">
        <f>'ACE European Group'!B95+'Danica Pensjonsforsikring'!B95+'DNB Livsforsikring'!B95+'Eika Forsikring AS'!B95+'Frende Livsforsikring'!B95+'Frende Skadeforsikring'!B95+'Gjensidige Forsikring'!B95+'Gjensidige Pensjon'!B95+'Handelsbanken Liv'!B95+'If Skadeforsikring NUF'!B95+KLP!B95+'KLP Bedriftspensjon AS'!B95+'KLP Skadeforsikring AS'!B95+'Landbruksforsikring AS'!B95+'NEMI Forsikring'!B95+'Nordea Liv '!B95+'Oslo Pensjonsforsikring'!B95+'SHB Liv'!B95+'Silver Pensjonsforsikring AS'!B95+'Sparebank 1'!B95+'Storebrand Livsforsikring'!B95+'Telenor Forsikring'!B95+'Tryg Forsikring'!B95</f>
        <v>0</v>
      </c>
      <c r="C95" s="234">
        <f>'ACE European Group'!C95+'Danica Pensjonsforsikring'!C95+'DNB Livsforsikring'!C95+'Eika Forsikring AS'!C95+'Frende Livsforsikring'!C95+'Frende Skadeforsikring'!C95+'Gjensidige Forsikring'!C95+'Gjensidige Pensjon'!C95+'Handelsbanken Liv'!C95+'If Skadeforsikring NUF'!C95+KLP!C95+'KLP Bedriftspensjon AS'!C95+'KLP Skadeforsikring AS'!C95+'Landbruksforsikring AS'!C95+'NEMI Forsikring'!C95+'Nordea Liv '!C95+'Oslo Pensjonsforsikring'!C95+'SHB Liv'!C95+'Silver Pensjonsforsikring AS'!C95+'Sparebank 1'!C95+'Storebrand Livsforsikring'!C95+'Telenor Forsikring'!C95+'Tryg Forsikring'!C95</f>
        <v>4607671.1940399995</v>
      </c>
      <c r="D95" s="23" t="str">
        <f t="shared" ref="D95" si="35">IF(B95=0, "    ---- ", IF(ABS(ROUND(100/B95*C95-100,1))&lt;999,ROUND(100/B95*C95-100,1),IF(ROUND(100/B95*C95-100,1)&gt;999,999,-999)))</f>
        <v xml:space="preserve">    ---- </v>
      </c>
      <c r="E95" s="44">
        <f>'ACE European Group'!F95+'Danica Pensjonsforsikring'!F95+'DNB Livsforsikring'!F95+'Eika Forsikring AS'!F95+'Frende Livsforsikring'!F95+'Frende Skadeforsikring'!F95+'Gjensidige Forsikring'!F95+'Gjensidige Pensjon'!F95+'Handelsbanken Liv'!F95+'If Skadeforsikring NUF'!F95+KLP!F95+'KLP Bedriftspensjon AS'!F95+'KLP Skadeforsikring AS'!F95+'Landbruksforsikring AS'!F95+'NEMI Forsikring'!F95+'Nordea Liv '!F95+'Oslo Pensjonsforsikring'!F95+'SHB Liv'!F95+'Silver Pensjonsforsikring AS'!F95+'Sparebank 1'!F95+'Storebrand Livsforsikring'!F95+'Telenor Forsikring'!F95+'Tryg Forsikring'!F95</f>
        <v>0</v>
      </c>
      <c r="F95" s="44">
        <f>'ACE European Group'!G95+'Danica Pensjonsforsikring'!G95+'DNB Livsforsikring'!G95+'Eika Forsikring AS'!G95+'Frende Livsforsikring'!G95+'Frende Skadeforsikring'!G95+'Gjensidige Forsikring'!G95+'Gjensidige Pensjon'!G95+'Handelsbanken Liv'!G95+'If Skadeforsikring NUF'!G95+KLP!G95+'KLP Bedriftspensjon AS'!G95+'KLP Skadeforsikring AS'!G95+'Landbruksforsikring AS'!G95+'NEMI Forsikring'!G95+'Nordea Liv '!G95+'Oslo Pensjonsforsikring'!G95+'SHB Liv'!G95+'Silver Pensjonsforsikring AS'!G95+'Sparebank 1'!G95+'Storebrand Livsforsikring'!G95+'Telenor Forsikring'!G95+'Tryg Forsikring'!G95</f>
        <v>0</v>
      </c>
      <c r="G95" s="165"/>
      <c r="H95" s="237">
        <f t="shared" ref="H95" si="36">SUM(B95,E95)</f>
        <v>0</v>
      </c>
      <c r="I95" s="237">
        <f t="shared" ref="I95" si="37">SUM(C95,F95)</f>
        <v>4607671.1940399995</v>
      </c>
      <c r="J95" s="23" t="str">
        <f t="shared" ref="J95" si="38">IF(H95=0, "    ---- ", IF(ABS(ROUND(100/H95*I95-100,1))&lt;999,ROUND(100/H95*I95-100,1),IF(ROUND(100/H95*I95-100,1)&gt;999,999,-999)))</f>
        <v xml:space="preserve">    ---- </v>
      </c>
    </row>
    <row r="96" spans="1:10" ht="15.75" customHeight="1" x14ac:dyDescent="0.2">
      <c r="A96" s="21" t="s">
        <v>318</v>
      </c>
      <c r="B96" s="234">
        <f>'ACE European Group'!B96+'Danica Pensjonsforsikring'!B96+'DNB Livsforsikring'!B96+'Eika Forsikring AS'!B96+'Frende Livsforsikring'!B96+'Frende Skadeforsikring'!B96+'Gjensidige Forsikring'!B96+'Gjensidige Pensjon'!B96+'Handelsbanken Liv'!B96+'If Skadeforsikring NUF'!B96+KLP!B96+'KLP Bedriftspensjon AS'!B96+'KLP Skadeforsikring AS'!B96+'Landbruksforsikring AS'!B96+'NEMI Forsikring'!B96+'Nordea Liv '!B96+'Oslo Pensjonsforsikring'!B96+'SHB Liv'!B96+'Silver Pensjonsforsikring AS'!B96+'Sparebank 1'!B96+'Storebrand Livsforsikring'!B96+'Telenor Forsikring'!B96+'Tryg Forsikring'!B96</f>
        <v>369745544.82205582</v>
      </c>
      <c r="C96" s="234">
        <f>'ACE European Group'!C96+'Danica Pensjonsforsikring'!C96+'DNB Livsforsikring'!C96+'Eika Forsikring AS'!C96+'Frende Livsforsikring'!C96+'Frende Skadeforsikring'!C96+'Gjensidige Forsikring'!C96+'Gjensidige Pensjon'!C96+'Handelsbanken Liv'!C96+'If Skadeforsikring NUF'!C96+KLP!C96+'KLP Bedriftspensjon AS'!C96+'KLP Skadeforsikring AS'!C96+'Landbruksforsikring AS'!C96+'NEMI Forsikring'!C96+'Nordea Liv '!C96+'Oslo Pensjonsforsikring'!C96+'SHB Liv'!C96+'Silver Pensjonsforsikring AS'!C96+'Sparebank 1'!C96+'Storebrand Livsforsikring'!C96+'Telenor Forsikring'!C96+'Tryg Forsikring'!C96</f>
        <v>368658581.98620462</v>
      </c>
      <c r="D96" s="23">
        <f t="shared" si="17"/>
        <v>-0.3</v>
      </c>
      <c r="E96" s="44">
        <f>'ACE European Group'!F96+'Danica Pensjonsforsikring'!F96+'DNB Livsforsikring'!F96+'Eika Forsikring AS'!F96+'Frende Livsforsikring'!F96+'Frende Skadeforsikring'!F96+'Gjensidige Forsikring'!F96+'Gjensidige Pensjon'!F96+'Handelsbanken Liv'!F96+'If Skadeforsikring NUF'!F96+KLP!F96+'KLP Bedriftspensjon AS'!F96+'KLP Skadeforsikring AS'!F96+'Landbruksforsikring AS'!F96+'NEMI Forsikring'!F96+'Nordea Liv '!F96+'Oslo Pensjonsforsikring'!F96+'SHB Liv'!F96+'Silver Pensjonsforsikring AS'!F96+'Sparebank 1'!F96+'Storebrand Livsforsikring'!F96+'Telenor Forsikring'!F96+'Tryg Forsikring'!F96</f>
        <v>156046719.15310842</v>
      </c>
      <c r="F96" s="44">
        <f>'ACE European Group'!G96+'Danica Pensjonsforsikring'!G96+'DNB Livsforsikring'!G96+'Eika Forsikring AS'!G96+'Frende Livsforsikring'!G96+'Frende Skadeforsikring'!G96+'Gjensidige Forsikring'!G96+'Gjensidige Pensjon'!G96+'Handelsbanken Liv'!G96+'If Skadeforsikring NUF'!G96+KLP!G96+'KLP Bedriftspensjon AS'!G96+'KLP Skadeforsikring AS'!G96+'Landbruksforsikring AS'!G96+'NEMI Forsikring'!G96+'Nordea Liv '!G96+'Oslo Pensjonsforsikring'!G96+'SHB Liv'!G96+'Silver Pensjonsforsikring AS'!G96+'Sparebank 1'!G96+'Storebrand Livsforsikring'!G96+'Telenor Forsikring'!G96+'Tryg Forsikring'!G96</f>
        <v>197994235.41630009</v>
      </c>
      <c r="G96" s="165">
        <f t="shared" si="18"/>
        <v>26.9</v>
      </c>
      <c r="H96" s="237">
        <f t="shared" si="31"/>
        <v>525792263.97516423</v>
      </c>
      <c r="I96" s="237">
        <f t="shared" si="32"/>
        <v>566652817.40250468</v>
      </c>
      <c r="J96" s="23">
        <f t="shared" si="21"/>
        <v>7.8</v>
      </c>
    </row>
    <row r="97" spans="1:10" ht="15.75" customHeight="1" x14ac:dyDescent="0.2">
      <c r="A97" s="21" t="s">
        <v>9</v>
      </c>
      <c r="B97" s="234">
        <f>'ACE European Group'!B97+'Danica Pensjonsforsikring'!B97+'DNB Livsforsikring'!B97+'Eika Forsikring AS'!B97+'Frende Livsforsikring'!B97+'Frende Skadeforsikring'!B97+'Gjensidige Forsikring'!B97+'Gjensidige Pensjon'!B97+'Handelsbanken Liv'!B97+'If Skadeforsikring NUF'!B97+KLP!B97+'KLP Bedriftspensjon AS'!B97+'KLP Skadeforsikring AS'!B97+'Landbruksforsikring AS'!B97+'NEMI Forsikring'!B97+'Nordea Liv '!B97+'Oslo Pensjonsforsikring'!B97+'SHB Liv'!B97+'Silver Pensjonsforsikring AS'!B97+'Sparebank 1'!B97+'Storebrand Livsforsikring'!B97+'Telenor Forsikring'!B97+'Tryg Forsikring'!B97</f>
        <v>367519323.99436533</v>
      </c>
      <c r="C97" s="234">
        <f>'ACE European Group'!C97+'Danica Pensjonsforsikring'!C97+'DNB Livsforsikring'!C97+'Eika Forsikring AS'!C97+'Frende Livsforsikring'!C97+'Frende Skadeforsikring'!C97+'Gjensidige Forsikring'!C97+'Gjensidige Pensjon'!C97+'Handelsbanken Liv'!C97+'If Skadeforsikring NUF'!C97+KLP!C97+'KLP Bedriftspensjon AS'!C97+'KLP Skadeforsikring AS'!C97+'Landbruksforsikring AS'!C97+'NEMI Forsikring'!C97+'Nordea Liv '!C97+'Oslo Pensjonsforsikring'!C97+'SHB Liv'!C97+'Silver Pensjonsforsikring AS'!C97+'Sparebank 1'!C97+'Storebrand Livsforsikring'!C97+'Telenor Forsikring'!C97+'Tryg Forsikring'!C97</f>
        <v>366159482.51694381</v>
      </c>
      <c r="D97" s="23">
        <f t="shared" si="17"/>
        <v>-0.4</v>
      </c>
      <c r="E97" s="44">
        <f>'ACE European Group'!F97+'Danica Pensjonsforsikring'!F97+'DNB Livsforsikring'!F97+'Eika Forsikring AS'!F97+'Frende Livsforsikring'!F97+'Frende Skadeforsikring'!F97+'Gjensidige Forsikring'!F97+'Gjensidige Pensjon'!F97+'Handelsbanken Liv'!F97+'If Skadeforsikring NUF'!F97+KLP!F97+'KLP Bedriftspensjon AS'!F97+'KLP Skadeforsikring AS'!F97+'Landbruksforsikring AS'!F97+'NEMI Forsikring'!F97+'Nordea Liv '!F97+'Oslo Pensjonsforsikring'!F97+'SHB Liv'!F97+'Silver Pensjonsforsikring AS'!F97+'Sparebank 1'!F97+'Storebrand Livsforsikring'!F97+'Telenor Forsikring'!F97+'Tryg Forsikring'!F97</f>
        <v>0</v>
      </c>
      <c r="F97" s="44">
        <f>'ACE European Group'!G97+'Danica Pensjonsforsikring'!G97+'DNB Livsforsikring'!G97+'Eika Forsikring AS'!G97+'Frende Livsforsikring'!G97+'Frende Skadeforsikring'!G97+'Gjensidige Forsikring'!G97+'Gjensidige Pensjon'!G97+'Handelsbanken Liv'!G97+'If Skadeforsikring NUF'!G97+KLP!G97+'KLP Bedriftspensjon AS'!G97+'KLP Skadeforsikring AS'!G97+'Landbruksforsikring AS'!G97+'NEMI Forsikring'!G97+'Nordea Liv '!G97+'Oslo Pensjonsforsikring'!G97+'SHB Liv'!G97+'Silver Pensjonsforsikring AS'!G97+'Sparebank 1'!G97+'Storebrand Livsforsikring'!G97+'Telenor Forsikring'!G97+'Tryg Forsikring'!G97</f>
        <v>0</v>
      </c>
      <c r="G97" s="165"/>
      <c r="H97" s="237">
        <f t="shared" si="31"/>
        <v>367519323.99436533</v>
      </c>
      <c r="I97" s="237">
        <f t="shared" si="32"/>
        <v>366159482.51694381</v>
      </c>
      <c r="J97" s="23">
        <f t="shared" si="21"/>
        <v>-0.4</v>
      </c>
    </row>
    <row r="98" spans="1:10" ht="15.75" customHeight="1" x14ac:dyDescent="0.2">
      <c r="A98" s="21" t="s">
        <v>10</v>
      </c>
      <c r="B98" s="234">
        <f>'ACE European Group'!B98+'Danica Pensjonsforsikring'!B98+'DNB Livsforsikring'!B98+'Eika Forsikring AS'!B98+'Frende Livsforsikring'!B98+'Frende Skadeforsikring'!B98+'Gjensidige Forsikring'!B98+'Gjensidige Pensjon'!B98+'Handelsbanken Liv'!B98+'If Skadeforsikring NUF'!B98+KLP!B98+'KLP Bedriftspensjon AS'!B98+'KLP Skadeforsikring AS'!B98+'Landbruksforsikring AS'!B98+'NEMI Forsikring'!B98+'Nordea Liv '!B98+'Oslo Pensjonsforsikring'!B98+'SHB Liv'!B98+'Silver Pensjonsforsikring AS'!B98+'Sparebank 1'!B98+'Storebrand Livsforsikring'!B98+'Telenor Forsikring'!B98+'Tryg Forsikring'!B98</f>
        <v>2226220.8276904603</v>
      </c>
      <c r="C98" s="234">
        <f>'ACE European Group'!C98+'Danica Pensjonsforsikring'!C98+'DNB Livsforsikring'!C98+'Eika Forsikring AS'!C98+'Frende Livsforsikring'!C98+'Frende Skadeforsikring'!C98+'Gjensidige Forsikring'!C98+'Gjensidige Pensjon'!C98+'Handelsbanken Liv'!C98+'If Skadeforsikring NUF'!C98+KLP!C98+'KLP Bedriftspensjon AS'!C98+'KLP Skadeforsikring AS'!C98+'Landbruksforsikring AS'!C98+'NEMI Forsikring'!C98+'Nordea Liv '!C98+'Oslo Pensjonsforsikring'!C98+'SHB Liv'!C98+'Silver Pensjonsforsikring AS'!C98+'Sparebank 1'!C98+'Storebrand Livsforsikring'!C98+'Telenor Forsikring'!C98+'Tryg Forsikring'!C98</f>
        <v>2499099.4692608798</v>
      </c>
      <c r="D98" s="23">
        <f t="shared" si="17"/>
        <v>12.3</v>
      </c>
      <c r="E98" s="44">
        <f>'ACE European Group'!F98+'Danica Pensjonsforsikring'!F98+'DNB Livsforsikring'!F98+'Eika Forsikring AS'!F98+'Frende Livsforsikring'!F98+'Frende Skadeforsikring'!F98+'Gjensidige Forsikring'!F98+'Gjensidige Pensjon'!F98+'Handelsbanken Liv'!F98+'If Skadeforsikring NUF'!F98+KLP!F98+'KLP Bedriftspensjon AS'!F98+'KLP Skadeforsikring AS'!F98+'Landbruksforsikring AS'!F98+'NEMI Forsikring'!F98+'Nordea Liv '!F98+'Oslo Pensjonsforsikring'!F98+'SHB Liv'!F98+'Silver Pensjonsforsikring AS'!F98+'Sparebank 1'!F98+'Storebrand Livsforsikring'!F98+'Telenor Forsikring'!F98+'Tryg Forsikring'!F98</f>
        <v>156046719.15310842</v>
      </c>
      <c r="F98" s="44">
        <f>'ACE European Group'!G98+'Danica Pensjonsforsikring'!G98+'DNB Livsforsikring'!G98+'Eika Forsikring AS'!G98+'Frende Livsforsikring'!G98+'Frende Skadeforsikring'!G98+'Gjensidige Forsikring'!G98+'Gjensidige Pensjon'!G98+'Handelsbanken Liv'!G98+'If Skadeforsikring NUF'!G98+KLP!G98+'KLP Bedriftspensjon AS'!G98+'KLP Skadeforsikring AS'!G98+'Landbruksforsikring AS'!G98+'NEMI Forsikring'!G98+'Nordea Liv '!G98+'Oslo Pensjonsforsikring'!G98+'SHB Liv'!G98+'Silver Pensjonsforsikring AS'!G98+'Sparebank 1'!G98+'Storebrand Livsforsikring'!G98+'Telenor Forsikring'!G98+'Tryg Forsikring'!G98</f>
        <v>197994235.41630009</v>
      </c>
      <c r="G98" s="165">
        <f t="shared" si="18"/>
        <v>26.9</v>
      </c>
      <c r="H98" s="237">
        <f t="shared" si="31"/>
        <v>158272939.98079887</v>
      </c>
      <c r="I98" s="237">
        <f t="shared" si="32"/>
        <v>200493334.88556096</v>
      </c>
      <c r="J98" s="23">
        <f t="shared" si="21"/>
        <v>26.7</v>
      </c>
    </row>
    <row r="99" spans="1:10" ht="15.75" customHeight="1" x14ac:dyDescent="0.2">
      <c r="A99" s="294" t="s">
        <v>316</v>
      </c>
      <c r="B99" s="44" t="str">
        <f>IF($A$1=4,'ACE European Group'!B99+'Danica Pensjonsforsikring'!B99+'DNB Livsforsikring'!B99+'Eika Forsikring AS'!B99+'Frende Livsforsikring'!B99+'Frende Skadeforsikring'!B99+'Gjensidige Forsikring'!B99+'Gjensidige Pensjon'!B99+'Handelsbanken Liv'!B99+'If Skadeforsikring NUF'!B99+KLP!B99+'KLP Bedriftspensjon AS'!B99+'KLP Skadeforsikring AS'!B99+'Landbruksforsikring AS'!B99+'NEMI Forsikring'!B99+'Nordea Liv '!B99+'Oslo Pensjonsforsikring'!B99+'SHB Liv'!B99+'Silver Pensjonsforsikring AS'!B99+'Sparebank 1'!B99+'Storebrand Livsforsikring'!B99+'Telenor Forsikring'!B99+'Tryg Forsikring'!B99,"")</f>
        <v/>
      </c>
      <c r="C99" s="44" t="str">
        <f>IF($A$1=4,'ACE European Group'!C99+'Danica Pensjonsforsikring'!C99+'DNB Livsforsikring'!C99+'Eika Forsikring AS'!C99+'Frende Livsforsikring'!C99+'Frende Skadeforsikring'!C99+'Gjensidige Forsikring'!C99+'Gjensidige Pensjon'!C99+'Handelsbanken Liv'!C99+'If Skadeforsikring NUF'!C99+KLP!C99+'KLP Bedriftspensjon AS'!C99+'KLP Skadeforsikring AS'!C99+'Landbruksforsikring AS'!C99+'NEMI Forsikring'!C99+'Nordea Liv '!C99+'Oslo Pensjonsforsikring'!C99+'SHB Liv'!C99+'Silver Pensjonsforsikring AS'!C99+'Sparebank 1'!C99+'Storebrand Livsforsikring'!C99+'Telenor Forsikring'!C99+'Tryg Forsikring'!C99,"")</f>
        <v/>
      </c>
      <c r="D99" s="27" t="str">
        <f t="shared" ref="D99:D104" si="39">IF($A$1=4,IF(B99=0, "    ---- ", IF(ABS(ROUND(100/B99*C99-100,1))&lt;999,ROUND(100/B99*C99-100,1),IF(ROUND(100/B99*C99-100,1)&gt;999,999,-999))),"")</f>
        <v/>
      </c>
      <c r="E99" s="44" t="str">
        <f>IF($A$1=4,'ACE European Group'!F99+'Danica Pensjonsforsikring'!F99+'DNB Livsforsikring'!F99+'Eika Forsikring AS'!F99+'Frende Livsforsikring'!F99+'Frende Skadeforsikring'!F99+'Gjensidige Forsikring'!F99+'Gjensidige Pensjon'!F99+'Handelsbanken Liv'!F99+'If Skadeforsikring NUF'!F99+KLP!F99+'KLP Bedriftspensjon AS'!F99+'KLP Skadeforsikring AS'!F99+'Landbruksforsikring AS'!F99+'NEMI Forsikring'!F99+'Nordea Liv '!F99+'Oslo Pensjonsforsikring'!F99+'SHB Liv'!F99+'Silver Pensjonsforsikring AS'!F99+'Sparebank 1'!F99+'Storebrand Livsforsikring'!F99+'Telenor Forsikring'!F99+'Tryg Forsikring'!F99,"")</f>
        <v/>
      </c>
      <c r="F99" s="44" t="str">
        <f>IF($A$1=4,'ACE European Group'!G99+'Danica Pensjonsforsikring'!G99+'DNB Livsforsikring'!G99+'Eika Forsikring AS'!G99+'Frende Livsforsikring'!G99+'Frende Skadeforsikring'!G99+'Gjensidige Forsikring'!G99+'Gjensidige Pensjon'!G99+'Handelsbanken Liv'!G99+'If Skadeforsikring NUF'!G99+KLP!G99+'KLP Bedriftspensjon AS'!G99+'KLP Skadeforsikring AS'!G99+'Landbruksforsikring AS'!G99+'NEMI Forsikring'!G99+'Nordea Liv '!G99+'Oslo Pensjonsforsikring'!G99+'SHB Liv'!G99+'Silver Pensjonsforsikring AS'!G99+'Sparebank 1'!G99+'Storebrand Livsforsikring'!G99+'Telenor Forsikring'!G99+'Tryg Forsikring'!G99,"")</f>
        <v/>
      </c>
      <c r="G99" s="165" t="str">
        <f t="shared" ref="G99:G104" si="40">IF($A$1=4,IF(E99=0, "    ---- ", IF(ABS(ROUND(100/E99*F99-100,1))&lt;999,ROUND(100/E99*F99-100,1),IF(ROUND(100/E99*F99-100,1)&gt;999,999,-999))),"")</f>
        <v/>
      </c>
      <c r="H99" s="237">
        <f t="shared" si="31"/>
        <v>0</v>
      </c>
      <c r="I99" s="237">
        <f t="shared" si="32"/>
        <v>0</v>
      </c>
      <c r="J99" s="23"/>
    </row>
    <row r="100" spans="1:10" ht="15.75" customHeight="1" x14ac:dyDescent="0.2">
      <c r="A100" s="294" t="s">
        <v>12</v>
      </c>
      <c r="B100" s="235">
        <f>'ACE European Group'!B100+'Danica Pensjonsforsikring'!B100+'DNB Livsforsikring'!B100+'Eika Forsikring AS'!B100+'Frende Livsforsikring'!B100+'Frende Skadeforsikring'!B100+'Gjensidige Forsikring'!B100+'Gjensidige Pensjon'!B100+'Handelsbanken Liv'!B100+'If Skadeforsikring NUF'!B100+KLP!B100+'KLP Bedriftspensjon AS'!B100+'KLP Skadeforsikring AS'!B100+'Landbruksforsikring AS'!B100+'NEMI Forsikring'!B100+'Nordea Liv '!B100+'Oslo Pensjonsforsikring'!B100+'SHB Liv'!B100+'Silver Pensjonsforsikring AS'!B100+'Sparebank 1'!B100+'Storebrand Livsforsikring'!B100+'Telenor Forsikring'!B100+'Tryg Forsikring'!B100</f>
        <v>0</v>
      </c>
      <c r="C100" s="235">
        <f>'ACE European Group'!C100+'Danica Pensjonsforsikring'!C100+'DNB Livsforsikring'!C100+'Eika Forsikring AS'!C100+'Frende Livsforsikring'!C100+'Frende Skadeforsikring'!C100+'Gjensidige Forsikring'!C100+'Gjensidige Pensjon'!C100+'Handelsbanken Liv'!C100+'If Skadeforsikring NUF'!C100+KLP!C100+'KLP Bedriftspensjon AS'!C100+'KLP Skadeforsikring AS'!C100+'Landbruksforsikring AS'!C100+'NEMI Forsikring'!C100+'Nordea Liv '!C100+'Oslo Pensjonsforsikring'!C100+'SHB Liv'!C100+'Silver Pensjonsforsikring AS'!C100+'Sparebank 1'!C100+'Storebrand Livsforsikring'!C100+'Telenor Forsikring'!C100+'Tryg Forsikring'!C100</f>
        <v>0</v>
      </c>
      <c r="D100" s="27" t="str">
        <f t="shared" si="39"/>
        <v/>
      </c>
      <c r="E100" s="44" t="str">
        <f>IF($A$1=4,'ACE European Group'!F100+'Danica Pensjonsforsikring'!F100+'DNB Livsforsikring'!F100+'Eika Forsikring AS'!F100+'Frende Livsforsikring'!F100+'Frende Skadeforsikring'!F100+'Gjensidige Forsikring'!F100+'Gjensidige Pensjon'!F100+'Handelsbanken Liv'!F100+'If Skadeforsikring NUF'!F100+KLP!F100+'KLP Bedriftspensjon AS'!F100+'KLP Skadeforsikring AS'!F100+'Landbruksforsikring AS'!F100+'NEMI Forsikring'!F100+'Nordea Liv '!F100+'Oslo Pensjonsforsikring'!F100+'SHB Liv'!F100+'Silver Pensjonsforsikring AS'!F100+'Sparebank 1'!F100+'Storebrand Livsforsikring'!F100+'Telenor Forsikring'!F100+'Tryg Forsikring'!F100,"")</f>
        <v/>
      </c>
      <c r="F100" s="44" t="str">
        <f>IF($A$1=4,'ACE European Group'!G100+'Danica Pensjonsforsikring'!G100+'DNB Livsforsikring'!G100+'Eika Forsikring AS'!G100+'Frende Livsforsikring'!G100+'Frende Skadeforsikring'!G100+'Gjensidige Forsikring'!G100+'Gjensidige Pensjon'!G100+'Handelsbanken Liv'!G100+'If Skadeforsikring NUF'!G100+KLP!G100+'KLP Bedriftspensjon AS'!G100+'KLP Skadeforsikring AS'!G100+'Landbruksforsikring AS'!G100+'NEMI Forsikring'!G100+'Nordea Liv '!G100+'Oslo Pensjonsforsikring'!G100+'SHB Liv'!G100+'Silver Pensjonsforsikring AS'!G100+'Sparebank 1'!G100+'Storebrand Livsforsikring'!G100+'Telenor Forsikring'!G100+'Tryg Forsikring'!G100,"")</f>
        <v/>
      </c>
      <c r="G100" s="165" t="str">
        <f t="shared" si="40"/>
        <v/>
      </c>
      <c r="H100" s="237">
        <f t="shared" si="31"/>
        <v>0</v>
      </c>
      <c r="I100" s="237">
        <f t="shared" si="32"/>
        <v>0</v>
      </c>
      <c r="J100" s="23"/>
    </row>
    <row r="101" spans="1:10" ht="15.75" customHeight="1" x14ac:dyDescent="0.2">
      <c r="A101" s="294" t="s">
        <v>13</v>
      </c>
      <c r="B101" s="235">
        <f>'ACE European Group'!B101+'Danica Pensjonsforsikring'!B101+'DNB Livsforsikring'!B101+'Eika Forsikring AS'!B101+'Frende Livsforsikring'!B101+'Frende Skadeforsikring'!B101+'Gjensidige Forsikring'!B101+'Gjensidige Pensjon'!B101+'Handelsbanken Liv'!B101+'If Skadeforsikring NUF'!B101+KLP!B101+'KLP Bedriftspensjon AS'!B101+'KLP Skadeforsikring AS'!B101+'Landbruksforsikring AS'!B101+'NEMI Forsikring'!B101+'Nordea Liv '!B101+'Oslo Pensjonsforsikring'!B101+'SHB Liv'!B101+'Silver Pensjonsforsikring AS'!B101+'Sparebank 1'!B101+'Storebrand Livsforsikring'!B101+'Telenor Forsikring'!B101+'Tryg Forsikring'!B101</f>
        <v>0</v>
      </c>
      <c r="C101" s="235">
        <f>'ACE European Group'!C101+'Danica Pensjonsforsikring'!C101+'DNB Livsforsikring'!C101+'Eika Forsikring AS'!C101+'Frende Livsforsikring'!C101+'Frende Skadeforsikring'!C101+'Gjensidige Forsikring'!C101+'Gjensidige Pensjon'!C101+'Handelsbanken Liv'!C101+'If Skadeforsikring NUF'!C101+KLP!C101+'KLP Bedriftspensjon AS'!C101+'KLP Skadeforsikring AS'!C101+'Landbruksforsikring AS'!C101+'NEMI Forsikring'!C101+'Nordea Liv '!C101+'Oslo Pensjonsforsikring'!C101+'SHB Liv'!C101+'Silver Pensjonsforsikring AS'!C101+'Sparebank 1'!C101+'Storebrand Livsforsikring'!C101+'Telenor Forsikring'!C101+'Tryg Forsikring'!C101</f>
        <v>0</v>
      </c>
      <c r="D101" s="27" t="str">
        <f t="shared" si="39"/>
        <v/>
      </c>
      <c r="E101" s="44" t="str">
        <f>IF($A$1=4,'ACE European Group'!F101+'Danica Pensjonsforsikring'!F101+'DNB Livsforsikring'!F101+'Eika Forsikring AS'!F101+'Frende Livsforsikring'!F101+'Frende Skadeforsikring'!F101+'Gjensidige Forsikring'!F101+'Gjensidige Pensjon'!F101+'Handelsbanken Liv'!F101+'If Skadeforsikring NUF'!F101+KLP!F101+'KLP Bedriftspensjon AS'!F101+'KLP Skadeforsikring AS'!F101+'Landbruksforsikring AS'!F101+'NEMI Forsikring'!F101+'Nordea Liv '!F101+'Oslo Pensjonsforsikring'!F101+'SHB Liv'!F101+'Silver Pensjonsforsikring AS'!F101+'Sparebank 1'!F101+'Storebrand Livsforsikring'!F101+'Telenor Forsikring'!F101+'Tryg Forsikring'!F101,"")</f>
        <v/>
      </c>
      <c r="F101" s="44" t="str">
        <f>IF($A$1=4,'ACE European Group'!G101+'Danica Pensjonsforsikring'!G101+'DNB Livsforsikring'!G101+'Eika Forsikring AS'!G101+'Frende Livsforsikring'!G101+'Frende Skadeforsikring'!G101+'Gjensidige Forsikring'!G101+'Gjensidige Pensjon'!G101+'Handelsbanken Liv'!G101+'If Skadeforsikring NUF'!G101+KLP!G101+'KLP Bedriftspensjon AS'!G101+'KLP Skadeforsikring AS'!G101+'Landbruksforsikring AS'!G101+'NEMI Forsikring'!G101+'Nordea Liv '!G101+'Oslo Pensjonsforsikring'!G101+'SHB Liv'!G101+'Silver Pensjonsforsikring AS'!G101+'Sparebank 1'!G101+'Storebrand Livsforsikring'!G101+'Telenor Forsikring'!G101+'Tryg Forsikring'!G101,"")</f>
        <v/>
      </c>
      <c r="G101" s="165" t="str">
        <f t="shared" si="40"/>
        <v/>
      </c>
      <c r="H101" s="237">
        <f t="shared" si="31"/>
        <v>0</v>
      </c>
      <c r="I101" s="237">
        <f t="shared" si="32"/>
        <v>0</v>
      </c>
      <c r="J101" s="23"/>
    </row>
    <row r="102" spans="1:10" ht="15.75" customHeight="1" x14ac:dyDescent="0.2">
      <c r="A102" s="294" t="s">
        <v>317</v>
      </c>
      <c r="B102" s="44" t="str">
        <f>IF($A$1=4,'ACE European Group'!B102+'Danica Pensjonsforsikring'!B102+'DNB Livsforsikring'!B102+'Eika Forsikring AS'!B102+'Frende Livsforsikring'!B102+'Frende Skadeforsikring'!B102+'Gjensidige Forsikring'!B102+'Gjensidige Pensjon'!B102+'Handelsbanken Liv'!B102+'If Skadeforsikring NUF'!B102+KLP!B102+'KLP Bedriftspensjon AS'!B102+'KLP Skadeforsikring AS'!B102+'Landbruksforsikring AS'!B102+'NEMI Forsikring'!B102+'Nordea Liv '!B102+'Oslo Pensjonsforsikring'!B102+'SHB Liv'!B102+'Silver Pensjonsforsikring AS'!B102+'Sparebank 1'!B102+'Storebrand Livsforsikring'!B102+'Telenor Forsikring'!B102+'Tryg Forsikring'!B102,"")</f>
        <v/>
      </c>
      <c r="C102" s="44" t="str">
        <f>IF($A$1=4,'ACE European Group'!C102+'Danica Pensjonsforsikring'!C102+'DNB Livsforsikring'!C102+'Eika Forsikring AS'!C102+'Frende Livsforsikring'!C102+'Frende Skadeforsikring'!C102+'Gjensidige Forsikring'!C102+'Gjensidige Pensjon'!C102+'Handelsbanken Liv'!C102+'If Skadeforsikring NUF'!C102+KLP!C102+'KLP Bedriftspensjon AS'!C102+'KLP Skadeforsikring AS'!C102+'Landbruksforsikring AS'!C102+'NEMI Forsikring'!C102+'Nordea Liv '!C102+'Oslo Pensjonsforsikring'!C102+'SHB Liv'!C102+'Silver Pensjonsforsikring AS'!C102+'Sparebank 1'!C102+'Storebrand Livsforsikring'!C102+'Telenor Forsikring'!C102+'Tryg Forsikring'!C102,"")</f>
        <v/>
      </c>
      <c r="D102" s="27" t="str">
        <f t="shared" si="39"/>
        <v/>
      </c>
      <c r="E102" s="44" t="str">
        <f>IF($A$1=4,'ACE European Group'!F102+'Danica Pensjonsforsikring'!F102+'DNB Livsforsikring'!F102+'Eika Forsikring AS'!F102+'Frende Livsforsikring'!F102+'Frende Skadeforsikring'!F102+'Gjensidige Forsikring'!F102+'Gjensidige Pensjon'!F102+'Handelsbanken Liv'!F102+'If Skadeforsikring NUF'!F102+KLP!F102+'KLP Bedriftspensjon AS'!F102+'KLP Skadeforsikring AS'!F102+'Landbruksforsikring AS'!F102+'NEMI Forsikring'!F102+'Nordea Liv '!F102+'Oslo Pensjonsforsikring'!F102+'SHB Liv'!F102+'Silver Pensjonsforsikring AS'!F102+'Sparebank 1'!F102+'Storebrand Livsforsikring'!F102+'Telenor Forsikring'!F102+'Tryg Forsikring'!F102,"")</f>
        <v/>
      </c>
      <c r="F102" s="44" t="str">
        <f>IF($A$1=4,'ACE European Group'!G102+'Danica Pensjonsforsikring'!G102+'DNB Livsforsikring'!G102+'Eika Forsikring AS'!G102+'Frende Livsforsikring'!G102+'Frende Skadeforsikring'!G102+'Gjensidige Forsikring'!G102+'Gjensidige Pensjon'!G102+'Handelsbanken Liv'!G102+'If Skadeforsikring NUF'!G102+KLP!G102+'KLP Bedriftspensjon AS'!G102+'KLP Skadeforsikring AS'!G102+'Landbruksforsikring AS'!G102+'NEMI Forsikring'!G102+'Nordea Liv '!G102+'Oslo Pensjonsforsikring'!G102+'SHB Liv'!G102+'Silver Pensjonsforsikring AS'!G102+'Sparebank 1'!G102+'Storebrand Livsforsikring'!G102+'Telenor Forsikring'!G102+'Tryg Forsikring'!G102,"")</f>
        <v/>
      </c>
      <c r="G102" s="165" t="str">
        <f t="shared" si="40"/>
        <v/>
      </c>
      <c r="H102" s="237">
        <f t="shared" si="31"/>
        <v>0</v>
      </c>
      <c r="I102" s="237">
        <f t="shared" si="32"/>
        <v>0</v>
      </c>
      <c r="J102" s="23"/>
    </row>
    <row r="103" spans="1:10" ht="15.75" customHeight="1" x14ac:dyDescent="0.2">
      <c r="A103" s="294" t="s">
        <v>12</v>
      </c>
      <c r="B103" s="235">
        <f>'ACE European Group'!B103+'Danica Pensjonsforsikring'!B103+'DNB Livsforsikring'!B103+'Eika Forsikring AS'!B103+'Frende Livsforsikring'!B103+'Frende Skadeforsikring'!B103+'Gjensidige Forsikring'!B103+'Gjensidige Pensjon'!B103+'Handelsbanken Liv'!B103+'If Skadeforsikring NUF'!B103+KLP!B103+'KLP Bedriftspensjon AS'!B103+'KLP Skadeforsikring AS'!B103+'Landbruksforsikring AS'!B103+'NEMI Forsikring'!B103+'Nordea Liv '!B103+'Oslo Pensjonsforsikring'!B103+'SHB Liv'!B103+'Silver Pensjonsforsikring AS'!B103+'Sparebank 1'!B103+'Storebrand Livsforsikring'!B103+'Telenor Forsikring'!B103+'Tryg Forsikring'!B103</f>
        <v>0</v>
      </c>
      <c r="C103" s="235">
        <f>'ACE European Group'!C103+'Danica Pensjonsforsikring'!C103+'DNB Livsforsikring'!C103+'Eika Forsikring AS'!C103+'Frende Livsforsikring'!C103+'Frende Skadeforsikring'!C103+'Gjensidige Forsikring'!C103+'Gjensidige Pensjon'!C103+'Handelsbanken Liv'!C103+'If Skadeforsikring NUF'!C103+KLP!C103+'KLP Bedriftspensjon AS'!C103+'KLP Skadeforsikring AS'!C103+'Landbruksforsikring AS'!C103+'NEMI Forsikring'!C103+'Nordea Liv '!C103+'Oslo Pensjonsforsikring'!C103+'SHB Liv'!C103+'Silver Pensjonsforsikring AS'!C103+'Sparebank 1'!C103+'Storebrand Livsforsikring'!C103+'Telenor Forsikring'!C103+'Tryg Forsikring'!C103</f>
        <v>0</v>
      </c>
      <c r="D103" s="27" t="str">
        <f t="shared" si="39"/>
        <v/>
      </c>
      <c r="E103" s="44" t="str">
        <f>IF($A$1=4,'ACE European Group'!F103+'Danica Pensjonsforsikring'!F103+'DNB Livsforsikring'!F103+'Eika Forsikring AS'!F103+'Frende Livsforsikring'!F103+'Frende Skadeforsikring'!F103+'Gjensidige Forsikring'!F103+'Gjensidige Pensjon'!F103+'Handelsbanken Liv'!F103+'If Skadeforsikring NUF'!F103+KLP!F103+'KLP Bedriftspensjon AS'!F103+'KLP Skadeforsikring AS'!F103+'Landbruksforsikring AS'!F103+'NEMI Forsikring'!F103+'Nordea Liv '!F103+'Oslo Pensjonsforsikring'!F103+'SHB Liv'!F103+'Silver Pensjonsforsikring AS'!F103+'Sparebank 1'!F103+'Storebrand Livsforsikring'!F103+'Telenor Forsikring'!F103+'Tryg Forsikring'!F103,"")</f>
        <v/>
      </c>
      <c r="F103" s="44" t="str">
        <f>IF($A$1=4,'ACE European Group'!G103+'Danica Pensjonsforsikring'!G103+'DNB Livsforsikring'!G103+'Eika Forsikring AS'!G103+'Frende Livsforsikring'!G103+'Frende Skadeforsikring'!G103+'Gjensidige Forsikring'!G103+'Gjensidige Pensjon'!G103+'Handelsbanken Liv'!G103+'If Skadeforsikring NUF'!G103+KLP!G103+'KLP Bedriftspensjon AS'!G103+'KLP Skadeforsikring AS'!G103+'Landbruksforsikring AS'!G103+'NEMI Forsikring'!G103+'Nordea Liv '!G103+'Oslo Pensjonsforsikring'!G103+'SHB Liv'!G103+'Silver Pensjonsforsikring AS'!G103+'Sparebank 1'!G103+'Storebrand Livsforsikring'!G103+'Telenor Forsikring'!G103+'Tryg Forsikring'!G103,"")</f>
        <v/>
      </c>
      <c r="G103" s="165" t="str">
        <f t="shared" si="40"/>
        <v/>
      </c>
      <c r="H103" s="237">
        <f t="shared" si="31"/>
        <v>0</v>
      </c>
      <c r="I103" s="237">
        <f t="shared" si="32"/>
        <v>0</v>
      </c>
      <c r="J103" s="23"/>
    </row>
    <row r="104" spans="1:10" ht="15.75" customHeight="1" x14ac:dyDescent="0.2">
      <c r="A104" s="294" t="s">
        <v>13</v>
      </c>
      <c r="B104" s="235">
        <f>'ACE European Group'!B104+'Danica Pensjonsforsikring'!B104+'DNB Livsforsikring'!B104+'Eika Forsikring AS'!B104+'Frende Livsforsikring'!B104+'Frende Skadeforsikring'!B104+'Gjensidige Forsikring'!B104+'Gjensidige Pensjon'!B104+'Handelsbanken Liv'!B104+'If Skadeforsikring NUF'!B104+KLP!B104+'KLP Bedriftspensjon AS'!B104+'KLP Skadeforsikring AS'!B104+'Landbruksforsikring AS'!B104+'NEMI Forsikring'!B104+'Nordea Liv '!B104+'Oslo Pensjonsforsikring'!B104+'SHB Liv'!B104+'Silver Pensjonsforsikring AS'!B104+'Sparebank 1'!B104+'Storebrand Livsforsikring'!B104+'Telenor Forsikring'!B104+'Tryg Forsikring'!B104</f>
        <v>0</v>
      </c>
      <c r="C104" s="235">
        <f>'ACE European Group'!C104+'Danica Pensjonsforsikring'!C104+'DNB Livsforsikring'!C104+'Eika Forsikring AS'!C104+'Frende Livsforsikring'!C104+'Frende Skadeforsikring'!C104+'Gjensidige Forsikring'!C104+'Gjensidige Pensjon'!C104+'Handelsbanken Liv'!C104+'If Skadeforsikring NUF'!C104+KLP!C104+'KLP Bedriftspensjon AS'!C104+'KLP Skadeforsikring AS'!C104+'Landbruksforsikring AS'!C104+'NEMI Forsikring'!C104+'Nordea Liv '!C104+'Oslo Pensjonsforsikring'!C104+'SHB Liv'!C104+'Silver Pensjonsforsikring AS'!C104+'Sparebank 1'!C104+'Storebrand Livsforsikring'!C104+'Telenor Forsikring'!C104+'Tryg Forsikring'!C104</f>
        <v>0</v>
      </c>
      <c r="D104" s="27" t="str">
        <f t="shared" si="39"/>
        <v/>
      </c>
      <c r="E104" s="44" t="str">
        <f>IF($A$1=4,'ACE European Group'!F104+'Danica Pensjonsforsikring'!F104+'DNB Livsforsikring'!F104+'Eika Forsikring AS'!F104+'Frende Livsforsikring'!F104+'Frende Skadeforsikring'!F104+'Gjensidige Forsikring'!F104+'Gjensidige Pensjon'!F104+'Handelsbanken Liv'!F104+'If Skadeforsikring NUF'!F104+KLP!F104+'KLP Bedriftspensjon AS'!F104+'KLP Skadeforsikring AS'!F104+'Landbruksforsikring AS'!F104+'NEMI Forsikring'!F104+'Nordea Liv '!F104+'Oslo Pensjonsforsikring'!F104+'SHB Liv'!F104+'Silver Pensjonsforsikring AS'!F104+'Sparebank 1'!F104+'Storebrand Livsforsikring'!F104+'Telenor Forsikring'!F104+'Tryg Forsikring'!F104,"")</f>
        <v/>
      </c>
      <c r="F104" s="44" t="str">
        <f>IF($A$1=4,'ACE European Group'!G104+'Danica Pensjonsforsikring'!G104+'DNB Livsforsikring'!G104+'Eika Forsikring AS'!G104+'Frende Livsforsikring'!G104+'Frende Skadeforsikring'!G104+'Gjensidige Forsikring'!G104+'Gjensidige Pensjon'!G104+'Handelsbanken Liv'!G104+'If Skadeforsikring NUF'!G104+KLP!G104+'KLP Bedriftspensjon AS'!G104+'KLP Skadeforsikring AS'!G104+'Landbruksforsikring AS'!G104+'NEMI Forsikring'!G104+'Nordea Liv '!G104+'Oslo Pensjonsforsikring'!G104+'SHB Liv'!G104+'Silver Pensjonsforsikring AS'!G104+'Sparebank 1'!G104+'Storebrand Livsforsikring'!G104+'Telenor Forsikring'!G104+'Tryg Forsikring'!G104,"")</f>
        <v/>
      </c>
      <c r="G104" s="165" t="str">
        <f t="shared" si="40"/>
        <v/>
      </c>
      <c r="H104" s="237">
        <f t="shared" si="31"/>
        <v>0</v>
      </c>
      <c r="I104" s="237">
        <f t="shared" si="32"/>
        <v>0</v>
      </c>
      <c r="J104" s="23"/>
    </row>
    <row r="105" spans="1:10" ht="15.75" customHeight="1" x14ac:dyDescent="0.2">
      <c r="A105" s="21" t="s">
        <v>327</v>
      </c>
      <c r="B105" s="234">
        <f>'ACE European Group'!B105+'Danica Pensjonsforsikring'!B105+'DNB Livsforsikring'!B105+'Eika Forsikring AS'!B105+'Frende Livsforsikring'!B105+'Frende Skadeforsikring'!B105+'Gjensidige Forsikring'!B105+'Gjensidige Pensjon'!B105+'Handelsbanken Liv'!B105+'If Skadeforsikring NUF'!B105+KLP!B105+'KLP Bedriftspensjon AS'!B105+'KLP Skadeforsikring AS'!B105+'Landbruksforsikring AS'!B105+'NEMI Forsikring'!B105+'Nordea Liv '!B105+'Oslo Pensjonsforsikring'!B105+'SHB Liv'!B105+'Silver Pensjonsforsikring AS'!B105+'Sparebank 1'!B105+'Storebrand Livsforsikring'!B105+'Telenor Forsikring'!B105+'Tryg Forsikring'!B105</f>
        <v>4945012.5329999998</v>
      </c>
      <c r="C105" s="234">
        <f>'ACE European Group'!C105+'Danica Pensjonsforsikring'!C105+'DNB Livsforsikring'!C105+'Eika Forsikring AS'!C105+'Frende Livsforsikring'!C105+'Frende Skadeforsikring'!C105+'Gjensidige Forsikring'!C105+'Gjensidige Pensjon'!C105+'Handelsbanken Liv'!C105+'If Skadeforsikring NUF'!C105+KLP!C105+'KLP Bedriftspensjon AS'!C105+'KLP Skadeforsikring AS'!C105+'Landbruksforsikring AS'!C105+'NEMI Forsikring'!C105+'Nordea Liv '!C105+'Oslo Pensjonsforsikring'!C105+'SHB Liv'!C105+'Silver Pensjonsforsikring AS'!C105+'Sparebank 1'!C105+'Storebrand Livsforsikring'!C105+'Telenor Forsikring'!C105+'Tryg Forsikring'!C105</f>
        <v>4908957.5640000002</v>
      </c>
      <c r="D105" s="23">
        <f t="shared" si="17"/>
        <v>-0.7</v>
      </c>
      <c r="E105" s="44">
        <f>'ACE European Group'!F105+'Danica Pensjonsforsikring'!F105+'DNB Livsforsikring'!F105+'Eika Forsikring AS'!F105+'Frende Livsforsikring'!F105+'Frende Skadeforsikring'!F105+'Gjensidige Forsikring'!F105+'Gjensidige Pensjon'!F105+'Handelsbanken Liv'!F105+'If Skadeforsikring NUF'!F105+KLP!F105+'KLP Bedriftspensjon AS'!F105+'KLP Skadeforsikring AS'!F105+'Landbruksforsikring AS'!F105+'NEMI Forsikring'!F105+'Nordea Liv '!F105+'Oslo Pensjonsforsikring'!F105+'SHB Liv'!F105+'Silver Pensjonsforsikring AS'!F105+'Sparebank 1'!F105+'Storebrand Livsforsikring'!F105+'Telenor Forsikring'!F105+'Tryg Forsikring'!F105</f>
        <v>432747.86035000003</v>
      </c>
      <c r="F105" s="44">
        <f>'ACE European Group'!G105+'Danica Pensjonsforsikring'!G105+'DNB Livsforsikring'!G105+'Eika Forsikring AS'!G105+'Frende Livsforsikring'!G105+'Frende Skadeforsikring'!G105+'Gjensidige Forsikring'!G105+'Gjensidige Pensjon'!G105+'Handelsbanken Liv'!G105+'If Skadeforsikring NUF'!G105+KLP!G105+'KLP Bedriftspensjon AS'!G105+'KLP Skadeforsikring AS'!G105+'Landbruksforsikring AS'!G105+'NEMI Forsikring'!G105+'Nordea Liv '!G105+'Oslo Pensjonsforsikring'!G105+'SHB Liv'!G105+'Silver Pensjonsforsikring AS'!G105+'Sparebank 1'!G105+'Storebrand Livsforsikring'!G105+'Telenor Forsikring'!G105+'Tryg Forsikring'!G105</f>
        <v>532788.43828999996</v>
      </c>
      <c r="G105" s="165">
        <f t="shared" si="18"/>
        <v>23.1</v>
      </c>
      <c r="H105" s="237">
        <f t="shared" si="31"/>
        <v>5377760.3933499996</v>
      </c>
      <c r="I105" s="237">
        <f t="shared" si="32"/>
        <v>5441746.0022900002</v>
      </c>
      <c r="J105" s="23">
        <f t="shared" si="21"/>
        <v>1.2</v>
      </c>
    </row>
    <row r="106" spans="1:10" ht="15.75" customHeight="1" x14ac:dyDescent="0.2">
      <c r="A106" s="21" t="s">
        <v>328</v>
      </c>
      <c r="B106" s="234">
        <f>'ACE European Group'!B106+'Danica Pensjonsforsikring'!B106+'DNB Livsforsikring'!B106+'Eika Forsikring AS'!B106+'Frende Livsforsikring'!B106+'Frende Skadeforsikring'!B106+'Gjensidige Forsikring'!B106+'Gjensidige Pensjon'!B106+'Handelsbanken Liv'!B106+'If Skadeforsikring NUF'!B106+KLP!B106+'KLP Bedriftspensjon AS'!B106+'KLP Skadeforsikring AS'!B106+'Landbruksforsikring AS'!B106+'NEMI Forsikring'!B106+'Nordea Liv '!B106+'Oslo Pensjonsforsikring'!B106+'SHB Liv'!B106+'Silver Pensjonsforsikring AS'!B106+'Sparebank 1'!B106+'Storebrand Livsforsikring'!B106+'Telenor Forsikring'!B106+'Tryg Forsikring'!B106</f>
        <v>263770175.58889639</v>
      </c>
      <c r="C106" s="234">
        <f>'ACE European Group'!C106+'Danica Pensjonsforsikring'!C106+'DNB Livsforsikring'!C106+'Eika Forsikring AS'!C106+'Frende Livsforsikring'!C106+'Frende Skadeforsikring'!C106+'Gjensidige Forsikring'!C106+'Gjensidige Pensjon'!C106+'Handelsbanken Liv'!C106+'If Skadeforsikring NUF'!C106+KLP!C106+'KLP Bedriftspensjon AS'!C106+'KLP Skadeforsikring AS'!C106+'Landbruksforsikring AS'!C106+'NEMI Forsikring'!C106+'Nordea Liv '!C106+'Oslo Pensjonsforsikring'!C106+'SHB Liv'!C106+'Silver Pensjonsforsikring AS'!C106+'Sparebank 1'!C106+'Storebrand Livsforsikring'!C106+'Telenor Forsikring'!C106+'Tryg Forsikring'!C106</f>
        <v>292631426.33979529</v>
      </c>
      <c r="D106" s="23">
        <f t="shared" si="17"/>
        <v>10.9</v>
      </c>
      <c r="E106" s="44">
        <f>'ACE European Group'!F106+'Danica Pensjonsforsikring'!F106+'DNB Livsforsikring'!F106+'Eika Forsikring AS'!F106+'Frende Livsforsikring'!F106+'Frende Skadeforsikring'!F106+'Gjensidige Forsikring'!F106+'Gjensidige Pensjon'!F106+'Handelsbanken Liv'!F106+'If Skadeforsikring NUF'!F106+KLP!F106+'KLP Bedriftspensjon AS'!F106+'KLP Skadeforsikring AS'!F106+'Landbruksforsikring AS'!F106+'NEMI Forsikring'!F106+'Nordea Liv '!F106+'Oslo Pensjonsforsikring'!F106+'SHB Liv'!F106+'Silver Pensjonsforsikring AS'!F106+'Sparebank 1'!F106+'Storebrand Livsforsikring'!F106+'Telenor Forsikring'!F106+'Tryg Forsikring'!F106</f>
        <v>5195885.0929999994</v>
      </c>
      <c r="F106" s="44">
        <f>'ACE European Group'!G106+'Danica Pensjonsforsikring'!G106+'DNB Livsforsikring'!G106+'Eika Forsikring AS'!G106+'Frende Livsforsikring'!G106+'Frende Skadeforsikring'!G106+'Gjensidige Forsikring'!G106+'Gjensidige Pensjon'!G106+'Handelsbanken Liv'!G106+'If Skadeforsikring NUF'!G106+KLP!G106+'KLP Bedriftspensjon AS'!G106+'KLP Skadeforsikring AS'!G106+'Landbruksforsikring AS'!G106+'NEMI Forsikring'!G106+'Nordea Liv '!G106+'Oslo Pensjonsforsikring'!G106+'SHB Liv'!G106+'Silver Pensjonsforsikring AS'!G106+'Sparebank 1'!G106+'Storebrand Livsforsikring'!G106+'Telenor Forsikring'!G106+'Tryg Forsikring'!G106</f>
        <v>6512736.4230000004</v>
      </c>
      <c r="G106" s="165">
        <f t="shared" si="18"/>
        <v>25.3</v>
      </c>
      <c r="H106" s="237">
        <f t="shared" si="31"/>
        <v>268966060.68189639</v>
      </c>
      <c r="I106" s="237">
        <f t="shared" si="32"/>
        <v>299144162.76279527</v>
      </c>
      <c r="J106" s="23">
        <f t="shared" si="21"/>
        <v>11.2</v>
      </c>
    </row>
    <row r="107" spans="1:10" ht="15.75" customHeight="1" x14ac:dyDescent="0.2">
      <c r="A107" s="21" t="s">
        <v>320</v>
      </c>
      <c r="B107" s="234">
        <f>'ACE European Group'!B107+'Danica Pensjonsforsikring'!B107+'DNB Livsforsikring'!B107+'Eika Forsikring AS'!B107+'Frende Livsforsikring'!B107+'Frende Skadeforsikring'!B107+'Gjensidige Forsikring'!B107+'Gjensidige Pensjon'!B107+'Handelsbanken Liv'!B107+'If Skadeforsikring NUF'!B107+KLP!B107+'KLP Bedriftspensjon AS'!B107+'KLP Skadeforsikring AS'!B107+'Landbruksforsikring AS'!B107+'NEMI Forsikring'!B107+'Nordea Liv '!B107+'Oslo Pensjonsforsikring'!B107+'SHB Liv'!B107+'Silver Pensjonsforsikring AS'!B107+'Sparebank 1'!B107+'Storebrand Livsforsikring'!B107+'Telenor Forsikring'!B107+'Tryg Forsikring'!B107</f>
        <v>723847.59148000006</v>
      </c>
      <c r="C107" s="234">
        <f>'ACE European Group'!C107+'Danica Pensjonsforsikring'!C107+'DNB Livsforsikring'!C107+'Eika Forsikring AS'!C107+'Frende Livsforsikring'!C107+'Frende Skadeforsikring'!C107+'Gjensidige Forsikring'!C107+'Gjensidige Pensjon'!C107+'Handelsbanken Liv'!C107+'If Skadeforsikring NUF'!C107+KLP!C107+'KLP Bedriftspensjon AS'!C107+'KLP Skadeforsikring AS'!C107+'Landbruksforsikring AS'!C107+'NEMI Forsikring'!C107+'Nordea Liv '!C107+'Oslo Pensjonsforsikring'!C107+'SHB Liv'!C107+'Silver Pensjonsforsikring AS'!C107+'Sparebank 1'!C107+'Storebrand Livsforsikring'!C107+'Telenor Forsikring'!C107+'Tryg Forsikring'!C107</f>
        <v>764270.58198000002</v>
      </c>
      <c r="D107" s="23">
        <f t="shared" si="17"/>
        <v>5.6</v>
      </c>
      <c r="E107" s="44">
        <f>'ACE European Group'!F107+'Danica Pensjonsforsikring'!F107+'DNB Livsforsikring'!F107+'Eika Forsikring AS'!F107+'Frende Livsforsikring'!F107+'Frende Skadeforsikring'!F107+'Gjensidige Forsikring'!F107+'Gjensidige Pensjon'!F107+'Handelsbanken Liv'!F107+'If Skadeforsikring NUF'!F107+KLP!F107+'KLP Bedriftspensjon AS'!F107+'KLP Skadeforsikring AS'!F107+'Landbruksforsikring AS'!F107+'NEMI Forsikring'!F107+'Nordea Liv '!F107+'Oslo Pensjonsforsikring'!F107+'SHB Liv'!F107+'Silver Pensjonsforsikring AS'!F107+'Sparebank 1'!F107+'Storebrand Livsforsikring'!F107+'Telenor Forsikring'!F107+'Tryg Forsikring'!F107</f>
        <v>48339642.753691941</v>
      </c>
      <c r="F107" s="44">
        <f>'ACE European Group'!G107+'Danica Pensjonsforsikring'!G107+'DNB Livsforsikring'!G107+'Eika Forsikring AS'!G107+'Frende Livsforsikring'!G107+'Frende Skadeforsikring'!G107+'Gjensidige Forsikring'!G107+'Gjensidige Pensjon'!G107+'Handelsbanken Liv'!G107+'If Skadeforsikring NUF'!G107+KLP!G107+'KLP Bedriftspensjon AS'!G107+'KLP Skadeforsikring AS'!G107+'Landbruksforsikring AS'!G107+'NEMI Forsikring'!G107+'Nordea Liv '!G107+'Oslo Pensjonsforsikring'!G107+'SHB Liv'!G107+'Silver Pensjonsforsikring AS'!G107+'Sparebank 1'!G107+'Storebrand Livsforsikring'!G107+'Telenor Forsikring'!G107+'Tryg Forsikring'!G107</f>
        <v>63259833.678388</v>
      </c>
      <c r="G107" s="165">
        <f t="shared" si="18"/>
        <v>30.9</v>
      </c>
      <c r="H107" s="237">
        <f t="shared" si="31"/>
        <v>49063490.345171943</v>
      </c>
      <c r="I107" s="237">
        <f t="shared" si="32"/>
        <v>64024104.260367997</v>
      </c>
      <c r="J107" s="23">
        <f t="shared" si="21"/>
        <v>30.5</v>
      </c>
    </row>
    <row r="108" spans="1:10" ht="15.75" customHeight="1" x14ac:dyDescent="0.2">
      <c r="A108" s="21" t="s">
        <v>321</v>
      </c>
      <c r="B108" s="234">
        <f>'ACE European Group'!B108+'Danica Pensjonsforsikring'!B108+'DNB Livsforsikring'!B108+'Eika Forsikring AS'!B108+'Frende Livsforsikring'!B108+'Frende Skadeforsikring'!B108+'Gjensidige Forsikring'!B108+'Gjensidige Pensjon'!B108+'Handelsbanken Liv'!B108+'If Skadeforsikring NUF'!B108+KLP!B108+'KLP Bedriftspensjon AS'!B108+'KLP Skadeforsikring AS'!B108+'Landbruksforsikring AS'!B108+'NEMI Forsikring'!B108+'Nordea Liv '!B108+'Oslo Pensjonsforsikring'!B108+'SHB Liv'!B108+'Silver Pensjonsforsikring AS'!B108+'Sparebank 1'!B108+'Storebrand Livsforsikring'!B108+'Telenor Forsikring'!B108+'Tryg Forsikring'!B108</f>
        <v>0</v>
      </c>
      <c r="C108" s="234">
        <f>'ACE European Group'!C108+'Danica Pensjonsforsikring'!C108+'DNB Livsforsikring'!C108+'Eika Forsikring AS'!C108+'Frende Livsforsikring'!C108+'Frende Skadeforsikring'!C108+'Gjensidige Forsikring'!C108+'Gjensidige Pensjon'!C108+'Handelsbanken Liv'!C108+'If Skadeforsikring NUF'!C108+KLP!C108+'KLP Bedriftspensjon AS'!C108+'KLP Skadeforsikring AS'!C108+'Landbruksforsikring AS'!C108+'NEMI Forsikring'!C108+'Nordea Liv '!C108+'Oslo Pensjonsforsikring'!C108+'SHB Liv'!C108+'Silver Pensjonsforsikring AS'!C108+'Sparebank 1'!C108+'Storebrand Livsforsikring'!C108+'Telenor Forsikring'!C108+'Tryg Forsikring'!C108</f>
        <v>6080.3970099999997</v>
      </c>
      <c r="D108" s="23" t="str">
        <f t="shared" si="17"/>
        <v xml:space="preserve">    ---- </v>
      </c>
      <c r="E108" s="44">
        <f>'ACE European Group'!F108+'Danica Pensjonsforsikring'!F108+'DNB Livsforsikring'!F108+'Eika Forsikring AS'!F108+'Frende Livsforsikring'!F108+'Frende Skadeforsikring'!F108+'Gjensidige Forsikring'!F108+'Gjensidige Pensjon'!F108+'Handelsbanken Liv'!F108+'If Skadeforsikring NUF'!F108+KLP!F108+'KLP Bedriftspensjon AS'!F108+'KLP Skadeforsikring AS'!F108+'Landbruksforsikring AS'!F108+'NEMI Forsikring'!F108+'Nordea Liv '!F108+'Oslo Pensjonsforsikring'!F108+'SHB Liv'!F108+'Silver Pensjonsforsikring AS'!F108+'Sparebank 1'!F108+'Storebrand Livsforsikring'!F108+'Telenor Forsikring'!F108+'Tryg Forsikring'!F108</f>
        <v>0</v>
      </c>
      <c r="F108" s="44">
        <f>'ACE European Group'!G108+'Danica Pensjonsforsikring'!G108+'DNB Livsforsikring'!G108+'Eika Forsikring AS'!G108+'Frende Livsforsikring'!G108+'Frende Skadeforsikring'!G108+'Gjensidige Forsikring'!G108+'Gjensidige Pensjon'!G108+'Handelsbanken Liv'!G108+'If Skadeforsikring NUF'!G108+KLP!G108+'KLP Bedriftspensjon AS'!G108+'KLP Skadeforsikring AS'!G108+'Landbruksforsikring AS'!G108+'NEMI Forsikring'!G108+'Nordea Liv '!G108+'Oslo Pensjonsforsikring'!G108+'SHB Liv'!G108+'Silver Pensjonsforsikring AS'!G108+'Sparebank 1'!G108+'Storebrand Livsforsikring'!G108+'Telenor Forsikring'!G108+'Tryg Forsikring'!G108</f>
        <v>0</v>
      </c>
      <c r="G108" s="165"/>
      <c r="H108" s="237">
        <f t="shared" si="31"/>
        <v>0</v>
      </c>
      <c r="I108" s="237">
        <f t="shared" si="32"/>
        <v>6080.3970099999997</v>
      </c>
      <c r="J108" s="23" t="str">
        <f t="shared" si="21"/>
        <v xml:space="preserve">    ---- </v>
      </c>
    </row>
    <row r="109" spans="1:10" s="43" customFormat="1" ht="15.75" customHeight="1" x14ac:dyDescent="0.2">
      <c r="A109" s="13" t="s">
        <v>25</v>
      </c>
      <c r="B109" s="306">
        <f>'ACE European Group'!B109+'Danica Pensjonsforsikring'!B109+'DNB Livsforsikring'!B109+'Eika Forsikring AS'!B109+'Frende Livsforsikring'!B109+'Frende Skadeforsikring'!B109+'Gjensidige Forsikring'!B109+'Gjensidige Pensjon'!B109+'Handelsbanken Liv'!B109+'If Skadeforsikring NUF'!B109+KLP!B109+'KLP Bedriftspensjon AS'!B109+'KLP Skadeforsikring AS'!B109+'Landbruksforsikring AS'!B109+'NEMI Forsikring'!B109+'Nordea Liv '!B109+'Oslo Pensjonsforsikring'!B109+'SHB Liv'!B109+'Silver Pensjonsforsikring AS'!B109+'Sparebank 1'!B109+'Storebrand Livsforsikring'!B109+'Telenor Forsikring'!B109+'Tryg Forsikring'!B109</f>
        <v>543703.61654000008</v>
      </c>
      <c r="C109" s="306">
        <f>'ACE European Group'!C109+'Danica Pensjonsforsikring'!C109+'DNB Livsforsikring'!C109+'Eika Forsikring AS'!C109+'Frende Livsforsikring'!C109+'Frende Skadeforsikring'!C109+'Gjensidige Forsikring'!C109+'Gjensidige Pensjon'!C109+'Handelsbanken Liv'!C109+'If Skadeforsikring NUF'!C109+KLP!C109+'KLP Bedriftspensjon AS'!C109+'KLP Skadeforsikring AS'!C109+'Landbruksforsikring AS'!C109+'NEMI Forsikring'!C109+'Nordea Liv '!C109+'Oslo Pensjonsforsikring'!C109+'SHB Liv'!C109+'Silver Pensjonsforsikring AS'!C109+'Sparebank 1'!C109+'Storebrand Livsforsikring'!C109+'Telenor Forsikring'!C109+'Tryg Forsikring'!C109</f>
        <v>348180.27505</v>
      </c>
      <c r="D109" s="24">
        <f t="shared" si="17"/>
        <v>-36</v>
      </c>
      <c r="E109" s="236">
        <f>'ACE European Group'!F109+'Danica Pensjonsforsikring'!F109+'DNB Livsforsikring'!F109+'Eika Forsikring AS'!F109+'Frende Livsforsikring'!F109+'Frende Skadeforsikring'!F109+'Gjensidige Forsikring'!F109+'Gjensidige Pensjon'!F109+'Handelsbanken Liv'!F109+'If Skadeforsikring NUF'!F109+KLP!F109+'KLP Bedriftspensjon AS'!F109+'KLP Skadeforsikring AS'!F109+'Landbruksforsikring AS'!F109+'NEMI Forsikring'!F109+'Nordea Liv '!F109+'Oslo Pensjonsforsikring'!F109+'SHB Liv'!F109+'Silver Pensjonsforsikring AS'!F109+'Sparebank 1'!F109+'Storebrand Livsforsikring'!F109+'Telenor Forsikring'!F109+'Tryg Forsikring'!F109</f>
        <v>3032397.5708900001</v>
      </c>
      <c r="F109" s="236">
        <f>'ACE European Group'!G109+'Danica Pensjonsforsikring'!G109+'DNB Livsforsikring'!G109+'Eika Forsikring AS'!G109+'Frende Livsforsikring'!G109+'Frende Skadeforsikring'!G109+'Gjensidige Forsikring'!G109+'Gjensidige Pensjon'!G109+'Handelsbanken Liv'!G109+'If Skadeforsikring NUF'!G109+KLP!G109+'KLP Bedriftspensjon AS'!G109+'KLP Skadeforsikring AS'!G109+'Landbruksforsikring AS'!G109+'NEMI Forsikring'!G109+'Nordea Liv '!G109+'Oslo Pensjonsforsikring'!G109+'SHB Liv'!G109+'Silver Pensjonsforsikring AS'!G109+'Sparebank 1'!G109+'Storebrand Livsforsikring'!G109+'Telenor Forsikring'!G109+'Tryg Forsikring'!G109</f>
        <v>6470682.6570500005</v>
      </c>
      <c r="G109" s="170">
        <f t="shared" si="18"/>
        <v>113.4</v>
      </c>
      <c r="H109" s="324">
        <f t="shared" si="31"/>
        <v>3576101.1874299999</v>
      </c>
      <c r="I109" s="324">
        <f t="shared" si="32"/>
        <v>6818862.9321000008</v>
      </c>
      <c r="J109" s="24">
        <f t="shared" si="21"/>
        <v>90.7</v>
      </c>
    </row>
    <row r="110" spans="1:10" ht="15.75" customHeight="1" x14ac:dyDescent="0.2">
      <c r="A110" s="21" t="s">
        <v>9</v>
      </c>
      <c r="B110" s="234">
        <f>'ACE European Group'!B110+'Danica Pensjonsforsikring'!B110+'DNB Livsforsikring'!B110+'Eika Forsikring AS'!B110+'Frende Livsforsikring'!B110+'Frende Skadeforsikring'!B110+'Gjensidige Forsikring'!B110+'Gjensidige Pensjon'!B110+'Handelsbanken Liv'!B110+'If Skadeforsikring NUF'!B110+KLP!B110+'KLP Bedriftspensjon AS'!B110+'KLP Skadeforsikring AS'!B110+'Landbruksforsikring AS'!B110+'NEMI Forsikring'!B110+'Nordea Liv '!B110+'Oslo Pensjonsforsikring'!B110+'SHB Liv'!B110+'Silver Pensjonsforsikring AS'!B110+'Sparebank 1'!B110+'Storebrand Livsforsikring'!B110+'Telenor Forsikring'!B110+'Tryg Forsikring'!B110</f>
        <v>540202.35700000008</v>
      </c>
      <c r="C110" s="234">
        <f>'ACE European Group'!C110+'Danica Pensjonsforsikring'!C110+'DNB Livsforsikring'!C110+'Eika Forsikring AS'!C110+'Frende Livsforsikring'!C110+'Frende Skadeforsikring'!C110+'Gjensidige Forsikring'!C110+'Gjensidige Pensjon'!C110+'Handelsbanken Liv'!C110+'If Skadeforsikring NUF'!C110+KLP!C110+'KLP Bedriftspensjon AS'!C110+'KLP Skadeforsikring AS'!C110+'Landbruksforsikring AS'!C110+'NEMI Forsikring'!C110+'Nordea Liv '!C110+'Oslo Pensjonsforsikring'!C110+'SHB Liv'!C110+'Silver Pensjonsforsikring AS'!C110+'Sparebank 1'!C110+'Storebrand Livsforsikring'!C110+'Telenor Forsikring'!C110+'Tryg Forsikring'!C110</f>
        <v>325956.20072000002</v>
      </c>
      <c r="D110" s="23">
        <f t="shared" ref="D110:D123" si="41">IF(B110=0, "    ---- ", IF(ABS(ROUND(100/B110*C110-100,1))&lt;999,ROUND(100/B110*C110-100,1),IF(ROUND(100/B110*C110-100,1)&gt;999,999,-999)))</f>
        <v>-39.700000000000003</v>
      </c>
      <c r="E110" s="44">
        <f>'ACE European Group'!F110+'Danica Pensjonsforsikring'!F110+'DNB Livsforsikring'!F110+'Eika Forsikring AS'!F110+'Frende Livsforsikring'!F110+'Frende Skadeforsikring'!F110+'Gjensidige Forsikring'!F110+'Gjensidige Pensjon'!F110+'Handelsbanken Liv'!F110+'If Skadeforsikring NUF'!F110+KLP!F110+'KLP Bedriftspensjon AS'!F110+'KLP Skadeforsikring AS'!F110+'Landbruksforsikring AS'!F110+'NEMI Forsikring'!F110+'Nordea Liv '!F110+'Oslo Pensjonsforsikring'!F110+'SHB Liv'!F110+'Silver Pensjonsforsikring AS'!F110+'Sparebank 1'!F110+'Storebrand Livsforsikring'!F110+'Telenor Forsikring'!F110+'Tryg Forsikring'!F110</f>
        <v>0</v>
      </c>
      <c r="F110" s="44">
        <f>'ACE European Group'!G110+'Danica Pensjonsforsikring'!G110+'DNB Livsforsikring'!G110+'Eika Forsikring AS'!G110+'Frende Livsforsikring'!G110+'Frende Skadeforsikring'!G110+'Gjensidige Forsikring'!G110+'Gjensidige Pensjon'!G110+'Handelsbanken Liv'!G110+'If Skadeforsikring NUF'!G110+KLP!G110+'KLP Bedriftspensjon AS'!G110+'KLP Skadeforsikring AS'!G110+'Landbruksforsikring AS'!G110+'NEMI Forsikring'!G110+'Nordea Liv '!G110+'Oslo Pensjonsforsikring'!G110+'SHB Liv'!G110+'Silver Pensjonsforsikring AS'!G110+'Sparebank 1'!G110+'Storebrand Livsforsikring'!G110+'Telenor Forsikring'!G110+'Tryg Forsikring'!G110</f>
        <v>0</v>
      </c>
      <c r="G110" s="165" t="str">
        <f t="shared" ref="G110:G123" si="42">IF(E110=0, "    ---- ", IF(ABS(ROUND(100/E110*F110-100,1))&lt;999,ROUND(100/E110*F110-100,1),IF(ROUND(100/E110*F110-100,1)&gt;999,999,-999)))</f>
        <v xml:space="preserve">    ---- </v>
      </c>
      <c r="H110" s="237">
        <f t="shared" ref="H110:H124" si="43">SUM(B110,E110)</f>
        <v>540202.35700000008</v>
      </c>
      <c r="I110" s="237">
        <f t="shared" ref="I110:I124" si="44">SUM(C110,F110)</f>
        <v>325956.20072000002</v>
      </c>
      <c r="J110" s="23">
        <f t="shared" ref="J110:J123" si="45">IF(H110=0, "    ---- ", IF(ABS(ROUND(100/H110*I110-100,1))&lt;999,ROUND(100/H110*I110-100,1),IF(ROUND(100/H110*I110-100,1)&gt;999,999,-999)))</f>
        <v>-39.700000000000003</v>
      </c>
    </row>
    <row r="111" spans="1:10" ht="15.75" customHeight="1" x14ac:dyDescent="0.2">
      <c r="A111" s="21" t="s">
        <v>10</v>
      </c>
      <c r="B111" s="234">
        <f>'ACE European Group'!B111+'Danica Pensjonsforsikring'!B111+'DNB Livsforsikring'!B111+'Eika Forsikring AS'!B111+'Frende Livsforsikring'!B111+'Frende Skadeforsikring'!B111+'Gjensidige Forsikring'!B111+'Gjensidige Pensjon'!B111+'Handelsbanken Liv'!B111+'If Skadeforsikring NUF'!B111+KLP!B111+'KLP Bedriftspensjon AS'!B111+'KLP Skadeforsikring AS'!B111+'Landbruksforsikring AS'!B111+'NEMI Forsikring'!B111+'Nordea Liv '!B111+'Oslo Pensjonsforsikring'!B111+'SHB Liv'!B111+'Silver Pensjonsforsikring AS'!B111+'Sparebank 1'!B111+'Storebrand Livsforsikring'!B111+'Telenor Forsikring'!B111+'Tryg Forsikring'!B111</f>
        <v>3501.25954</v>
      </c>
      <c r="C111" s="234">
        <f>'ACE European Group'!C111+'Danica Pensjonsforsikring'!C111+'DNB Livsforsikring'!C111+'Eika Forsikring AS'!C111+'Frende Livsforsikring'!C111+'Frende Skadeforsikring'!C111+'Gjensidige Forsikring'!C111+'Gjensidige Pensjon'!C111+'Handelsbanken Liv'!C111+'If Skadeforsikring NUF'!C111+KLP!C111+'KLP Bedriftspensjon AS'!C111+'KLP Skadeforsikring AS'!C111+'Landbruksforsikring AS'!C111+'NEMI Forsikring'!C111+'Nordea Liv '!C111+'Oslo Pensjonsforsikring'!C111+'SHB Liv'!C111+'Silver Pensjonsforsikring AS'!C111+'Sparebank 1'!C111+'Storebrand Livsforsikring'!C111+'Telenor Forsikring'!C111+'Tryg Forsikring'!C111</f>
        <v>2529.2339999999999</v>
      </c>
      <c r="D111" s="23">
        <f t="shared" si="41"/>
        <v>-27.8</v>
      </c>
      <c r="E111" s="44">
        <f>'ACE European Group'!F111+'Danica Pensjonsforsikring'!F111+'DNB Livsforsikring'!F111+'Eika Forsikring AS'!F111+'Frende Livsforsikring'!F111+'Frende Skadeforsikring'!F111+'Gjensidige Forsikring'!F111+'Gjensidige Pensjon'!F111+'Handelsbanken Liv'!F111+'If Skadeforsikring NUF'!F111+KLP!F111+'KLP Bedriftspensjon AS'!F111+'KLP Skadeforsikring AS'!F111+'Landbruksforsikring AS'!F111+'NEMI Forsikring'!F111+'Nordea Liv '!F111+'Oslo Pensjonsforsikring'!F111+'SHB Liv'!F111+'Silver Pensjonsforsikring AS'!F111+'Sparebank 1'!F111+'Storebrand Livsforsikring'!F111+'Telenor Forsikring'!F111+'Tryg Forsikring'!F111</f>
        <v>3032397.5708900001</v>
      </c>
      <c r="F111" s="44">
        <f>'ACE European Group'!G111+'Danica Pensjonsforsikring'!G111+'DNB Livsforsikring'!G111+'Eika Forsikring AS'!G111+'Frende Livsforsikring'!G111+'Frende Skadeforsikring'!G111+'Gjensidige Forsikring'!G111+'Gjensidige Pensjon'!G111+'Handelsbanken Liv'!G111+'If Skadeforsikring NUF'!G111+KLP!G111+'KLP Bedriftspensjon AS'!G111+'KLP Skadeforsikring AS'!G111+'Landbruksforsikring AS'!G111+'NEMI Forsikring'!G111+'Nordea Liv '!G111+'Oslo Pensjonsforsikring'!G111+'SHB Liv'!G111+'Silver Pensjonsforsikring AS'!G111+'Sparebank 1'!G111+'Storebrand Livsforsikring'!G111+'Telenor Forsikring'!G111+'Tryg Forsikring'!G111</f>
        <v>6470682.6570500005</v>
      </c>
      <c r="G111" s="170">
        <f t="shared" si="42"/>
        <v>113.4</v>
      </c>
      <c r="H111" s="237">
        <f t="shared" si="43"/>
        <v>3035898.8304300001</v>
      </c>
      <c r="I111" s="237">
        <f t="shared" si="44"/>
        <v>6473211.8910500007</v>
      </c>
      <c r="J111" s="24">
        <f t="shared" si="45"/>
        <v>113.2</v>
      </c>
    </row>
    <row r="112" spans="1:10" ht="15.75" customHeight="1" x14ac:dyDescent="0.2">
      <c r="A112" s="21" t="s">
        <v>30</v>
      </c>
      <c r="B112" s="234">
        <f>'ACE European Group'!B112+'Danica Pensjonsforsikring'!B112+'DNB Livsforsikring'!B112+'Eika Forsikring AS'!B112+'Frende Livsforsikring'!B112+'Frende Skadeforsikring'!B112+'Gjensidige Forsikring'!B112+'Gjensidige Pensjon'!B112+'Handelsbanken Liv'!B112+'If Skadeforsikring NUF'!B112+KLP!B112+'KLP Bedriftspensjon AS'!B112+'KLP Skadeforsikring AS'!B112+'Landbruksforsikring AS'!B112+'NEMI Forsikring'!B112+'Nordea Liv '!B112+'Oslo Pensjonsforsikring'!B112+'SHB Liv'!B112+'Silver Pensjonsforsikring AS'!B112+'Sparebank 1'!B112+'Storebrand Livsforsikring'!B112+'Telenor Forsikring'!B112+'Tryg Forsikring'!B112</f>
        <v>0</v>
      </c>
      <c r="C112" s="234">
        <f>'ACE European Group'!C112+'Danica Pensjonsforsikring'!C112+'DNB Livsforsikring'!C112+'Eika Forsikring AS'!C112+'Frende Livsforsikring'!C112+'Frende Skadeforsikring'!C112+'Gjensidige Forsikring'!C112+'Gjensidige Pensjon'!C112+'Handelsbanken Liv'!C112+'If Skadeforsikring NUF'!C112+KLP!C112+'KLP Bedriftspensjon AS'!C112+'KLP Skadeforsikring AS'!C112+'Landbruksforsikring AS'!C112+'NEMI Forsikring'!C112+'Nordea Liv '!C112+'Oslo Pensjonsforsikring'!C112+'SHB Liv'!C112+'Silver Pensjonsforsikring AS'!C112+'Sparebank 1'!C112+'Storebrand Livsforsikring'!C112+'Telenor Forsikring'!C112+'Tryg Forsikring'!C112</f>
        <v>19694.840329999999</v>
      </c>
      <c r="D112" s="23" t="str">
        <f t="shared" si="41"/>
        <v xml:space="preserve">    ---- </v>
      </c>
      <c r="E112" s="44">
        <f>'ACE European Group'!F112+'Danica Pensjonsforsikring'!F112+'DNB Livsforsikring'!F112+'Eika Forsikring AS'!F112+'Frende Livsforsikring'!F112+'Frende Skadeforsikring'!F112+'Gjensidige Forsikring'!F112+'Gjensidige Pensjon'!F112+'Handelsbanken Liv'!F112+'If Skadeforsikring NUF'!F112+KLP!F112+'KLP Bedriftspensjon AS'!F112+'KLP Skadeforsikring AS'!F112+'Landbruksforsikring AS'!F112+'NEMI Forsikring'!F112+'Nordea Liv '!F112+'Oslo Pensjonsforsikring'!F112+'SHB Liv'!F112+'Silver Pensjonsforsikring AS'!F112+'Sparebank 1'!F112+'Storebrand Livsforsikring'!F112+'Telenor Forsikring'!F112+'Tryg Forsikring'!F112</f>
        <v>0</v>
      </c>
      <c r="F112" s="44">
        <f>'ACE European Group'!G112+'Danica Pensjonsforsikring'!G112+'DNB Livsforsikring'!G112+'Eika Forsikring AS'!G112+'Frende Livsforsikring'!G112+'Frende Skadeforsikring'!G112+'Gjensidige Forsikring'!G112+'Gjensidige Pensjon'!G112+'Handelsbanken Liv'!G112+'If Skadeforsikring NUF'!G112+KLP!G112+'KLP Bedriftspensjon AS'!G112+'KLP Skadeforsikring AS'!G112+'Landbruksforsikring AS'!G112+'NEMI Forsikring'!G112+'Nordea Liv '!G112+'Oslo Pensjonsforsikring'!G112+'SHB Liv'!G112+'Silver Pensjonsforsikring AS'!G112+'Sparebank 1'!G112+'Storebrand Livsforsikring'!G112+'Telenor Forsikring'!G112+'Tryg Forsikring'!G112</f>
        <v>0</v>
      </c>
      <c r="G112" s="170"/>
      <c r="H112" s="237">
        <f t="shared" si="43"/>
        <v>0</v>
      </c>
      <c r="I112" s="237">
        <f t="shared" si="44"/>
        <v>19694.840329999999</v>
      </c>
      <c r="J112" s="24" t="str">
        <f t="shared" si="45"/>
        <v xml:space="preserve">    ---- </v>
      </c>
    </row>
    <row r="113" spans="1:10" ht="15.75" customHeight="1" x14ac:dyDescent="0.2">
      <c r="A113" s="294" t="s">
        <v>15</v>
      </c>
      <c r="B113" s="44" t="str">
        <f>IF($A$1=4,'ACE European Group'!B113+'Danica Pensjonsforsikring'!B113+'DNB Livsforsikring'!B113+'Eika Forsikring AS'!B113+'Frende Livsforsikring'!B113+'Frende Skadeforsikring'!B113+'Gjensidige Forsikring'!B113+'Gjensidige Pensjon'!B113+'Handelsbanken Liv'!B113+'If Skadeforsikring NUF'!B113+KLP!B113+'KLP Bedriftspensjon AS'!B113+'KLP Skadeforsikring AS'!B113+'Landbruksforsikring AS'!B113+'NEMI Forsikring'!B113+'Nordea Liv '!B113+'Oslo Pensjonsforsikring'!B113+'SHB Liv'!B113+'Silver Pensjonsforsikring AS'!B113+'Sparebank 1'!B113+'Storebrand Livsforsikring'!B113+'Telenor Forsikring'!B113+'Tryg Forsikring'!B113,"")</f>
        <v/>
      </c>
      <c r="C113" s="44" t="str">
        <f>IF($A$1=4,'ACE European Group'!C113+'Danica Pensjonsforsikring'!C113+'DNB Livsforsikring'!C113+'Eika Forsikring AS'!C113+'Frende Livsforsikring'!C113+'Frende Skadeforsikring'!C113+'Gjensidige Forsikring'!C113+'Gjensidige Pensjon'!C113+'Handelsbanken Liv'!C113+'If Skadeforsikring NUF'!C113+KLP!C113+'KLP Bedriftspensjon AS'!C113+'KLP Skadeforsikring AS'!C113+'Landbruksforsikring AS'!C113+'NEMI Forsikring'!C113+'Nordea Liv '!C113+'Oslo Pensjonsforsikring'!C113+'SHB Liv'!C113+'Silver Pensjonsforsikring AS'!C113+'Sparebank 1'!C113+'Storebrand Livsforsikring'!C113+'Telenor Forsikring'!C113+'Tryg Forsikring'!C113,"")</f>
        <v/>
      </c>
      <c r="D113" s="27" t="str">
        <f>IF($A$1=4,IF(B113=0, "    ---- ", IF(ABS(ROUND(100/B113*C113-100,1))&lt;999,ROUND(100/B113*C113-100,1),IF(ROUND(100/B113*C113-100,1)&gt;999,999,-999))),"")</f>
        <v/>
      </c>
      <c r="E113" s="44" t="str">
        <f>IF($A$1=4,'ACE European Group'!F113+'Danica Pensjonsforsikring'!F113+'DNB Livsforsikring'!F113+'Eika Forsikring AS'!F113+'Frende Livsforsikring'!F113+'Frende Skadeforsikring'!F113+'Gjensidige Forsikring'!F113+'Gjensidige Pensjon'!F113+'Handelsbanken Liv'!F113+'If Skadeforsikring NUF'!F113+KLP!F113+'KLP Bedriftspensjon AS'!F113+'KLP Skadeforsikring AS'!F113+'Landbruksforsikring AS'!F113+'NEMI Forsikring'!F113+'Nordea Liv '!F113+'Oslo Pensjonsforsikring'!F113+'SHB Liv'!F113+'Silver Pensjonsforsikring AS'!F113+'Sparebank 1'!F113+'Storebrand Livsforsikring'!F113+'Telenor Forsikring'!F113+'Tryg Forsikring'!F113,"")</f>
        <v/>
      </c>
      <c r="F113" s="44" t="str">
        <f>IF($A$1=4,'ACE European Group'!G113+'Danica Pensjonsforsikring'!G113+'DNB Livsforsikring'!G113+'Eika Forsikring AS'!G113+'Frende Livsforsikring'!G113+'Frende Skadeforsikring'!G113+'Gjensidige Forsikring'!G113+'Gjensidige Pensjon'!G113+'Handelsbanken Liv'!G113+'If Skadeforsikring NUF'!G113+KLP!G113+'KLP Bedriftspensjon AS'!G113+'KLP Skadeforsikring AS'!G113+'Landbruksforsikring AS'!G113+'NEMI Forsikring'!G113+'Nordea Liv '!G113+'Oslo Pensjonsforsikring'!G113+'SHB Liv'!G113+'Silver Pensjonsforsikring AS'!G113+'Sparebank 1'!G113+'Storebrand Livsforsikring'!G113+'Telenor Forsikring'!G113+'Tryg Forsikring'!G113,"")</f>
        <v/>
      </c>
      <c r="G113" s="165" t="str">
        <f>IF($A$1=4,IF(E113=0, "    ---- ", IF(ABS(ROUND(100/E113*F113-100,1))&lt;999,ROUND(100/E113*F113-100,1),IF(ROUND(100/E113*F113-100,1)&gt;999,999,-999))),"")</f>
        <v/>
      </c>
      <c r="H113" s="237">
        <f t="shared" si="43"/>
        <v>0</v>
      </c>
      <c r="I113" s="237">
        <f t="shared" si="44"/>
        <v>0</v>
      </c>
      <c r="J113" s="23"/>
    </row>
    <row r="114" spans="1:10" ht="15.75" customHeight="1" x14ac:dyDescent="0.2">
      <c r="A114" s="21" t="s">
        <v>329</v>
      </c>
      <c r="B114" s="234">
        <f>'ACE European Group'!B114+'Danica Pensjonsforsikring'!B114+'DNB Livsforsikring'!B114+'Eika Forsikring AS'!B114+'Frende Livsforsikring'!B114+'Frende Skadeforsikring'!B114+'Gjensidige Forsikring'!B114+'Gjensidige Pensjon'!B114+'Handelsbanken Liv'!B114+'If Skadeforsikring NUF'!B114+KLP!B114+'KLP Bedriftspensjon AS'!B114+'KLP Skadeforsikring AS'!B114+'Landbruksforsikring AS'!B114+'NEMI Forsikring'!B114+'Nordea Liv '!B114+'Oslo Pensjonsforsikring'!B114+'SHB Liv'!B114+'Silver Pensjonsforsikring AS'!B114+'Sparebank 1'!B114+'Storebrand Livsforsikring'!B114+'Telenor Forsikring'!B114+'Tryg Forsikring'!B114</f>
        <v>269684.52473000006</v>
      </c>
      <c r="C114" s="234">
        <f>'ACE European Group'!C114+'Danica Pensjonsforsikring'!C114+'DNB Livsforsikring'!C114+'Eika Forsikring AS'!C114+'Frende Livsforsikring'!C114+'Frende Skadeforsikring'!C114+'Gjensidige Forsikring'!C114+'Gjensidige Pensjon'!C114+'Handelsbanken Liv'!C114+'If Skadeforsikring NUF'!C114+KLP!C114+'KLP Bedriftspensjon AS'!C114+'KLP Skadeforsikring AS'!C114+'Landbruksforsikring AS'!C114+'NEMI Forsikring'!C114+'Nordea Liv '!C114+'Oslo Pensjonsforsikring'!C114+'SHB Liv'!C114+'Silver Pensjonsforsikring AS'!C114+'Sparebank 1'!C114+'Storebrand Livsforsikring'!C114+'Telenor Forsikring'!C114+'Tryg Forsikring'!C114</f>
        <v>30701.814439999998</v>
      </c>
      <c r="D114" s="23">
        <f t="shared" si="41"/>
        <v>-88.6</v>
      </c>
      <c r="E114" s="44">
        <f>'ACE European Group'!F114+'Danica Pensjonsforsikring'!F114+'DNB Livsforsikring'!F114+'Eika Forsikring AS'!F114+'Frende Livsforsikring'!F114+'Frende Skadeforsikring'!F114+'Gjensidige Forsikring'!F114+'Gjensidige Pensjon'!F114+'Handelsbanken Liv'!F114+'If Skadeforsikring NUF'!F114+KLP!F114+'KLP Bedriftspensjon AS'!F114+'KLP Skadeforsikring AS'!F114+'Landbruksforsikring AS'!F114+'NEMI Forsikring'!F114+'Nordea Liv '!F114+'Oslo Pensjonsforsikring'!F114+'SHB Liv'!F114+'Silver Pensjonsforsikring AS'!F114+'Sparebank 1'!F114+'Storebrand Livsforsikring'!F114+'Telenor Forsikring'!F114+'Tryg Forsikring'!F114</f>
        <v>45832.06</v>
      </c>
      <c r="F114" s="44">
        <f>'ACE European Group'!G114+'Danica Pensjonsforsikring'!G114+'DNB Livsforsikring'!G114+'Eika Forsikring AS'!G114+'Frende Livsforsikring'!G114+'Frende Skadeforsikring'!G114+'Gjensidige Forsikring'!G114+'Gjensidige Pensjon'!G114+'Handelsbanken Liv'!G114+'If Skadeforsikring NUF'!G114+KLP!G114+'KLP Bedriftspensjon AS'!G114+'KLP Skadeforsikring AS'!G114+'Landbruksforsikring AS'!G114+'NEMI Forsikring'!G114+'Nordea Liv '!G114+'Oslo Pensjonsforsikring'!G114+'SHB Liv'!G114+'Silver Pensjonsforsikring AS'!G114+'Sparebank 1'!G114+'Storebrand Livsforsikring'!G114+'Telenor Forsikring'!G114+'Tryg Forsikring'!G114</f>
        <v>12157.834999999999</v>
      </c>
      <c r="G114" s="165">
        <f t="shared" si="42"/>
        <v>-73.5</v>
      </c>
      <c r="H114" s="237">
        <f t="shared" si="43"/>
        <v>315516.58473000006</v>
      </c>
      <c r="I114" s="237">
        <f t="shared" si="44"/>
        <v>42859.649439999994</v>
      </c>
      <c r="J114" s="23">
        <f t="shared" si="45"/>
        <v>-86.4</v>
      </c>
    </row>
    <row r="115" spans="1:10" ht="15.75" customHeight="1" x14ac:dyDescent="0.2">
      <c r="A115" s="21" t="s">
        <v>322</v>
      </c>
      <c r="B115" s="234">
        <f>'ACE European Group'!B115+'Danica Pensjonsforsikring'!B115+'DNB Livsforsikring'!B115+'Eika Forsikring AS'!B115+'Frende Livsforsikring'!B115+'Frende Skadeforsikring'!B115+'Gjensidige Forsikring'!B115+'Gjensidige Pensjon'!B115+'Handelsbanken Liv'!B115+'If Skadeforsikring NUF'!B115+KLP!B115+'KLP Bedriftspensjon AS'!B115+'KLP Skadeforsikring AS'!B115+'Landbruksforsikring AS'!B115+'NEMI Forsikring'!B115+'Nordea Liv '!B115+'Oslo Pensjonsforsikring'!B115+'SHB Liv'!B115+'Silver Pensjonsforsikring AS'!B115+'Sparebank 1'!B115+'Storebrand Livsforsikring'!B115+'Telenor Forsikring'!B115+'Tryg Forsikring'!B115</f>
        <v>13.897</v>
      </c>
      <c r="C115" s="234">
        <f>'ACE European Group'!C115+'Danica Pensjonsforsikring'!C115+'DNB Livsforsikring'!C115+'Eika Forsikring AS'!C115+'Frende Livsforsikring'!C115+'Frende Skadeforsikring'!C115+'Gjensidige Forsikring'!C115+'Gjensidige Pensjon'!C115+'Handelsbanken Liv'!C115+'If Skadeforsikring NUF'!C115+KLP!C115+'KLP Bedriftspensjon AS'!C115+'KLP Skadeforsikring AS'!C115+'Landbruksforsikring AS'!C115+'NEMI Forsikring'!C115+'Nordea Liv '!C115+'Oslo Pensjonsforsikring'!C115+'SHB Liv'!C115+'Silver Pensjonsforsikring AS'!C115+'Sparebank 1'!C115+'Storebrand Livsforsikring'!C115+'Telenor Forsikring'!C115+'Tryg Forsikring'!C115</f>
        <v>0</v>
      </c>
      <c r="D115" s="23">
        <f t="shared" si="41"/>
        <v>-100</v>
      </c>
      <c r="E115" s="44">
        <f>'ACE European Group'!F115+'Danica Pensjonsforsikring'!F115+'DNB Livsforsikring'!F115+'Eika Forsikring AS'!F115+'Frende Livsforsikring'!F115+'Frende Skadeforsikring'!F115+'Gjensidige Forsikring'!F115+'Gjensidige Pensjon'!F115+'Handelsbanken Liv'!F115+'If Skadeforsikring NUF'!F115+KLP!F115+'KLP Bedriftspensjon AS'!F115+'KLP Skadeforsikring AS'!F115+'Landbruksforsikring AS'!F115+'NEMI Forsikring'!F115+'Nordea Liv '!F115+'Oslo Pensjonsforsikring'!F115+'SHB Liv'!F115+'Silver Pensjonsforsikring AS'!F115+'Sparebank 1'!F115+'Storebrand Livsforsikring'!F115+'Telenor Forsikring'!F115+'Tryg Forsikring'!F115</f>
        <v>515784.04450000002</v>
      </c>
      <c r="F115" s="44">
        <f>'ACE European Group'!G115+'Danica Pensjonsforsikring'!G115+'DNB Livsforsikring'!G115+'Eika Forsikring AS'!G115+'Frende Livsforsikring'!G115+'Frende Skadeforsikring'!G115+'Gjensidige Forsikring'!G115+'Gjensidige Pensjon'!G115+'Handelsbanken Liv'!G115+'If Skadeforsikring NUF'!G115+KLP!G115+'KLP Bedriftspensjon AS'!G115+'KLP Skadeforsikring AS'!G115+'Landbruksforsikring AS'!G115+'NEMI Forsikring'!G115+'Nordea Liv '!G115+'Oslo Pensjonsforsikring'!G115+'SHB Liv'!G115+'Silver Pensjonsforsikring AS'!G115+'Sparebank 1'!G115+'Storebrand Livsforsikring'!G115+'Telenor Forsikring'!G115+'Tryg Forsikring'!G115</f>
        <v>1105060.51235</v>
      </c>
      <c r="G115" s="165">
        <f t="shared" si="42"/>
        <v>114.2</v>
      </c>
      <c r="H115" s="237">
        <f t="shared" si="43"/>
        <v>515797.94150000002</v>
      </c>
      <c r="I115" s="237">
        <f t="shared" si="44"/>
        <v>1105060.51235</v>
      </c>
      <c r="J115" s="23">
        <f t="shared" si="45"/>
        <v>114.2</v>
      </c>
    </row>
    <row r="116" spans="1:10" ht="15.75" customHeight="1" x14ac:dyDescent="0.2">
      <c r="A116" s="21" t="s">
        <v>321</v>
      </c>
      <c r="B116" s="234">
        <f>'ACE European Group'!B116+'Danica Pensjonsforsikring'!B116+'DNB Livsforsikring'!B116+'Eika Forsikring AS'!B116+'Frende Livsforsikring'!B116+'Frende Skadeforsikring'!B116+'Gjensidige Forsikring'!B116+'Gjensidige Pensjon'!B116+'Handelsbanken Liv'!B116+'If Skadeforsikring NUF'!B116+KLP!B116+'KLP Bedriftspensjon AS'!B116+'KLP Skadeforsikring AS'!B116+'Landbruksforsikring AS'!B116+'NEMI Forsikring'!B116+'Nordea Liv '!B116+'Oslo Pensjonsforsikring'!B116+'SHB Liv'!B116+'Silver Pensjonsforsikring AS'!B116+'Sparebank 1'!B116+'Storebrand Livsforsikring'!B116+'Telenor Forsikring'!B116+'Tryg Forsikring'!B116</f>
        <v>0</v>
      </c>
      <c r="C116" s="234">
        <f>'ACE European Group'!C116+'Danica Pensjonsforsikring'!C116+'DNB Livsforsikring'!C116+'Eika Forsikring AS'!C116+'Frende Livsforsikring'!C116+'Frende Skadeforsikring'!C116+'Gjensidige Forsikring'!C116+'Gjensidige Pensjon'!C116+'Handelsbanken Liv'!C116+'If Skadeforsikring NUF'!C116+KLP!C116+'KLP Bedriftspensjon AS'!C116+'KLP Skadeforsikring AS'!C116+'Landbruksforsikring AS'!C116+'NEMI Forsikring'!C116+'Nordea Liv '!C116+'Oslo Pensjonsforsikring'!C116+'SHB Liv'!C116+'Silver Pensjonsforsikring AS'!C116+'Sparebank 1'!C116+'Storebrand Livsforsikring'!C116+'Telenor Forsikring'!C116+'Tryg Forsikring'!C116</f>
        <v>0</v>
      </c>
      <c r="D116" s="23"/>
      <c r="E116" s="44">
        <f>'ACE European Group'!F116+'Danica Pensjonsforsikring'!F116+'DNB Livsforsikring'!F116+'Eika Forsikring AS'!F116+'Frende Livsforsikring'!F116+'Frende Skadeforsikring'!F116+'Gjensidige Forsikring'!F116+'Gjensidige Pensjon'!F116+'Handelsbanken Liv'!F116+'If Skadeforsikring NUF'!F116+KLP!F116+'KLP Bedriftspensjon AS'!F116+'KLP Skadeforsikring AS'!F116+'Landbruksforsikring AS'!F116+'NEMI Forsikring'!F116+'Nordea Liv '!F116+'Oslo Pensjonsforsikring'!F116+'SHB Liv'!F116+'Silver Pensjonsforsikring AS'!F116+'Sparebank 1'!F116+'Storebrand Livsforsikring'!F116+'Telenor Forsikring'!F116+'Tryg Forsikring'!F116</f>
        <v>0</v>
      </c>
      <c r="F116" s="44">
        <f>'ACE European Group'!G116+'Danica Pensjonsforsikring'!G116+'DNB Livsforsikring'!G116+'Eika Forsikring AS'!G116+'Frende Livsforsikring'!G116+'Frende Skadeforsikring'!G116+'Gjensidige Forsikring'!G116+'Gjensidige Pensjon'!G116+'Handelsbanken Liv'!G116+'If Skadeforsikring NUF'!G116+KLP!G116+'KLP Bedriftspensjon AS'!G116+'KLP Skadeforsikring AS'!G116+'Landbruksforsikring AS'!G116+'NEMI Forsikring'!G116+'Nordea Liv '!G116+'Oslo Pensjonsforsikring'!G116+'SHB Liv'!G116+'Silver Pensjonsforsikring AS'!G116+'Sparebank 1'!G116+'Storebrand Livsforsikring'!G116+'Telenor Forsikring'!G116+'Tryg Forsikring'!G116</f>
        <v>0</v>
      </c>
      <c r="G116" s="165"/>
      <c r="H116" s="237">
        <f t="shared" si="43"/>
        <v>0</v>
      </c>
      <c r="I116" s="237">
        <f t="shared" si="44"/>
        <v>0</v>
      </c>
      <c r="J116" s="23"/>
    </row>
    <row r="117" spans="1:10" s="43" customFormat="1" ht="15.75" customHeight="1" x14ac:dyDescent="0.2">
      <c r="A117" s="13" t="s">
        <v>24</v>
      </c>
      <c r="B117" s="324">
        <f>'ACE European Group'!B117+'Danica Pensjonsforsikring'!B117+'DNB Livsforsikring'!B117+'Eika Forsikring AS'!B117+'Frende Livsforsikring'!B117+'Frende Skadeforsikring'!B117+'Gjensidige Forsikring'!B117+'Gjensidige Pensjon'!B117+'Handelsbanken Liv'!B117+'If Skadeforsikring NUF'!B117+KLP!B117+'KLP Bedriftspensjon AS'!B117+'KLP Skadeforsikring AS'!B117+'Landbruksforsikring AS'!B117+'NEMI Forsikring'!B117+'Nordea Liv '!B117+'Oslo Pensjonsforsikring'!B117+'SHB Liv'!B117+'Silver Pensjonsforsikring AS'!B117+'Sparebank 1'!B117+'Storebrand Livsforsikring'!B117+'Telenor Forsikring'!B117+'Tryg Forsikring'!B117</f>
        <v>574390.6490199999</v>
      </c>
      <c r="C117" s="324">
        <f>'ACE European Group'!C117+'Danica Pensjonsforsikring'!C117+'DNB Livsforsikring'!C117+'Eika Forsikring AS'!C117+'Frende Livsforsikring'!C117+'Frende Skadeforsikring'!C117+'Gjensidige Forsikring'!C117+'Gjensidige Pensjon'!C117+'Handelsbanken Liv'!C117+'If Skadeforsikring NUF'!C117+KLP!C117+'KLP Bedriftspensjon AS'!C117+'KLP Skadeforsikring AS'!C117+'Landbruksforsikring AS'!C117+'NEMI Forsikring'!C117+'Nordea Liv '!C117+'Oslo Pensjonsforsikring'!C117+'SHB Liv'!C117+'Silver Pensjonsforsikring AS'!C117+'Sparebank 1'!C117+'Storebrand Livsforsikring'!C117+'Telenor Forsikring'!C117+'Tryg Forsikring'!C117</f>
        <v>293360.44446999981</v>
      </c>
      <c r="D117" s="24">
        <f t="shared" si="41"/>
        <v>-48.9</v>
      </c>
      <c r="E117" s="236">
        <f>'ACE European Group'!F117+'Danica Pensjonsforsikring'!F117+'DNB Livsforsikring'!F117+'Eika Forsikring AS'!F117+'Frende Livsforsikring'!F117+'Frende Skadeforsikring'!F117+'Gjensidige Forsikring'!F117+'Gjensidige Pensjon'!F117+'Handelsbanken Liv'!F117+'If Skadeforsikring NUF'!F117+KLP!F117+'KLP Bedriftspensjon AS'!F117+'KLP Skadeforsikring AS'!F117+'Landbruksforsikring AS'!F117+'NEMI Forsikring'!F117+'Nordea Liv '!F117+'Oslo Pensjonsforsikring'!F117+'SHB Liv'!F117+'Silver Pensjonsforsikring AS'!F117+'Sparebank 1'!F117+'Storebrand Livsforsikring'!F117+'Telenor Forsikring'!F117+'Tryg Forsikring'!F117</f>
        <v>2923270.8830299997</v>
      </c>
      <c r="F117" s="236">
        <f>'ACE European Group'!G117+'Danica Pensjonsforsikring'!G117+'DNB Livsforsikring'!G117+'Eika Forsikring AS'!G117+'Frende Livsforsikring'!G117+'Frende Skadeforsikring'!G117+'Gjensidige Forsikring'!G117+'Gjensidige Pensjon'!G117+'Handelsbanken Liv'!G117+'If Skadeforsikring NUF'!G117+KLP!G117+'KLP Bedriftspensjon AS'!G117+'KLP Skadeforsikring AS'!G117+'Landbruksforsikring AS'!G117+'NEMI Forsikring'!G117+'Nordea Liv '!G117+'Oslo Pensjonsforsikring'!G117+'SHB Liv'!G117+'Silver Pensjonsforsikring AS'!G117+'Sparebank 1'!G117+'Storebrand Livsforsikring'!G117+'Telenor Forsikring'!G117+'Tryg Forsikring'!G117</f>
        <v>6447022.6469000001</v>
      </c>
      <c r="G117" s="170">
        <f t="shared" si="42"/>
        <v>120.5</v>
      </c>
      <c r="H117" s="324">
        <f t="shared" si="43"/>
        <v>3497661.5320499996</v>
      </c>
      <c r="I117" s="324">
        <f t="shared" si="44"/>
        <v>6740383.0913699996</v>
      </c>
      <c r="J117" s="24">
        <f t="shared" si="45"/>
        <v>92.7</v>
      </c>
    </row>
    <row r="118" spans="1:10" ht="15.75" customHeight="1" x14ac:dyDescent="0.2">
      <c r="A118" s="21" t="s">
        <v>9</v>
      </c>
      <c r="B118" s="237">
        <f>'ACE European Group'!B118+'Danica Pensjonsforsikring'!B118+'DNB Livsforsikring'!B118+'Eika Forsikring AS'!B118+'Frende Livsforsikring'!B118+'Frende Skadeforsikring'!B118+'Gjensidige Forsikring'!B118+'Gjensidige Pensjon'!B118+'Handelsbanken Liv'!B118+'If Skadeforsikring NUF'!B118+KLP!B118+'KLP Bedriftspensjon AS'!B118+'KLP Skadeforsikring AS'!B118+'Landbruksforsikring AS'!B118+'NEMI Forsikring'!B118+'Nordea Liv '!B118+'Oslo Pensjonsforsikring'!B118+'SHB Liv'!B118+'Silver Pensjonsforsikring AS'!B118+'Sparebank 1'!B118+'Storebrand Livsforsikring'!B118+'Telenor Forsikring'!B118+'Tryg Forsikring'!B118</f>
        <v>556494.94402000005</v>
      </c>
      <c r="C118" s="237">
        <f>'ACE European Group'!C118+'Danica Pensjonsforsikring'!C118+'DNB Livsforsikring'!C118+'Eika Forsikring AS'!C118+'Frende Livsforsikring'!C118+'Frende Skadeforsikring'!C118+'Gjensidige Forsikring'!C118+'Gjensidige Pensjon'!C118+'Handelsbanken Liv'!C118+'If Skadeforsikring NUF'!C118+KLP!C118+'KLP Bedriftspensjon AS'!C118+'KLP Skadeforsikring AS'!C118+'Landbruksforsikring AS'!C118+'NEMI Forsikring'!C118+'Nordea Liv '!C118+'Oslo Pensjonsforsikring'!C118+'SHB Liv'!C118+'Silver Pensjonsforsikring AS'!C118+'Sparebank 1'!C118+'Storebrand Livsforsikring'!C118+'Telenor Forsikring'!C118+'Tryg Forsikring'!C118</f>
        <v>258318.37570999976</v>
      </c>
      <c r="D118" s="23">
        <f t="shared" si="41"/>
        <v>-53.6</v>
      </c>
      <c r="E118" s="44">
        <f>'ACE European Group'!F118+'Danica Pensjonsforsikring'!F118+'DNB Livsforsikring'!F118+'Eika Forsikring AS'!F118+'Frende Livsforsikring'!F118+'Frende Skadeforsikring'!F118+'Gjensidige Forsikring'!F118+'Gjensidige Pensjon'!F118+'Handelsbanken Liv'!F118+'If Skadeforsikring NUF'!F118+KLP!F118+'KLP Bedriftspensjon AS'!F118+'KLP Skadeforsikring AS'!F118+'Landbruksforsikring AS'!F118+'NEMI Forsikring'!F118+'Nordea Liv '!F118+'Oslo Pensjonsforsikring'!F118+'SHB Liv'!F118+'Silver Pensjonsforsikring AS'!F118+'Sparebank 1'!F118+'Storebrand Livsforsikring'!F118+'Telenor Forsikring'!F118+'Tryg Forsikring'!F118</f>
        <v>0</v>
      </c>
      <c r="F118" s="44">
        <f>'ACE European Group'!G118+'Danica Pensjonsforsikring'!G118+'DNB Livsforsikring'!G118+'Eika Forsikring AS'!G118+'Frende Livsforsikring'!G118+'Frende Skadeforsikring'!G118+'Gjensidige Forsikring'!G118+'Gjensidige Pensjon'!G118+'Handelsbanken Liv'!G118+'If Skadeforsikring NUF'!G118+KLP!G118+'KLP Bedriftspensjon AS'!G118+'KLP Skadeforsikring AS'!G118+'Landbruksforsikring AS'!G118+'NEMI Forsikring'!G118+'Nordea Liv '!G118+'Oslo Pensjonsforsikring'!G118+'SHB Liv'!G118+'Silver Pensjonsforsikring AS'!G118+'Sparebank 1'!G118+'Storebrand Livsforsikring'!G118+'Telenor Forsikring'!G118+'Tryg Forsikring'!G118</f>
        <v>0</v>
      </c>
      <c r="G118" s="165"/>
      <c r="H118" s="237">
        <f t="shared" si="43"/>
        <v>556494.94402000005</v>
      </c>
      <c r="I118" s="237">
        <f t="shared" si="44"/>
        <v>258318.37570999976</v>
      </c>
      <c r="J118" s="23">
        <f t="shared" si="45"/>
        <v>-53.6</v>
      </c>
    </row>
    <row r="119" spans="1:10" ht="15.75" customHeight="1" x14ac:dyDescent="0.2">
      <c r="A119" s="21" t="s">
        <v>10</v>
      </c>
      <c r="B119" s="237">
        <f>'ACE European Group'!B119+'Danica Pensjonsforsikring'!B119+'DNB Livsforsikring'!B119+'Eika Forsikring AS'!B119+'Frende Livsforsikring'!B119+'Frende Skadeforsikring'!B119+'Gjensidige Forsikring'!B119+'Gjensidige Pensjon'!B119+'Handelsbanken Liv'!B119+'If Skadeforsikring NUF'!B119+KLP!B119+'KLP Bedriftspensjon AS'!B119+'KLP Skadeforsikring AS'!B119+'Landbruksforsikring AS'!B119+'NEMI Forsikring'!B119+'Nordea Liv '!B119+'Oslo Pensjonsforsikring'!B119+'SHB Liv'!B119+'Silver Pensjonsforsikring AS'!B119+'Sparebank 1'!B119+'Storebrand Livsforsikring'!B119+'Telenor Forsikring'!B119+'Tryg Forsikring'!B119</f>
        <v>17895.705000000002</v>
      </c>
      <c r="C119" s="237">
        <f>'ACE European Group'!C119+'Danica Pensjonsforsikring'!C119+'DNB Livsforsikring'!C119+'Eika Forsikring AS'!C119+'Frende Livsforsikring'!C119+'Frende Skadeforsikring'!C119+'Gjensidige Forsikring'!C119+'Gjensidige Pensjon'!C119+'Handelsbanken Liv'!C119+'If Skadeforsikring NUF'!C119+KLP!C119+'KLP Bedriftspensjon AS'!C119+'KLP Skadeforsikring AS'!C119+'Landbruksforsikring AS'!C119+'NEMI Forsikring'!C119+'Nordea Liv '!C119+'Oslo Pensjonsforsikring'!C119+'SHB Liv'!C119+'Silver Pensjonsforsikring AS'!C119+'Sparebank 1'!C119+'Storebrand Livsforsikring'!C119+'Telenor Forsikring'!C119+'Tryg Forsikring'!C119</f>
        <v>17411.863519999999</v>
      </c>
      <c r="D119" s="23">
        <f t="shared" si="41"/>
        <v>-2.7</v>
      </c>
      <c r="E119" s="44">
        <f>'ACE European Group'!F119+'Danica Pensjonsforsikring'!F119+'DNB Livsforsikring'!F119+'Eika Forsikring AS'!F119+'Frende Livsforsikring'!F119+'Frende Skadeforsikring'!F119+'Gjensidige Forsikring'!F119+'Gjensidige Pensjon'!F119+'Handelsbanken Liv'!F119+'If Skadeforsikring NUF'!F119+KLP!F119+'KLP Bedriftspensjon AS'!F119+'KLP Skadeforsikring AS'!F119+'Landbruksforsikring AS'!F119+'NEMI Forsikring'!F119+'Nordea Liv '!F119+'Oslo Pensjonsforsikring'!F119+'SHB Liv'!F119+'Silver Pensjonsforsikring AS'!F119+'Sparebank 1'!F119+'Storebrand Livsforsikring'!F119+'Telenor Forsikring'!F119+'Tryg Forsikring'!F119</f>
        <v>2923270.8830299997</v>
      </c>
      <c r="F119" s="44">
        <f>'ACE European Group'!G119+'Danica Pensjonsforsikring'!G119+'DNB Livsforsikring'!G119+'Eika Forsikring AS'!G119+'Frende Livsforsikring'!G119+'Frende Skadeforsikring'!G119+'Gjensidige Forsikring'!G119+'Gjensidige Pensjon'!G119+'Handelsbanken Liv'!G119+'If Skadeforsikring NUF'!G119+KLP!G119+'KLP Bedriftspensjon AS'!G119+'KLP Skadeforsikring AS'!G119+'Landbruksforsikring AS'!G119+'NEMI Forsikring'!G119+'Nordea Liv '!G119+'Oslo Pensjonsforsikring'!G119+'SHB Liv'!G119+'Silver Pensjonsforsikring AS'!G119+'Sparebank 1'!G119+'Storebrand Livsforsikring'!G119+'Telenor Forsikring'!G119+'Tryg Forsikring'!G119</f>
        <v>6447022.6469000001</v>
      </c>
      <c r="G119" s="165">
        <f t="shared" si="42"/>
        <v>120.5</v>
      </c>
      <c r="H119" s="237">
        <f t="shared" si="43"/>
        <v>2941166.5880299998</v>
      </c>
      <c r="I119" s="237">
        <f t="shared" si="44"/>
        <v>6464434.5104200002</v>
      </c>
      <c r="J119" s="23">
        <f t="shared" si="45"/>
        <v>119.8</v>
      </c>
    </row>
    <row r="120" spans="1:10" ht="15.75" customHeight="1" x14ac:dyDescent="0.2">
      <c r="A120" s="21" t="s">
        <v>30</v>
      </c>
      <c r="B120" s="237">
        <f>'ACE European Group'!B120+'Danica Pensjonsforsikring'!B120+'DNB Livsforsikring'!B120+'Eika Forsikring AS'!B120+'Frende Livsforsikring'!B120+'Frende Skadeforsikring'!B120+'Gjensidige Forsikring'!B120+'Gjensidige Pensjon'!B120+'Handelsbanken Liv'!B120+'If Skadeforsikring NUF'!B120+KLP!B120+'KLP Bedriftspensjon AS'!B120+'KLP Skadeforsikring AS'!B120+'Landbruksforsikring AS'!B120+'NEMI Forsikring'!B120+'Nordea Liv '!B120+'Oslo Pensjonsforsikring'!B120+'SHB Liv'!B120+'Silver Pensjonsforsikring AS'!B120+'Sparebank 1'!B120+'Storebrand Livsforsikring'!B120+'Telenor Forsikring'!B120+'Tryg Forsikring'!B120</f>
        <v>0</v>
      </c>
      <c r="C120" s="237">
        <f>'ACE European Group'!C120+'Danica Pensjonsforsikring'!C120+'DNB Livsforsikring'!C120+'Eika Forsikring AS'!C120+'Frende Livsforsikring'!C120+'Frende Skadeforsikring'!C120+'Gjensidige Forsikring'!C120+'Gjensidige Pensjon'!C120+'Handelsbanken Liv'!C120+'If Skadeforsikring NUF'!C120+KLP!C120+'KLP Bedriftspensjon AS'!C120+'KLP Skadeforsikring AS'!C120+'Landbruksforsikring AS'!C120+'NEMI Forsikring'!C120+'Nordea Liv '!C120+'Oslo Pensjonsforsikring'!C120+'SHB Liv'!C120+'Silver Pensjonsforsikring AS'!C120+'Sparebank 1'!C120+'Storebrand Livsforsikring'!C120+'Telenor Forsikring'!C120+'Tryg Forsikring'!C120</f>
        <v>17630.205239999999</v>
      </c>
      <c r="D120" s="23" t="str">
        <f t="shared" si="41"/>
        <v xml:space="preserve">    ---- </v>
      </c>
      <c r="E120" s="44">
        <f>'ACE European Group'!F120+'Danica Pensjonsforsikring'!F120+'DNB Livsforsikring'!F120+'Eika Forsikring AS'!F120+'Frende Livsforsikring'!F120+'Frende Skadeforsikring'!F120+'Gjensidige Forsikring'!F120+'Gjensidige Pensjon'!F120+'Handelsbanken Liv'!F120+'If Skadeforsikring NUF'!F120+KLP!F120+'KLP Bedriftspensjon AS'!F120+'KLP Skadeforsikring AS'!F120+'Landbruksforsikring AS'!F120+'NEMI Forsikring'!F120+'Nordea Liv '!F120+'Oslo Pensjonsforsikring'!F120+'SHB Liv'!F120+'Silver Pensjonsforsikring AS'!F120+'Sparebank 1'!F120+'Storebrand Livsforsikring'!F120+'Telenor Forsikring'!F120+'Tryg Forsikring'!F120</f>
        <v>0</v>
      </c>
      <c r="F120" s="44">
        <f>'ACE European Group'!G120+'Danica Pensjonsforsikring'!G120+'DNB Livsforsikring'!G120+'Eika Forsikring AS'!G120+'Frende Livsforsikring'!G120+'Frende Skadeforsikring'!G120+'Gjensidige Forsikring'!G120+'Gjensidige Pensjon'!G120+'Handelsbanken Liv'!G120+'If Skadeforsikring NUF'!G120+KLP!G120+'KLP Bedriftspensjon AS'!G120+'KLP Skadeforsikring AS'!G120+'Landbruksforsikring AS'!G120+'NEMI Forsikring'!G120+'Nordea Liv '!G120+'Oslo Pensjonsforsikring'!G120+'SHB Liv'!G120+'Silver Pensjonsforsikring AS'!G120+'Sparebank 1'!G120+'Storebrand Livsforsikring'!G120+'Telenor Forsikring'!G120+'Tryg Forsikring'!G120</f>
        <v>0</v>
      </c>
      <c r="G120" s="165"/>
      <c r="H120" s="237">
        <f t="shared" si="43"/>
        <v>0</v>
      </c>
      <c r="I120" s="237">
        <f t="shared" si="44"/>
        <v>17630.205239999999</v>
      </c>
      <c r="J120" s="23" t="str">
        <f t="shared" si="45"/>
        <v xml:space="preserve">    ---- </v>
      </c>
    </row>
    <row r="121" spans="1:10" ht="15.75" customHeight="1" x14ac:dyDescent="0.2">
      <c r="A121" s="294" t="s">
        <v>14</v>
      </c>
      <c r="B121" s="44" t="str">
        <f>IF($A$1=4,'ACE European Group'!B121+'Danica Pensjonsforsikring'!B121+'DNB Livsforsikring'!B121+'Eika Forsikring AS'!B121+'Frende Livsforsikring'!B121+'Frende Skadeforsikring'!B121+'Gjensidige Forsikring'!B121+'Gjensidige Pensjon'!B121+'Handelsbanken Liv'!B121+'If Skadeforsikring NUF'!B121+KLP!B121+'KLP Bedriftspensjon AS'!B121+'KLP Skadeforsikring AS'!B121+'Landbruksforsikring AS'!B121+'NEMI Forsikring'!B121+'Nordea Liv '!B121+'Oslo Pensjonsforsikring'!B121+'SHB Liv'!B121+'Silver Pensjonsforsikring AS'!B121+'Sparebank 1'!B121+'Storebrand Livsforsikring'!B121+'Telenor Forsikring'!B121+'Tryg Forsikring'!B121,"")</f>
        <v/>
      </c>
      <c r="C121" s="44" t="str">
        <f>IF($A$1=4,'ACE European Group'!C121+'Danica Pensjonsforsikring'!C121+'DNB Livsforsikring'!C121+'Eika Forsikring AS'!C121+'Frende Livsforsikring'!C121+'Frende Skadeforsikring'!C121+'Gjensidige Forsikring'!C121+'Gjensidige Pensjon'!C121+'Handelsbanken Liv'!C121+'If Skadeforsikring NUF'!C121+KLP!C121+'KLP Bedriftspensjon AS'!C121+'KLP Skadeforsikring AS'!C121+'Landbruksforsikring AS'!C121+'NEMI Forsikring'!C121+'Nordea Liv '!C121+'Oslo Pensjonsforsikring'!C121+'SHB Liv'!C121+'Silver Pensjonsforsikring AS'!C121+'Sparebank 1'!C121+'Storebrand Livsforsikring'!C121+'Telenor Forsikring'!C121+'Tryg Forsikring'!C121,"")</f>
        <v/>
      </c>
      <c r="D121" s="27" t="str">
        <f>IF($A$1=4,IF(B121=0, "    ---- ", IF(ABS(ROUND(100/B121*C121-100,1))&lt;999,ROUND(100/B121*C121-100,1),IF(ROUND(100/B121*C121-100,1)&gt;999,999,-999))),"")</f>
        <v/>
      </c>
      <c r="E121" s="44" t="str">
        <f>IF($A$1=4,'ACE European Group'!F121+'Danica Pensjonsforsikring'!F121+'DNB Livsforsikring'!F121+'Eika Forsikring AS'!F121+'Frende Livsforsikring'!F121+'Frende Skadeforsikring'!F121+'Gjensidige Forsikring'!F121+'Gjensidige Pensjon'!F121+'Handelsbanken Liv'!F121+'If Skadeforsikring NUF'!F121+KLP!F121+'KLP Bedriftspensjon AS'!F121+'KLP Skadeforsikring AS'!F121+'Landbruksforsikring AS'!F121+'NEMI Forsikring'!F121+'Nordea Liv '!F121+'Oslo Pensjonsforsikring'!F121+'SHB Liv'!F121+'Silver Pensjonsforsikring AS'!F121+'Sparebank 1'!F121+'Storebrand Livsforsikring'!F121+'Telenor Forsikring'!F121+'Tryg Forsikring'!F121,"")</f>
        <v/>
      </c>
      <c r="F121" s="44" t="str">
        <f>IF($A$1=4,'ACE European Group'!G121+'Danica Pensjonsforsikring'!G121+'DNB Livsforsikring'!G121+'Eika Forsikring AS'!G121+'Frende Livsforsikring'!G121+'Frende Skadeforsikring'!G121+'Gjensidige Forsikring'!G121+'Gjensidige Pensjon'!G121+'Handelsbanken Liv'!G121+'If Skadeforsikring NUF'!G121+KLP!G121+'KLP Bedriftspensjon AS'!G121+'KLP Skadeforsikring AS'!G121+'Landbruksforsikring AS'!G121+'NEMI Forsikring'!G121+'Nordea Liv '!G121+'Oslo Pensjonsforsikring'!G121+'SHB Liv'!G121+'Silver Pensjonsforsikring AS'!G121+'Sparebank 1'!G121+'Storebrand Livsforsikring'!G121+'Telenor Forsikring'!G121+'Tryg Forsikring'!G121,"")</f>
        <v/>
      </c>
      <c r="G121" s="165" t="str">
        <f>IF($A$1=4,IF(E121=0, "    ---- ", IF(ABS(ROUND(100/E121*F121-100,1))&lt;999,ROUND(100/E121*F121-100,1),IF(ROUND(100/E121*F121-100,1)&gt;999,999,-999))),"")</f>
        <v/>
      </c>
      <c r="H121" s="237">
        <f t="shared" si="43"/>
        <v>0</v>
      </c>
      <c r="I121" s="237">
        <f t="shared" si="44"/>
        <v>0</v>
      </c>
      <c r="J121" s="23"/>
    </row>
    <row r="122" spans="1:10" ht="15.75" customHeight="1" x14ac:dyDescent="0.2">
      <c r="A122" s="21" t="s">
        <v>319</v>
      </c>
      <c r="B122" s="237">
        <f>'ACE European Group'!B122+'Danica Pensjonsforsikring'!B122+'DNB Livsforsikring'!B122+'Eika Forsikring AS'!B122+'Frende Livsforsikring'!B122+'Frende Skadeforsikring'!B122+'Gjensidige Forsikring'!B122+'Gjensidige Pensjon'!B122+'Handelsbanken Liv'!B122+'If Skadeforsikring NUF'!B122+KLP!B122+'KLP Bedriftspensjon AS'!B122+'KLP Skadeforsikring AS'!B122+'Landbruksforsikring AS'!B122+'NEMI Forsikring'!B122+'Nordea Liv '!B122+'Oslo Pensjonsforsikring'!B122+'SHB Liv'!B122+'Silver Pensjonsforsikring AS'!B122+'Sparebank 1'!B122+'Storebrand Livsforsikring'!B122+'Telenor Forsikring'!B122+'Tryg Forsikring'!B122</f>
        <v>40343.12384</v>
      </c>
      <c r="C122" s="237">
        <f>'ACE European Group'!C122+'Danica Pensjonsforsikring'!C122+'DNB Livsforsikring'!C122+'Eika Forsikring AS'!C122+'Frende Livsforsikring'!C122+'Frende Skadeforsikring'!C122+'Gjensidige Forsikring'!C122+'Gjensidige Pensjon'!C122+'Handelsbanken Liv'!C122+'If Skadeforsikring NUF'!C122+KLP!C122+'KLP Bedriftspensjon AS'!C122+'KLP Skadeforsikring AS'!C122+'Landbruksforsikring AS'!C122+'NEMI Forsikring'!C122+'Nordea Liv '!C122+'Oslo Pensjonsforsikring'!C122+'SHB Liv'!C122+'Silver Pensjonsforsikring AS'!C122+'Sparebank 1'!C122+'Storebrand Livsforsikring'!C122+'Telenor Forsikring'!C122+'Tryg Forsikring'!C122</f>
        <v>5921.4480000000003</v>
      </c>
      <c r="D122" s="23">
        <f t="shared" si="41"/>
        <v>-85.3</v>
      </c>
      <c r="E122" s="44">
        <f>'ACE European Group'!F122+'Danica Pensjonsforsikring'!F122+'DNB Livsforsikring'!F122+'Eika Forsikring AS'!F122+'Frende Livsforsikring'!F122+'Frende Skadeforsikring'!F122+'Gjensidige Forsikring'!F122+'Gjensidige Pensjon'!F122+'Handelsbanken Liv'!F122+'If Skadeforsikring NUF'!F122+KLP!F122+'KLP Bedriftspensjon AS'!F122+'KLP Skadeforsikring AS'!F122+'Landbruksforsikring AS'!F122+'NEMI Forsikring'!F122+'Nordea Liv '!F122+'Oslo Pensjonsforsikring'!F122+'SHB Liv'!F122+'Silver Pensjonsforsikring AS'!F122+'Sparebank 1'!F122+'Storebrand Livsforsikring'!F122+'Telenor Forsikring'!F122+'Tryg Forsikring'!F122</f>
        <v>21433.298999999999</v>
      </c>
      <c r="F122" s="44">
        <f>'ACE European Group'!G122+'Danica Pensjonsforsikring'!G122+'DNB Livsforsikring'!G122+'Eika Forsikring AS'!G122+'Frende Livsforsikring'!G122+'Frende Skadeforsikring'!G122+'Gjensidige Forsikring'!G122+'Gjensidige Pensjon'!G122+'Handelsbanken Liv'!G122+'If Skadeforsikring NUF'!G122+KLP!G122+'KLP Bedriftspensjon AS'!G122+'KLP Skadeforsikring AS'!G122+'Landbruksforsikring AS'!G122+'NEMI Forsikring'!G122+'Nordea Liv '!G122+'Oslo Pensjonsforsikring'!G122+'SHB Liv'!G122+'Silver Pensjonsforsikring AS'!G122+'Sparebank 1'!G122+'Storebrand Livsforsikring'!G122+'Telenor Forsikring'!G122+'Tryg Forsikring'!G122</f>
        <v>9802.9210000000003</v>
      </c>
      <c r="G122" s="165">
        <f t="shared" si="42"/>
        <v>-54.3</v>
      </c>
      <c r="H122" s="237">
        <f t="shared" si="43"/>
        <v>61776.422839999999</v>
      </c>
      <c r="I122" s="237">
        <f t="shared" si="44"/>
        <v>15724.369000000001</v>
      </c>
      <c r="J122" s="23">
        <f t="shared" si="45"/>
        <v>-74.5</v>
      </c>
    </row>
    <row r="123" spans="1:10" ht="15.75" customHeight="1" x14ac:dyDescent="0.2">
      <c r="A123" s="21" t="s">
        <v>320</v>
      </c>
      <c r="B123" s="237">
        <f>'ACE European Group'!B123+'Danica Pensjonsforsikring'!B123+'DNB Livsforsikring'!B123+'Eika Forsikring AS'!B123+'Frende Livsforsikring'!B123+'Frende Skadeforsikring'!B123+'Gjensidige Forsikring'!B123+'Gjensidige Pensjon'!B123+'Handelsbanken Liv'!B123+'If Skadeforsikring NUF'!B123+KLP!B123+'KLP Bedriftspensjon AS'!B123+'KLP Skadeforsikring AS'!B123+'Landbruksforsikring AS'!B123+'NEMI Forsikring'!B123+'Nordea Liv '!B123+'Oslo Pensjonsforsikring'!B123+'SHB Liv'!B123+'Silver Pensjonsforsikring AS'!B123+'Sparebank 1'!B123+'Storebrand Livsforsikring'!B123+'Telenor Forsikring'!B123+'Tryg Forsikring'!B123</f>
        <v>1626.4204999999999</v>
      </c>
      <c r="C123" s="237">
        <f>'ACE European Group'!C123+'Danica Pensjonsforsikring'!C123+'DNB Livsforsikring'!C123+'Eika Forsikring AS'!C123+'Frende Livsforsikring'!C123+'Frende Skadeforsikring'!C123+'Gjensidige Forsikring'!C123+'Gjensidige Pensjon'!C123+'Handelsbanken Liv'!C123+'If Skadeforsikring NUF'!C123+KLP!C123+'KLP Bedriftspensjon AS'!C123+'KLP Skadeforsikring AS'!C123+'Landbruksforsikring AS'!C123+'NEMI Forsikring'!C123+'Nordea Liv '!C123+'Oslo Pensjonsforsikring'!C123+'SHB Liv'!C123+'Silver Pensjonsforsikring AS'!C123+'Sparebank 1'!C123+'Storebrand Livsforsikring'!C123+'Telenor Forsikring'!C123+'Tryg Forsikring'!C123</f>
        <v>3061.0189800000003</v>
      </c>
      <c r="D123" s="23">
        <f t="shared" si="41"/>
        <v>88.2</v>
      </c>
      <c r="E123" s="44">
        <f>'ACE European Group'!F123+'Danica Pensjonsforsikring'!F123+'DNB Livsforsikring'!F123+'Eika Forsikring AS'!F123+'Frende Livsforsikring'!F123+'Frende Skadeforsikring'!F123+'Gjensidige Forsikring'!F123+'Gjensidige Pensjon'!F123+'Handelsbanken Liv'!F123+'If Skadeforsikring NUF'!F123+KLP!F123+'KLP Bedriftspensjon AS'!F123+'KLP Skadeforsikring AS'!F123+'Landbruksforsikring AS'!F123+'NEMI Forsikring'!F123+'Nordea Liv '!F123+'Oslo Pensjonsforsikring'!F123+'SHB Liv'!F123+'Silver Pensjonsforsikring AS'!F123+'Sparebank 1'!F123+'Storebrand Livsforsikring'!F123+'Telenor Forsikring'!F123+'Tryg Forsikring'!F123</f>
        <v>431445.72641</v>
      </c>
      <c r="F123" s="44">
        <f>'ACE European Group'!G123+'Danica Pensjonsforsikring'!G123+'DNB Livsforsikring'!G123+'Eika Forsikring AS'!G123+'Frende Livsforsikring'!G123+'Frende Skadeforsikring'!G123+'Gjensidige Forsikring'!G123+'Gjensidige Pensjon'!G123+'Handelsbanken Liv'!G123+'If Skadeforsikring NUF'!G123+KLP!G123+'KLP Bedriftspensjon AS'!G123+'KLP Skadeforsikring AS'!G123+'Landbruksforsikring AS'!G123+'NEMI Forsikring'!G123+'Nordea Liv '!G123+'Oslo Pensjonsforsikring'!G123+'SHB Liv'!G123+'Silver Pensjonsforsikring AS'!G123+'Sparebank 1'!G123+'Storebrand Livsforsikring'!G123+'Telenor Forsikring'!G123+'Tryg Forsikring'!G123</f>
        <v>942187.1791500001</v>
      </c>
      <c r="G123" s="165">
        <f t="shared" si="42"/>
        <v>118.4</v>
      </c>
      <c r="H123" s="237">
        <f t="shared" si="43"/>
        <v>433072.14691000001</v>
      </c>
      <c r="I123" s="237">
        <f t="shared" si="44"/>
        <v>945248.19813000015</v>
      </c>
      <c r="J123" s="23">
        <f t="shared" si="45"/>
        <v>118.3</v>
      </c>
    </row>
    <row r="124" spans="1:10" ht="15.75" customHeight="1" x14ac:dyDescent="0.2">
      <c r="A124" s="10" t="s">
        <v>321</v>
      </c>
      <c r="B124" s="238">
        <f>'ACE European Group'!B124+'Danica Pensjonsforsikring'!B124+'DNB Livsforsikring'!B124+'Eika Forsikring AS'!B124+'Frende Livsforsikring'!B124+'Frende Skadeforsikring'!B124+'Gjensidige Forsikring'!B124+'Gjensidige Pensjon'!B124+'Handelsbanken Liv'!B124+'If Skadeforsikring NUF'!B124+KLP!B124+'KLP Bedriftspensjon AS'!B124+'KLP Skadeforsikring AS'!B124+'Landbruksforsikring AS'!B124+'NEMI Forsikring'!B124+'Nordea Liv '!B124+'Oslo Pensjonsforsikring'!B124+'SHB Liv'!B124+'Silver Pensjonsforsikring AS'!B124+'Sparebank 1'!B124+'Storebrand Livsforsikring'!B124+'Telenor Forsikring'!B124+'Tryg Forsikring'!B124</f>
        <v>0</v>
      </c>
      <c r="C124" s="239">
        <f>'ACE European Group'!C124+'Danica Pensjonsforsikring'!C124+'DNB Livsforsikring'!C124+'Eika Forsikring AS'!C124+'Frende Livsforsikring'!C124+'Frende Skadeforsikring'!C124+'Gjensidige Forsikring'!C124+'Gjensidige Pensjon'!C124+'Handelsbanken Liv'!C124+'If Skadeforsikring NUF'!C124+KLP!C124+'KLP Bedriftspensjon AS'!C124+'KLP Skadeforsikring AS'!C124+'Landbruksforsikring AS'!C124+'NEMI Forsikring'!C124+'Nordea Liv '!C124+'Oslo Pensjonsforsikring'!C124+'SHB Liv'!C124+'Silver Pensjonsforsikring AS'!C124+'Sparebank 1'!C124+'Storebrand Livsforsikring'!C124+'Telenor Forsikring'!C124+'Tryg Forsikring'!C124</f>
        <v>0</v>
      </c>
      <c r="D124" s="22"/>
      <c r="E124" s="45">
        <f>'ACE European Group'!F124+'Danica Pensjonsforsikring'!F124+'DNB Livsforsikring'!F124+'Eika Forsikring AS'!F124+'Frende Livsforsikring'!F124+'Frende Skadeforsikring'!F124+'Gjensidige Forsikring'!F124+'Gjensidige Pensjon'!F124+'Handelsbanken Liv'!F124+'If Skadeforsikring NUF'!F124+KLP!F124+'KLP Bedriftspensjon AS'!F124+'KLP Skadeforsikring AS'!F124+'Landbruksforsikring AS'!F124+'NEMI Forsikring'!F124+'Nordea Liv '!F124+'Oslo Pensjonsforsikring'!F124+'SHB Liv'!F124+'Silver Pensjonsforsikring AS'!F124+'Sparebank 1'!F124+'Storebrand Livsforsikring'!F124+'Telenor Forsikring'!F124+'Tryg Forsikring'!F124</f>
        <v>0</v>
      </c>
      <c r="F124" s="45">
        <f>'ACE European Group'!G124+'Danica Pensjonsforsikring'!G124+'DNB Livsforsikring'!G124+'Eika Forsikring AS'!G124+'Frende Livsforsikring'!G124+'Frende Skadeforsikring'!G124+'Gjensidige Forsikring'!G124+'Gjensidige Pensjon'!G124+'Handelsbanken Liv'!G124+'If Skadeforsikring NUF'!G124+KLP!G124+'KLP Bedriftspensjon AS'!G124+'KLP Skadeforsikring AS'!G124+'Landbruksforsikring AS'!G124+'NEMI Forsikring'!G124+'Nordea Liv '!G124+'Oslo Pensjonsforsikring'!G124+'SHB Liv'!G124+'Silver Pensjonsforsikring AS'!G124+'Sparebank 1'!G124+'Storebrand Livsforsikring'!G124+'Telenor Forsikring'!G124+'Tryg Forsikring'!G124</f>
        <v>0</v>
      </c>
      <c r="G124" s="166"/>
      <c r="H124" s="238">
        <f t="shared" si="43"/>
        <v>0</v>
      </c>
      <c r="I124" s="239">
        <f t="shared" si="44"/>
        <v>0</v>
      </c>
      <c r="J124" s="22"/>
    </row>
    <row r="125" spans="1:10" ht="15.75" customHeight="1" x14ac:dyDescent="0.2">
      <c r="A125" s="154"/>
    </row>
    <row r="126" spans="1:10" ht="15.75" customHeight="1" x14ac:dyDescent="0.2">
      <c r="A126" s="148"/>
    </row>
    <row r="127" spans="1:10" ht="15.75" customHeight="1" x14ac:dyDescent="0.25">
      <c r="A127" s="164" t="s">
        <v>31</v>
      </c>
    </row>
    <row r="128" spans="1:10" ht="15.75" customHeight="1" x14ac:dyDescent="0.25">
      <c r="A128" s="148"/>
      <c r="B128" s="671"/>
      <c r="C128" s="671"/>
      <c r="D128" s="671"/>
      <c r="E128" s="671"/>
      <c r="F128" s="671"/>
      <c r="G128" s="671"/>
      <c r="H128" s="671"/>
      <c r="I128" s="671"/>
      <c r="J128" s="671"/>
    </row>
    <row r="129" spans="1:14" s="3" customFormat="1" ht="20.100000000000001" customHeight="1" x14ac:dyDescent="0.2">
      <c r="A129" s="143"/>
      <c r="B129" s="668" t="s">
        <v>0</v>
      </c>
      <c r="C129" s="669"/>
      <c r="D129" s="670"/>
      <c r="E129" s="669" t="s">
        <v>1</v>
      </c>
      <c r="F129" s="669"/>
      <c r="G129" s="669"/>
      <c r="H129" s="668" t="s">
        <v>2</v>
      </c>
      <c r="I129" s="669"/>
      <c r="J129" s="670"/>
    </row>
    <row r="130" spans="1:14" s="3" customFormat="1" ht="15.75" customHeight="1" x14ac:dyDescent="0.2">
      <c r="A130" s="140"/>
      <c r="B130" s="253" t="s">
        <v>411</v>
      </c>
      <c r="C130" s="253" t="s">
        <v>412</v>
      </c>
      <c r="D130" s="19" t="s">
        <v>3</v>
      </c>
      <c r="E130" s="253" t="s">
        <v>411</v>
      </c>
      <c r="F130" s="253" t="s">
        <v>412</v>
      </c>
      <c r="G130" s="19" t="s">
        <v>3</v>
      </c>
      <c r="H130" s="253" t="s">
        <v>411</v>
      </c>
      <c r="I130" s="253" t="s">
        <v>412</v>
      </c>
      <c r="J130" s="19" t="s">
        <v>3</v>
      </c>
    </row>
    <row r="131" spans="1:14" s="3" customFormat="1" ht="15.75" customHeight="1" x14ac:dyDescent="0.2">
      <c r="A131" s="436"/>
      <c r="B131" s="15"/>
      <c r="C131" s="15"/>
      <c r="D131" s="17" t="s">
        <v>4</v>
      </c>
      <c r="E131" s="16"/>
      <c r="F131" s="16"/>
      <c r="G131" s="15" t="s">
        <v>4</v>
      </c>
      <c r="H131" s="16"/>
      <c r="I131" s="16"/>
      <c r="J131" s="15" t="s">
        <v>4</v>
      </c>
    </row>
    <row r="132" spans="1:14" s="396" customFormat="1" ht="15.75" customHeight="1" x14ac:dyDescent="0.2">
      <c r="A132" s="14" t="s">
        <v>323</v>
      </c>
      <c r="B132" s="236">
        <v>19312251.3917</v>
      </c>
      <c r="C132" s="236">
        <v>16521567.102909999</v>
      </c>
      <c r="D132" s="11">
        <v>-14.5</v>
      </c>
      <c r="E132" s="236">
        <v>76382.539000000004</v>
      </c>
      <c r="F132" s="236">
        <v>52296.226000000002</v>
      </c>
      <c r="G132" s="11">
        <v>-31.5</v>
      </c>
      <c r="H132" s="236">
        <v>19388633.9307</v>
      </c>
      <c r="I132" s="236">
        <v>16573863.328909999</v>
      </c>
      <c r="J132" s="11">
        <v>-14.5</v>
      </c>
    </row>
    <row r="133" spans="1:14" s="396" customFormat="1" ht="15.75" customHeight="1" x14ac:dyDescent="0.2">
      <c r="A133" s="13" t="s">
        <v>324</v>
      </c>
      <c r="B133" s="236">
        <v>474446576.40594995</v>
      </c>
      <c r="C133" s="236">
        <v>501528009.73421001</v>
      </c>
      <c r="D133" s="11">
        <v>5.7</v>
      </c>
      <c r="E133" s="236">
        <v>2120218.96215</v>
      </c>
      <c r="F133" s="236">
        <v>2288839.25715</v>
      </c>
      <c r="G133" s="11">
        <v>8</v>
      </c>
      <c r="H133" s="236">
        <v>476566795.36809993</v>
      </c>
      <c r="I133" s="236">
        <v>503816848.99136001</v>
      </c>
      <c r="J133" s="11">
        <v>5.7</v>
      </c>
    </row>
    <row r="134" spans="1:14" s="396" customFormat="1" ht="15.75" customHeight="1" x14ac:dyDescent="0.2">
      <c r="A134" s="13" t="s">
        <v>325</v>
      </c>
      <c r="B134" s="236">
        <v>1738468.5430000001</v>
      </c>
      <c r="C134" s="236">
        <v>183490.30300000001</v>
      </c>
      <c r="D134" s="11">
        <v>-89.4</v>
      </c>
      <c r="E134" s="236">
        <v>0</v>
      </c>
      <c r="F134" s="236">
        <v>24988.125</v>
      </c>
      <c r="G134" s="11" t="s">
        <v>414</v>
      </c>
      <c r="H134" s="236">
        <v>1738468.5430000001</v>
      </c>
      <c r="I134" s="236">
        <v>208478.42800000001</v>
      </c>
      <c r="J134" s="11">
        <v>-88</v>
      </c>
    </row>
    <row r="135" spans="1:14" s="396" customFormat="1" ht="15.75" customHeight="1" x14ac:dyDescent="0.2">
      <c r="A135" s="41" t="s">
        <v>326</v>
      </c>
      <c r="B135" s="281">
        <v>1924172.7790000001</v>
      </c>
      <c r="C135" s="281">
        <v>354138.24600000004</v>
      </c>
      <c r="D135" s="9">
        <v>-81.599999999999994</v>
      </c>
      <c r="E135" s="281">
        <v>0</v>
      </c>
      <c r="F135" s="281">
        <v>0</v>
      </c>
      <c r="G135" s="9"/>
      <c r="H135" s="281">
        <v>1924172.7790000001</v>
      </c>
      <c r="I135" s="281">
        <v>354138.24600000004</v>
      </c>
      <c r="J135" s="9">
        <v>-81.599999999999994</v>
      </c>
    </row>
    <row r="136" spans="1:14" s="3" customFormat="1" ht="15.75" customHeight="1" x14ac:dyDescent="0.2">
      <c r="A136" s="8"/>
      <c r="E136" s="7"/>
      <c r="F136" s="7"/>
      <c r="G136" s="6"/>
      <c r="H136" s="7"/>
      <c r="I136" s="7"/>
      <c r="J136" s="6"/>
    </row>
    <row r="137" spans="1:14" ht="15.75" customHeight="1" x14ac:dyDescent="0.2"/>
    <row r="138" spans="1:14" ht="15.75" customHeight="1" x14ac:dyDescent="0.2">
      <c r="N138" s="3"/>
    </row>
    <row r="139" spans="1:14" ht="15.75" customHeight="1" x14ac:dyDescent="0.2">
      <c r="N139" s="3"/>
    </row>
    <row r="140" spans="1:14" ht="15.75" customHeight="1" x14ac:dyDescent="0.2"/>
    <row r="141" spans="1:14" ht="15.75" customHeight="1" x14ac:dyDescent="0.2"/>
    <row r="142" spans="1:14" ht="15.75" customHeight="1" x14ac:dyDescent="0.2"/>
    <row r="143" spans="1:14" ht="15.75" customHeight="1" x14ac:dyDescent="0.2"/>
    <row r="144" spans="1:1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sheetData>
  <mergeCells count="27">
    <mergeCell ref="B18:D18"/>
    <mergeCell ref="E18:G18"/>
    <mergeCell ref="H18:J18"/>
    <mergeCell ref="B2:D2"/>
    <mergeCell ref="E2:G2"/>
    <mergeCell ref="H2:J2"/>
    <mergeCell ref="B4:D4"/>
    <mergeCell ref="E4:G4"/>
    <mergeCell ref="H4:J4"/>
    <mergeCell ref="B61:D61"/>
    <mergeCell ref="E61:G61"/>
    <mergeCell ref="H61:J61"/>
    <mergeCell ref="B19:D19"/>
    <mergeCell ref="E19:G19"/>
    <mergeCell ref="H19:J19"/>
    <mergeCell ref="B60:D60"/>
    <mergeCell ref="E60:G60"/>
    <mergeCell ref="H60:J60"/>
    <mergeCell ref="B40:D40"/>
    <mergeCell ref="E40:G40"/>
    <mergeCell ref="H40:J40"/>
    <mergeCell ref="B129:D129"/>
    <mergeCell ref="E129:G129"/>
    <mergeCell ref="H129:J129"/>
    <mergeCell ref="B128:D128"/>
    <mergeCell ref="E128:G128"/>
    <mergeCell ref="H128:J128"/>
  </mergeCells>
  <conditionalFormatting sqref="H99:I104">
    <cfRule type="expression" dxfId="1923" priority="46">
      <formula>kvartal&lt;4</formula>
    </cfRule>
  </conditionalFormatting>
  <conditionalFormatting sqref="B23:C26 E23:F26">
    <cfRule type="expression" dxfId="1922" priority="60">
      <formula>kvartal&lt;4</formula>
    </cfRule>
  </conditionalFormatting>
  <conditionalFormatting sqref="H23:I26">
    <cfRule type="expression" dxfId="1921" priority="59">
      <formula>kvartal&lt;4</formula>
    </cfRule>
  </conditionalFormatting>
  <conditionalFormatting sqref="H29:I31">
    <cfRule type="expression" dxfId="1920" priority="57">
      <formula>kvartal&lt;4</formula>
    </cfRule>
  </conditionalFormatting>
  <conditionalFormatting sqref="H67:I72">
    <cfRule type="expression" dxfId="1919" priority="54">
      <formula>kvartal&lt;4</formula>
    </cfRule>
  </conditionalFormatting>
  <conditionalFormatting sqref="H78:I83">
    <cfRule type="expression" dxfId="1918" priority="51">
      <formula>kvartal&lt;4</formula>
    </cfRule>
  </conditionalFormatting>
  <conditionalFormatting sqref="H88:I93">
    <cfRule type="expression" dxfId="1917" priority="47">
      <formula>kvartal&lt;4</formula>
    </cfRule>
  </conditionalFormatting>
  <conditionalFormatting sqref="H113:I113">
    <cfRule type="expression" dxfId="1916" priority="45">
      <formula>kvartal&lt;4</formula>
    </cfRule>
  </conditionalFormatting>
  <conditionalFormatting sqref="H121:I121">
    <cfRule type="expression" dxfId="1915" priority="44">
      <formula>kvartal&lt;4</formula>
    </cfRule>
  </conditionalFormatting>
  <conditionalFormatting sqref="A23:A25">
    <cfRule type="expression" dxfId="1914" priority="43">
      <formula>kvartal &lt; 4</formula>
    </cfRule>
  </conditionalFormatting>
  <conditionalFormatting sqref="A29:A31">
    <cfRule type="expression" dxfId="1913" priority="41">
      <formula>kvartal &lt; 4</formula>
    </cfRule>
  </conditionalFormatting>
  <conditionalFormatting sqref="A48:A50">
    <cfRule type="expression" dxfId="1912" priority="40">
      <formula>kvartal &lt; 4</formula>
    </cfRule>
  </conditionalFormatting>
  <conditionalFormatting sqref="A67:A72">
    <cfRule type="expression" dxfId="1911" priority="38">
      <formula>kvartal &lt; 4</formula>
    </cfRule>
  </conditionalFormatting>
  <conditionalFormatting sqref="A78:A83">
    <cfRule type="expression" dxfId="1910" priority="37">
      <formula>kvartal &lt; 4</formula>
    </cfRule>
  </conditionalFormatting>
  <conditionalFormatting sqref="A88:A93">
    <cfRule type="expression" dxfId="1909" priority="34">
      <formula>kvartal &lt; 4</formula>
    </cfRule>
  </conditionalFormatting>
  <conditionalFormatting sqref="A99:A104">
    <cfRule type="expression" dxfId="1908" priority="33">
      <formula>kvartal &lt; 4</formula>
    </cfRule>
  </conditionalFormatting>
  <conditionalFormatting sqref="A113">
    <cfRule type="expression" dxfId="1907" priority="32">
      <formula>kvartal &lt; 4</formula>
    </cfRule>
  </conditionalFormatting>
  <conditionalFormatting sqref="A121">
    <cfRule type="expression" dxfId="1906" priority="31">
      <formula>kvartal &lt; 4</formula>
    </cfRule>
  </conditionalFormatting>
  <conditionalFormatting sqref="A26">
    <cfRule type="expression" dxfId="1905" priority="30">
      <formula>kvartal &lt; 4</formula>
    </cfRule>
  </conditionalFormatting>
  <conditionalFormatting sqref="E29:F31">
    <cfRule type="expression" dxfId="1904" priority="27">
      <formula>kvartal&lt;4</formula>
    </cfRule>
  </conditionalFormatting>
  <conditionalFormatting sqref="B29:C31">
    <cfRule type="expression" dxfId="1903" priority="25">
      <formula>kvartal&lt;4</formula>
    </cfRule>
  </conditionalFormatting>
  <conditionalFormatting sqref="B48:C50">
    <cfRule type="expression" dxfId="1902" priority="24">
      <formula>kvartal&lt;4</formula>
    </cfRule>
  </conditionalFormatting>
  <conditionalFormatting sqref="B67:C67">
    <cfRule type="expression" dxfId="1901" priority="22">
      <formula>kvartal&lt;4</formula>
    </cfRule>
  </conditionalFormatting>
  <conditionalFormatting sqref="B70:C70">
    <cfRule type="expression" dxfId="1900" priority="21">
      <formula>kvartal&lt;4</formula>
    </cfRule>
  </conditionalFormatting>
  <conditionalFormatting sqref="B78:C78">
    <cfRule type="expression" dxfId="1899" priority="20">
      <formula>kvartal&lt;4</formula>
    </cfRule>
  </conditionalFormatting>
  <conditionalFormatting sqref="B81:C81">
    <cfRule type="expression" dxfId="1898" priority="19">
      <formula>kvartal&lt;4</formula>
    </cfRule>
  </conditionalFormatting>
  <conditionalFormatting sqref="B88:C88">
    <cfRule type="expression" dxfId="1897" priority="14">
      <formula>kvartal&lt;4</formula>
    </cfRule>
  </conditionalFormatting>
  <conditionalFormatting sqref="B91:C91">
    <cfRule type="expression" dxfId="1896" priority="13">
      <formula>kvartal&lt;4</formula>
    </cfRule>
  </conditionalFormatting>
  <conditionalFormatting sqref="B99:C99">
    <cfRule type="expression" dxfId="1895" priority="12">
      <formula>kvartal&lt;4</formula>
    </cfRule>
  </conditionalFormatting>
  <conditionalFormatting sqref="B102:C102">
    <cfRule type="expression" dxfId="1894" priority="11">
      <formula>kvartal&lt;4</formula>
    </cfRule>
  </conditionalFormatting>
  <conditionalFormatting sqref="B113:C113">
    <cfRule type="expression" dxfId="1893" priority="10">
      <formula>kvartal&lt;4</formula>
    </cfRule>
  </conditionalFormatting>
  <conditionalFormatting sqref="B121:C121">
    <cfRule type="expression" dxfId="1892" priority="9">
      <formula>kvartal&lt;4</formula>
    </cfRule>
  </conditionalFormatting>
  <conditionalFormatting sqref="E67:F72">
    <cfRule type="expression" dxfId="1891" priority="8">
      <formula>kvartal&lt;4</formula>
    </cfRule>
  </conditionalFormatting>
  <conditionalFormatting sqref="E78:F83">
    <cfRule type="expression" dxfId="1890" priority="7">
      <formula>kvartal&lt;4</formula>
    </cfRule>
  </conditionalFormatting>
  <conditionalFormatting sqref="E88:F93">
    <cfRule type="expression" dxfId="1889" priority="4">
      <formula>kvartal&lt;4</formula>
    </cfRule>
  </conditionalFormatting>
  <conditionalFormatting sqref="E99:F104">
    <cfRule type="expression" dxfId="1888" priority="3">
      <formula>kvartal&lt;4</formula>
    </cfRule>
  </conditionalFormatting>
  <conditionalFormatting sqref="E113:F113">
    <cfRule type="expression" dxfId="1887" priority="2">
      <formula>kvartal&lt;4</formula>
    </cfRule>
  </conditionalFormatting>
  <conditionalFormatting sqref="E121:F121">
    <cfRule type="expression" dxfId="1886" priority="1">
      <formula>kvartal&lt;4</formula>
    </cfRule>
  </conditionalFormatting>
  <pageMargins left="0.23622047244094491" right="0.23622047244094491" top="0.62992125984251968" bottom="0.59055118110236227" header="0.51181102362204722" footer="0.51181102362204722"/>
  <pageSetup paperSize="9" scale="55" fitToHeight="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138</v>
      </c>
      <c r="D1" s="26"/>
      <c r="E1" s="26"/>
      <c r="F1" s="26"/>
      <c r="G1" s="26"/>
      <c r="H1" s="26"/>
      <c r="I1" s="26"/>
      <c r="J1" s="26"/>
      <c r="K1" s="26"/>
      <c r="L1" s="26"/>
      <c r="M1" s="26"/>
    </row>
    <row r="2" spans="1:14" ht="15.75" x14ac:dyDescent="0.25">
      <c r="A2" s="164" t="s">
        <v>32</v>
      </c>
      <c r="B2" s="353"/>
      <c r="C2" s="353"/>
      <c r="D2" s="353"/>
      <c r="E2" s="353"/>
      <c r="F2" s="353"/>
      <c r="G2" s="353"/>
      <c r="H2" s="353"/>
      <c r="I2" s="353"/>
      <c r="J2" s="353"/>
      <c r="K2" s="353"/>
      <c r="L2" s="353"/>
      <c r="M2" s="353"/>
    </row>
    <row r="3" spans="1:14" ht="15.75" x14ac:dyDescent="0.25">
      <c r="A3" s="162"/>
      <c r="B3" s="353"/>
      <c r="C3" s="353"/>
      <c r="D3" s="353"/>
      <c r="E3" s="353"/>
      <c r="F3" s="353"/>
      <c r="G3" s="353"/>
      <c r="H3" s="353"/>
      <c r="I3" s="353"/>
      <c r="J3" s="353"/>
      <c r="K3" s="353"/>
      <c r="L3" s="353"/>
      <c r="M3" s="353"/>
    </row>
    <row r="4" spans="1:14" x14ac:dyDescent="0.2">
      <c r="A4" s="143"/>
      <c r="B4" s="676" t="s">
        <v>0</v>
      </c>
      <c r="C4" s="677"/>
      <c r="D4" s="678"/>
      <c r="E4" s="350"/>
      <c r="F4" s="349" t="s">
        <v>1</v>
      </c>
      <c r="G4" s="350"/>
      <c r="H4" s="350"/>
      <c r="I4" s="351"/>
      <c r="J4" s="349" t="s">
        <v>2</v>
      </c>
      <c r="K4" s="350"/>
      <c r="L4" s="350"/>
      <c r="M4" s="351"/>
    </row>
    <row r="5" spans="1:14" x14ac:dyDescent="0.2">
      <c r="A5" s="157"/>
      <c r="B5" s="151" t="s">
        <v>411</v>
      </c>
      <c r="C5" s="151" t="s">
        <v>412</v>
      </c>
      <c r="D5" s="246" t="s">
        <v>3</v>
      </c>
      <c r="E5" s="303" t="s">
        <v>33</v>
      </c>
      <c r="F5" s="151" t="s">
        <v>411</v>
      </c>
      <c r="G5" s="151" t="s">
        <v>412</v>
      </c>
      <c r="H5" s="246" t="s">
        <v>3</v>
      </c>
      <c r="I5" s="303"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56"/>
      <c r="C7" s="357"/>
      <c r="D7" s="364">
        <f t="shared" ref="D7:D12" si="0">IF(AND(_xlfn.NUMBERVALUE(B7)=0,_xlfn.NUMBERVALUE(C7)=0),,IF(B7=0, "    ---- ", IF(ABS(ROUND(100/B7*C7-100,1))&lt;999,IF(ROUND(100/B7*C7-100,1)=0,"    ---- ",ROUND(100/B7*C7-100,1)),IF(ROUND(100/B7*C7-100,1)&gt;999,999,-999))))</f>
        <v>0</v>
      </c>
      <c r="E7" s="365">
        <f>IFERROR(100/'Skjema total MA'!C7*C7,0)</f>
        <v>0</v>
      </c>
      <c r="F7" s="356"/>
      <c r="G7" s="357"/>
      <c r="H7" s="364">
        <f t="shared" ref="H7:H12" si="1">IF(AND(_xlfn.NUMBERVALUE(F7)=0,_xlfn.NUMBERVALUE(G7)=0),,IF(F7=0, "    ---- ", IF(ABS(ROUND(100/F7*G7-100,1))&lt;999,IF(ROUND(100/F7*G7-100,1)=0,"    ---- ",ROUND(100/F7*G7-100,1)),IF(ROUND(100/F7*G7-100,1)&gt;999,999,-999))))</f>
        <v>0</v>
      </c>
      <c r="I7" s="365">
        <f>IFERROR(100/'Skjema total MA'!F7*G7,0)</f>
        <v>0</v>
      </c>
      <c r="J7" s="366"/>
      <c r="K7" s="361"/>
      <c r="L7" s="364">
        <f t="shared" ref="L7:L12" si="2">IF(AND(_xlfn.NUMBERVALUE(J7)=0,_xlfn.NUMBERVALUE(K7)=0),,IF(J7=0, "    ---- ", IF(ABS(ROUND(100/J7*K7-100,1))&lt;999,IF(ROUND(100/J7*K7-100,1)=0,"    ---- ",ROUND(100/J7*K7-100,1)),IF(ROUND(100/J7*K7-100,1)&gt;999,999,-999))))</f>
        <v>0</v>
      </c>
      <c r="M7" s="365">
        <f>IFERROR(100/'Skjema total MA'!I7*K7,0)</f>
        <v>0</v>
      </c>
    </row>
    <row r="8" spans="1:14" ht="15.75" x14ac:dyDescent="0.2">
      <c r="A8" s="21" t="s">
        <v>29</v>
      </c>
      <c r="B8" s="358"/>
      <c r="C8" s="359"/>
      <c r="D8" s="367">
        <f t="shared" si="0"/>
        <v>0</v>
      </c>
      <c r="E8" s="365">
        <f>IFERROR(100/'Skjema total MA'!C8*C8,0)</f>
        <v>0</v>
      </c>
      <c r="F8" s="411"/>
      <c r="G8" s="412"/>
      <c r="H8" s="367">
        <f t="shared" si="1"/>
        <v>0</v>
      </c>
      <c r="I8" s="365">
        <f>IFERROR(100/'Skjema total MA'!F8*G8,0)</f>
        <v>0</v>
      </c>
      <c r="J8" s="368"/>
      <c r="K8" s="359"/>
      <c r="L8" s="367">
        <f t="shared" si="2"/>
        <v>0</v>
      </c>
      <c r="M8" s="365">
        <f>IFERROR(100/'Skjema total MA'!I8*K8,0)</f>
        <v>0</v>
      </c>
    </row>
    <row r="9" spans="1:14" ht="15.75" x14ac:dyDescent="0.2">
      <c r="A9" s="21" t="s">
        <v>28</v>
      </c>
      <c r="B9" s="358"/>
      <c r="C9" s="359"/>
      <c r="D9" s="367">
        <f t="shared" si="0"/>
        <v>0</v>
      </c>
      <c r="E9" s="365">
        <f>IFERROR(100/'Skjema total MA'!C9*C9,0)</f>
        <v>0</v>
      </c>
      <c r="F9" s="411"/>
      <c r="G9" s="412"/>
      <c r="H9" s="367">
        <f t="shared" si="1"/>
        <v>0</v>
      </c>
      <c r="I9" s="365">
        <f>IFERROR(100/'Skjema total MA'!F9*G9,0)</f>
        <v>0</v>
      </c>
      <c r="J9" s="368"/>
      <c r="K9" s="359"/>
      <c r="L9" s="367">
        <f t="shared" si="2"/>
        <v>0</v>
      </c>
      <c r="M9" s="365">
        <f>IFERROR(100/'Skjema total MA'!I9*K9,0)</f>
        <v>0</v>
      </c>
    </row>
    <row r="10" spans="1:14" ht="15.75" x14ac:dyDescent="0.2">
      <c r="A10" s="13" t="s">
        <v>26</v>
      </c>
      <c r="B10" s="360"/>
      <c r="C10" s="361"/>
      <c r="D10" s="367">
        <f t="shared" si="0"/>
        <v>0</v>
      </c>
      <c r="E10" s="365">
        <f>IFERROR(100/'Skjema total MA'!C10*C10,0)</f>
        <v>0</v>
      </c>
      <c r="F10" s="360"/>
      <c r="G10" s="361"/>
      <c r="H10" s="367">
        <f t="shared" si="1"/>
        <v>0</v>
      </c>
      <c r="I10" s="365">
        <f>IFERROR(100/'Skjema total MA'!F10*G10,0)</f>
        <v>0</v>
      </c>
      <c r="J10" s="366"/>
      <c r="K10" s="361"/>
      <c r="L10" s="367">
        <f t="shared" si="2"/>
        <v>0</v>
      </c>
      <c r="M10" s="365">
        <f>IFERROR(100/'Skjema total MA'!I10*K10,0)</f>
        <v>0</v>
      </c>
    </row>
    <row r="11" spans="1:14" s="43" customFormat="1" ht="15.75" x14ac:dyDescent="0.2">
      <c r="A11" s="13" t="s">
        <v>25</v>
      </c>
      <c r="B11" s="360"/>
      <c r="C11" s="361"/>
      <c r="D11" s="367">
        <f t="shared" si="0"/>
        <v>0</v>
      </c>
      <c r="E11" s="365">
        <f>IFERROR(100/'Skjema total MA'!C11*C11,0)</f>
        <v>0</v>
      </c>
      <c r="F11" s="360"/>
      <c r="G11" s="361"/>
      <c r="H11" s="367">
        <f t="shared" si="1"/>
        <v>0</v>
      </c>
      <c r="I11" s="365">
        <f>IFERROR(100/'Skjema total MA'!F11*G11,0)</f>
        <v>0</v>
      </c>
      <c r="J11" s="366"/>
      <c r="K11" s="361"/>
      <c r="L11" s="367">
        <f t="shared" si="2"/>
        <v>0</v>
      </c>
      <c r="M11" s="365">
        <f>IFERROR(100/'Skjema total MA'!I11*K11,0)</f>
        <v>0</v>
      </c>
      <c r="N11" s="142"/>
    </row>
    <row r="12" spans="1:14" s="43" customFormat="1" ht="15.75" x14ac:dyDescent="0.2">
      <c r="A12" s="41" t="s">
        <v>24</v>
      </c>
      <c r="B12" s="362"/>
      <c r="C12" s="363"/>
      <c r="D12" s="369">
        <f t="shared" si="0"/>
        <v>0</v>
      </c>
      <c r="E12" s="369">
        <f>IFERROR(100/'Skjema total MA'!C12*C12,0)</f>
        <v>0</v>
      </c>
      <c r="F12" s="362"/>
      <c r="G12" s="363"/>
      <c r="H12" s="369">
        <f t="shared" si="1"/>
        <v>0</v>
      </c>
      <c r="I12" s="369">
        <f>IFERROR(100/'Skjema total MA'!F12*G12,0)</f>
        <v>0</v>
      </c>
      <c r="J12" s="370"/>
      <c r="K12" s="363"/>
      <c r="L12" s="369">
        <f t="shared" si="2"/>
        <v>0</v>
      </c>
      <c r="M12" s="369">
        <f>IFERROR(100/'Skjema total MA'!I12*K12,0)</f>
        <v>0</v>
      </c>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352"/>
      <c r="C18" s="352"/>
      <c r="D18" s="352"/>
      <c r="E18" s="353"/>
      <c r="F18" s="352"/>
      <c r="G18" s="352"/>
      <c r="H18" s="352"/>
      <c r="I18" s="353"/>
      <c r="J18" s="352"/>
      <c r="K18" s="352"/>
      <c r="L18" s="352"/>
      <c r="M18" s="353"/>
    </row>
    <row r="19" spans="1:14" x14ac:dyDescent="0.2">
      <c r="A19" s="143"/>
      <c r="B19" s="673" t="s">
        <v>0</v>
      </c>
      <c r="C19" s="674"/>
      <c r="D19" s="674"/>
      <c r="E19" s="675"/>
      <c r="F19" s="673" t="s">
        <v>1</v>
      </c>
      <c r="G19" s="674"/>
      <c r="H19" s="674"/>
      <c r="I19" s="675"/>
      <c r="J19" s="349" t="s">
        <v>2</v>
      </c>
      <c r="K19" s="350"/>
      <c r="L19" s="350"/>
      <c r="M19" s="351"/>
    </row>
    <row r="20" spans="1:14" x14ac:dyDescent="0.2">
      <c r="A20" s="140" t="s">
        <v>5</v>
      </c>
      <c r="B20" s="243" t="s">
        <v>411</v>
      </c>
      <c r="C20" s="243" t="s">
        <v>412</v>
      </c>
      <c r="D20" s="161" t="s">
        <v>3</v>
      </c>
      <c r="E20" s="303" t="s">
        <v>33</v>
      </c>
      <c r="F20" s="243" t="s">
        <v>411</v>
      </c>
      <c r="G20" s="243" t="s">
        <v>412</v>
      </c>
      <c r="H20" s="161" t="s">
        <v>3</v>
      </c>
      <c r="I20" s="303" t="s">
        <v>33</v>
      </c>
      <c r="J20" s="243" t="s">
        <v>411</v>
      </c>
      <c r="K20" s="243" t="s">
        <v>412</v>
      </c>
      <c r="L20" s="161" t="s">
        <v>3</v>
      </c>
      <c r="M20" s="161" t="s">
        <v>33</v>
      </c>
    </row>
    <row r="21" spans="1:14" x14ac:dyDescent="0.2">
      <c r="A21" s="436"/>
      <c r="B21" s="155"/>
      <c r="C21" s="155"/>
      <c r="D21" s="248" t="s">
        <v>4</v>
      </c>
      <c r="E21" s="155" t="s">
        <v>34</v>
      </c>
      <c r="F21" s="160"/>
      <c r="G21" s="160"/>
      <c r="H21" s="246" t="s">
        <v>4</v>
      </c>
      <c r="I21" s="155" t="s">
        <v>34</v>
      </c>
      <c r="J21" s="160"/>
      <c r="K21" s="160"/>
      <c r="L21" s="155" t="s">
        <v>4</v>
      </c>
      <c r="M21" s="155" t="s">
        <v>34</v>
      </c>
    </row>
    <row r="22" spans="1:14" ht="15.75" x14ac:dyDescent="0.2">
      <c r="A22" s="14" t="s">
        <v>27</v>
      </c>
      <c r="B22" s="356"/>
      <c r="C22" s="357"/>
      <c r="D22" s="364">
        <f t="shared" ref="D22:D37" si="3">IF(AND(_xlfn.NUMBERVALUE(B22)=0,_xlfn.NUMBERVALUE(C22)=0),,IF(B22=0, "    ---- ", IF(ABS(ROUND(100/B22*C22-100,1))&lt;999,IF(ROUND(100/B22*C22-100,1)=0,"    ---- ",ROUND(100/B22*C22-100,1)),IF(ROUND(100/B22*C22-100,1)&gt;999,999,-999))))</f>
        <v>0</v>
      </c>
      <c r="E22" s="365">
        <f>IFERROR(100/'Skjema total MA'!C22*C22,0)</f>
        <v>0</v>
      </c>
      <c r="F22" s="371"/>
      <c r="G22" s="357"/>
      <c r="H22" s="364">
        <f t="shared" ref="H22:H37" si="4">IF(AND(_xlfn.NUMBERVALUE(F22)=0,_xlfn.NUMBERVALUE(G22)=0),,IF(F22=0, "    ---- ", IF(ABS(ROUND(100/F22*G22-100,1))&lt;999,IF(ROUND(100/F22*G22-100,1)=0,"    ---- ",ROUND(100/F22*G22-100,1)),IF(ROUND(100/F22*G22-100,1)&gt;999,999,-999))))</f>
        <v>0</v>
      </c>
      <c r="I22" s="365">
        <f>IFERROR(100/'Skjema total MA'!F22*G22,0)</f>
        <v>0</v>
      </c>
      <c r="J22" s="356"/>
      <c r="K22" s="356"/>
      <c r="L22" s="364">
        <f t="shared" ref="L22:L37" si="5">IF(AND(_xlfn.NUMBERVALUE(J22)=0,_xlfn.NUMBERVALUE(K22)=0),,IF(J22=0, "    ---- ", IF(ABS(ROUND(100/J22*K22-100,1))&lt;999,IF(ROUND(100/J22*K22-100,1)=0,"    ---- ",ROUND(100/J22*K22-100,1)),IF(ROUND(100/J22*K22-100,1)&gt;999,999,-999))))</f>
        <v>0</v>
      </c>
      <c r="M22" s="365">
        <f>IFERROR(100/'Skjema total MA'!I22*K22,0)</f>
        <v>0</v>
      </c>
    </row>
    <row r="23" spans="1:14" ht="15.75" x14ac:dyDescent="0.2">
      <c r="A23" s="413" t="s">
        <v>305</v>
      </c>
      <c r="B23" s="411" t="s">
        <v>413</v>
      </c>
      <c r="C23" s="411" t="s">
        <v>413</v>
      </c>
      <c r="D23" s="367">
        <f t="shared" si="3"/>
        <v>0</v>
      </c>
      <c r="E23" s="365">
        <f>IFERROR(100/'Skjema total MA'!C23*C23,0)</f>
        <v>0</v>
      </c>
      <c r="F23" s="411" t="s">
        <v>413</v>
      </c>
      <c r="G23" s="411" t="s">
        <v>413</v>
      </c>
      <c r="H23" s="367">
        <f t="shared" si="4"/>
        <v>0</v>
      </c>
      <c r="I23" s="365">
        <f>IFERROR(100/'Skjema total MA'!F23*G23,0)</f>
        <v>0</v>
      </c>
      <c r="J23" s="411" t="s">
        <v>413</v>
      </c>
      <c r="K23" s="411" t="s">
        <v>413</v>
      </c>
      <c r="L23" s="367">
        <f t="shared" si="5"/>
        <v>0</v>
      </c>
      <c r="M23" s="365">
        <f>IFERROR(100/'Skjema total MA'!I23*K23,0)</f>
        <v>0</v>
      </c>
    </row>
    <row r="24" spans="1:14" ht="15.75" x14ac:dyDescent="0.2">
      <c r="A24" s="413" t="s">
        <v>306</v>
      </c>
      <c r="B24" s="411" t="s">
        <v>413</v>
      </c>
      <c r="C24" s="411" t="s">
        <v>413</v>
      </c>
      <c r="D24" s="367">
        <f t="shared" si="3"/>
        <v>0</v>
      </c>
      <c r="E24" s="365">
        <f>IFERROR(100/'Skjema total MA'!C24*C24,0)</f>
        <v>0</v>
      </c>
      <c r="F24" s="411" t="s">
        <v>413</v>
      </c>
      <c r="G24" s="411" t="s">
        <v>413</v>
      </c>
      <c r="H24" s="367">
        <f t="shared" si="4"/>
        <v>0</v>
      </c>
      <c r="I24" s="365">
        <f>IFERROR(100/'Skjema total MA'!F24*G24,0)</f>
        <v>0</v>
      </c>
      <c r="J24" s="411" t="s">
        <v>413</v>
      </c>
      <c r="K24" s="411" t="s">
        <v>413</v>
      </c>
      <c r="L24" s="367">
        <f t="shared" si="5"/>
        <v>0</v>
      </c>
      <c r="M24" s="365">
        <f>IFERROR(100/'Skjema total MA'!I24*K24,0)</f>
        <v>0</v>
      </c>
    </row>
    <row r="25" spans="1:14" ht="15.75" x14ac:dyDescent="0.2">
      <c r="A25" s="413" t="s">
        <v>307</v>
      </c>
      <c r="B25" s="411" t="s">
        <v>413</v>
      </c>
      <c r="C25" s="411" t="s">
        <v>413</v>
      </c>
      <c r="D25" s="367">
        <f t="shared" si="3"/>
        <v>0</v>
      </c>
      <c r="E25" s="365">
        <f>IFERROR(100/'Skjema total MA'!C25*C25,0)</f>
        <v>0</v>
      </c>
      <c r="F25" s="411" t="s">
        <v>413</v>
      </c>
      <c r="G25" s="411" t="s">
        <v>413</v>
      </c>
      <c r="H25" s="367">
        <f t="shared" si="4"/>
        <v>0</v>
      </c>
      <c r="I25" s="365">
        <f>IFERROR(100/'Skjema total MA'!F25*G25,0)</f>
        <v>0</v>
      </c>
      <c r="J25" s="411" t="s">
        <v>413</v>
      </c>
      <c r="K25" s="411" t="s">
        <v>413</v>
      </c>
      <c r="L25" s="367">
        <f t="shared" si="5"/>
        <v>0</v>
      </c>
      <c r="M25" s="365">
        <f>IFERROR(100/'Skjema total MA'!I25*K25,0)</f>
        <v>0</v>
      </c>
    </row>
    <row r="26" spans="1:14" x14ac:dyDescent="0.2">
      <c r="A26" s="413" t="s">
        <v>11</v>
      </c>
      <c r="B26" s="411" t="s">
        <v>413</v>
      </c>
      <c r="C26" s="411" t="s">
        <v>413</v>
      </c>
      <c r="D26" s="367">
        <f t="shared" si="3"/>
        <v>0</v>
      </c>
      <c r="E26" s="365">
        <f>IFERROR(100/'Skjema total MA'!C26*C26,0)</f>
        <v>0</v>
      </c>
      <c r="F26" s="411" t="s">
        <v>413</v>
      </c>
      <c r="G26" s="411" t="s">
        <v>413</v>
      </c>
      <c r="H26" s="367">
        <f t="shared" si="4"/>
        <v>0</v>
      </c>
      <c r="I26" s="365">
        <f>IFERROR(100/'Skjema total MA'!F26*G26,0)</f>
        <v>0</v>
      </c>
      <c r="J26" s="411" t="s">
        <v>413</v>
      </c>
      <c r="K26" s="411" t="s">
        <v>413</v>
      </c>
      <c r="L26" s="367">
        <f t="shared" si="5"/>
        <v>0</v>
      </c>
      <c r="M26" s="365">
        <f>IFERROR(100/'Skjema total MA'!I26*K26,0)</f>
        <v>0</v>
      </c>
    </row>
    <row r="27" spans="1:14" ht="15.75" x14ac:dyDescent="0.2">
      <c r="A27" s="49" t="s">
        <v>297</v>
      </c>
      <c r="B27" s="358"/>
      <c r="C27" s="359"/>
      <c r="D27" s="367">
        <f t="shared" si="3"/>
        <v>0</v>
      </c>
      <c r="E27" s="365">
        <f>IFERROR(100/'Skjema total MA'!C27*C27,0)</f>
        <v>0</v>
      </c>
      <c r="F27" s="368"/>
      <c r="G27" s="359"/>
      <c r="H27" s="367">
        <f t="shared" si="4"/>
        <v>0</v>
      </c>
      <c r="I27" s="365">
        <f>IFERROR(100/'Skjema total MA'!F27*G27,0)</f>
        <v>0</v>
      </c>
      <c r="J27" s="358"/>
      <c r="K27" s="358"/>
      <c r="L27" s="367">
        <f t="shared" si="5"/>
        <v>0</v>
      </c>
      <c r="M27" s="365">
        <f>IFERROR(100/'Skjema total MA'!I27*K27,0)</f>
        <v>0</v>
      </c>
    </row>
    <row r="28" spans="1:14" s="3" customFormat="1" ht="15.75" x14ac:dyDescent="0.2">
      <c r="A28" s="13" t="s">
        <v>26</v>
      </c>
      <c r="B28" s="360"/>
      <c r="C28" s="361"/>
      <c r="D28" s="367">
        <f t="shared" si="3"/>
        <v>0</v>
      </c>
      <c r="E28" s="365">
        <f>IFERROR(100/'Skjema total MA'!C28*C28,0)</f>
        <v>0</v>
      </c>
      <c r="F28" s="366"/>
      <c r="G28" s="361"/>
      <c r="H28" s="367">
        <f t="shared" si="4"/>
        <v>0</v>
      </c>
      <c r="I28" s="365">
        <f>IFERROR(100/'Skjema total MA'!F28*G28,0)</f>
        <v>0</v>
      </c>
      <c r="J28" s="360"/>
      <c r="K28" s="360"/>
      <c r="L28" s="367">
        <f t="shared" si="5"/>
        <v>0</v>
      </c>
      <c r="M28" s="365">
        <f>IFERROR(100/'Skjema total MA'!I28*K28,0)</f>
        <v>0</v>
      </c>
      <c r="N28" s="147"/>
    </row>
    <row r="29" spans="1:14" s="3" customFormat="1" ht="15.75" x14ac:dyDescent="0.2">
      <c r="A29" s="413" t="s">
        <v>305</v>
      </c>
      <c r="B29" s="411" t="s">
        <v>413</v>
      </c>
      <c r="C29" s="411" t="s">
        <v>413</v>
      </c>
      <c r="D29" s="367">
        <f t="shared" si="3"/>
        <v>0</v>
      </c>
      <c r="E29" s="365">
        <f>IFERROR(100/'Skjema total MA'!C29*C29,0)</f>
        <v>0</v>
      </c>
      <c r="F29" s="411" t="s">
        <v>413</v>
      </c>
      <c r="G29" s="411" t="s">
        <v>413</v>
      </c>
      <c r="H29" s="367">
        <f t="shared" si="4"/>
        <v>0</v>
      </c>
      <c r="I29" s="365">
        <f>IFERROR(100/'Skjema total MA'!F29*G29,0)</f>
        <v>0</v>
      </c>
      <c r="J29" s="411" t="s">
        <v>413</v>
      </c>
      <c r="K29" s="411" t="s">
        <v>413</v>
      </c>
      <c r="L29" s="367">
        <f t="shared" si="5"/>
        <v>0</v>
      </c>
      <c r="M29" s="365">
        <f>IFERROR(100/'Skjema total MA'!I29*K29,0)</f>
        <v>0</v>
      </c>
      <c r="N29" s="147"/>
    </row>
    <row r="30" spans="1:14" s="3" customFormat="1" ht="15.75" x14ac:dyDescent="0.2">
      <c r="A30" s="413" t="s">
        <v>306</v>
      </c>
      <c r="B30" s="411" t="s">
        <v>413</v>
      </c>
      <c r="C30" s="411" t="s">
        <v>413</v>
      </c>
      <c r="D30" s="367">
        <f t="shared" si="3"/>
        <v>0</v>
      </c>
      <c r="E30" s="365">
        <f>IFERROR(100/'Skjema total MA'!C30*C30,0)</f>
        <v>0</v>
      </c>
      <c r="F30" s="411" t="s">
        <v>413</v>
      </c>
      <c r="G30" s="411" t="s">
        <v>413</v>
      </c>
      <c r="H30" s="367">
        <f t="shared" si="4"/>
        <v>0</v>
      </c>
      <c r="I30" s="365">
        <f>IFERROR(100/'Skjema total MA'!F30*G30,0)</f>
        <v>0</v>
      </c>
      <c r="J30" s="411" t="s">
        <v>413</v>
      </c>
      <c r="K30" s="411" t="s">
        <v>413</v>
      </c>
      <c r="L30" s="367">
        <f t="shared" si="5"/>
        <v>0</v>
      </c>
      <c r="M30" s="365">
        <f>IFERROR(100/'Skjema total MA'!I30*K30,0)</f>
        <v>0</v>
      </c>
      <c r="N30" s="147"/>
    </row>
    <row r="31" spans="1:14" ht="15.75" x14ac:dyDescent="0.2">
      <c r="A31" s="413" t="s">
        <v>307</v>
      </c>
      <c r="B31" s="411" t="s">
        <v>413</v>
      </c>
      <c r="C31" s="411" t="s">
        <v>413</v>
      </c>
      <c r="D31" s="367">
        <f t="shared" si="3"/>
        <v>0</v>
      </c>
      <c r="E31" s="365">
        <f>IFERROR(100/'Skjema total MA'!C31*C31,0)</f>
        <v>0</v>
      </c>
      <c r="F31" s="411" t="s">
        <v>413</v>
      </c>
      <c r="G31" s="411" t="s">
        <v>413</v>
      </c>
      <c r="H31" s="367">
        <f t="shared" si="4"/>
        <v>0</v>
      </c>
      <c r="I31" s="365">
        <f>IFERROR(100/'Skjema total MA'!F31*G31,0)</f>
        <v>0</v>
      </c>
      <c r="J31" s="411" t="s">
        <v>413</v>
      </c>
      <c r="K31" s="411" t="s">
        <v>413</v>
      </c>
      <c r="L31" s="367">
        <f t="shared" si="5"/>
        <v>0</v>
      </c>
      <c r="M31" s="365">
        <f>IFERROR(100/'Skjema total MA'!I31*K31,0)</f>
        <v>0</v>
      </c>
    </row>
    <row r="32" spans="1:14" ht="15.75" x14ac:dyDescent="0.2">
      <c r="A32" s="13" t="s">
        <v>25</v>
      </c>
      <c r="B32" s="360"/>
      <c r="C32" s="361"/>
      <c r="D32" s="367">
        <f t="shared" si="3"/>
        <v>0</v>
      </c>
      <c r="E32" s="365">
        <f>IFERROR(100/'Skjema total MA'!C32*C32,0)</f>
        <v>0</v>
      </c>
      <c r="F32" s="366"/>
      <c r="G32" s="361"/>
      <c r="H32" s="367">
        <f t="shared" si="4"/>
        <v>0</v>
      </c>
      <c r="I32" s="365">
        <f>IFERROR(100/'Skjema total MA'!F32*G32,0)</f>
        <v>0</v>
      </c>
      <c r="J32" s="360"/>
      <c r="K32" s="360"/>
      <c r="L32" s="367">
        <f t="shared" si="5"/>
        <v>0</v>
      </c>
      <c r="M32" s="365">
        <f>IFERROR(100/'Skjema total MA'!I32*K32,0)</f>
        <v>0</v>
      </c>
    </row>
    <row r="33" spans="1:14" ht="15.75" x14ac:dyDescent="0.2">
      <c r="A33" s="13" t="s">
        <v>24</v>
      </c>
      <c r="B33" s="360"/>
      <c r="C33" s="361"/>
      <c r="D33" s="367">
        <f t="shared" si="3"/>
        <v>0</v>
      </c>
      <c r="E33" s="365">
        <f>IFERROR(100/'Skjema total MA'!C33*C33,0)</f>
        <v>0</v>
      </c>
      <c r="F33" s="366"/>
      <c r="G33" s="361"/>
      <c r="H33" s="367">
        <f t="shared" si="4"/>
        <v>0</v>
      </c>
      <c r="I33" s="365">
        <f>IFERROR(100/'Skjema total MA'!F33*G33,0)</f>
        <v>0</v>
      </c>
      <c r="J33" s="360"/>
      <c r="K33" s="360"/>
      <c r="L33" s="367">
        <f t="shared" si="5"/>
        <v>0</v>
      </c>
      <c r="M33" s="365">
        <f>IFERROR(100/'Skjema total MA'!I33*K33,0)</f>
        <v>0</v>
      </c>
    </row>
    <row r="34" spans="1:14" ht="15.75" x14ac:dyDescent="0.2">
      <c r="A34" s="12" t="s">
        <v>308</v>
      </c>
      <c r="B34" s="360"/>
      <c r="C34" s="361"/>
      <c r="D34" s="367">
        <f t="shared" si="3"/>
        <v>0</v>
      </c>
      <c r="E34" s="365">
        <f>100/'Skjema total MA'!C34*C34</f>
        <v>0</v>
      </c>
      <c r="F34" s="414"/>
      <c r="G34" s="415"/>
      <c r="H34" s="367">
        <f t="shared" si="4"/>
        <v>0</v>
      </c>
      <c r="I34" s="365">
        <f>IFERROR(100/'Skjema total MA'!F34*G34,0)</f>
        <v>0</v>
      </c>
      <c r="J34" s="360"/>
      <c r="K34" s="360"/>
      <c r="L34" s="367">
        <f t="shared" si="5"/>
        <v>0</v>
      </c>
      <c r="M34" s="365">
        <f>IFERROR(100/'Skjema total MA'!I34*K34,0)</f>
        <v>0</v>
      </c>
    </row>
    <row r="35" spans="1:14" ht="15.75" x14ac:dyDescent="0.2">
      <c r="A35" s="12" t="s">
        <v>309</v>
      </c>
      <c r="B35" s="360"/>
      <c r="C35" s="361"/>
      <c r="D35" s="367">
        <f t="shared" si="3"/>
        <v>0</v>
      </c>
      <c r="E35" s="365">
        <f>100/'Skjema total MA'!C35*C35</f>
        <v>0</v>
      </c>
      <c r="F35" s="414"/>
      <c r="G35" s="416"/>
      <c r="H35" s="367">
        <f t="shared" si="4"/>
        <v>0</v>
      </c>
      <c r="I35" s="365">
        <f>IFERROR(100/'Skjema total MA'!F35*G35,0)</f>
        <v>0</v>
      </c>
      <c r="J35" s="360"/>
      <c r="K35" s="360"/>
      <c r="L35" s="367">
        <f t="shared" si="5"/>
        <v>0</v>
      </c>
      <c r="M35" s="365">
        <f>IFERROR(100/'Skjema total MA'!I35*K35,0)</f>
        <v>0</v>
      </c>
    </row>
    <row r="36" spans="1:14" ht="15.75" x14ac:dyDescent="0.2">
      <c r="A36" s="12" t="s">
        <v>310</v>
      </c>
      <c r="B36" s="360"/>
      <c r="C36" s="361"/>
      <c r="D36" s="367">
        <f t="shared" si="3"/>
        <v>0</v>
      </c>
      <c r="E36" s="365"/>
      <c r="F36" s="414"/>
      <c r="G36" s="415"/>
      <c r="H36" s="367">
        <f t="shared" si="4"/>
        <v>0</v>
      </c>
      <c r="I36" s="365">
        <f>IFERROR(100/'Skjema total MA'!F36*G36,0)</f>
        <v>0</v>
      </c>
      <c r="J36" s="360"/>
      <c r="K36" s="360"/>
      <c r="L36" s="367">
        <f t="shared" si="5"/>
        <v>0</v>
      </c>
      <c r="M36" s="365">
        <f>IFERROR(100/'Skjema total MA'!I36*K36,0)</f>
        <v>0</v>
      </c>
    </row>
    <row r="37" spans="1:14" ht="15.75" x14ac:dyDescent="0.2">
      <c r="A37" s="18" t="s">
        <v>311</v>
      </c>
      <c r="B37" s="362"/>
      <c r="C37" s="363"/>
      <c r="D37" s="369">
        <f t="shared" si="3"/>
        <v>0</v>
      </c>
      <c r="E37" s="365">
        <f>100/'Skjema total MA'!C37*C37</f>
        <v>0</v>
      </c>
      <c r="F37" s="417"/>
      <c r="G37" s="418"/>
      <c r="H37" s="369">
        <f t="shared" si="4"/>
        <v>0</v>
      </c>
      <c r="I37" s="365">
        <f>IFERROR(100/'Skjema total MA'!F37*G37,0)</f>
        <v>0</v>
      </c>
      <c r="J37" s="360"/>
      <c r="K37" s="360"/>
      <c r="L37" s="369">
        <f t="shared" si="5"/>
        <v>0</v>
      </c>
      <c r="M37" s="369">
        <f>IFERROR(100/'Skjema total MA'!I37*K37,0)</f>
        <v>0</v>
      </c>
    </row>
    <row r="38" spans="1:14" ht="15.75" x14ac:dyDescent="0.25">
      <c r="A38" s="47"/>
      <c r="B38" s="258"/>
      <c r="C38" s="258"/>
      <c r="D38" s="355"/>
      <c r="E38" s="355"/>
      <c r="F38" s="355"/>
      <c r="G38" s="355"/>
      <c r="H38" s="355"/>
      <c r="I38" s="355"/>
      <c r="J38" s="355"/>
      <c r="K38" s="355"/>
      <c r="L38" s="355"/>
      <c r="M38" s="354"/>
    </row>
    <row r="39" spans="1:14" x14ac:dyDescent="0.2">
      <c r="A39" s="154"/>
    </row>
    <row r="40" spans="1:14" ht="15.75" x14ac:dyDescent="0.25">
      <c r="A40" s="146" t="s">
        <v>294</v>
      </c>
      <c r="B40" s="353"/>
      <c r="C40" s="353"/>
      <c r="D40" s="353"/>
      <c r="E40" s="353"/>
      <c r="F40" s="354"/>
      <c r="G40" s="354"/>
      <c r="H40" s="354"/>
      <c r="I40" s="354"/>
      <c r="J40" s="354"/>
      <c r="K40" s="354"/>
      <c r="L40" s="354"/>
      <c r="M40" s="354"/>
    </row>
    <row r="41" spans="1:14" ht="15.75" x14ac:dyDescent="0.25">
      <c r="A41" s="162"/>
      <c r="B41" s="352"/>
      <c r="C41" s="352"/>
      <c r="D41" s="352"/>
      <c r="E41" s="352"/>
      <c r="F41" s="354"/>
      <c r="G41" s="354"/>
      <c r="H41" s="354"/>
      <c r="I41" s="354"/>
      <c r="J41" s="354"/>
      <c r="K41" s="354"/>
      <c r="L41" s="354"/>
      <c r="M41" s="354"/>
    </row>
    <row r="42" spans="1:14" ht="15.75" x14ac:dyDescent="0.25">
      <c r="A42" s="249"/>
      <c r="B42" s="673" t="s">
        <v>0</v>
      </c>
      <c r="C42" s="674"/>
      <c r="D42" s="674"/>
      <c r="E42" s="675"/>
      <c r="F42" s="354"/>
      <c r="G42" s="354"/>
      <c r="H42" s="354"/>
      <c r="I42" s="354"/>
      <c r="J42" s="354"/>
      <c r="K42" s="354"/>
      <c r="L42" s="354"/>
      <c r="M42" s="354"/>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96" customFormat="1" ht="15.75" x14ac:dyDescent="0.2">
      <c r="A45" s="14" t="s">
        <v>27</v>
      </c>
      <c r="B45" s="360"/>
      <c r="C45" s="361"/>
      <c r="D45" s="400">
        <f>IF(AND(_xlfn.NUMBERVALUE(B45)=0,_xlfn.NUMBERVALUE(C45)=0),,IF(B45=0, "    ---- ", IF(ABS(ROUND(100/B45*C45-100,1))&lt;999,IF(ROUND(100/B45*C45-100,1)=0,"    ---- ",ROUND(100/B45*C45-100,1)),IF(ROUND(100/B45*C45-100,1)&gt;999,999,-999))))</f>
        <v>0</v>
      </c>
      <c r="E45" s="401">
        <f>IFERROR(100/'Skjema total MA'!C45*C45,0)</f>
        <v>0</v>
      </c>
      <c r="F45" s="158"/>
      <c r="G45" s="173"/>
      <c r="H45" s="158"/>
      <c r="I45" s="158"/>
      <c r="J45" s="399"/>
      <c r="K45" s="399"/>
      <c r="L45" s="158"/>
      <c r="M45" s="158"/>
      <c r="N45" s="402"/>
    </row>
    <row r="46" spans="1:14" s="3" customFormat="1" ht="15.75" x14ac:dyDescent="0.2">
      <c r="A46" s="38" t="s">
        <v>312</v>
      </c>
      <c r="B46" s="358"/>
      <c r="C46" s="359"/>
      <c r="D46" s="367">
        <f t="shared" ref="D46:D56" si="6">IF(AND(_xlfn.NUMBERVALUE(B46)=0,_xlfn.NUMBERVALUE(C46)=0),,IF(B46=0, "    ---- ", IF(ABS(ROUND(100/B46*C46-100,1))&lt;999,IF(ROUND(100/B46*C46-100,1)=0,"    ---- ",ROUND(100/B46*C46-100,1)),IF(ROUND(100/B46*C46-100,1)&gt;999,999,-999))))</f>
        <v>0</v>
      </c>
      <c r="E46" s="390">
        <f>IFERROR(100/'Skjema total MA'!C46*C46,0)</f>
        <v>0</v>
      </c>
      <c r="F46" s="144"/>
      <c r="G46" s="33"/>
      <c r="H46" s="144"/>
      <c r="I46" s="144"/>
      <c r="J46" s="33"/>
      <c r="K46" s="33"/>
      <c r="L46" s="158"/>
      <c r="M46" s="158"/>
      <c r="N46" s="147"/>
    </row>
    <row r="47" spans="1:14" s="3" customFormat="1" ht="15.75" x14ac:dyDescent="0.2">
      <c r="A47" s="38" t="s">
        <v>313</v>
      </c>
      <c r="B47" s="358"/>
      <c r="C47" s="359"/>
      <c r="D47" s="367">
        <f t="shared" si="6"/>
        <v>0</v>
      </c>
      <c r="E47" s="390">
        <f>IFERROR(100/'Skjema total MA'!C47*C47,0)</f>
        <v>0</v>
      </c>
      <c r="F47" s="144"/>
      <c r="G47" s="33"/>
      <c r="H47" s="144"/>
      <c r="I47" s="144"/>
      <c r="J47" s="37"/>
      <c r="K47" s="37"/>
      <c r="L47" s="158"/>
      <c r="M47" s="158"/>
      <c r="N47" s="147"/>
    </row>
    <row r="48" spans="1:14" s="3" customFormat="1" x14ac:dyDescent="0.2">
      <c r="A48" s="413" t="s">
        <v>6</v>
      </c>
      <c r="B48" s="411" t="s">
        <v>413</v>
      </c>
      <c r="C48" s="412" t="s">
        <v>413</v>
      </c>
      <c r="D48" s="367">
        <f t="shared" si="6"/>
        <v>0</v>
      </c>
      <c r="E48" s="390">
        <f>IFERROR(100/'Skjema total MA'!C48*C48,0)</f>
        <v>0</v>
      </c>
      <c r="F48" s="144"/>
      <c r="G48" s="33"/>
      <c r="H48" s="144"/>
      <c r="I48" s="144"/>
      <c r="J48" s="33"/>
      <c r="K48" s="33"/>
      <c r="L48" s="158"/>
      <c r="M48" s="158"/>
      <c r="N48" s="147"/>
    </row>
    <row r="49" spans="1:14" s="3" customFormat="1" x14ac:dyDescent="0.2">
      <c r="A49" s="413" t="s">
        <v>7</v>
      </c>
      <c r="B49" s="411" t="s">
        <v>413</v>
      </c>
      <c r="C49" s="412" t="s">
        <v>413</v>
      </c>
      <c r="D49" s="367">
        <f t="shared" si="6"/>
        <v>0</v>
      </c>
      <c r="E49" s="390">
        <f>IFERROR(100/'Skjema total MA'!C49*C49,0)</f>
        <v>0</v>
      </c>
      <c r="F49" s="144"/>
      <c r="G49" s="33"/>
      <c r="H49" s="144"/>
      <c r="I49" s="144"/>
      <c r="J49" s="33"/>
      <c r="K49" s="33"/>
      <c r="L49" s="158"/>
      <c r="M49" s="158"/>
      <c r="N49" s="147"/>
    </row>
    <row r="50" spans="1:14" s="3" customFormat="1" x14ac:dyDescent="0.2">
      <c r="A50" s="413" t="s">
        <v>8</v>
      </c>
      <c r="B50" s="411" t="s">
        <v>413</v>
      </c>
      <c r="C50" s="412" t="s">
        <v>413</v>
      </c>
      <c r="D50" s="367">
        <f t="shared" si="6"/>
        <v>0</v>
      </c>
      <c r="E50" s="390">
        <f>IFERROR(100/'Skjema total MA'!C50*C50,0)</f>
        <v>0</v>
      </c>
      <c r="F50" s="144"/>
      <c r="G50" s="33"/>
      <c r="H50" s="144"/>
      <c r="I50" s="144"/>
      <c r="J50" s="33"/>
      <c r="K50" s="33"/>
      <c r="L50" s="158"/>
      <c r="M50" s="158"/>
      <c r="N50" s="147"/>
    </row>
    <row r="51" spans="1:14" s="3" customFormat="1" ht="15.75" x14ac:dyDescent="0.2">
      <c r="A51" s="39" t="s">
        <v>314</v>
      </c>
      <c r="B51" s="360"/>
      <c r="C51" s="361"/>
      <c r="D51" s="367">
        <f t="shared" si="6"/>
        <v>0</v>
      </c>
      <c r="E51" s="390">
        <f>IFERROR(100/'Skjema total MA'!C51*C51,0)</f>
        <v>0</v>
      </c>
      <c r="F51" s="144"/>
      <c r="G51" s="33"/>
      <c r="H51" s="144"/>
      <c r="I51" s="144"/>
      <c r="J51" s="33"/>
      <c r="K51" s="33"/>
      <c r="L51" s="158"/>
      <c r="M51" s="158"/>
      <c r="N51" s="147"/>
    </row>
    <row r="52" spans="1:14" s="3" customFormat="1" ht="15.75" x14ac:dyDescent="0.2">
      <c r="A52" s="38" t="s">
        <v>312</v>
      </c>
      <c r="B52" s="358"/>
      <c r="C52" s="359"/>
      <c r="D52" s="367">
        <f t="shared" si="6"/>
        <v>0</v>
      </c>
      <c r="E52" s="390">
        <f>IFERROR(100/'Skjema total MA'!C52*C52,0)</f>
        <v>0</v>
      </c>
      <c r="F52" s="144"/>
      <c r="G52" s="33"/>
      <c r="H52" s="144"/>
      <c r="I52" s="144"/>
      <c r="J52" s="33"/>
      <c r="K52" s="33"/>
      <c r="L52" s="158"/>
      <c r="M52" s="158"/>
      <c r="N52" s="147"/>
    </row>
    <row r="53" spans="1:14" s="3" customFormat="1" ht="15.75" x14ac:dyDescent="0.2">
      <c r="A53" s="38" t="s">
        <v>313</v>
      </c>
      <c r="B53" s="358"/>
      <c r="C53" s="359"/>
      <c r="D53" s="367">
        <f t="shared" si="6"/>
        <v>0</v>
      </c>
      <c r="E53" s="390">
        <f>IFERROR(100/'Skjema total MA'!C53*C53,0)</f>
        <v>0</v>
      </c>
      <c r="F53" s="144"/>
      <c r="G53" s="33"/>
      <c r="H53" s="144"/>
      <c r="I53" s="144"/>
      <c r="J53" s="33"/>
      <c r="K53" s="33"/>
      <c r="L53" s="158"/>
      <c r="M53" s="158"/>
      <c r="N53" s="147"/>
    </row>
    <row r="54" spans="1:14" s="3" customFormat="1" ht="15.75" x14ac:dyDescent="0.2">
      <c r="A54" s="39" t="s">
        <v>315</v>
      </c>
      <c r="B54" s="360"/>
      <c r="C54" s="361"/>
      <c r="D54" s="367">
        <f t="shared" si="6"/>
        <v>0</v>
      </c>
      <c r="E54" s="390">
        <f>IFERROR(100/'Skjema total MA'!C54*C54,0)</f>
        <v>0</v>
      </c>
      <c r="F54" s="144"/>
      <c r="G54" s="33"/>
      <c r="H54" s="144"/>
      <c r="I54" s="144"/>
      <c r="J54" s="33"/>
      <c r="K54" s="33"/>
      <c r="L54" s="158"/>
      <c r="M54" s="158"/>
      <c r="N54" s="147"/>
    </row>
    <row r="55" spans="1:14" s="3" customFormat="1" ht="15.75" x14ac:dyDescent="0.2">
      <c r="A55" s="38" t="s">
        <v>312</v>
      </c>
      <c r="B55" s="358"/>
      <c r="C55" s="359"/>
      <c r="D55" s="367">
        <f t="shared" si="6"/>
        <v>0</v>
      </c>
      <c r="E55" s="390">
        <f>IFERROR(100/'Skjema total MA'!C55*C55,0)</f>
        <v>0</v>
      </c>
      <c r="F55" s="144"/>
      <c r="G55" s="33"/>
      <c r="H55" s="144"/>
      <c r="I55" s="144"/>
      <c r="J55" s="33"/>
      <c r="K55" s="33"/>
      <c r="L55" s="158"/>
      <c r="M55" s="158"/>
      <c r="N55" s="147"/>
    </row>
    <row r="56" spans="1:14" s="3" customFormat="1" ht="15.75" x14ac:dyDescent="0.2">
      <c r="A56" s="46" t="s">
        <v>313</v>
      </c>
      <c r="B56" s="372"/>
      <c r="C56" s="373"/>
      <c r="D56" s="369">
        <f t="shared" si="6"/>
        <v>0</v>
      </c>
      <c r="E56" s="391">
        <f>IFERROR(100/'Skjema total MA'!C56*C56,0)</f>
        <v>0</v>
      </c>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352"/>
      <c r="C60" s="352"/>
      <c r="D60" s="352"/>
      <c r="E60" s="353"/>
      <c r="F60" s="352"/>
      <c r="G60" s="352"/>
      <c r="H60" s="352"/>
      <c r="I60" s="353"/>
      <c r="J60" s="352"/>
      <c r="K60" s="352"/>
      <c r="L60" s="352"/>
      <c r="M60" s="353"/>
    </row>
    <row r="61" spans="1:14" x14ac:dyDescent="0.2">
      <c r="A61" s="143"/>
      <c r="B61" s="673" t="s">
        <v>0</v>
      </c>
      <c r="C61" s="674"/>
      <c r="D61" s="675"/>
      <c r="E61" s="349"/>
      <c r="F61" s="350" t="s">
        <v>1</v>
      </c>
      <c r="G61" s="350"/>
      <c r="H61" s="350"/>
      <c r="I61" s="351"/>
      <c r="J61" s="349" t="s">
        <v>2</v>
      </c>
      <c r="K61" s="350"/>
      <c r="L61" s="350"/>
      <c r="M61" s="351"/>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74"/>
      <c r="C64" s="374"/>
      <c r="D64" s="364">
        <f t="shared" ref="D64:D109" si="7">IF(AND(_xlfn.NUMBERVALUE(B64)=0,_xlfn.NUMBERVALUE(C64)=0),,IF(B64=0, "    ---- ", IF(ABS(ROUND(100/B64*C64-100,1))&lt;999,IF(ROUND(100/B64*C64-100,1)=0,"    ---- ",ROUND(100/B64*C64-100,1)),IF(ROUND(100/B64*C64-100,1)&gt;999,999,-999))))</f>
        <v>0</v>
      </c>
      <c r="E64" s="365">
        <f>IFERROR(100/'Skjema total MA'!C64*C64,0)</f>
        <v>0</v>
      </c>
      <c r="F64" s="374"/>
      <c r="G64" s="374"/>
      <c r="H64" s="364">
        <f t="shared" ref="H64:H109" si="8">IF(AND(_xlfn.NUMBERVALUE(F64)=0,_xlfn.NUMBERVALUE(G64)=0),,IF(F64=0, "    ---- ", IF(ABS(ROUND(100/F64*G64-100,1))&lt;999,IF(ROUND(100/F64*G64-100,1)=0,"    ---- ",ROUND(100/F64*G64-100,1)),IF(ROUND(100/F64*G64-100,1)&gt;999,999,-999))))</f>
        <v>0</v>
      </c>
      <c r="I64" s="365">
        <f>IFERROR(100/'Skjema total MA'!F64*G64,0)</f>
        <v>0</v>
      </c>
      <c r="J64" s="361"/>
      <c r="K64" s="356"/>
      <c r="L64" s="367">
        <f t="shared" ref="L64:L109" si="9">IF(AND(_xlfn.NUMBERVALUE(J64)=0,_xlfn.NUMBERVALUE(K64)=0),,IF(J64=0, "    ---- ", IF(ABS(ROUND(100/J64*K64-100,1))&lt;999,IF(ROUND(100/J64*K64-100,1)=0,"    ---- ",ROUND(100/J64*K64-100,1)),IF(ROUND(100/J64*K64-100,1)&gt;999,999,-999))))</f>
        <v>0</v>
      </c>
      <c r="M64" s="365">
        <f>IFERROR(100/'Skjema total MA'!I64*K64,0)</f>
        <v>0</v>
      </c>
    </row>
    <row r="65" spans="1:14" x14ac:dyDescent="0.2">
      <c r="A65" s="21" t="s">
        <v>9</v>
      </c>
      <c r="B65" s="358"/>
      <c r="C65" s="375"/>
      <c r="D65" s="367">
        <f t="shared" si="7"/>
        <v>0</v>
      </c>
      <c r="E65" s="365">
        <f>IFERROR(100/'Skjema total MA'!C65*C65,0)</f>
        <v>0</v>
      </c>
      <c r="F65" s="368"/>
      <c r="G65" s="375"/>
      <c r="H65" s="367">
        <f t="shared" si="8"/>
        <v>0</v>
      </c>
      <c r="I65" s="365">
        <f>IFERROR(100/'Skjema total MA'!F65*G65,0)</f>
        <v>0</v>
      </c>
      <c r="J65" s="359"/>
      <c r="K65" s="358"/>
      <c r="L65" s="367">
        <f t="shared" si="9"/>
        <v>0</v>
      </c>
      <c r="M65" s="365">
        <f>IFERROR(100/'Skjema total MA'!I65*K65,0)</f>
        <v>0</v>
      </c>
    </row>
    <row r="66" spans="1:14" x14ac:dyDescent="0.2">
      <c r="A66" s="21" t="s">
        <v>10</v>
      </c>
      <c r="B66" s="376"/>
      <c r="C66" s="377"/>
      <c r="D66" s="367">
        <f t="shared" si="7"/>
        <v>0</v>
      </c>
      <c r="E66" s="365">
        <f>IFERROR(100/'Skjema total MA'!C66*C66,0)</f>
        <v>0</v>
      </c>
      <c r="F66" s="376"/>
      <c r="G66" s="377"/>
      <c r="H66" s="367">
        <f t="shared" si="8"/>
        <v>0</v>
      </c>
      <c r="I66" s="365">
        <f>IFERROR(100/'Skjema total MA'!F66*G66,0)</f>
        <v>0</v>
      </c>
      <c r="J66" s="359"/>
      <c r="K66" s="358"/>
      <c r="L66" s="367">
        <f t="shared" si="9"/>
        <v>0</v>
      </c>
      <c r="M66" s="365">
        <f>IFERROR(100/'Skjema total MA'!I66*K66,0)</f>
        <v>0</v>
      </c>
    </row>
    <row r="67" spans="1:14" ht="15.75" x14ac:dyDescent="0.2">
      <c r="A67" s="413" t="s">
        <v>316</v>
      </c>
      <c r="B67" s="411" t="s">
        <v>413</v>
      </c>
      <c r="C67" s="411" t="s">
        <v>413</v>
      </c>
      <c r="D67" s="367">
        <f t="shared" si="7"/>
        <v>0</v>
      </c>
      <c r="E67" s="365">
        <f>IFERROR(100/'Skjema total MA'!C67*C67,0)</f>
        <v>0</v>
      </c>
      <c r="F67" s="411" t="s">
        <v>413</v>
      </c>
      <c r="G67" s="411" t="s">
        <v>413</v>
      </c>
      <c r="H67" s="367">
        <f t="shared" si="8"/>
        <v>0</v>
      </c>
      <c r="I67" s="365">
        <f>IFERROR(100/'Skjema total MA'!F67*G67,0)</f>
        <v>0</v>
      </c>
      <c r="J67" s="411" t="s">
        <v>413</v>
      </c>
      <c r="K67" s="411" t="s">
        <v>413</v>
      </c>
      <c r="L67" s="367">
        <f t="shared" si="9"/>
        <v>0</v>
      </c>
      <c r="M67" s="365">
        <f>IFERROR(100/'Skjema total MA'!I67*K67,0)</f>
        <v>0</v>
      </c>
    </row>
    <row r="68" spans="1:14" x14ac:dyDescent="0.2">
      <c r="A68" s="413" t="s">
        <v>12</v>
      </c>
      <c r="B68" s="419"/>
      <c r="C68" s="420"/>
      <c r="D68" s="367">
        <f t="shared" si="7"/>
        <v>0</v>
      </c>
      <c r="E68" s="365">
        <f>IFERROR(100/'Skjema total MA'!C68*C68,0)</f>
        <v>0</v>
      </c>
      <c r="F68" s="411" t="s">
        <v>413</v>
      </c>
      <c r="G68" s="411" t="s">
        <v>413</v>
      </c>
      <c r="H68" s="367">
        <f t="shared" si="8"/>
        <v>0</v>
      </c>
      <c r="I68" s="365">
        <f>IFERROR(100/'Skjema total MA'!F68*G68,0)</f>
        <v>0</v>
      </c>
      <c r="J68" s="411" t="s">
        <v>413</v>
      </c>
      <c r="K68" s="411" t="s">
        <v>413</v>
      </c>
      <c r="L68" s="367">
        <f t="shared" si="9"/>
        <v>0</v>
      </c>
      <c r="M68" s="365">
        <f>IFERROR(100/'Skjema total MA'!I68*K68,0)</f>
        <v>0</v>
      </c>
    </row>
    <row r="69" spans="1:14" x14ac:dyDescent="0.2">
      <c r="A69" s="413" t="s">
        <v>13</v>
      </c>
      <c r="B69" s="421"/>
      <c r="C69" s="422"/>
      <c r="D69" s="367">
        <f t="shared" si="7"/>
        <v>0</v>
      </c>
      <c r="E69" s="365">
        <f>IFERROR(100/'Skjema total MA'!C69*C69,0)</f>
        <v>0</v>
      </c>
      <c r="F69" s="411" t="s">
        <v>413</v>
      </c>
      <c r="G69" s="411" t="s">
        <v>413</v>
      </c>
      <c r="H69" s="367">
        <f t="shared" si="8"/>
        <v>0</v>
      </c>
      <c r="I69" s="365">
        <f>IFERROR(100/'Skjema total MA'!F69*G69,0)</f>
        <v>0</v>
      </c>
      <c r="J69" s="411" t="s">
        <v>413</v>
      </c>
      <c r="K69" s="411" t="s">
        <v>413</v>
      </c>
      <c r="L69" s="367">
        <f t="shared" si="9"/>
        <v>0</v>
      </c>
      <c r="M69" s="365">
        <f>IFERROR(100/'Skjema total MA'!I69*K69,0)</f>
        <v>0</v>
      </c>
    </row>
    <row r="70" spans="1:14" ht="15.75" x14ac:dyDescent="0.2">
      <c r="A70" s="413" t="s">
        <v>317</v>
      </c>
      <c r="B70" s="411" t="s">
        <v>413</v>
      </c>
      <c r="C70" s="411" t="s">
        <v>413</v>
      </c>
      <c r="D70" s="367">
        <f t="shared" si="7"/>
        <v>0</v>
      </c>
      <c r="E70" s="365">
        <f>IFERROR(100/'Skjema total MA'!C70*C70,0)</f>
        <v>0</v>
      </c>
      <c r="F70" s="411" t="s">
        <v>413</v>
      </c>
      <c r="G70" s="411" t="s">
        <v>413</v>
      </c>
      <c r="H70" s="367">
        <f t="shared" si="8"/>
        <v>0</v>
      </c>
      <c r="I70" s="365">
        <f>IFERROR(100/'Skjema total MA'!F70*G70,0)</f>
        <v>0</v>
      </c>
      <c r="J70" s="411" t="s">
        <v>413</v>
      </c>
      <c r="K70" s="411" t="s">
        <v>413</v>
      </c>
      <c r="L70" s="367">
        <f t="shared" si="9"/>
        <v>0</v>
      </c>
      <c r="M70" s="365">
        <f>IFERROR(100/'Skjema total MA'!I70*K70,0)</f>
        <v>0</v>
      </c>
    </row>
    <row r="71" spans="1:14" x14ac:dyDescent="0.2">
      <c r="A71" s="413" t="s">
        <v>12</v>
      </c>
      <c r="B71" s="421"/>
      <c r="C71" s="422"/>
      <c r="D71" s="367">
        <f t="shared" si="7"/>
        <v>0</v>
      </c>
      <c r="E71" s="365">
        <f>IFERROR(100/'Skjema total MA'!C71*C71,0)</f>
        <v>0</v>
      </c>
      <c r="F71" s="411" t="s">
        <v>413</v>
      </c>
      <c r="G71" s="411" t="s">
        <v>413</v>
      </c>
      <c r="H71" s="367">
        <f t="shared" si="8"/>
        <v>0</v>
      </c>
      <c r="I71" s="365">
        <f>IFERROR(100/'Skjema total MA'!F71*G71,0)</f>
        <v>0</v>
      </c>
      <c r="J71" s="411" t="s">
        <v>413</v>
      </c>
      <c r="K71" s="411" t="s">
        <v>413</v>
      </c>
      <c r="L71" s="367">
        <f t="shared" si="9"/>
        <v>0</v>
      </c>
      <c r="M71" s="365">
        <f>IFERROR(100/'Skjema total MA'!I71*K71,0)</f>
        <v>0</v>
      </c>
    </row>
    <row r="72" spans="1:14" s="3" customFormat="1" x14ac:dyDescent="0.2">
      <c r="A72" s="413" t="s">
        <v>13</v>
      </c>
      <c r="B72" s="421"/>
      <c r="C72" s="422"/>
      <c r="D72" s="367">
        <f t="shared" si="7"/>
        <v>0</v>
      </c>
      <c r="E72" s="365">
        <f>IFERROR(100/'Skjema total MA'!C72*C72,0)</f>
        <v>0</v>
      </c>
      <c r="F72" s="411" t="s">
        <v>413</v>
      </c>
      <c r="G72" s="411" t="s">
        <v>413</v>
      </c>
      <c r="H72" s="367">
        <f t="shared" si="8"/>
        <v>0</v>
      </c>
      <c r="I72" s="365">
        <f>IFERROR(100/'Skjema total MA'!F72*G72,0)</f>
        <v>0</v>
      </c>
      <c r="J72" s="411" t="s">
        <v>413</v>
      </c>
      <c r="K72" s="411" t="s">
        <v>413</v>
      </c>
      <c r="L72" s="367">
        <f t="shared" si="9"/>
        <v>0</v>
      </c>
      <c r="M72" s="365">
        <f>IFERROR(100/'Skjema total MA'!I72*K72,0)</f>
        <v>0</v>
      </c>
      <c r="N72" s="147"/>
    </row>
    <row r="73" spans="1:14" s="3" customFormat="1" x14ac:dyDescent="0.2">
      <c r="A73" s="21" t="s">
        <v>400</v>
      </c>
      <c r="B73" s="368"/>
      <c r="C73" s="375"/>
      <c r="D73" s="367">
        <f t="shared" si="7"/>
        <v>0</v>
      </c>
      <c r="E73" s="365">
        <f>IFERROR(100/'Skjema total MA'!C73*C73,0)</f>
        <v>0</v>
      </c>
      <c r="F73" s="368"/>
      <c r="G73" s="375"/>
      <c r="H73" s="367">
        <f t="shared" si="8"/>
        <v>0</v>
      </c>
      <c r="I73" s="365">
        <f>IFERROR(100/'Skjema total MA'!F73*G73,0)</f>
        <v>0</v>
      </c>
      <c r="J73" s="359"/>
      <c r="K73" s="358"/>
      <c r="L73" s="367">
        <f t="shared" si="9"/>
        <v>0</v>
      </c>
      <c r="M73" s="365">
        <f>IFERROR(100/'Skjema total MA'!I73*K73,0)</f>
        <v>0</v>
      </c>
      <c r="N73" s="147"/>
    </row>
    <row r="74" spans="1:14" s="3" customFormat="1" x14ac:dyDescent="0.2">
      <c r="A74" s="21" t="s">
        <v>399</v>
      </c>
      <c r="B74" s="368"/>
      <c r="C74" s="375"/>
      <c r="D74" s="367">
        <f t="shared" ref="D74" si="10">IF(AND(_xlfn.NUMBERVALUE(B74)=0,_xlfn.NUMBERVALUE(C74)=0),,IF(B74=0, "    ---- ", IF(ABS(ROUND(100/B74*C74-100,1))&lt;999,IF(ROUND(100/B74*C74-100,1)=0,"    ---- ",ROUND(100/B74*C74-100,1)),IF(ROUND(100/B74*C74-100,1)&gt;999,999,-999))))</f>
        <v>0</v>
      </c>
      <c r="E74" s="365">
        <f>IFERROR(100/'Skjema total MA'!C75*C74,0)</f>
        <v>0</v>
      </c>
      <c r="F74" s="368"/>
      <c r="G74" s="375"/>
      <c r="H74" s="367">
        <f t="shared" ref="H74" si="11">IF(AND(_xlfn.NUMBERVALUE(F74)=0,_xlfn.NUMBERVALUE(G74)=0),,IF(F74=0, "    ---- ", IF(ABS(ROUND(100/F74*G74-100,1))&lt;999,IF(ROUND(100/F74*G74-100,1)=0,"    ---- ",ROUND(100/F74*G74-100,1)),IF(ROUND(100/F74*G74-100,1)&gt;999,999,-999))))</f>
        <v>0</v>
      </c>
      <c r="I74" s="365">
        <f>IFERROR(100/'Skjema total MA'!F75*G74,0)</f>
        <v>0</v>
      </c>
      <c r="J74" s="359"/>
      <c r="K74" s="358"/>
      <c r="L74" s="367">
        <f t="shared" ref="L74" si="12">IF(AND(_xlfn.NUMBERVALUE(J74)=0,_xlfn.NUMBERVALUE(K74)=0),,IF(J74=0, "    ---- ", IF(ABS(ROUND(100/J74*K74-100,1))&lt;999,IF(ROUND(100/J74*K74-100,1)=0,"    ---- ",ROUND(100/J74*K74-100,1)),IF(ROUND(100/J74*K74-100,1)&gt;999,999,-999))))</f>
        <v>0</v>
      </c>
      <c r="M74" s="365">
        <f>IFERROR(100/'Skjema total MA'!I75*K74,0)</f>
        <v>0</v>
      </c>
      <c r="N74" s="147"/>
    </row>
    <row r="75" spans="1:14" ht="15.75" x14ac:dyDescent="0.2">
      <c r="A75" s="21" t="s">
        <v>318</v>
      </c>
      <c r="B75" s="368"/>
      <c r="C75" s="368"/>
      <c r="D75" s="367">
        <f t="shared" si="7"/>
        <v>0</v>
      </c>
      <c r="E75" s="365">
        <f>IFERROR(100/'Skjema total MA'!C75*C75,0)</f>
        <v>0</v>
      </c>
      <c r="F75" s="368"/>
      <c r="G75" s="375"/>
      <c r="H75" s="367">
        <f t="shared" si="8"/>
        <v>0</v>
      </c>
      <c r="I75" s="365">
        <f>IFERROR(100/'Skjema total MA'!F75*G75,0)</f>
        <v>0</v>
      </c>
      <c r="J75" s="359"/>
      <c r="K75" s="358"/>
      <c r="L75" s="367">
        <f t="shared" si="9"/>
        <v>0</v>
      </c>
      <c r="M75" s="365">
        <f>IFERROR(100/'Skjema total MA'!I75*K75,0)</f>
        <v>0</v>
      </c>
    </row>
    <row r="76" spans="1:14" x14ac:dyDescent="0.2">
      <c r="A76" s="21" t="s">
        <v>9</v>
      </c>
      <c r="B76" s="368"/>
      <c r="C76" s="375"/>
      <c r="D76" s="367">
        <f t="shared" si="7"/>
        <v>0</v>
      </c>
      <c r="E76" s="365">
        <f>IFERROR(100/'Skjema total MA'!C76*C76,0)</f>
        <v>0</v>
      </c>
      <c r="F76" s="368"/>
      <c r="G76" s="375"/>
      <c r="H76" s="367">
        <f t="shared" si="8"/>
        <v>0</v>
      </c>
      <c r="I76" s="365">
        <f>IFERROR(100/'Skjema total MA'!F76*G76,0)</f>
        <v>0</v>
      </c>
      <c r="J76" s="359"/>
      <c r="K76" s="358"/>
      <c r="L76" s="367">
        <f t="shared" si="9"/>
        <v>0</v>
      </c>
      <c r="M76" s="365">
        <f>IFERROR(100/'Skjema total MA'!I76*K76,0)</f>
        <v>0</v>
      </c>
    </row>
    <row r="77" spans="1:14" x14ac:dyDescent="0.2">
      <c r="A77" s="21" t="s">
        <v>10</v>
      </c>
      <c r="B77" s="376"/>
      <c r="C77" s="377"/>
      <c r="D77" s="367">
        <f t="shared" si="7"/>
        <v>0</v>
      </c>
      <c r="E77" s="365">
        <f>IFERROR(100/'Skjema total MA'!C77*C77,0)</f>
        <v>0</v>
      </c>
      <c r="F77" s="376"/>
      <c r="G77" s="377"/>
      <c r="H77" s="367">
        <f t="shared" si="8"/>
        <v>0</v>
      </c>
      <c r="I77" s="365">
        <f>IFERROR(100/'Skjema total MA'!F77*G77,0)</f>
        <v>0</v>
      </c>
      <c r="J77" s="359"/>
      <c r="K77" s="358"/>
      <c r="L77" s="367">
        <f t="shared" si="9"/>
        <v>0</v>
      </c>
      <c r="M77" s="365">
        <f>IFERROR(100/'Skjema total MA'!I77*K77,0)</f>
        <v>0</v>
      </c>
    </row>
    <row r="78" spans="1:14" ht="15.75" x14ac:dyDescent="0.2">
      <c r="A78" s="413" t="s">
        <v>316</v>
      </c>
      <c r="B78" s="411" t="s">
        <v>413</v>
      </c>
      <c r="C78" s="411" t="s">
        <v>413</v>
      </c>
      <c r="D78" s="367">
        <f t="shared" si="7"/>
        <v>0</v>
      </c>
      <c r="E78" s="365">
        <f>IFERROR(100/'Skjema total MA'!C78*C78,0)</f>
        <v>0</v>
      </c>
      <c r="F78" s="411" t="s">
        <v>413</v>
      </c>
      <c r="G78" s="411" t="s">
        <v>413</v>
      </c>
      <c r="H78" s="367">
        <f t="shared" si="8"/>
        <v>0</v>
      </c>
      <c r="I78" s="365">
        <f>IFERROR(100/'Skjema total MA'!F78*G78,0)</f>
        <v>0</v>
      </c>
      <c r="J78" s="411" t="s">
        <v>413</v>
      </c>
      <c r="K78" s="411" t="s">
        <v>413</v>
      </c>
      <c r="L78" s="367">
        <f t="shared" si="9"/>
        <v>0</v>
      </c>
      <c r="M78" s="365">
        <f>IFERROR(100/'Skjema total MA'!I78*K78,0)</f>
        <v>0</v>
      </c>
    </row>
    <row r="79" spans="1:14" x14ac:dyDescent="0.2">
      <c r="A79" s="413" t="s">
        <v>12</v>
      </c>
      <c r="B79" s="421"/>
      <c r="C79" s="422"/>
      <c r="D79" s="367">
        <f t="shared" si="7"/>
        <v>0</v>
      </c>
      <c r="E79" s="365">
        <f>IFERROR(100/'Skjema total MA'!C79*C79,0)</f>
        <v>0</v>
      </c>
      <c r="F79" s="411" t="s">
        <v>413</v>
      </c>
      <c r="G79" s="411" t="s">
        <v>413</v>
      </c>
      <c r="H79" s="367">
        <f t="shared" si="8"/>
        <v>0</v>
      </c>
      <c r="I79" s="365">
        <f>IFERROR(100/'Skjema total MA'!F79*G79,0)</f>
        <v>0</v>
      </c>
      <c r="J79" s="411" t="s">
        <v>413</v>
      </c>
      <c r="K79" s="411" t="s">
        <v>413</v>
      </c>
      <c r="L79" s="367">
        <f t="shared" si="9"/>
        <v>0</v>
      </c>
      <c r="M79" s="365">
        <f>IFERROR(100/'Skjema total MA'!I79*K79,0)</f>
        <v>0</v>
      </c>
    </row>
    <row r="80" spans="1:14" x14ac:dyDescent="0.2">
      <c r="A80" s="413" t="s">
        <v>13</v>
      </c>
      <c r="B80" s="421"/>
      <c r="C80" s="422"/>
      <c r="D80" s="367">
        <f t="shared" si="7"/>
        <v>0</v>
      </c>
      <c r="E80" s="365">
        <f>IFERROR(100/'Skjema total MA'!C80*C80,0)</f>
        <v>0</v>
      </c>
      <c r="F80" s="411" t="s">
        <v>413</v>
      </c>
      <c r="G80" s="411" t="s">
        <v>413</v>
      </c>
      <c r="H80" s="367">
        <f t="shared" si="8"/>
        <v>0</v>
      </c>
      <c r="I80" s="365">
        <f>IFERROR(100/'Skjema total MA'!F80*G80,0)</f>
        <v>0</v>
      </c>
      <c r="J80" s="411" t="s">
        <v>413</v>
      </c>
      <c r="K80" s="411" t="s">
        <v>413</v>
      </c>
      <c r="L80" s="367">
        <f t="shared" si="9"/>
        <v>0</v>
      </c>
      <c r="M80" s="365">
        <f>IFERROR(100/'Skjema total MA'!I80*K80,0)</f>
        <v>0</v>
      </c>
    </row>
    <row r="81" spans="1:13" ht="15.75" x14ac:dyDescent="0.2">
      <c r="A81" s="413" t="s">
        <v>317</v>
      </c>
      <c r="B81" s="411" t="s">
        <v>413</v>
      </c>
      <c r="C81" s="411" t="s">
        <v>413</v>
      </c>
      <c r="D81" s="367">
        <f t="shared" si="7"/>
        <v>0</v>
      </c>
      <c r="E81" s="365">
        <f>IFERROR(100/'Skjema total MA'!C81*C81,0)</f>
        <v>0</v>
      </c>
      <c r="F81" s="411" t="s">
        <v>413</v>
      </c>
      <c r="G81" s="411" t="s">
        <v>413</v>
      </c>
      <c r="H81" s="367">
        <f t="shared" si="8"/>
        <v>0</v>
      </c>
      <c r="I81" s="365">
        <f>IFERROR(100/'Skjema total MA'!F81*G81,0)</f>
        <v>0</v>
      </c>
      <c r="J81" s="411" t="s">
        <v>413</v>
      </c>
      <c r="K81" s="411" t="s">
        <v>413</v>
      </c>
      <c r="L81" s="367">
        <f t="shared" si="9"/>
        <v>0</v>
      </c>
      <c r="M81" s="365">
        <f>IFERROR(100/'Skjema total MA'!I81*K81,0)</f>
        <v>0</v>
      </c>
    </row>
    <row r="82" spans="1:13" x14ac:dyDescent="0.2">
      <c r="A82" s="413" t="s">
        <v>12</v>
      </c>
      <c r="B82" s="421"/>
      <c r="C82" s="422"/>
      <c r="D82" s="367">
        <f t="shared" si="7"/>
        <v>0</v>
      </c>
      <c r="E82" s="365">
        <f>IFERROR(100/'Skjema total MA'!C82*C82,0)</f>
        <v>0</v>
      </c>
      <c r="F82" s="411" t="s">
        <v>413</v>
      </c>
      <c r="G82" s="411" t="s">
        <v>413</v>
      </c>
      <c r="H82" s="367">
        <f t="shared" si="8"/>
        <v>0</v>
      </c>
      <c r="I82" s="365">
        <f>IFERROR(100/'Skjema total MA'!F82*G82,0)</f>
        <v>0</v>
      </c>
      <c r="J82" s="411" t="s">
        <v>413</v>
      </c>
      <c r="K82" s="411" t="s">
        <v>413</v>
      </c>
      <c r="L82" s="367">
        <f t="shared" si="9"/>
        <v>0</v>
      </c>
      <c r="M82" s="365">
        <f>IFERROR(100/'Skjema total MA'!I82*K82,0)</f>
        <v>0</v>
      </c>
    </row>
    <row r="83" spans="1:13" x14ac:dyDescent="0.2">
      <c r="A83" s="413" t="s">
        <v>13</v>
      </c>
      <c r="B83" s="421"/>
      <c r="C83" s="422"/>
      <c r="D83" s="367">
        <f t="shared" si="7"/>
        <v>0</v>
      </c>
      <c r="E83" s="365">
        <f>IFERROR(100/'Skjema total MA'!C83*C83,0)</f>
        <v>0</v>
      </c>
      <c r="F83" s="411" t="s">
        <v>413</v>
      </c>
      <c r="G83" s="411" t="s">
        <v>413</v>
      </c>
      <c r="H83" s="367">
        <f t="shared" si="8"/>
        <v>0</v>
      </c>
      <c r="I83" s="365">
        <f>IFERROR(100/'Skjema total MA'!F83*G83,0)</f>
        <v>0</v>
      </c>
      <c r="J83" s="411" t="s">
        <v>413</v>
      </c>
      <c r="K83" s="411" t="s">
        <v>413</v>
      </c>
      <c r="L83" s="367">
        <f t="shared" si="9"/>
        <v>0</v>
      </c>
      <c r="M83" s="365">
        <f>IFERROR(100/'Skjema total MA'!I83*K83,0)</f>
        <v>0</v>
      </c>
    </row>
    <row r="84" spans="1:13" ht="15.75" x14ac:dyDescent="0.2">
      <c r="A84" s="21" t="s">
        <v>327</v>
      </c>
      <c r="B84" s="368"/>
      <c r="C84" s="375"/>
      <c r="D84" s="367">
        <f t="shared" si="7"/>
        <v>0</v>
      </c>
      <c r="E84" s="365">
        <f>IFERROR(100/'Skjema total MA'!C84*C84,0)</f>
        <v>0</v>
      </c>
      <c r="F84" s="368"/>
      <c r="G84" s="375"/>
      <c r="H84" s="367">
        <f t="shared" si="8"/>
        <v>0</v>
      </c>
      <c r="I84" s="365">
        <f>IFERROR(100/'Skjema total MA'!F84*G84,0)</f>
        <v>0</v>
      </c>
      <c r="J84" s="359"/>
      <c r="K84" s="358"/>
      <c r="L84" s="367">
        <f t="shared" si="9"/>
        <v>0</v>
      </c>
      <c r="M84" s="365">
        <f>IFERROR(100/'Skjema total MA'!I84*K84,0)</f>
        <v>0</v>
      </c>
    </row>
    <row r="85" spans="1:13" ht="15.75" x14ac:dyDescent="0.2">
      <c r="A85" s="13" t="s">
        <v>26</v>
      </c>
      <c r="B85" s="374"/>
      <c r="C85" s="374"/>
      <c r="D85" s="367">
        <f t="shared" si="7"/>
        <v>0</v>
      </c>
      <c r="E85" s="365">
        <f>IFERROR(100/'Skjema total MA'!C85*C85,0)</f>
        <v>0</v>
      </c>
      <c r="F85" s="374"/>
      <c r="G85" s="374"/>
      <c r="H85" s="367">
        <f t="shared" si="8"/>
        <v>0</v>
      </c>
      <c r="I85" s="365">
        <f>IFERROR(100/'Skjema total MA'!F85*G85,0)</f>
        <v>0</v>
      </c>
      <c r="J85" s="361"/>
      <c r="K85" s="360"/>
      <c r="L85" s="367">
        <f t="shared" si="9"/>
        <v>0</v>
      </c>
      <c r="M85" s="365">
        <f>IFERROR(100/'Skjema total MA'!I85*K85,0)</f>
        <v>0</v>
      </c>
    </row>
    <row r="86" spans="1:13" x14ac:dyDescent="0.2">
      <c r="A86" s="21" t="s">
        <v>9</v>
      </c>
      <c r="B86" s="368"/>
      <c r="C86" s="375"/>
      <c r="D86" s="367">
        <f t="shared" si="7"/>
        <v>0</v>
      </c>
      <c r="E86" s="365">
        <f>IFERROR(100/'Skjema total MA'!C86*C86,0)</f>
        <v>0</v>
      </c>
      <c r="F86" s="368"/>
      <c r="G86" s="375"/>
      <c r="H86" s="367">
        <f t="shared" si="8"/>
        <v>0</v>
      </c>
      <c r="I86" s="365">
        <f>IFERROR(100/'Skjema total MA'!F86*G86,0)</f>
        <v>0</v>
      </c>
      <c r="J86" s="359"/>
      <c r="K86" s="358"/>
      <c r="L86" s="367">
        <f t="shared" si="9"/>
        <v>0</v>
      </c>
      <c r="M86" s="365">
        <f>IFERROR(100/'Skjema total MA'!I86*K86,0)</f>
        <v>0</v>
      </c>
    </row>
    <row r="87" spans="1:13" x14ac:dyDescent="0.2">
      <c r="A87" s="21" t="s">
        <v>10</v>
      </c>
      <c r="B87" s="368"/>
      <c r="C87" s="375"/>
      <c r="D87" s="367">
        <f t="shared" si="7"/>
        <v>0</v>
      </c>
      <c r="E87" s="365">
        <f>IFERROR(100/'Skjema total MA'!C87*C87,0)</f>
        <v>0</v>
      </c>
      <c r="F87" s="368"/>
      <c r="G87" s="375"/>
      <c r="H87" s="367">
        <f t="shared" si="8"/>
        <v>0</v>
      </c>
      <c r="I87" s="365">
        <f>IFERROR(100/'Skjema total MA'!F87*G87,0)</f>
        <v>0</v>
      </c>
      <c r="J87" s="359"/>
      <c r="K87" s="358"/>
      <c r="L87" s="367">
        <f t="shared" si="9"/>
        <v>0</v>
      </c>
      <c r="M87" s="365">
        <f>IFERROR(100/'Skjema total MA'!I87*K87,0)</f>
        <v>0</v>
      </c>
    </row>
    <row r="88" spans="1:13" ht="15.75" x14ac:dyDescent="0.2">
      <c r="A88" s="413" t="s">
        <v>316</v>
      </c>
      <c r="B88" s="411" t="s">
        <v>413</v>
      </c>
      <c r="C88" s="411" t="s">
        <v>413</v>
      </c>
      <c r="D88" s="367">
        <f t="shared" si="7"/>
        <v>0</v>
      </c>
      <c r="E88" s="365">
        <f>IFERROR(100/'Skjema total MA'!C88*C88,0)</f>
        <v>0</v>
      </c>
      <c r="F88" s="411" t="s">
        <v>413</v>
      </c>
      <c r="G88" s="411" t="s">
        <v>413</v>
      </c>
      <c r="H88" s="367">
        <f t="shared" si="8"/>
        <v>0</v>
      </c>
      <c r="I88" s="365">
        <f>IFERROR(100/'Skjema total MA'!F88*G88,0)</f>
        <v>0</v>
      </c>
      <c r="J88" s="411" t="s">
        <v>413</v>
      </c>
      <c r="K88" s="411" t="s">
        <v>413</v>
      </c>
      <c r="L88" s="367">
        <f t="shared" si="9"/>
        <v>0</v>
      </c>
      <c r="M88" s="365">
        <f>IFERROR(100/'Skjema total MA'!I88*K88,0)</f>
        <v>0</v>
      </c>
    </row>
    <row r="89" spans="1:13" x14ac:dyDescent="0.2">
      <c r="A89" s="413" t="s">
        <v>12</v>
      </c>
      <c r="B89" s="421"/>
      <c r="C89" s="422"/>
      <c r="D89" s="367">
        <f t="shared" si="7"/>
        <v>0</v>
      </c>
      <c r="E89" s="365">
        <f>IFERROR(100/'Skjema total MA'!C89*C89,0)</f>
        <v>0</v>
      </c>
      <c r="F89" s="411" t="s">
        <v>413</v>
      </c>
      <c r="G89" s="411" t="s">
        <v>413</v>
      </c>
      <c r="H89" s="367">
        <f t="shared" si="8"/>
        <v>0</v>
      </c>
      <c r="I89" s="365">
        <f>IFERROR(100/'Skjema total MA'!F89*G89,0)</f>
        <v>0</v>
      </c>
      <c r="J89" s="411" t="s">
        <v>413</v>
      </c>
      <c r="K89" s="411" t="s">
        <v>413</v>
      </c>
      <c r="L89" s="367">
        <f t="shared" si="9"/>
        <v>0</v>
      </c>
      <c r="M89" s="365">
        <f>IFERROR(100/'Skjema total MA'!I89*K89,0)</f>
        <v>0</v>
      </c>
    </row>
    <row r="90" spans="1:13" x14ac:dyDescent="0.2">
      <c r="A90" s="413" t="s">
        <v>13</v>
      </c>
      <c r="B90" s="421"/>
      <c r="C90" s="422"/>
      <c r="D90" s="367">
        <f t="shared" si="7"/>
        <v>0</v>
      </c>
      <c r="E90" s="365">
        <f>IFERROR(100/'Skjema total MA'!C90*C90,0)</f>
        <v>0</v>
      </c>
      <c r="F90" s="411" t="s">
        <v>413</v>
      </c>
      <c r="G90" s="411" t="s">
        <v>413</v>
      </c>
      <c r="H90" s="367">
        <f t="shared" si="8"/>
        <v>0</v>
      </c>
      <c r="I90" s="365">
        <f>IFERROR(100/'Skjema total MA'!F90*G90,0)</f>
        <v>0</v>
      </c>
      <c r="J90" s="411" t="s">
        <v>413</v>
      </c>
      <c r="K90" s="411" t="s">
        <v>413</v>
      </c>
      <c r="L90" s="367">
        <f t="shared" si="9"/>
        <v>0</v>
      </c>
      <c r="M90" s="365">
        <f>IFERROR(100/'Skjema total MA'!I90*K90,0)</f>
        <v>0</v>
      </c>
    </row>
    <row r="91" spans="1:13" ht="15.75" x14ac:dyDescent="0.2">
      <c r="A91" s="413" t="s">
        <v>317</v>
      </c>
      <c r="B91" s="411" t="s">
        <v>413</v>
      </c>
      <c r="C91" s="411" t="s">
        <v>413</v>
      </c>
      <c r="D91" s="367">
        <f t="shared" si="7"/>
        <v>0</v>
      </c>
      <c r="E91" s="365">
        <f>IFERROR(100/'Skjema total MA'!C91*C91,0)</f>
        <v>0</v>
      </c>
      <c r="F91" s="411" t="s">
        <v>413</v>
      </c>
      <c r="G91" s="411" t="s">
        <v>413</v>
      </c>
      <c r="H91" s="367">
        <f t="shared" si="8"/>
        <v>0</v>
      </c>
      <c r="I91" s="365">
        <f>IFERROR(100/'Skjema total MA'!F91*G91,0)</f>
        <v>0</v>
      </c>
      <c r="J91" s="411" t="s">
        <v>413</v>
      </c>
      <c r="K91" s="411" t="s">
        <v>413</v>
      </c>
      <c r="L91" s="367">
        <f t="shared" si="9"/>
        <v>0</v>
      </c>
      <c r="M91" s="365">
        <f>IFERROR(100/'Skjema total MA'!I91*K91,0)</f>
        <v>0</v>
      </c>
    </row>
    <row r="92" spans="1:13" x14ac:dyDescent="0.2">
      <c r="A92" s="413" t="s">
        <v>12</v>
      </c>
      <c r="B92" s="421"/>
      <c r="C92" s="422"/>
      <c r="D92" s="367">
        <f t="shared" si="7"/>
        <v>0</v>
      </c>
      <c r="E92" s="365">
        <f>IFERROR(100/'Skjema total MA'!C92*C92,0)</f>
        <v>0</v>
      </c>
      <c r="F92" s="411" t="s">
        <v>413</v>
      </c>
      <c r="G92" s="411" t="s">
        <v>413</v>
      </c>
      <c r="H92" s="367">
        <f t="shared" si="8"/>
        <v>0</v>
      </c>
      <c r="I92" s="365">
        <f>IFERROR(100/'Skjema total MA'!F92*G92,0)</f>
        <v>0</v>
      </c>
      <c r="J92" s="411" t="s">
        <v>413</v>
      </c>
      <c r="K92" s="411" t="s">
        <v>413</v>
      </c>
      <c r="L92" s="367">
        <f t="shared" si="9"/>
        <v>0</v>
      </c>
      <c r="M92" s="365">
        <f>IFERROR(100/'Skjema total MA'!I92*K92,0)</f>
        <v>0</v>
      </c>
    </row>
    <row r="93" spans="1:13" x14ac:dyDescent="0.2">
      <c r="A93" s="413" t="s">
        <v>13</v>
      </c>
      <c r="B93" s="421"/>
      <c r="C93" s="422"/>
      <c r="D93" s="367">
        <f t="shared" si="7"/>
        <v>0</v>
      </c>
      <c r="E93" s="365">
        <f>IFERROR(100/'Skjema total MA'!C93*C93,0)</f>
        <v>0</v>
      </c>
      <c r="F93" s="411" t="s">
        <v>413</v>
      </c>
      <c r="G93" s="411" t="s">
        <v>413</v>
      </c>
      <c r="H93" s="367">
        <f t="shared" si="8"/>
        <v>0</v>
      </c>
      <c r="I93" s="365">
        <f>IFERROR(100/'Skjema total MA'!F93*G93,0)</f>
        <v>0</v>
      </c>
      <c r="J93" s="411" t="s">
        <v>413</v>
      </c>
      <c r="K93" s="411" t="s">
        <v>413</v>
      </c>
      <c r="L93" s="367">
        <f t="shared" si="9"/>
        <v>0</v>
      </c>
      <c r="M93" s="365">
        <f>IFERROR(100/'Skjema total MA'!I93*K93,0)</f>
        <v>0</v>
      </c>
    </row>
    <row r="94" spans="1:13" x14ac:dyDescent="0.2">
      <c r="A94" s="21" t="s">
        <v>398</v>
      </c>
      <c r="B94" s="368"/>
      <c r="C94" s="375"/>
      <c r="D94" s="367">
        <f t="shared" si="7"/>
        <v>0</v>
      </c>
      <c r="E94" s="365">
        <f>IFERROR(100/'Skjema total MA'!C94*C94,0)</f>
        <v>0</v>
      </c>
      <c r="F94" s="368"/>
      <c r="G94" s="375"/>
      <c r="H94" s="367">
        <f t="shared" si="8"/>
        <v>0</v>
      </c>
      <c r="I94" s="365">
        <f>IFERROR(100/'Skjema total MA'!F94*G94,0)</f>
        <v>0</v>
      </c>
      <c r="J94" s="359"/>
      <c r="K94" s="358"/>
      <c r="L94" s="367">
        <f t="shared" si="9"/>
        <v>0</v>
      </c>
      <c r="M94" s="365">
        <f>IFERROR(100/'Skjema total MA'!I94*K94,0)</f>
        <v>0</v>
      </c>
    </row>
    <row r="95" spans="1:13" x14ac:dyDescent="0.2">
      <c r="A95" s="21" t="s">
        <v>397</v>
      </c>
      <c r="B95" s="368"/>
      <c r="C95" s="375"/>
      <c r="D95" s="367">
        <f t="shared" ref="D95" si="13">IF(AND(_xlfn.NUMBERVALUE(B95)=0,_xlfn.NUMBERVALUE(C95)=0),,IF(B95=0, "    ---- ", IF(ABS(ROUND(100/B95*C95-100,1))&lt;999,IF(ROUND(100/B95*C95-100,1)=0,"    ---- ",ROUND(100/B95*C95-100,1)),IF(ROUND(100/B95*C95-100,1)&gt;999,999,-999))))</f>
        <v>0</v>
      </c>
      <c r="E95" s="365">
        <f>IFERROR(100/'Skjema total MA'!C96*C95,0)</f>
        <v>0</v>
      </c>
      <c r="F95" s="368"/>
      <c r="G95" s="375"/>
      <c r="H95" s="367">
        <f t="shared" ref="H95" si="14">IF(AND(_xlfn.NUMBERVALUE(F95)=0,_xlfn.NUMBERVALUE(G95)=0),,IF(F95=0, "    ---- ", IF(ABS(ROUND(100/F95*G95-100,1))&lt;999,IF(ROUND(100/F95*G95-100,1)=0,"    ---- ",ROUND(100/F95*G95-100,1)),IF(ROUND(100/F95*G95-100,1)&gt;999,999,-999))))</f>
        <v>0</v>
      </c>
      <c r="I95" s="365">
        <f>IFERROR(100/'Skjema total MA'!F96*G95,0)</f>
        <v>0</v>
      </c>
      <c r="J95" s="359"/>
      <c r="K95" s="358"/>
      <c r="L95" s="367">
        <f t="shared" ref="L95" si="15">IF(AND(_xlfn.NUMBERVALUE(J95)=0,_xlfn.NUMBERVALUE(K95)=0),,IF(J95=0, "    ---- ", IF(ABS(ROUND(100/J95*K95-100,1))&lt;999,IF(ROUND(100/J95*K95-100,1)=0,"    ---- ",ROUND(100/J95*K95-100,1)),IF(ROUND(100/J95*K95-100,1)&gt;999,999,-999))))</f>
        <v>0</v>
      </c>
      <c r="M95" s="365">
        <f>IFERROR(100/'Skjema total MA'!I96*K95,0)</f>
        <v>0</v>
      </c>
    </row>
    <row r="96" spans="1:13" ht="15.75" x14ac:dyDescent="0.2">
      <c r="A96" s="21" t="s">
        <v>318</v>
      </c>
      <c r="B96" s="368"/>
      <c r="C96" s="368"/>
      <c r="D96" s="367">
        <f t="shared" si="7"/>
        <v>0</v>
      </c>
      <c r="E96" s="365">
        <f>IFERROR(100/'Skjema total MA'!C96*C96,0)</f>
        <v>0</v>
      </c>
      <c r="F96" s="376"/>
      <c r="G96" s="376"/>
      <c r="H96" s="367">
        <f t="shared" si="8"/>
        <v>0</v>
      </c>
      <c r="I96" s="365">
        <f>IFERROR(100/'Skjema total MA'!F96*G96,0)</f>
        <v>0</v>
      </c>
      <c r="J96" s="359"/>
      <c r="K96" s="358"/>
      <c r="L96" s="367">
        <f t="shared" si="9"/>
        <v>0</v>
      </c>
      <c r="M96" s="365">
        <f>IFERROR(100/'Skjema total MA'!I96*K96,0)</f>
        <v>0</v>
      </c>
    </row>
    <row r="97" spans="1:13" x14ac:dyDescent="0.2">
      <c r="A97" s="21" t="s">
        <v>9</v>
      </c>
      <c r="B97" s="376"/>
      <c r="C97" s="377"/>
      <c r="D97" s="367">
        <f t="shared" si="7"/>
        <v>0</v>
      </c>
      <c r="E97" s="365">
        <f>IFERROR(100/'Skjema total MA'!C97*C97,0)</f>
        <v>0</v>
      </c>
      <c r="F97" s="368"/>
      <c r="G97" s="375"/>
      <c r="H97" s="367">
        <f t="shared" si="8"/>
        <v>0</v>
      </c>
      <c r="I97" s="365">
        <f>IFERROR(100/'Skjema total MA'!F97*G97,0)</f>
        <v>0</v>
      </c>
      <c r="J97" s="359"/>
      <c r="K97" s="358"/>
      <c r="L97" s="367">
        <f t="shared" si="9"/>
        <v>0</v>
      </c>
      <c r="M97" s="365">
        <f>IFERROR(100/'Skjema total MA'!I97*K97,0)</f>
        <v>0</v>
      </c>
    </row>
    <row r="98" spans="1:13" x14ac:dyDescent="0.2">
      <c r="A98" s="21" t="s">
        <v>10</v>
      </c>
      <c r="B98" s="376"/>
      <c r="C98" s="377"/>
      <c r="D98" s="367">
        <f t="shared" si="7"/>
        <v>0</v>
      </c>
      <c r="E98" s="365">
        <f>IFERROR(100/'Skjema total MA'!C98*C98,0)</f>
        <v>0</v>
      </c>
      <c r="F98" s="368"/>
      <c r="G98" s="368"/>
      <c r="H98" s="367">
        <f t="shared" si="8"/>
        <v>0</v>
      </c>
      <c r="I98" s="365">
        <f>IFERROR(100/'Skjema total MA'!F98*G98,0)</f>
        <v>0</v>
      </c>
      <c r="J98" s="359"/>
      <c r="K98" s="358"/>
      <c r="L98" s="367">
        <f t="shared" si="9"/>
        <v>0</v>
      </c>
      <c r="M98" s="365">
        <f>IFERROR(100/'Skjema total MA'!I98*K98,0)</f>
        <v>0</v>
      </c>
    </row>
    <row r="99" spans="1:13" ht="15.75" x14ac:dyDescent="0.2">
      <c r="A99" s="413" t="s">
        <v>316</v>
      </c>
      <c r="B99" s="411" t="s">
        <v>413</v>
      </c>
      <c r="C99" s="411" t="s">
        <v>413</v>
      </c>
      <c r="D99" s="367">
        <f t="shared" si="7"/>
        <v>0</v>
      </c>
      <c r="E99" s="365">
        <f>IFERROR(100/'Skjema total MA'!C99*C99,0)</f>
        <v>0</v>
      </c>
      <c r="F99" s="411" t="s">
        <v>413</v>
      </c>
      <c r="G99" s="411" t="s">
        <v>413</v>
      </c>
      <c r="H99" s="367">
        <f t="shared" si="8"/>
        <v>0</v>
      </c>
      <c r="I99" s="365">
        <f>IFERROR(100/'Skjema total MA'!F99*G99,0)</f>
        <v>0</v>
      </c>
      <c r="J99" s="411" t="s">
        <v>413</v>
      </c>
      <c r="K99" s="411" t="s">
        <v>413</v>
      </c>
      <c r="L99" s="367">
        <f t="shared" si="9"/>
        <v>0</v>
      </c>
      <c r="M99" s="365">
        <f>IFERROR(100/'Skjema total MA'!I99*K99,0)</f>
        <v>0</v>
      </c>
    </row>
    <row r="100" spans="1:13" x14ac:dyDescent="0.2">
      <c r="A100" s="413" t="s">
        <v>12</v>
      </c>
      <c r="B100" s="421"/>
      <c r="C100" s="422"/>
      <c r="D100" s="367">
        <f t="shared" si="7"/>
        <v>0</v>
      </c>
      <c r="E100" s="365">
        <f>IFERROR(100/'Skjema total MA'!C100*C100,0)</f>
        <v>0</v>
      </c>
      <c r="F100" s="411" t="s">
        <v>413</v>
      </c>
      <c r="G100" s="411" t="s">
        <v>413</v>
      </c>
      <c r="H100" s="367">
        <f t="shared" si="8"/>
        <v>0</v>
      </c>
      <c r="I100" s="365">
        <f>IFERROR(100/'Skjema total MA'!F100*G100,0)</f>
        <v>0</v>
      </c>
      <c r="J100" s="411" t="s">
        <v>413</v>
      </c>
      <c r="K100" s="411" t="s">
        <v>413</v>
      </c>
      <c r="L100" s="367">
        <f t="shared" si="9"/>
        <v>0</v>
      </c>
      <c r="M100" s="365">
        <f>IFERROR(100/'Skjema total MA'!I100*K100,0)</f>
        <v>0</v>
      </c>
    </row>
    <row r="101" spans="1:13" x14ac:dyDescent="0.2">
      <c r="A101" s="413" t="s">
        <v>13</v>
      </c>
      <c r="B101" s="421"/>
      <c r="C101" s="422"/>
      <c r="D101" s="367">
        <f t="shared" si="7"/>
        <v>0</v>
      </c>
      <c r="E101" s="365">
        <f>IFERROR(100/'Skjema total MA'!C101*C101,0)</f>
        <v>0</v>
      </c>
      <c r="F101" s="411" t="s">
        <v>413</v>
      </c>
      <c r="G101" s="411" t="s">
        <v>413</v>
      </c>
      <c r="H101" s="367">
        <f t="shared" si="8"/>
        <v>0</v>
      </c>
      <c r="I101" s="365">
        <f>IFERROR(100/'Skjema total MA'!F101*G101,0)</f>
        <v>0</v>
      </c>
      <c r="J101" s="411" t="s">
        <v>413</v>
      </c>
      <c r="K101" s="411" t="s">
        <v>413</v>
      </c>
      <c r="L101" s="367">
        <f t="shared" si="9"/>
        <v>0</v>
      </c>
      <c r="M101" s="365">
        <f>IFERROR(100/'Skjema total MA'!I101*K101,0)</f>
        <v>0</v>
      </c>
    </row>
    <row r="102" spans="1:13" ht="15.75" x14ac:dyDescent="0.2">
      <c r="A102" s="413" t="s">
        <v>317</v>
      </c>
      <c r="B102" s="411" t="s">
        <v>413</v>
      </c>
      <c r="C102" s="411" t="s">
        <v>413</v>
      </c>
      <c r="D102" s="367">
        <f t="shared" si="7"/>
        <v>0</v>
      </c>
      <c r="E102" s="365">
        <f>IFERROR(100/'Skjema total MA'!C102*C102,0)</f>
        <v>0</v>
      </c>
      <c r="F102" s="411" t="s">
        <v>413</v>
      </c>
      <c r="G102" s="411" t="s">
        <v>413</v>
      </c>
      <c r="H102" s="367">
        <f t="shared" si="8"/>
        <v>0</v>
      </c>
      <c r="I102" s="365">
        <f>IFERROR(100/'Skjema total MA'!F102*G102,0)</f>
        <v>0</v>
      </c>
      <c r="J102" s="411" t="s">
        <v>413</v>
      </c>
      <c r="K102" s="411" t="s">
        <v>413</v>
      </c>
      <c r="L102" s="367">
        <f t="shared" si="9"/>
        <v>0</v>
      </c>
      <c r="M102" s="365">
        <f>IFERROR(100/'Skjema total MA'!I102*K102,0)</f>
        <v>0</v>
      </c>
    </row>
    <row r="103" spans="1:13" x14ac:dyDescent="0.2">
      <c r="A103" s="413" t="s">
        <v>12</v>
      </c>
      <c r="B103" s="421"/>
      <c r="C103" s="422"/>
      <c r="D103" s="367">
        <f t="shared" si="7"/>
        <v>0</v>
      </c>
      <c r="E103" s="365">
        <f>IFERROR(100/'Skjema total MA'!C103*C103,0)</f>
        <v>0</v>
      </c>
      <c r="F103" s="411" t="s">
        <v>413</v>
      </c>
      <c r="G103" s="411" t="s">
        <v>413</v>
      </c>
      <c r="H103" s="367">
        <f t="shared" si="8"/>
        <v>0</v>
      </c>
      <c r="I103" s="365">
        <f>IFERROR(100/'Skjema total MA'!F103*G103,0)</f>
        <v>0</v>
      </c>
      <c r="J103" s="411" t="s">
        <v>413</v>
      </c>
      <c r="K103" s="411" t="s">
        <v>413</v>
      </c>
      <c r="L103" s="367">
        <f t="shared" si="9"/>
        <v>0</v>
      </c>
      <c r="M103" s="365">
        <f>IFERROR(100/'Skjema total MA'!I103*K103,0)</f>
        <v>0</v>
      </c>
    </row>
    <row r="104" spans="1:13" x14ac:dyDescent="0.2">
      <c r="A104" s="413" t="s">
        <v>13</v>
      </c>
      <c r="B104" s="421"/>
      <c r="C104" s="422"/>
      <c r="D104" s="367">
        <f t="shared" si="7"/>
        <v>0</v>
      </c>
      <c r="E104" s="365">
        <f>IFERROR(100/'Skjema total MA'!C104*C104,0)</f>
        <v>0</v>
      </c>
      <c r="F104" s="411" t="s">
        <v>413</v>
      </c>
      <c r="G104" s="411" t="s">
        <v>413</v>
      </c>
      <c r="H104" s="367">
        <f t="shared" si="8"/>
        <v>0</v>
      </c>
      <c r="I104" s="365">
        <f>IFERROR(100/'Skjema total MA'!F104*G104,0)</f>
        <v>0</v>
      </c>
      <c r="J104" s="411" t="s">
        <v>413</v>
      </c>
      <c r="K104" s="411" t="s">
        <v>413</v>
      </c>
      <c r="L104" s="367">
        <f t="shared" si="9"/>
        <v>0</v>
      </c>
      <c r="M104" s="365">
        <f>IFERROR(100/'Skjema total MA'!I104*K104,0)</f>
        <v>0</v>
      </c>
    </row>
    <row r="105" spans="1:13" ht="15.75" x14ac:dyDescent="0.2">
      <c r="A105" s="21" t="s">
        <v>327</v>
      </c>
      <c r="B105" s="368"/>
      <c r="C105" s="375"/>
      <c r="D105" s="367">
        <f t="shared" si="7"/>
        <v>0</v>
      </c>
      <c r="E105" s="365">
        <f>IFERROR(100/'Skjema total MA'!C105*C105,0)</f>
        <v>0</v>
      </c>
      <c r="F105" s="368"/>
      <c r="G105" s="375"/>
      <c r="H105" s="367">
        <f t="shared" si="8"/>
        <v>0</v>
      </c>
      <c r="I105" s="365">
        <f>IFERROR(100/'Skjema total MA'!F105*G105,0)</f>
        <v>0</v>
      </c>
      <c r="J105" s="359"/>
      <c r="K105" s="358"/>
      <c r="L105" s="367">
        <f t="shared" si="9"/>
        <v>0</v>
      </c>
      <c r="M105" s="365">
        <f>IFERROR(100/'Skjema total MA'!I105*K105,0)</f>
        <v>0</v>
      </c>
    </row>
    <row r="106" spans="1:13" ht="15.75" x14ac:dyDescent="0.2">
      <c r="A106" s="21" t="s">
        <v>328</v>
      </c>
      <c r="B106" s="368"/>
      <c r="C106" s="368"/>
      <c r="D106" s="367">
        <f t="shared" si="7"/>
        <v>0</v>
      </c>
      <c r="E106" s="365">
        <f>IFERROR(100/'Skjema total MA'!C106*C106,0)</f>
        <v>0</v>
      </c>
      <c r="F106" s="368"/>
      <c r="G106" s="368"/>
      <c r="H106" s="367">
        <f t="shared" si="8"/>
        <v>0</v>
      </c>
      <c r="I106" s="365">
        <f>IFERROR(100/'Skjema total MA'!F106*G106,0)</f>
        <v>0</v>
      </c>
      <c r="J106" s="359"/>
      <c r="K106" s="358"/>
      <c r="L106" s="367">
        <f t="shared" si="9"/>
        <v>0</v>
      </c>
      <c r="M106" s="365">
        <f>IFERROR(100/'Skjema total MA'!I106*K106,0)</f>
        <v>0</v>
      </c>
    </row>
    <row r="107" spans="1:13" ht="15.75" x14ac:dyDescent="0.2">
      <c r="A107" s="21" t="s">
        <v>320</v>
      </c>
      <c r="B107" s="368"/>
      <c r="C107" s="368"/>
      <c r="D107" s="367">
        <f t="shared" si="7"/>
        <v>0</v>
      </c>
      <c r="E107" s="365">
        <f>IFERROR(100/'Skjema total MA'!C107*C107,0)</f>
        <v>0</v>
      </c>
      <c r="F107" s="368"/>
      <c r="G107" s="368"/>
      <c r="H107" s="367">
        <f t="shared" si="8"/>
        <v>0</v>
      </c>
      <c r="I107" s="365">
        <f>IFERROR(100/'Skjema total MA'!F107*G107,0)</f>
        <v>0</v>
      </c>
      <c r="J107" s="359"/>
      <c r="K107" s="358"/>
      <c r="L107" s="367">
        <f t="shared" si="9"/>
        <v>0</v>
      </c>
      <c r="M107" s="365">
        <f>IFERROR(100/'Skjema total MA'!I107*K107,0)</f>
        <v>0</v>
      </c>
    </row>
    <row r="108" spans="1:13" ht="15.75" x14ac:dyDescent="0.2">
      <c r="A108" s="21" t="s">
        <v>321</v>
      </c>
      <c r="B108" s="368"/>
      <c r="C108" s="368"/>
      <c r="D108" s="367">
        <f t="shared" si="7"/>
        <v>0</v>
      </c>
      <c r="E108" s="365">
        <f>IFERROR(100/'Skjema total MA'!C108*C108,0)</f>
        <v>0</v>
      </c>
      <c r="F108" s="368"/>
      <c r="G108" s="368"/>
      <c r="H108" s="367">
        <f t="shared" si="8"/>
        <v>0</v>
      </c>
      <c r="I108" s="365">
        <f>IFERROR(100/'Skjema total MA'!F108*G108,0)</f>
        <v>0</v>
      </c>
      <c r="J108" s="359"/>
      <c r="K108" s="358"/>
      <c r="L108" s="367">
        <f t="shared" si="9"/>
        <v>0</v>
      </c>
      <c r="M108" s="365">
        <f>IFERROR(100/'Skjema total MA'!I108*K108,0)</f>
        <v>0</v>
      </c>
    </row>
    <row r="109" spans="1:13" ht="15.75" x14ac:dyDescent="0.2">
      <c r="A109" s="13" t="s">
        <v>25</v>
      </c>
      <c r="B109" s="366"/>
      <c r="C109" s="378"/>
      <c r="D109" s="367">
        <f t="shared" si="7"/>
        <v>0</v>
      </c>
      <c r="E109" s="365">
        <f>IFERROR(100/'Skjema total MA'!C109*C109,0)</f>
        <v>0</v>
      </c>
      <c r="F109" s="366"/>
      <c r="G109" s="378"/>
      <c r="H109" s="367">
        <f t="shared" si="8"/>
        <v>0</v>
      </c>
      <c r="I109" s="365">
        <f>IFERROR(100/'Skjema total MA'!F109*G109,0)</f>
        <v>0</v>
      </c>
      <c r="J109" s="361"/>
      <c r="K109" s="360"/>
      <c r="L109" s="367">
        <f t="shared" si="9"/>
        <v>0</v>
      </c>
      <c r="M109" s="365">
        <f>IFERROR(100/'Skjema total MA'!I109*K109,0)</f>
        <v>0</v>
      </c>
    </row>
    <row r="110" spans="1:13" x14ac:dyDescent="0.2">
      <c r="A110" s="21" t="s">
        <v>9</v>
      </c>
      <c r="B110" s="368"/>
      <c r="C110" s="375"/>
      <c r="D110" s="367">
        <f t="shared" ref="D110:D124" si="16">IF(AND(_xlfn.NUMBERVALUE(B110)=0,_xlfn.NUMBERVALUE(C110)=0),,IF(B110=0, "    ---- ", IF(ABS(ROUND(100/B110*C110-100,1))&lt;999,IF(ROUND(100/B110*C110-100,1)=0,"    ---- ",ROUND(100/B110*C110-100,1)),IF(ROUND(100/B110*C110-100,1)&gt;999,999,-999))))</f>
        <v>0</v>
      </c>
      <c r="E110" s="365">
        <f>IFERROR(100/'Skjema total MA'!C110*C110,0)</f>
        <v>0</v>
      </c>
      <c r="F110" s="368"/>
      <c r="G110" s="375"/>
      <c r="H110" s="367">
        <f t="shared" ref="H110:H124" si="17">IF(AND(_xlfn.NUMBERVALUE(F110)=0,_xlfn.NUMBERVALUE(G110)=0),,IF(F110=0, "    ---- ", IF(ABS(ROUND(100/F110*G110-100,1))&lt;999,IF(ROUND(100/F110*G110-100,1)=0,"    ---- ",ROUND(100/F110*G110-100,1)),IF(ROUND(100/F110*G110-100,1)&gt;999,999,-999))))</f>
        <v>0</v>
      </c>
      <c r="I110" s="365">
        <f>IFERROR(100/'Skjema total MA'!F110*G110,0)</f>
        <v>0</v>
      </c>
      <c r="J110" s="359"/>
      <c r="K110" s="358"/>
      <c r="L110" s="367">
        <f t="shared" ref="L110:L124" si="18">IF(AND(_xlfn.NUMBERVALUE(J110)=0,_xlfn.NUMBERVALUE(K110)=0),,IF(J110=0, "    ---- ", IF(ABS(ROUND(100/J110*K110-100,1))&lt;999,IF(ROUND(100/J110*K110-100,1)=0,"    ---- ",ROUND(100/J110*K110-100,1)),IF(ROUND(100/J110*K110-100,1)&gt;999,999,-999))))</f>
        <v>0</v>
      </c>
      <c r="M110" s="365">
        <f>IFERROR(100/'Skjema total MA'!I110*K110,0)</f>
        <v>0</v>
      </c>
    </row>
    <row r="111" spans="1:13" x14ac:dyDescent="0.2">
      <c r="A111" s="21" t="s">
        <v>10</v>
      </c>
      <c r="B111" s="368"/>
      <c r="C111" s="375"/>
      <c r="D111" s="367">
        <f t="shared" si="16"/>
        <v>0</v>
      </c>
      <c r="E111" s="365">
        <f>IFERROR(100/'Skjema total MA'!C111*C111,0)</f>
        <v>0</v>
      </c>
      <c r="F111" s="368"/>
      <c r="G111" s="375"/>
      <c r="H111" s="367">
        <f t="shared" si="17"/>
        <v>0</v>
      </c>
      <c r="I111" s="365">
        <f>IFERROR(100/'Skjema total MA'!F111*G111,0)</f>
        <v>0</v>
      </c>
      <c r="J111" s="359"/>
      <c r="K111" s="358"/>
      <c r="L111" s="367">
        <f t="shared" si="18"/>
        <v>0</v>
      </c>
      <c r="M111" s="365">
        <f>IFERROR(100/'Skjema total MA'!I111*K111,0)</f>
        <v>0</v>
      </c>
    </row>
    <row r="112" spans="1:13" x14ac:dyDescent="0.2">
      <c r="A112" s="21" t="s">
        <v>30</v>
      </c>
      <c r="B112" s="368"/>
      <c r="C112" s="375"/>
      <c r="D112" s="367">
        <f t="shared" si="16"/>
        <v>0</v>
      </c>
      <c r="E112" s="365">
        <f>IFERROR(100/'Skjema total MA'!C112*C112,0)</f>
        <v>0</v>
      </c>
      <c r="F112" s="368"/>
      <c r="G112" s="375"/>
      <c r="H112" s="367">
        <f t="shared" si="17"/>
        <v>0</v>
      </c>
      <c r="I112" s="365">
        <f>IFERROR(100/'Skjema total MA'!F112*G112,0)</f>
        <v>0</v>
      </c>
      <c r="J112" s="359"/>
      <c r="K112" s="358"/>
      <c r="L112" s="367">
        <f t="shared" si="18"/>
        <v>0</v>
      </c>
      <c r="M112" s="365">
        <f>IFERROR(100/'Skjema total MA'!I112*K112,0)</f>
        <v>0</v>
      </c>
    </row>
    <row r="113" spans="1:14" x14ac:dyDescent="0.2">
      <c r="A113" s="413" t="s">
        <v>15</v>
      </c>
      <c r="B113" s="411" t="s">
        <v>413</v>
      </c>
      <c r="C113" s="411" t="s">
        <v>413</v>
      </c>
      <c r="D113" s="367">
        <f t="shared" si="16"/>
        <v>0</v>
      </c>
      <c r="E113" s="365">
        <f>IFERROR(100/'Skjema total MA'!C113*C113,0)</f>
        <v>0</v>
      </c>
      <c r="F113" s="411" t="s">
        <v>413</v>
      </c>
      <c r="G113" s="411" t="s">
        <v>413</v>
      </c>
      <c r="H113" s="367">
        <f t="shared" si="17"/>
        <v>0</v>
      </c>
      <c r="I113" s="365">
        <f>IFERROR(100/'Skjema total MA'!F113*G113,0)</f>
        <v>0</v>
      </c>
      <c r="J113" s="411" t="s">
        <v>413</v>
      </c>
      <c r="K113" s="411" t="s">
        <v>413</v>
      </c>
      <c r="L113" s="367">
        <f t="shared" si="18"/>
        <v>0</v>
      </c>
      <c r="M113" s="365">
        <f>IFERROR(100/'Skjema total MA'!I113*K113,0)</f>
        <v>0</v>
      </c>
    </row>
    <row r="114" spans="1:14" ht="15.75" x14ac:dyDescent="0.2">
      <c r="A114" s="21" t="s">
        <v>329</v>
      </c>
      <c r="B114" s="368"/>
      <c r="C114" s="368"/>
      <c r="D114" s="367">
        <f t="shared" si="16"/>
        <v>0</v>
      </c>
      <c r="E114" s="365">
        <f>IFERROR(100/'Skjema total MA'!C114*C114,0)</f>
        <v>0</v>
      </c>
      <c r="F114" s="368"/>
      <c r="G114" s="368"/>
      <c r="H114" s="367">
        <f t="shared" si="17"/>
        <v>0</v>
      </c>
      <c r="I114" s="365">
        <f>IFERROR(100/'Skjema total MA'!F114*G114,0)</f>
        <v>0</v>
      </c>
      <c r="J114" s="359"/>
      <c r="K114" s="358"/>
      <c r="L114" s="367">
        <f t="shared" si="18"/>
        <v>0</v>
      </c>
      <c r="M114" s="365">
        <f>IFERROR(100/'Skjema total MA'!I114*K114,0)</f>
        <v>0</v>
      </c>
    </row>
    <row r="115" spans="1:14" ht="15.75" x14ac:dyDescent="0.2">
      <c r="A115" s="21" t="s">
        <v>322</v>
      </c>
      <c r="B115" s="368"/>
      <c r="C115" s="368"/>
      <c r="D115" s="367">
        <f t="shared" si="16"/>
        <v>0</v>
      </c>
      <c r="E115" s="365">
        <f>IFERROR(100/'Skjema total MA'!C115*C115,0)</f>
        <v>0</v>
      </c>
      <c r="F115" s="368"/>
      <c r="G115" s="368"/>
      <c r="H115" s="367">
        <f t="shared" si="17"/>
        <v>0</v>
      </c>
      <c r="I115" s="365">
        <f>IFERROR(100/'Skjema total MA'!F115*G115,0)</f>
        <v>0</v>
      </c>
      <c r="J115" s="359"/>
      <c r="K115" s="358"/>
      <c r="L115" s="367">
        <f t="shared" si="18"/>
        <v>0</v>
      </c>
      <c r="M115" s="365">
        <f>IFERROR(100/'Skjema total MA'!I115*K115,0)</f>
        <v>0</v>
      </c>
    </row>
    <row r="116" spans="1:14" ht="15.75" x14ac:dyDescent="0.2">
      <c r="A116" s="21" t="s">
        <v>321</v>
      </c>
      <c r="B116" s="368"/>
      <c r="C116" s="368"/>
      <c r="D116" s="367">
        <f t="shared" si="16"/>
        <v>0</v>
      </c>
      <c r="E116" s="365">
        <f>IFERROR(100/'Skjema total MA'!C116*C116,0)</f>
        <v>0</v>
      </c>
      <c r="F116" s="368"/>
      <c r="G116" s="368"/>
      <c r="H116" s="367">
        <f t="shared" si="17"/>
        <v>0</v>
      </c>
      <c r="I116" s="365">
        <f>IFERROR(100/'Skjema total MA'!F116*G116,0)</f>
        <v>0</v>
      </c>
      <c r="J116" s="359"/>
      <c r="K116" s="358"/>
      <c r="L116" s="367">
        <f t="shared" si="18"/>
        <v>0</v>
      </c>
      <c r="M116" s="365">
        <f>IFERROR(100/'Skjema total MA'!I116*K116,0)</f>
        <v>0</v>
      </c>
    </row>
    <row r="117" spans="1:14" ht="15.75" x14ac:dyDescent="0.2">
      <c r="A117" s="13" t="s">
        <v>24</v>
      </c>
      <c r="B117" s="366"/>
      <c r="C117" s="378"/>
      <c r="D117" s="367">
        <f t="shared" si="16"/>
        <v>0</v>
      </c>
      <c r="E117" s="365">
        <f>IFERROR(100/'Skjema total MA'!C117*C117,0)</f>
        <v>0</v>
      </c>
      <c r="F117" s="366"/>
      <c r="G117" s="378"/>
      <c r="H117" s="367">
        <f t="shared" si="17"/>
        <v>0</v>
      </c>
      <c r="I117" s="365">
        <f>IFERROR(100/'Skjema total MA'!F117*G117,0)</f>
        <v>0</v>
      </c>
      <c r="J117" s="361"/>
      <c r="K117" s="360"/>
      <c r="L117" s="367">
        <f t="shared" si="18"/>
        <v>0</v>
      </c>
      <c r="M117" s="365">
        <f>IFERROR(100/'Skjema total MA'!I117*K117,0)</f>
        <v>0</v>
      </c>
    </row>
    <row r="118" spans="1:14" x14ac:dyDescent="0.2">
      <c r="A118" s="21" t="s">
        <v>9</v>
      </c>
      <c r="B118" s="368"/>
      <c r="C118" s="375"/>
      <c r="D118" s="367">
        <f t="shared" si="16"/>
        <v>0</v>
      </c>
      <c r="E118" s="365">
        <f>IFERROR(100/'Skjema total MA'!C118*C118,0)</f>
        <v>0</v>
      </c>
      <c r="F118" s="368"/>
      <c r="G118" s="375"/>
      <c r="H118" s="367">
        <f t="shared" si="17"/>
        <v>0</v>
      </c>
      <c r="I118" s="365">
        <f>IFERROR(100/'Skjema total MA'!F118*G118,0)</f>
        <v>0</v>
      </c>
      <c r="J118" s="359"/>
      <c r="K118" s="358"/>
      <c r="L118" s="367">
        <f t="shared" si="18"/>
        <v>0</v>
      </c>
      <c r="M118" s="365">
        <f>IFERROR(100/'Skjema total MA'!I118*K118,0)</f>
        <v>0</v>
      </c>
    </row>
    <row r="119" spans="1:14" x14ac:dyDescent="0.2">
      <c r="A119" s="21" t="s">
        <v>10</v>
      </c>
      <c r="B119" s="368"/>
      <c r="C119" s="375"/>
      <c r="D119" s="367">
        <f t="shared" si="16"/>
        <v>0</v>
      </c>
      <c r="E119" s="365">
        <f>IFERROR(100/'Skjema total MA'!C119*C119,0)</f>
        <v>0</v>
      </c>
      <c r="F119" s="368"/>
      <c r="G119" s="375"/>
      <c r="H119" s="367">
        <f t="shared" si="17"/>
        <v>0</v>
      </c>
      <c r="I119" s="365">
        <f>IFERROR(100/'Skjema total MA'!F119*G119,0)</f>
        <v>0</v>
      </c>
      <c r="J119" s="359"/>
      <c r="K119" s="358"/>
      <c r="L119" s="367">
        <f t="shared" si="18"/>
        <v>0</v>
      </c>
      <c r="M119" s="365">
        <f>IFERROR(100/'Skjema total MA'!I119*K119,0)</f>
        <v>0</v>
      </c>
    </row>
    <row r="120" spans="1:14" x14ac:dyDescent="0.2">
      <c r="A120" s="21" t="s">
        <v>30</v>
      </c>
      <c r="B120" s="368"/>
      <c r="C120" s="375"/>
      <c r="D120" s="367">
        <f t="shared" si="16"/>
        <v>0</v>
      </c>
      <c r="E120" s="365">
        <f>IFERROR(100/'Skjema total MA'!C120*C120,0)</f>
        <v>0</v>
      </c>
      <c r="F120" s="368"/>
      <c r="G120" s="375"/>
      <c r="H120" s="367">
        <f t="shared" si="17"/>
        <v>0</v>
      </c>
      <c r="I120" s="365">
        <f>IFERROR(100/'Skjema total MA'!F120*G120,0)</f>
        <v>0</v>
      </c>
      <c r="J120" s="359"/>
      <c r="K120" s="358"/>
      <c r="L120" s="367">
        <f t="shared" si="18"/>
        <v>0</v>
      </c>
      <c r="M120" s="365">
        <f>IFERROR(100/'Skjema total MA'!I120*K120,0)</f>
        <v>0</v>
      </c>
    </row>
    <row r="121" spans="1:14" x14ac:dyDescent="0.2">
      <c r="A121" s="413" t="s">
        <v>14</v>
      </c>
      <c r="B121" s="411" t="s">
        <v>413</v>
      </c>
      <c r="C121" s="411" t="s">
        <v>413</v>
      </c>
      <c r="D121" s="367">
        <f t="shared" si="16"/>
        <v>0</v>
      </c>
      <c r="E121" s="365">
        <f>IFERROR(100/'Skjema total MA'!C121*C121,0)</f>
        <v>0</v>
      </c>
      <c r="F121" s="411" t="s">
        <v>413</v>
      </c>
      <c r="G121" s="411" t="s">
        <v>413</v>
      </c>
      <c r="H121" s="367">
        <f t="shared" si="17"/>
        <v>0</v>
      </c>
      <c r="I121" s="365">
        <f>IFERROR(100/'Skjema total MA'!F121*G121,0)</f>
        <v>0</v>
      </c>
      <c r="J121" s="411" t="s">
        <v>413</v>
      </c>
      <c r="K121" s="411" t="s">
        <v>413</v>
      </c>
      <c r="L121" s="367">
        <f t="shared" si="18"/>
        <v>0</v>
      </c>
      <c r="M121" s="365">
        <f>IFERROR(100/'Skjema total MA'!I121*K121,0)</f>
        <v>0</v>
      </c>
    </row>
    <row r="122" spans="1:14" ht="15.75" x14ac:dyDescent="0.2">
      <c r="A122" s="21" t="s">
        <v>319</v>
      </c>
      <c r="B122" s="368"/>
      <c r="C122" s="368"/>
      <c r="D122" s="367">
        <f t="shared" si="16"/>
        <v>0</v>
      </c>
      <c r="E122" s="365">
        <f>IFERROR(100/'Skjema total MA'!C122*C122,0)</f>
        <v>0</v>
      </c>
      <c r="F122" s="368"/>
      <c r="G122" s="368"/>
      <c r="H122" s="367">
        <f t="shared" si="17"/>
        <v>0</v>
      </c>
      <c r="I122" s="365">
        <f>IFERROR(100/'Skjema total MA'!F122*G122,0)</f>
        <v>0</v>
      </c>
      <c r="J122" s="359"/>
      <c r="K122" s="358"/>
      <c r="L122" s="367">
        <f t="shared" si="18"/>
        <v>0</v>
      </c>
      <c r="M122" s="365">
        <f>IFERROR(100/'Skjema total MA'!I122*K122,0)</f>
        <v>0</v>
      </c>
    </row>
    <row r="123" spans="1:14" ht="15.75" x14ac:dyDescent="0.2">
      <c r="A123" s="21" t="s">
        <v>320</v>
      </c>
      <c r="B123" s="368"/>
      <c r="C123" s="368"/>
      <c r="D123" s="367">
        <f t="shared" si="16"/>
        <v>0</v>
      </c>
      <c r="E123" s="365">
        <f>IFERROR(100/'Skjema total MA'!C123*C123,0)</f>
        <v>0</v>
      </c>
      <c r="F123" s="368"/>
      <c r="G123" s="368"/>
      <c r="H123" s="367">
        <f t="shared" si="17"/>
        <v>0</v>
      </c>
      <c r="I123" s="365">
        <f>IFERROR(100/'Skjema total MA'!F123*G123,0)</f>
        <v>0</v>
      </c>
      <c r="J123" s="359"/>
      <c r="K123" s="358"/>
      <c r="L123" s="367">
        <f t="shared" si="18"/>
        <v>0</v>
      </c>
      <c r="M123" s="365">
        <f>IFERROR(100/'Skjema total MA'!I123*K123,0)</f>
        <v>0</v>
      </c>
    </row>
    <row r="124" spans="1:14" ht="15.75" x14ac:dyDescent="0.2">
      <c r="A124" s="10" t="s">
        <v>321</v>
      </c>
      <c r="B124" s="372"/>
      <c r="C124" s="372"/>
      <c r="D124" s="369">
        <f t="shared" si="16"/>
        <v>0</v>
      </c>
      <c r="E124" s="379">
        <f>IFERROR(100/'Skjema total MA'!C124*C124,0)</f>
        <v>0</v>
      </c>
      <c r="F124" s="372"/>
      <c r="G124" s="372"/>
      <c r="H124" s="369">
        <f t="shared" si="17"/>
        <v>0</v>
      </c>
      <c r="I124" s="369">
        <f>IFERROR(100/'Skjema total MA'!F124*G124,0)</f>
        <v>0</v>
      </c>
      <c r="J124" s="373"/>
      <c r="K124" s="372"/>
      <c r="L124" s="369">
        <f t="shared" si="18"/>
        <v>0</v>
      </c>
      <c r="M124" s="369">
        <f>IFERROR(100/'Skjema total MA'!I124*K124,0)</f>
        <v>0</v>
      </c>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352"/>
      <c r="C128" s="352"/>
      <c r="D128" s="352"/>
      <c r="E128" s="353"/>
      <c r="F128" s="352"/>
      <c r="G128" s="352"/>
      <c r="H128" s="352"/>
      <c r="I128" s="353"/>
      <c r="J128" s="352"/>
      <c r="K128" s="352"/>
      <c r="L128" s="352"/>
      <c r="M128" s="353"/>
    </row>
    <row r="129" spans="1:14" s="3" customFormat="1" x14ac:dyDescent="0.2">
      <c r="A129" s="143"/>
      <c r="B129" s="673" t="s">
        <v>0</v>
      </c>
      <c r="C129" s="674"/>
      <c r="D129" s="674"/>
      <c r="E129" s="675"/>
      <c r="F129" s="437" t="s">
        <v>1</v>
      </c>
      <c r="G129" s="438"/>
      <c r="H129" s="438"/>
      <c r="I129" s="439"/>
      <c r="J129" s="349" t="s">
        <v>2</v>
      </c>
      <c r="K129" s="350"/>
      <c r="L129" s="350"/>
      <c r="M129" s="351"/>
      <c r="N129" s="147"/>
    </row>
    <row r="130" spans="1:14" s="3" customFormat="1" x14ac:dyDescent="0.2">
      <c r="A130" s="140"/>
      <c r="B130" s="151" t="s">
        <v>411</v>
      </c>
      <c r="C130" s="151" t="s">
        <v>412</v>
      </c>
      <c r="D130" s="246" t="s">
        <v>3</v>
      </c>
      <c r="E130" s="303" t="s">
        <v>33</v>
      </c>
      <c r="F130" s="151" t="s">
        <v>411</v>
      </c>
      <c r="G130" s="151" t="s">
        <v>412</v>
      </c>
      <c r="H130" s="206" t="s">
        <v>3</v>
      </c>
      <c r="I130" s="303"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360"/>
      <c r="C132" s="361"/>
      <c r="D132" s="364">
        <f t="shared" ref="D132:D135" si="19">IF(AND(_xlfn.NUMBERVALUE(B132)=0,_xlfn.NUMBERVALUE(C132)=0),,IF(B132=0, "    ---- ", IF(ABS(ROUND(100/B132*C132-100,1))&lt;999,IF(ROUND(100/B132*C132-100,1)=0,"    ---- ",ROUND(100/B132*C132-100,1)),IF(ROUND(100/B132*C132-100,1)&gt;999,999,-999))))</f>
        <v>0</v>
      </c>
      <c r="E132" s="365">
        <f>IFERROR(100/'Skjema total MA'!C132*C132,0)</f>
        <v>0</v>
      </c>
      <c r="F132" s="356"/>
      <c r="G132" s="357"/>
      <c r="H132" s="364">
        <f t="shared" ref="H132:H135" si="20">IF(AND(_xlfn.NUMBERVALUE(F132)=0,_xlfn.NUMBERVALUE(G132)=0),,IF(F132=0, "    ---- ", IF(ABS(ROUND(100/F132*G132-100,1))&lt;999,IF(ROUND(100/F132*G132-100,1)=0,"    ---- ",ROUND(100/F132*G132-100,1)),IF(ROUND(100/F132*G132-100,1)&gt;999,999,-999))))</f>
        <v>0</v>
      </c>
      <c r="I132" s="365">
        <f>IFERROR(100/'Skjema total MA'!F132*G132,0)</f>
        <v>0</v>
      </c>
      <c r="J132" s="371"/>
      <c r="K132" s="371"/>
      <c r="L132" s="364">
        <f t="shared" ref="L132:L135" si="21">IF(AND(_xlfn.NUMBERVALUE(J132)=0,_xlfn.NUMBERVALUE(K132)=0),,IF(J132=0, "    ---- ", IF(ABS(ROUND(100/J132*K132-100,1))&lt;999,IF(ROUND(100/J132*K132-100,1)=0,"    ---- ",ROUND(100/J132*K132-100,1)),IF(ROUND(100/J132*K132-100,1)&gt;999,999,-999))))</f>
        <v>0</v>
      </c>
      <c r="M132" s="365">
        <f>IFERROR(100/'Skjema total MA'!I132*K132,0)</f>
        <v>0</v>
      </c>
      <c r="N132" s="147"/>
    </row>
    <row r="133" spans="1:14" s="3" customFormat="1" ht="15.75" x14ac:dyDescent="0.2">
      <c r="A133" s="13" t="s">
        <v>324</v>
      </c>
      <c r="B133" s="360"/>
      <c r="C133" s="361"/>
      <c r="D133" s="367">
        <f t="shared" si="19"/>
        <v>0</v>
      </c>
      <c r="E133" s="365">
        <f>IFERROR(100/'Skjema total MA'!C133*C133,0)</f>
        <v>0</v>
      </c>
      <c r="F133" s="360"/>
      <c r="G133" s="361"/>
      <c r="H133" s="367">
        <f t="shared" si="20"/>
        <v>0</v>
      </c>
      <c r="I133" s="365">
        <f>IFERROR(100/'Skjema total MA'!F133*G133,0)</f>
        <v>0</v>
      </c>
      <c r="J133" s="366"/>
      <c r="K133" s="366"/>
      <c r="L133" s="367">
        <f t="shared" si="21"/>
        <v>0</v>
      </c>
      <c r="M133" s="365">
        <f>IFERROR(100/'Skjema total MA'!I133*K133,0)</f>
        <v>0</v>
      </c>
      <c r="N133" s="147"/>
    </row>
    <row r="134" spans="1:14" s="3" customFormat="1" ht="15.75" x14ac:dyDescent="0.2">
      <c r="A134" s="13" t="s">
        <v>325</v>
      </c>
      <c r="B134" s="360"/>
      <c r="C134" s="361"/>
      <c r="D134" s="367">
        <f t="shared" si="19"/>
        <v>0</v>
      </c>
      <c r="E134" s="365">
        <f>IFERROR(100/'Skjema total MA'!C134*C134,0)</f>
        <v>0</v>
      </c>
      <c r="F134" s="360"/>
      <c r="G134" s="361"/>
      <c r="H134" s="367">
        <f t="shared" si="20"/>
        <v>0</v>
      </c>
      <c r="I134" s="365">
        <f>IFERROR(100/'Skjema total MA'!F134*G134,0)</f>
        <v>0</v>
      </c>
      <c r="J134" s="366"/>
      <c r="K134" s="366"/>
      <c r="L134" s="367">
        <f t="shared" si="21"/>
        <v>0</v>
      </c>
      <c r="M134" s="365">
        <f>IFERROR(100/'Skjema total MA'!I134*K134,0)</f>
        <v>0</v>
      </c>
      <c r="N134" s="147"/>
    </row>
    <row r="135" spans="1:14" s="3" customFormat="1" ht="15.75" x14ac:dyDescent="0.2">
      <c r="A135" s="41" t="s">
        <v>326</v>
      </c>
      <c r="B135" s="362"/>
      <c r="C135" s="363"/>
      <c r="D135" s="369">
        <f t="shared" si="19"/>
        <v>0</v>
      </c>
      <c r="E135" s="379">
        <f>IFERROR(100/'Skjema total MA'!C135*C135,0)</f>
        <v>0</v>
      </c>
      <c r="F135" s="362"/>
      <c r="G135" s="363"/>
      <c r="H135" s="369">
        <f t="shared" si="20"/>
        <v>0</v>
      </c>
      <c r="I135" s="379">
        <f>IFERROR(100/'Skjema total MA'!F135*G135,0)</f>
        <v>0</v>
      </c>
      <c r="J135" s="370"/>
      <c r="K135" s="370"/>
      <c r="L135" s="369">
        <f t="shared" si="21"/>
        <v>0</v>
      </c>
      <c r="M135" s="369">
        <f>IFERROR(100/'Skjema total MA'!I135*K135,0)</f>
        <v>0</v>
      </c>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6">
    <mergeCell ref="B129:E129"/>
    <mergeCell ref="B4:D4"/>
    <mergeCell ref="B19:E19"/>
    <mergeCell ref="F19:I19"/>
    <mergeCell ref="B42:E42"/>
    <mergeCell ref="B61:D61"/>
  </mergeCells>
  <conditionalFormatting sqref="B48:C50">
    <cfRule type="expression" dxfId="1885" priority="132">
      <formula>kvartal &lt; 4</formula>
    </cfRule>
  </conditionalFormatting>
  <conditionalFormatting sqref="B29">
    <cfRule type="expression" dxfId="1884" priority="130">
      <formula>kvartal &lt; 4</formula>
    </cfRule>
  </conditionalFormatting>
  <conditionalFormatting sqref="B30">
    <cfRule type="expression" dxfId="1883" priority="129">
      <formula>kvartal &lt; 4</formula>
    </cfRule>
  </conditionalFormatting>
  <conditionalFormatting sqref="B31">
    <cfRule type="expression" dxfId="1882" priority="128">
      <formula>kvartal &lt; 4</formula>
    </cfRule>
  </conditionalFormatting>
  <conditionalFormatting sqref="C29">
    <cfRule type="expression" dxfId="1881" priority="127">
      <formula>kvartal &lt; 4</formula>
    </cfRule>
  </conditionalFormatting>
  <conditionalFormatting sqref="C30">
    <cfRule type="expression" dxfId="1880" priority="126">
      <formula>kvartal &lt; 4</formula>
    </cfRule>
  </conditionalFormatting>
  <conditionalFormatting sqref="C31">
    <cfRule type="expression" dxfId="1879" priority="125">
      <formula>kvartal &lt; 4</formula>
    </cfRule>
  </conditionalFormatting>
  <conditionalFormatting sqref="B23:C25">
    <cfRule type="expression" dxfId="1878" priority="124">
      <formula>kvartal &lt; 4</formula>
    </cfRule>
  </conditionalFormatting>
  <conditionalFormatting sqref="F23:G25">
    <cfRule type="expression" dxfId="1877" priority="120">
      <formula>kvartal &lt; 4</formula>
    </cfRule>
  </conditionalFormatting>
  <conditionalFormatting sqref="F29">
    <cfRule type="expression" dxfId="1876" priority="113">
      <formula>kvartal &lt; 4</formula>
    </cfRule>
  </conditionalFormatting>
  <conditionalFormatting sqref="F30">
    <cfRule type="expression" dxfId="1875" priority="112">
      <formula>kvartal &lt; 4</formula>
    </cfRule>
  </conditionalFormatting>
  <conditionalFormatting sqref="F31">
    <cfRule type="expression" dxfId="1874" priority="111">
      <formula>kvartal &lt; 4</formula>
    </cfRule>
  </conditionalFormatting>
  <conditionalFormatting sqref="G29">
    <cfRule type="expression" dxfId="1873" priority="110">
      <formula>kvartal &lt; 4</formula>
    </cfRule>
  </conditionalFormatting>
  <conditionalFormatting sqref="G30">
    <cfRule type="expression" dxfId="1872" priority="109">
      <formula>kvartal &lt; 4</formula>
    </cfRule>
  </conditionalFormatting>
  <conditionalFormatting sqref="G31">
    <cfRule type="expression" dxfId="1871" priority="108">
      <formula>kvartal &lt; 4</formula>
    </cfRule>
  </conditionalFormatting>
  <conditionalFormatting sqref="B26">
    <cfRule type="expression" dxfId="1870" priority="107">
      <formula>kvartal &lt; 4</formula>
    </cfRule>
  </conditionalFormatting>
  <conditionalFormatting sqref="C26">
    <cfRule type="expression" dxfId="1869" priority="106">
      <formula>kvartal &lt; 4</formula>
    </cfRule>
  </conditionalFormatting>
  <conditionalFormatting sqref="F26">
    <cfRule type="expression" dxfId="1868" priority="105">
      <formula>kvartal &lt; 4</formula>
    </cfRule>
  </conditionalFormatting>
  <conditionalFormatting sqref="G26">
    <cfRule type="expression" dxfId="1867" priority="104">
      <formula>kvartal &lt; 4</formula>
    </cfRule>
  </conditionalFormatting>
  <conditionalFormatting sqref="J23:K26">
    <cfRule type="expression" dxfId="1866" priority="103">
      <formula>kvartal &lt; 4</formula>
    </cfRule>
  </conditionalFormatting>
  <conditionalFormatting sqref="J29:K31">
    <cfRule type="expression" dxfId="1865" priority="101">
      <formula>kvartal &lt; 4</formula>
    </cfRule>
  </conditionalFormatting>
  <conditionalFormatting sqref="B67">
    <cfRule type="expression" dxfId="1864" priority="100">
      <formula>kvartal &lt; 4</formula>
    </cfRule>
  </conditionalFormatting>
  <conditionalFormatting sqref="C67">
    <cfRule type="expression" dxfId="1863" priority="99">
      <formula>kvartal &lt; 4</formula>
    </cfRule>
  </conditionalFormatting>
  <conditionalFormatting sqref="B70">
    <cfRule type="expression" dxfId="1862" priority="98">
      <formula>kvartal &lt; 4</formula>
    </cfRule>
  </conditionalFormatting>
  <conditionalFormatting sqref="C70">
    <cfRule type="expression" dxfId="1861" priority="97">
      <formula>kvartal &lt; 4</formula>
    </cfRule>
  </conditionalFormatting>
  <conditionalFormatting sqref="B78">
    <cfRule type="expression" dxfId="1860" priority="96">
      <formula>kvartal &lt; 4</formula>
    </cfRule>
  </conditionalFormatting>
  <conditionalFormatting sqref="C78">
    <cfRule type="expression" dxfId="1859" priority="95">
      <formula>kvartal &lt; 4</formula>
    </cfRule>
  </conditionalFormatting>
  <conditionalFormatting sqref="B81">
    <cfRule type="expression" dxfId="1858" priority="94">
      <formula>kvartal &lt; 4</formula>
    </cfRule>
  </conditionalFormatting>
  <conditionalFormatting sqref="C81">
    <cfRule type="expression" dxfId="1857" priority="93">
      <formula>kvartal &lt; 4</formula>
    </cfRule>
  </conditionalFormatting>
  <conditionalFormatting sqref="B88">
    <cfRule type="expression" dxfId="1856" priority="84">
      <formula>kvartal &lt; 4</formula>
    </cfRule>
  </conditionalFormatting>
  <conditionalFormatting sqref="C88">
    <cfRule type="expression" dxfId="1855" priority="83">
      <formula>kvartal &lt; 4</formula>
    </cfRule>
  </conditionalFormatting>
  <conditionalFormatting sqref="B91">
    <cfRule type="expression" dxfId="1854" priority="82">
      <formula>kvartal &lt; 4</formula>
    </cfRule>
  </conditionalFormatting>
  <conditionalFormatting sqref="C91">
    <cfRule type="expression" dxfId="1853" priority="81">
      <formula>kvartal &lt; 4</formula>
    </cfRule>
  </conditionalFormatting>
  <conditionalFormatting sqref="B99">
    <cfRule type="expression" dxfId="1852" priority="80">
      <formula>kvartal &lt; 4</formula>
    </cfRule>
  </conditionalFormatting>
  <conditionalFormatting sqref="C99">
    <cfRule type="expression" dxfId="1851" priority="79">
      <formula>kvartal &lt; 4</formula>
    </cfRule>
  </conditionalFormatting>
  <conditionalFormatting sqref="B102">
    <cfRule type="expression" dxfId="1850" priority="78">
      <formula>kvartal &lt; 4</formula>
    </cfRule>
  </conditionalFormatting>
  <conditionalFormatting sqref="C102">
    <cfRule type="expression" dxfId="1849" priority="77">
      <formula>kvartal &lt; 4</formula>
    </cfRule>
  </conditionalFormatting>
  <conditionalFormatting sqref="B113">
    <cfRule type="expression" dxfId="1848" priority="76">
      <formula>kvartal &lt; 4</formula>
    </cfRule>
  </conditionalFormatting>
  <conditionalFormatting sqref="C113">
    <cfRule type="expression" dxfId="1847" priority="75">
      <formula>kvartal &lt; 4</formula>
    </cfRule>
  </conditionalFormatting>
  <conditionalFormatting sqref="B121">
    <cfRule type="expression" dxfId="1846" priority="74">
      <formula>kvartal &lt; 4</formula>
    </cfRule>
  </conditionalFormatting>
  <conditionalFormatting sqref="C121">
    <cfRule type="expression" dxfId="1845" priority="73">
      <formula>kvartal &lt; 4</formula>
    </cfRule>
  </conditionalFormatting>
  <conditionalFormatting sqref="F68">
    <cfRule type="expression" dxfId="1844" priority="72">
      <formula>kvartal &lt; 4</formula>
    </cfRule>
  </conditionalFormatting>
  <conditionalFormatting sqref="G68">
    <cfRule type="expression" dxfId="1843" priority="71">
      <formula>kvartal &lt; 4</formula>
    </cfRule>
  </conditionalFormatting>
  <conditionalFormatting sqref="F69:G69">
    <cfRule type="expression" dxfId="1842" priority="70">
      <formula>kvartal &lt; 4</formula>
    </cfRule>
  </conditionalFormatting>
  <conditionalFormatting sqref="F71:G72">
    <cfRule type="expression" dxfId="1841" priority="69">
      <formula>kvartal &lt; 4</formula>
    </cfRule>
  </conditionalFormatting>
  <conditionalFormatting sqref="F79:G80">
    <cfRule type="expression" dxfId="1840" priority="68">
      <formula>kvartal &lt; 4</formula>
    </cfRule>
  </conditionalFormatting>
  <conditionalFormatting sqref="F82:G83">
    <cfRule type="expression" dxfId="1839" priority="67">
      <formula>kvartal &lt; 4</formula>
    </cfRule>
  </conditionalFormatting>
  <conditionalFormatting sqref="F89:G90">
    <cfRule type="expression" dxfId="1838" priority="62">
      <formula>kvartal &lt; 4</formula>
    </cfRule>
  </conditionalFormatting>
  <conditionalFormatting sqref="F92:G93">
    <cfRule type="expression" dxfId="1837" priority="61">
      <formula>kvartal &lt; 4</formula>
    </cfRule>
  </conditionalFormatting>
  <conditionalFormatting sqref="F100:G101">
    <cfRule type="expression" dxfId="1836" priority="60">
      <formula>kvartal &lt; 4</formula>
    </cfRule>
  </conditionalFormatting>
  <conditionalFormatting sqref="F103:G104">
    <cfRule type="expression" dxfId="1835" priority="59">
      <formula>kvartal &lt; 4</formula>
    </cfRule>
  </conditionalFormatting>
  <conditionalFormatting sqref="F113">
    <cfRule type="expression" dxfId="1834" priority="58">
      <formula>kvartal &lt; 4</formula>
    </cfRule>
  </conditionalFormatting>
  <conditionalFormatting sqref="G113">
    <cfRule type="expression" dxfId="1833" priority="57">
      <formula>kvartal &lt; 4</formula>
    </cfRule>
  </conditionalFormatting>
  <conditionalFormatting sqref="F121:G121">
    <cfRule type="expression" dxfId="1832" priority="56">
      <formula>kvartal &lt; 4</formula>
    </cfRule>
  </conditionalFormatting>
  <conditionalFormatting sqref="F67:G67">
    <cfRule type="expression" dxfId="1831" priority="55">
      <formula>kvartal &lt; 4</formula>
    </cfRule>
  </conditionalFormatting>
  <conditionalFormatting sqref="F70:G70">
    <cfRule type="expression" dxfId="1830" priority="54">
      <formula>kvartal &lt; 4</formula>
    </cfRule>
  </conditionalFormatting>
  <conditionalFormatting sqref="F78:G78">
    <cfRule type="expression" dxfId="1829" priority="53">
      <formula>kvartal &lt; 4</formula>
    </cfRule>
  </conditionalFormatting>
  <conditionalFormatting sqref="F81:G81">
    <cfRule type="expression" dxfId="1828" priority="52">
      <formula>kvartal &lt; 4</formula>
    </cfRule>
  </conditionalFormatting>
  <conditionalFormatting sqref="F88:G88">
    <cfRule type="expression" dxfId="1827" priority="46">
      <formula>kvartal &lt; 4</formula>
    </cfRule>
  </conditionalFormatting>
  <conditionalFormatting sqref="F91">
    <cfRule type="expression" dxfId="1826" priority="45">
      <formula>kvartal &lt; 4</formula>
    </cfRule>
  </conditionalFormatting>
  <conditionalFormatting sqref="G91">
    <cfRule type="expression" dxfId="1825" priority="44">
      <formula>kvartal &lt; 4</formula>
    </cfRule>
  </conditionalFormatting>
  <conditionalFormatting sqref="F99">
    <cfRule type="expression" dxfId="1824" priority="43">
      <formula>kvartal &lt; 4</formula>
    </cfRule>
  </conditionalFormatting>
  <conditionalFormatting sqref="G99">
    <cfRule type="expression" dxfId="1823" priority="42">
      <formula>kvartal &lt; 4</formula>
    </cfRule>
  </conditionalFormatting>
  <conditionalFormatting sqref="G102">
    <cfRule type="expression" dxfId="1822" priority="41">
      <formula>kvartal &lt; 4</formula>
    </cfRule>
  </conditionalFormatting>
  <conditionalFormatting sqref="F102">
    <cfRule type="expression" dxfId="1821" priority="40">
      <formula>kvartal &lt; 4</formula>
    </cfRule>
  </conditionalFormatting>
  <conditionalFormatting sqref="J67:K71">
    <cfRule type="expression" dxfId="1820" priority="39">
      <formula>kvartal &lt; 4</formula>
    </cfRule>
  </conditionalFormatting>
  <conditionalFormatting sqref="J72:K72">
    <cfRule type="expression" dxfId="1819" priority="38">
      <formula>kvartal &lt; 4</formula>
    </cfRule>
  </conditionalFormatting>
  <conditionalFormatting sqref="J78:K83">
    <cfRule type="expression" dxfId="1818" priority="37">
      <formula>kvartal &lt; 4</formula>
    </cfRule>
  </conditionalFormatting>
  <conditionalFormatting sqref="J88:K93">
    <cfRule type="expression" dxfId="1817" priority="34">
      <formula>kvartal &lt; 4</formula>
    </cfRule>
  </conditionalFormatting>
  <conditionalFormatting sqref="J99:K104">
    <cfRule type="expression" dxfId="1816" priority="33">
      <formula>kvartal &lt; 4</formula>
    </cfRule>
  </conditionalFormatting>
  <conditionalFormatting sqref="J113:K113">
    <cfRule type="expression" dxfId="1815" priority="32">
      <formula>kvartal &lt; 4</formula>
    </cfRule>
  </conditionalFormatting>
  <conditionalFormatting sqref="J121:K121">
    <cfRule type="expression" dxfId="1814" priority="31">
      <formula>kvartal &lt; 4</formula>
    </cfRule>
  </conditionalFormatting>
  <conditionalFormatting sqref="A23:A25">
    <cfRule type="expression" dxfId="1813" priority="15">
      <formula>kvartal &lt; 4</formula>
    </cfRule>
  </conditionalFormatting>
  <conditionalFormatting sqref="A29:A31">
    <cfRule type="expression" dxfId="1812" priority="13">
      <formula>kvartal &lt; 4</formula>
    </cfRule>
  </conditionalFormatting>
  <conditionalFormatting sqref="A48:A50">
    <cfRule type="expression" dxfId="1811" priority="12">
      <formula>kvartal &lt; 4</formula>
    </cfRule>
  </conditionalFormatting>
  <conditionalFormatting sqref="A67:A72">
    <cfRule type="expression" dxfId="1810" priority="10">
      <formula>kvartal &lt; 4</formula>
    </cfRule>
  </conditionalFormatting>
  <conditionalFormatting sqref="A78:A83">
    <cfRule type="expression" dxfId="1809" priority="9">
      <formula>kvartal &lt; 4</formula>
    </cfRule>
  </conditionalFormatting>
  <conditionalFormatting sqref="A88:A93">
    <cfRule type="expression" dxfId="1808" priority="6">
      <formula>kvartal &lt; 4</formula>
    </cfRule>
  </conditionalFormatting>
  <conditionalFormatting sqref="A99:A104">
    <cfRule type="expression" dxfId="1807" priority="5">
      <formula>kvartal &lt; 4</formula>
    </cfRule>
  </conditionalFormatting>
  <conditionalFormatting sqref="A113">
    <cfRule type="expression" dxfId="1806" priority="4">
      <formula>kvartal &lt; 4</formula>
    </cfRule>
  </conditionalFormatting>
  <conditionalFormatting sqref="A121">
    <cfRule type="expression" dxfId="1805" priority="3">
      <formula>kvartal &lt; 4</formula>
    </cfRule>
  </conditionalFormatting>
  <conditionalFormatting sqref="A26">
    <cfRule type="expression" dxfId="1804" priority="2">
      <formula>kvartal &lt; 4</formula>
    </cfRule>
  </conditionalFormatting>
  <pageMargins left="0.70866141732283472" right="0.70866141732283472" top="0.78740157480314965" bottom="0.78740157480314965" header="0.31496062992125984" footer="0.31496062992125984"/>
  <pageSetup paperSize="9" scale="55" orientation="portrait" r:id="rId1"/>
  <rowBreaks count="1" manualBreakCount="1">
    <brk id="5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N142"/>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2.75" x14ac:dyDescent="0.2"/>
  <cols>
    <col min="1" max="1" width="41.5703125" style="148" customWidth="1"/>
    <col min="2" max="2" width="10.85546875" style="148" customWidth="1"/>
    <col min="3" max="3" width="11" style="148" customWidth="1"/>
    <col min="4" max="5" width="8.7109375" style="148" customWidth="1"/>
    <col min="6" max="7" width="10.85546875" style="148" customWidth="1"/>
    <col min="8" max="9" width="8.7109375" style="148" customWidth="1"/>
    <col min="10" max="11" width="10.85546875" style="148" customWidth="1"/>
    <col min="12" max="13" width="8.7109375" style="148" customWidth="1"/>
    <col min="14" max="14" width="11.42578125" style="148"/>
    <col min="15" max="16384" width="11.42578125" style="1"/>
  </cols>
  <sheetData>
    <row r="1" spans="1:14" x14ac:dyDescent="0.2">
      <c r="A1" s="171" t="s">
        <v>152</v>
      </c>
      <c r="B1" s="434"/>
      <c r="C1" s="250" t="s">
        <v>94</v>
      </c>
      <c r="D1" s="26"/>
      <c r="E1" s="26"/>
      <c r="F1" s="26"/>
      <c r="G1" s="26"/>
      <c r="H1" s="26"/>
      <c r="I1" s="26"/>
      <c r="J1" s="26"/>
      <c r="K1" s="26"/>
      <c r="L1" s="26"/>
      <c r="M1" s="26"/>
    </row>
    <row r="2" spans="1:14" ht="15.75" x14ac:dyDescent="0.25">
      <c r="A2" s="164" t="s">
        <v>32</v>
      </c>
      <c r="B2" s="679"/>
      <c r="C2" s="679"/>
      <c r="D2" s="679"/>
      <c r="E2" s="383"/>
      <c r="F2" s="679"/>
      <c r="G2" s="679"/>
      <c r="H2" s="679"/>
      <c r="I2" s="383"/>
      <c r="J2" s="679"/>
      <c r="K2" s="679"/>
      <c r="L2" s="679"/>
      <c r="M2" s="383"/>
    </row>
    <row r="3" spans="1:14" ht="15.75" x14ac:dyDescent="0.25">
      <c r="A3" s="162"/>
      <c r="B3" s="383"/>
      <c r="C3" s="383"/>
      <c r="D3" s="383"/>
      <c r="E3" s="383"/>
      <c r="F3" s="383"/>
      <c r="G3" s="383"/>
      <c r="H3" s="383"/>
      <c r="I3" s="383"/>
      <c r="J3" s="383"/>
      <c r="K3" s="383"/>
      <c r="L3" s="383"/>
      <c r="M3" s="383"/>
    </row>
    <row r="4" spans="1:14" x14ac:dyDescent="0.2">
      <c r="A4" s="143"/>
      <c r="B4" s="676" t="s">
        <v>0</v>
      </c>
      <c r="C4" s="677"/>
      <c r="D4" s="677"/>
      <c r="E4" s="382"/>
      <c r="F4" s="676" t="s">
        <v>1</v>
      </c>
      <c r="G4" s="677"/>
      <c r="H4" s="677"/>
      <c r="I4" s="385"/>
      <c r="J4" s="676" t="s">
        <v>2</v>
      </c>
      <c r="K4" s="677"/>
      <c r="L4" s="677"/>
      <c r="M4" s="385"/>
    </row>
    <row r="5" spans="1:14" x14ac:dyDescent="0.2">
      <c r="A5" s="157"/>
      <c r="B5" s="151" t="s">
        <v>411</v>
      </c>
      <c r="C5" s="151" t="s">
        <v>412</v>
      </c>
      <c r="D5" s="246" t="s">
        <v>3</v>
      </c>
      <c r="E5" s="303" t="s">
        <v>33</v>
      </c>
      <c r="F5" s="151" t="s">
        <v>411</v>
      </c>
      <c r="G5" s="151" t="s">
        <v>412</v>
      </c>
      <c r="H5" s="246" t="s">
        <v>3</v>
      </c>
      <c r="I5" s="161" t="s">
        <v>33</v>
      </c>
      <c r="J5" s="151" t="s">
        <v>411</v>
      </c>
      <c r="K5" s="151" t="s">
        <v>412</v>
      </c>
      <c r="L5" s="246" t="s">
        <v>3</v>
      </c>
      <c r="M5" s="161" t="s">
        <v>33</v>
      </c>
    </row>
    <row r="6" spans="1:14" x14ac:dyDescent="0.2">
      <c r="A6" s="435"/>
      <c r="B6" s="155"/>
      <c r="C6" s="155"/>
      <c r="D6" s="248" t="s">
        <v>4</v>
      </c>
      <c r="E6" s="155" t="s">
        <v>34</v>
      </c>
      <c r="F6" s="160"/>
      <c r="G6" s="160"/>
      <c r="H6" s="246" t="s">
        <v>4</v>
      </c>
      <c r="I6" s="155" t="s">
        <v>34</v>
      </c>
      <c r="J6" s="160"/>
      <c r="K6" s="160"/>
      <c r="L6" s="246" t="s">
        <v>4</v>
      </c>
      <c r="M6" s="155" t="s">
        <v>34</v>
      </c>
    </row>
    <row r="7" spans="1:14" ht="15.75" x14ac:dyDescent="0.2">
      <c r="A7" s="14" t="s">
        <v>27</v>
      </c>
      <c r="B7" s="304">
        <v>129338.501</v>
      </c>
      <c r="C7" s="305">
        <v>131210.601</v>
      </c>
      <c r="D7" s="344">
        <f>IF(B7=0, "    ---- ", IF(ABS(ROUND(100/B7*C7-100,1))&lt;999,ROUND(100/B7*C7-100,1),IF(ROUND(100/B7*C7-100,1)&gt;999,999,-999)))</f>
        <v>1.4</v>
      </c>
      <c r="E7" s="11">
        <f>IFERROR(100/'Skjema total MA'!C7*C7,0)</f>
        <v>4.818713925904059</v>
      </c>
      <c r="F7" s="304">
        <v>240799.88399999999</v>
      </c>
      <c r="G7" s="305">
        <v>215239.948</v>
      </c>
      <c r="H7" s="344">
        <f>IF(F7=0, "    ---- ", IF(ABS(ROUND(100/F7*G7-100,1))&lt;999,ROUND(100/F7*G7-100,1),IF(ROUND(100/F7*G7-100,1)&gt;999,999,-999)))</f>
        <v>-10.6</v>
      </c>
      <c r="I7" s="159">
        <f>IFERROR(100/'Skjema total MA'!F7*G7,0)</f>
        <v>4.7385513889459645</v>
      </c>
      <c r="J7" s="306">
        <v>370138.38500000001</v>
      </c>
      <c r="K7" s="307">
        <v>346450.549</v>
      </c>
      <c r="L7" s="403">
        <f>IF(J7=0, "    ---- ", IF(ABS(ROUND(100/J7*K7-100,1))&lt;999,ROUND(100/J7*K7-100,1),IF(ROUND(100/J7*K7-100,1)&gt;999,999,-999)))</f>
        <v>-6.4</v>
      </c>
      <c r="M7" s="11">
        <f>IFERROR(100/'Skjema total MA'!I7*K7,0)</f>
        <v>4.7685954377513404</v>
      </c>
    </row>
    <row r="8" spans="1:14" ht="15.75" x14ac:dyDescent="0.2">
      <c r="A8" s="21" t="s">
        <v>29</v>
      </c>
      <c r="B8" s="286">
        <v>65369.701999999997</v>
      </c>
      <c r="C8" s="287">
        <v>66155.111999999994</v>
      </c>
      <c r="D8" s="165">
        <f t="shared" ref="D8:D10" si="0">IF(B8=0, "    ---- ", IF(ABS(ROUND(100/B8*C8-100,1))&lt;999,ROUND(100/B8*C8-100,1),IF(ROUND(100/B8*C8-100,1)&gt;999,999,-999)))</f>
        <v>1.2</v>
      </c>
      <c r="E8" s="27">
        <f>IFERROR(100/'Skjema total MA'!C8*C8,0)</f>
        <v>4.4028904895149186</v>
      </c>
      <c r="F8" s="423"/>
      <c r="G8" s="424"/>
      <c r="H8" s="165"/>
      <c r="I8" s="175"/>
      <c r="J8" s="234">
        <v>65369.701999999997</v>
      </c>
      <c r="K8" s="290">
        <v>66155.111999999994</v>
      </c>
      <c r="L8" s="259"/>
      <c r="M8" s="27">
        <f>IFERROR(100/'Skjema total MA'!I8*K8,0)</f>
        <v>4.4028904895149186</v>
      </c>
    </row>
    <row r="9" spans="1:14" ht="15.75" x14ac:dyDescent="0.2">
      <c r="A9" s="21" t="s">
        <v>28</v>
      </c>
      <c r="B9" s="286">
        <v>41969.252</v>
      </c>
      <c r="C9" s="287">
        <v>39685.660000000003</v>
      </c>
      <c r="D9" s="165">
        <f t="shared" si="0"/>
        <v>-5.4</v>
      </c>
      <c r="E9" s="27">
        <f>IFERROR(100/'Skjema total MA'!C9*C9,0)</f>
        <v>5.4818696660049406</v>
      </c>
      <c r="F9" s="423"/>
      <c r="G9" s="424"/>
      <c r="H9" s="165"/>
      <c r="I9" s="175"/>
      <c r="J9" s="234">
        <v>41969.252</v>
      </c>
      <c r="K9" s="290">
        <v>39685.660000000003</v>
      </c>
      <c r="L9" s="259"/>
      <c r="M9" s="27">
        <f>IFERROR(100/'Skjema total MA'!I9*K9,0)</f>
        <v>5.4818696660049406</v>
      </c>
    </row>
    <row r="10" spans="1:14" ht="15.75" x14ac:dyDescent="0.2">
      <c r="A10" s="13" t="s">
        <v>26</v>
      </c>
      <c r="B10" s="308">
        <v>346099.05</v>
      </c>
      <c r="C10" s="309">
        <v>333522.28200000001</v>
      </c>
      <c r="D10" s="170">
        <f t="shared" si="0"/>
        <v>-3.6</v>
      </c>
      <c r="E10" s="11">
        <f>IFERROR(100/'Skjema total MA'!C10*C10,0)</f>
        <v>1.4495034325585436</v>
      </c>
      <c r="F10" s="308">
        <v>1690944.727</v>
      </c>
      <c r="G10" s="309">
        <v>2293404.284</v>
      </c>
      <c r="H10" s="170">
        <f t="shared" ref="H10:H12" si="1">IF(F10=0, "    ---- ", IF(ABS(ROUND(100/F10*G10-100,1))&lt;999,ROUND(100/F10*G10-100,1),IF(ROUND(100/F10*G10-100,1)&gt;999,999,-999)))</f>
        <v>35.6</v>
      </c>
      <c r="I10" s="159">
        <f>IFERROR(100/'Skjema total MA'!F10*G10,0)</f>
        <v>6.0892915158020049</v>
      </c>
      <c r="J10" s="306">
        <v>2037043.777</v>
      </c>
      <c r="K10" s="307">
        <v>2626926.5660000001</v>
      </c>
      <c r="L10" s="404">
        <f t="shared" ref="L10:L12" si="2">IF(J10=0, "    ---- ", IF(ABS(ROUND(100/J10*K10-100,1))&lt;999,ROUND(100/J10*K10-100,1),IF(ROUND(100/J10*K10-100,1)&gt;999,999,-999)))</f>
        <v>29</v>
      </c>
      <c r="M10" s="11">
        <f>IFERROR(100/'Skjema total MA'!I10*K10,0)</f>
        <v>4.3296949170009551</v>
      </c>
    </row>
    <row r="11" spans="1:14" s="43" customFormat="1" ht="15.75" x14ac:dyDescent="0.2">
      <c r="A11" s="13" t="s">
        <v>25</v>
      </c>
      <c r="B11" s="308"/>
      <c r="C11" s="309"/>
      <c r="D11" s="170"/>
      <c r="E11" s="11"/>
      <c r="F11" s="308">
        <v>79298.061000000002</v>
      </c>
      <c r="G11" s="309">
        <v>51527.059000000001</v>
      </c>
      <c r="H11" s="170">
        <f t="shared" si="1"/>
        <v>-35</v>
      </c>
      <c r="I11" s="159">
        <f>IFERROR(100/'Skjema total MA'!F11*G11,0)</f>
        <v>32.016784117144248</v>
      </c>
      <c r="J11" s="306">
        <v>79298.061000000002</v>
      </c>
      <c r="K11" s="307">
        <v>51527.059000000001</v>
      </c>
      <c r="L11" s="404">
        <f t="shared" si="2"/>
        <v>-35</v>
      </c>
      <c r="M11" s="11">
        <f>IFERROR(100/'Skjema total MA'!I11*K11,0)</f>
        <v>29.946685060002981</v>
      </c>
      <c r="N11" s="142"/>
    </row>
    <row r="12" spans="1:14" s="43" customFormat="1" ht="15.75" x14ac:dyDescent="0.2">
      <c r="A12" s="41" t="s">
        <v>24</v>
      </c>
      <c r="B12" s="310"/>
      <c r="C12" s="311"/>
      <c r="D12" s="168"/>
      <c r="E12" s="36"/>
      <c r="F12" s="310">
        <v>18474.663</v>
      </c>
      <c r="G12" s="311">
        <v>13145.252</v>
      </c>
      <c r="H12" s="168">
        <f t="shared" si="1"/>
        <v>-28.8</v>
      </c>
      <c r="I12" s="168">
        <f>IFERROR(100/'Skjema total MA'!F12*G12,0)</f>
        <v>17.860049727585452</v>
      </c>
      <c r="J12" s="312">
        <v>18474.663</v>
      </c>
      <c r="K12" s="313">
        <v>13145.252</v>
      </c>
      <c r="L12" s="405">
        <f t="shared" si="2"/>
        <v>-28.8</v>
      </c>
      <c r="M12" s="36">
        <f>IFERROR(100/'Skjema total MA'!I12*K12,0)</f>
        <v>17.687979789170861</v>
      </c>
      <c r="N12" s="142"/>
    </row>
    <row r="13" spans="1:14" s="43" customFormat="1" x14ac:dyDescent="0.2">
      <c r="A13" s="167"/>
      <c r="B13" s="144"/>
      <c r="C13" s="33"/>
      <c r="D13" s="158"/>
      <c r="E13" s="158"/>
      <c r="F13" s="144"/>
      <c r="G13" s="33"/>
      <c r="H13" s="158"/>
      <c r="I13" s="158"/>
      <c r="J13" s="48"/>
      <c r="K13" s="48"/>
      <c r="L13" s="158"/>
      <c r="M13" s="158"/>
      <c r="N13" s="142"/>
    </row>
    <row r="14" spans="1:14" x14ac:dyDescent="0.2">
      <c r="A14" s="152" t="s">
        <v>296</v>
      </c>
      <c r="B14" s="26"/>
    </row>
    <row r="15" spans="1:14" x14ac:dyDescent="0.2">
      <c r="F15" s="145"/>
      <c r="G15" s="145"/>
      <c r="H15" s="145"/>
      <c r="I15" s="145"/>
      <c r="J15" s="145"/>
      <c r="K15" s="145"/>
      <c r="L15" s="145"/>
      <c r="M15" s="145"/>
    </row>
    <row r="16" spans="1:14" s="3" customFormat="1" ht="15.75" x14ac:dyDescent="0.25">
      <c r="A16" s="163"/>
      <c r="B16" s="147"/>
      <c r="C16" s="153"/>
      <c r="D16" s="153"/>
      <c r="E16" s="153"/>
      <c r="F16" s="153"/>
      <c r="G16" s="153"/>
      <c r="H16" s="153"/>
      <c r="I16" s="153"/>
      <c r="J16" s="153"/>
      <c r="K16" s="153"/>
      <c r="L16" s="153"/>
      <c r="M16" s="153"/>
      <c r="N16" s="147"/>
    </row>
    <row r="17" spans="1:14" ht="15.75" x14ac:dyDescent="0.25">
      <c r="A17" s="146" t="s">
        <v>293</v>
      </c>
      <c r="B17" s="156"/>
      <c r="C17" s="156"/>
      <c r="D17" s="150"/>
      <c r="E17" s="150"/>
      <c r="F17" s="156"/>
      <c r="G17" s="156"/>
      <c r="H17" s="156"/>
      <c r="I17" s="156"/>
      <c r="J17" s="156"/>
      <c r="K17" s="156"/>
      <c r="L17" s="156"/>
      <c r="M17" s="156"/>
    </row>
    <row r="18" spans="1:14" ht="15.75" x14ac:dyDescent="0.25">
      <c r="B18" s="680"/>
      <c r="C18" s="680"/>
      <c r="D18" s="680"/>
      <c r="E18" s="383"/>
      <c r="F18" s="680"/>
      <c r="G18" s="680"/>
      <c r="H18" s="680"/>
      <c r="I18" s="383"/>
      <c r="J18" s="680"/>
      <c r="K18" s="680"/>
      <c r="L18" s="680"/>
      <c r="M18" s="383"/>
    </row>
    <row r="19" spans="1:14" x14ac:dyDescent="0.2">
      <c r="A19" s="143"/>
      <c r="B19" s="676" t="s">
        <v>0</v>
      </c>
      <c r="C19" s="677"/>
      <c r="D19" s="677"/>
      <c r="E19" s="382"/>
      <c r="F19" s="676" t="s">
        <v>1</v>
      </c>
      <c r="G19" s="677"/>
      <c r="H19" s="677"/>
      <c r="I19" s="385"/>
      <c r="J19" s="676" t="s">
        <v>2</v>
      </c>
      <c r="K19" s="677"/>
      <c r="L19" s="677"/>
      <c r="M19" s="385"/>
    </row>
    <row r="20" spans="1:14" x14ac:dyDescent="0.2">
      <c r="A20" s="140" t="s">
        <v>5</v>
      </c>
      <c r="B20" s="243" t="s">
        <v>411</v>
      </c>
      <c r="C20" s="243" t="s">
        <v>412</v>
      </c>
      <c r="D20" s="161" t="s">
        <v>3</v>
      </c>
      <c r="E20" s="303" t="s">
        <v>33</v>
      </c>
      <c r="F20" s="243" t="s">
        <v>411</v>
      </c>
      <c r="G20" s="243" t="s">
        <v>412</v>
      </c>
      <c r="H20" s="161" t="s">
        <v>3</v>
      </c>
      <c r="I20" s="161" t="s">
        <v>33</v>
      </c>
      <c r="J20" s="243" t="s">
        <v>411</v>
      </c>
      <c r="K20" s="243" t="s">
        <v>412</v>
      </c>
      <c r="L20" s="161" t="s">
        <v>3</v>
      </c>
      <c r="M20" s="161" t="s">
        <v>33</v>
      </c>
    </row>
    <row r="21" spans="1:14" x14ac:dyDescent="0.2">
      <c r="A21" s="436"/>
      <c r="B21" s="155"/>
      <c r="C21" s="155"/>
      <c r="D21" s="248" t="s">
        <v>4</v>
      </c>
      <c r="E21" s="392" t="s">
        <v>34</v>
      </c>
      <c r="F21" s="160"/>
      <c r="G21" s="160"/>
      <c r="H21" s="246" t="s">
        <v>4</v>
      </c>
      <c r="I21" s="155" t="s">
        <v>34</v>
      </c>
      <c r="J21" s="160"/>
      <c r="K21" s="160"/>
      <c r="L21" s="155" t="s">
        <v>4</v>
      </c>
      <c r="M21" s="155" t="s">
        <v>34</v>
      </c>
    </row>
    <row r="22" spans="1:14" ht="15.75" x14ac:dyDescent="0.2">
      <c r="A22" s="14" t="s">
        <v>27</v>
      </c>
      <c r="B22" s="314">
        <v>9531</v>
      </c>
      <c r="C22" s="315">
        <v>8871.4040000000005</v>
      </c>
      <c r="D22" s="344">
        <f t="shared" ref="D22:D28" si="3">IF(B22=0, "    ---- ", IF(ABS(ROUND(100/B22*C22-100,1))&lt;999,ROUND(100/B22*C22-100,1),IF(ROUND(100/B22*C22-100,1)&gt;999,999,-999)))</f>
        <v>-6.9</v>
      </c>
      <c r="E22" s="11">
        <f>IFERROR(100/'Skjema total MA'!C22*C22,0)</f>
        <v>0.92516124373930364</v>
      </c>
      <c r="F22" s="316">
        <v>5080.21</v>
      </c>
      <c r="G22" s="315">
        <v>4645.7969999999996</v>
      </c>
      <c r="H22" s="344">
        <f t="shared" ref="H22:H33" si="4">IF(F22=0, "    ---- ", IF(ABS(ROUND(100/F22*G22-100,1))&lt;999,ROUND(100/F22*G22-100,1),IF(ROUND(100/F22*G22-100,1)&gt;999,999,-999)))</f>
        <v>-8.6</v>
      </c>
      <c r="I22" s="159">
        <f>IFERROR(100/'Skjema total MA'!F22*G22,0)</f>
        <v>2.3301755976132728</v>
      </c>
      <c r="J22" s="314">
        <v>14611.21</v>
      </c>
      <c r="K22" s="314">
        <v>13517.201000000001</v>
      </c>
      <c r="L22" s="403">
        <f t="shared" ref="L22:L33" si="5">IF(J22=0, "    ---- ", IF(ABS(ROUND(100/J22*K22-100,1))&lt;999,ROUND(100/J22*K22-100,1),IF(ROUND(100/J22*K22-100,1)&gt;999,999,-999)))</f>
        <v>-7.5</v>
      </c>
      <c r="M22" s="24">
        <f>IFERROR(100/'Skjema total MA'!I22*K22,0)</f>
        <v>1.1670073923956636</v>
      </c>
    </row>
    <row r="23" spans="1:14" ht="15.75" x14ac:dyDescent="0.2">
      <c r="A23" s="413" t="s">
        <v>305</v>
      </c>
      <c r="B23" s="423" t="s">
        <v>413</v>
      </c>
      <c r="C23" s="423" t="s">
        <v>413</v>
      </c>
      <c r="D23" s="165"/>
      <c r="E23" s="393"/>
      <c r="F23" s="423"/>
      <c r="G23" s="423"/>
      <c r="H23" s="165"/>
      <c r="I23" s="240"/>
      <c r="J23" s="423"/>
      <c r="K23" s="423"/>
      <c r="L23" s="165"/>
      <c r="M23" s="23"/>
    </row>
    <row r="24" spans="1:14" ht="15.75" x14ac:dyDescent="0.2">
      <c r="A24" s="413" t="s">
        <v>306</v>
      </c>
      <c r="B24" s="423" t="s">
        <v>413</v>
      </c>
      <c r="C24" s="423" t="s">
        <v>413</v>
      </c>
      <c r="D24" s="165"/>
      <c r="E24" s="393"/>
      <c r="F24" s="423"/>
      <c r="G24" s="423"/>
      <c r="H24" s="165"/>
      <c r="I24" s="240"/>
      <c r="J24" s="423"/>
      <c r="K24" s="423"/>
      <c r="L24" s="165"/>
      <c r="M24" s="23"/>
    </row>
    <row r="25" spans="1:14" ht="15.75" x14ac:dyDescent="0.2">
      <c r="A25" s="413" t="s">
        <v>307</v>
      </c>
      <c r="B25" s="423" t="s">
        <v>413</v>
      </c>
      <c r="C25" s="423" t="s">
        <v>413</v>
      </c>
      <c r="D25" s="165"/>
      <c r="E25" s="393"/>
      <c r="F25" s="423"/>
      <c r="G25" s="423"/>
      <c r="H25" s="165"/>
      <c r="I25" s="240"/>
      <c r="J25" s="423"/>
      <c r="K25" s="423"/>
      <c r="L25" s="165"/>
      <c r="M25" s="23"/>
    </row>
    <row r="26" spans="1:14" x14ac:dyDescent="0.2">
      <c r="A26" s="413" t="s">
        <v>11</v>
      </c>
      <c r="B26" s="423" t="s">
        <v>413</v>
      </c>
      <c r="C26" s="423" t="s">
        <v>413</v>
      </c>
      <c r="D26" s="165"/>
      <c r="E26" s="393"/>
      <c r="F26" s="423"/>
      <c r="G26" s="423"/>
      <c r="H26" s="165"/>
      <c r="I26" s="240"/>
      <c r="J26" s="423"/>
      <c r="K26" s="423"/>
      <c r="L26" s="165"/>
      <c r="M26" s="23"/>
    </row>
    <row r="27" spans="1:14" ht="15.75" x14ac:dyDescent="0.2">
      <c r="A27" s="49" t="s">
        <v>297</v>
      </c>
      <c r="B27" s="44"/>
      <c r="C27" s="290">
        <v>8871.4040000000005</v>
      </c>
      <c r="D27" s="165" t="str">
        <f t="shared" si="3"/>
        <v xml:space="preserve">    ---- </v>
      </c>
      <c r="E27" s="27">
        <f>IFERROR(100/'Skjema total MA'!C27*C27,0)</f>
        <v>0.8969487237560243</v>
      </c>
      <c r="F27" s="234"/>
      <c r="G27" s="290"/>
      <c r="H27" s="165"/>
      <c r="I27" s="175"/>
      <c r="J27" s="44"/>
      <c r="K27" s="44">
        <v>8871.4040000000005</v>
      </c>
      <c r="L27" s="259" t="str">
        <f t="shared" si="5"/>
        <v xml:space="preserve">    ---- </v>
      </c>
      <c r="M27" s="23">
        <f>IFERROR(100/'Skjema total MA'!I27*K27,0)</f>
        <v>0.8969487237560243</v>
      </c>
    </row>
    <row r="28" spans="1:14" s="3" customFormat="1" ht="15.75" x14ac:dyDescent="0.2">
      <c r="A28" s="13" t="s">
        <v>26</v>
      </c>
      <c r="B28" s="236">
        <v>56841</v>
      </c>
      <c r="C28" s="307">
        <v>63881.197</v>
      </c>
      <c r="D28" s="170">
        <f t="shared" si="3"/>
        <v>12.4</v>
      </c>
      <c r="E28" s="11">
        <f>IFERROR(100/'Skjema total MA'!C28*C28,0)</f>
        <v>0.12537590931062612</v>
      </c>
      <c r="F28" s="306">
        <v>2190559.645</v>
      </c>
      <c r="G28" s="307">
        <v>2252894.733</v>
      </c>
      <c r="H28" s="170">
        <f t="shared" si="4"/>
        <v>2.8</v>
      </c>
      <c r="I28" s="159">
        <f>IFERROR(100/'Skjema total MA'!F28*G28,0)</f>
        <v>11.473072514920375</v>
      </c>
      <c r="J28" s="236">
        <v>2247400.645</v>
      </c>
      <c r="K28" s="236">
        <v>2316775.9300000002</v>
      </c>
      <c r="L28" s="404">
        <f t="shared" si="5"/>
        <v>3.1</v>
      </c>
      <c r="M28" s="24">
        <f>IFERROR(100/'Skjema total MA'!I28*K28,0)</f>
        <v>3.2821055389732066</v>
      </c>
      <c r="N28" s="147"/>
    </row>
    <row r="29" spans="1:14" s="3" customFormat="1" ht="15.75" x14ac:dyDescent="0.2">
      <c r="A29" s="413" t="s">
        <v>305</v>
      </c>
      <c r="B29" s="423" t="s">
        <v>413</v>
      </c>
      <c r="C29" s="423" t="s">
        <v>413</v>
      </c>
      <c r="D29" s="165"/>
      <c r="E29" s="393"/>
      <c r="F29" s="423"/>
      <c r="G29" s="423"/>
      <c r="H29" s="165"/>
      <c r="I29" s="240"/>
      <c r="J29" s="423"/>
      <c r="K29" s="423"/>
      <c r="L29" s="165"/>
      <c r="M29" s="23"/>
      <c r="N29" s="147"/>
    </row>
    <row r="30" spans="1:14" s="3" customFormat="1" ht="15.75" x14ac:dyDescent="0.2">
      <c r="A30" s="413" t="s">
        <v>306</v>
      </c>
      <c r="B30" s="423" t="s">
        <v>413</v>
      </c>
      <c r="C30" s="423" t="s">
        <v>413</v>
      </c>
      <c r="D30" s="165"/>
      <c r="E30" s="393"/>
      <c r="F30" s="423"/>
      <c r="G30" s="423"/>
      <c r="H30" s="165"/>
      <c r="I30" s="240"/>
      <c r="J30" s="423"/>
      <c r="K30" s="423"/>
      <c r="L30" s="165"/>
      <c r="M30" s="23"/>
      <c r="N30" s="147"/>
    </row>
    <row r="31" spans="1:14" ht="15.75" x14ac:dyDescent="0.2">
      <c r="A31" s="413" t="s">
        <v>307</v>
      </c>
      <c r="B31" s="423" t="s">
        <v>413</v>
      </c>
      <c r="C31" s="423" t="s">
        <v>413</v>
      </c>
      <c r="D31" s="165"/>
      <c r="E31" s="393"/>
      <c r="F31" s="423"/>
      <c r="G31" s="423"/>
      <c r="H31" s="165"/>
      <c r="I31" s="240"/>
      <c r="J31" s="423"/>
      <c r="K31" s="423"/>
      <c r="L31" s="165"/>
      <c r="M31" s="23"/>
    </row>
    <row r="32" spans="1:14" ht="15.75" x14ac:dyDescent="0.2">
      <c r="A32" s="13" t="s">
        <v>25</v>
      </c>
      <c r="B32" s="236"/>
      <c r="C32" s="307"/>
      <c r="D32" s="170"/>
      <c r="E32" s="11"/>
      <c r="F32" s="306">
        <v>22966.1</v>
      </c>
      <c r="G32" s="307">
        <v>18180.780999999999</v>
      </c>
      <c r="H32" s="170">
        <f t="shared" si="4"/>
        <v>-20.8</v>
      </c>
      <c r="I32" s="159">
        <f>IFERROR(100/'Skjema total MA'!F32*G32,0)</f>
        <v>97.056008062037506</v>
      </c>
      <c r="J32" s="236">
        <v>22966.1</v>
      </c>
      <c r="K32" s="236">
        <v>18180.780999999999</v>
      </c>
      <c r="L32" s="404">
        <f t="shared" si="5"/>
        <v>-20.8</v>
      </c>
      <c r="M32" s="24">
        <f>IFERROR(100/'Skjema total MA'!I32*K32,0)</f>
        <v>43.070914659242483</v>
      </c>
    </row>
    <row r="33" spans="1:14" ht="15.75" x14ac:dyDescent="0.2">
      <c r="A33" s="13" t="s">
        <v>24</v>
      </c>
      <c r="B33" s="236"/>
      <c r="C33" s="307"/>
      <c r="D33" s="170"/>
      <c r="E33" s="11"/>
      <c r="F33" s="306">
        <v>4744.9769999999999</v>
      </c>
      <c r="G33" s="307">
        <v>13834.767</v>
      </c>
      <c r="H33" s="170">
        <f t="shared" si="4"/>
        <v>191.6</v>
      </c>
      <c r="I33" s="159">
        <f>IFERROR(100/'Skjema total MA'!F33*G33,0)</f>
        <v>21.126085553270709</v>
      </c>
      <c r="J33" s="236">
        <v>4744.9769999999999</v>
      </c>
      <c r="K33" s="236">
        <v>13834.767</v>
      </c>
      <c r="L33" s="404">
        <f t="shared" si="5"/>
        <v>191.6</v>
      </c>
      <c r="M33" s="24">
        <f>IFERROR(100/'Skjema total MA'!I33*K33,0)</f>
        <v>40.319972050348333</v>
      </c>
    </row>
    <row r="34" spans="1:14" ht="15.75" x14ac:dyDescent="0.2">
      <c r="A34" s="12" t="s">
        <v>308</v>
      </c>
      <c r="B34" s="236"/>
      <c r="C34" s="307"/>
      <c r="D34" s="170"/>
      <c r="E34" s="11"/>
      <c r="F34" s="425"/>
      <c r="G34" s="426"/>
      <c r="H34" s="170"/>
      <c r="I34" s="406"/>
      <c r="J34" s="236"/>
      <c r="K34" s="236"/>
      <c r="L34" s="404"/>
      <c r="M34" s="24"/>
    </row>
    <row r="35" spans="1:14" ht="15.75" x14ac:dyDescent="0.2">
      <c r="A35" s="12" t="s">
        <v>309</v>
      </c>
      <c r="B35" s="236"/>
      <c r="C35" s="307"/>
      <c r="D35" s="170"/>
      <c r="E35" s="11"/>
      <c r="F35" s="425"/>
      <c r="G35" s="427"/>
      <c r="H35" s="170"/>
      <c r="I35" s="406"/>
      <c r="J35" s="236"/>
      <c r="K35" s="236"/>
      <c r="L35" s="404"/>
      <c r="M35" s="24"/>
    </row>
    <row r="36" spans="1:14" ht="15.75" x14ac:dyDescent="0.2">
      <c r="A36" s="12" t="s">
        <v>310</v>
      </c>
      <c r="B36" s="236"/>
      <c r="C36" s="307"/>
      <c r="D36" s="170"/>
      <c r="E36" s="24"/>
      <c r="F36" s="425"/>
      <c r="G36" s="426"/>
      <c r="H36" s="170"/>
      <c r="I36" s="406"/>
      <c r="J36" s="236"/>
      <c r="K36" s="236"/>
      <c r="L36" s="404"/>
      <c r="M36" s="24"/>
    </row>
    <row r="37" spans="1:14" ht="15.75" x14ac:dyDescent="0.2">
      <c r="A37" s="18" t="s">
        <v>311</v>
      </c>
      <c r="B37" s="281"/>
      <c r="C37" s="313"/>
      <c r="D37" s="168"/>
      <c r="E37" s="36"/>
      <c r="F37" s="428"/>
      <c r="G37" s="429"/>
      <c r="H37" s="168"/>
      <c r="I37" s="168"/>
      <c r="J37" s="236"/>
      <c r="K37" s="236"/>
      <c r="L37" s="405"/>
      <c r="M37" s="36"/>
    </row>
    <row r="38" spans="1:14" ht="15.75" x14ac:dyDescent="0.25">
      <c r="A38" s="47"/>
      <c r="B38" s="258"/>
      <c r="C38" s="258"/>
      <c r="D38" s="681"/>
      <c r="E38" s="681"/>
      <c r="F38" s="681"/>
      <c r="G38" s="681"/>
      <c r="H38" s="681"/>
      <c r="I38" s="681"/>
      <c r="J38" s="681"/>
      <c r="K38" s="681"/>
      <c r="L38" s="681"/>
      <c r="M38" s="384"/>
    </row>
    <row r="39" spans="1:14" x14ac:dyDescent="0.2">
      <c r="A39" s="154"/>
    </row>
    <row r="40" spans="1:14" ht="15.75" x14ac:dyDescent="0.25">
      <c r="A40" s="146" t="s">
        <v>294</v>
      </c>
      <c r="B40" s="679"/>
      <c r="C40" s="679"/>
      <c r="D40" s="679"/>
      <c r="E40" s="383"/>
      <c r="F40" s="682"/>
      <c r="G40" s="682"/>
      <c r="H40" s="682"/>
      <c r="I40" s="384"/>
      <c r="J40" s="682"/>
      <c r="K40" s="682"/>
      <c r="L40" s="682"/>
      <c r="M40" s="384"/>
    </row>
    <row r="41" spans="1:14" ht="15.75" x14ac:dyDescent="0.25">
      <c r="A41" s="162"/>
      <c r="B41" s="380"/>
      <c r="C41" s="380"/>
      <c r="D41" s="380"/>
      <c r="E41" s="380"/>
      <c r="F41" s="384"/>
      <c r="G41" s="384"/>
      <c r="H41" s="384"/>
      <c r="I41" s="384"/>
      <c r="J41" s="384"/>
      <c r="K41" s="384"/>
      <c r="L41" s="384"/>
      <c r="M41" s="384"/>
    </row>
    <row r="42" spans="1:14" ht="15.75" x14ac:dyDescent="0.25">
      <c r="A42" s="249"/>
      <c r="B42" s="676" t="s">
        <v>0</v>
      </c>
      <c r="C42" s="677"/>
      <c r="D42" s="677"/>
      <c r="E42" s="244"/>
      <c r="F42" s="384"/>
      <c r="G42" s="384"/>
      <c r="H42" s="384"/>
      <c r="I42" s="384"/>
      <c r="J42" s="384"/>
      <c r="K42" s="384"/>
      <c r="L42" s="384"/>
      <c r="M42" s="384"/>
    </row>
    <row r="43" spans="1:14" s="3" customFormat="1" x14ac:dyDescent="0.2">
      <c r="A43" s="140"/>
      <c r="B43" s="172" t="s">
        <v>411</v>
      </c>
      <c r="C43" s="172" t="s">
        <v>412</v>
      </c>
      <c r="D43" s="161" t="s">
        <v>3</v>
      </c>
      <c r="E43" s="161" t="s">
        <v>33</v>
      </c>
      <c r="F43" s="174"/>
      <c r="G43" s="174"/>
      <c r="H43" s="173"/>
      <c r="I43" s="173"/>
      <c r="J43" s="174"/>
      <c r="K43" s="174"/>
      <c r="L43" s="173"/>
      <c r="M43" s="173"/>
      <c r="N43" s="147"/>
    </row>
    <row r="44" spans="1:14" s="3" customFormat="1" x14ac:dyDescent="0.2">
      <c r="A44" s="436"/>
      <c r="B44" s="245"/>
      <c r="C44" s="245"/>
      <c r="D44" s="246" t="s">
        <v>4</v>
      </c>
      <c r="E44" s="155" t="s">
        <v>34</v>
      </c>
      <c r="F44" s="173"/>
      <c r="G44" s="173"/>
      <c r="H44" s="173"/>
      <c r="I44" s="173"/>
      <c r="J44" s="173"/>
      <c r="K44" s="173"/>
      <c r="L44" s="173"/>
      <c r="M44" s="173"/>
      <c r="N44" s="147"/>
    </row>
    <row r="45" spans="1:14" s="3" customFormat="1" ht="15.75" x14ac:dyDescent="0.2">
      <c r="A45" s="14" t="s">
        <v>27</v>
      </c>
      <c r="B45" s="308">
        <v>5040.2820000000002</v>
      </c>
      <c r="C45" s="309">
        <v>4685.8540000000003</v>
      </c>
      <c r="D45" s="403">
        <f t="shared" ref="D45:D46" si="6">IF(B45=0, "    ---- ", IF(ABS(ROUND(100/B45*C45-100,1))&lt;999,ROUND(100/B45*C45-100,1),IF(ROUND(100/B45*C45-100,1)&gt;999,999,-999)))</f>
        <v>-7</v>
      </c>
      <c r="E45" s="11">
        <f>IFERROR(100/'Skjema total MA'!C45*C45,0)</f>
        <v>0.17089195418351427</v>
      </c>
      <c r="F45" s="144"/>
      <c r="G45" s="33"/>
      <c r="H45" s="158"/>
      <c r="I45" s="158"/>
      <c r="J45" s="37"/>
      <c r="K45" s="37"/>
      <c r="L45" s="158"/>
      <c r="M45" s="158"/>
      <c r="N45" s="147"/>
    </row>
    <row r="46" spans="1:14" s="3" customFormat="1" ht="15.75" x14ac:dyDescent="0.2">
      <c r="A46" s="38" t="s">
        <v>312</v>
      </c>
      <c r="B46" s="286">
        <v>5040.2820000000002</v>
      </c>
      <c r="C46" s="287">
        <v>4685.8540000000003</v>
      </c>
      <c r="D46" s="259">
        <f t="shared" si="6"/>
        <v>-7</v>
      </c>
      <c r="E46" s="27">
        <f>IFERROR(100/'Skjema total MA'!C46*C46,0)</f>
        <v>0.32193450016299335</v>
      </c>
      <c r="F46" s="144"/>
      <c r="G46" s="33"/>
      <c r="H46" s="144"/>
      <c r="I46" s="144"/>
      <c r="J46" s="33"/>
      <c r="K46" s="33"/>
      <c r="L46" s="158"/>
      <c r="M46" s="158"/>
      <c r="N46" s="147"/>
    </row>
    <row r="47" spans="1:14" s="3" customFormat="1" ht="15.75" x14ac:dyDescent="0.2">
      <c r="A47" s="38" t="s">
        <v>313</v>
      </c>
      <c r="B47" s="44"/>
      <c r="C47" s="290"/>
      <c r="D47" s="259"/>
      <c r="E47" s="27"/>
      <c r="F47" s="144"/>
      <c r="G47" s="33"/>
      <c r="H47" s="144"/>
      <c r="I47" s="144"/>
      <c r="J47" s="37"/>
      <c r="K47" s="37"/>
      <c r="L47" s="158"/>
      <c r="M47" s="158"/>
      <c r="N47" s="147"/>
    </row>
    <row r="48" spans="1:14" s="3" customFormat="1" x14ac:dyDescent="0.2">
      <c r="A48" s="413" t="s">
        <v>6</v>
      </c>
      <c r="B48" s="423" t="s">
        <v>413</v>
      </c>
      <c r="C48" s="424" t="s">
        <v>413</v>
      </c>
      <c r="D48" s="259"/>
      <c r="E48" s="23"/>
      <c r="F48" s="144"/>
      <c r="G48" s="33"/>
      <c r="H48" s="144"/>
      <c r="I48" s="144"/>
      <c r="J48" s="33"/>
      <c r="K48" s="33"/>
      <c r="L48" s="158"/>
      <c r="M48" s="158"/>
      <c r="N48" s="147"/>
    </row>
    <row r="49" spans="1:14" s="3" customFormat="1" x14ac:dyDescent="0.2">
      <c r="A49" s="413" t="s">
        <v>7</v>
      </c>
      <c r="B49" s="423" t="s">
        <v>413</v>
      </c>
      <c r="C49" s="424" t="s">
        <v>413</v>
      </c>
      <c r="D49" s="259"/>
      <c r="E49" s="23"/>
      <c r="F49" s="144"/>
      <c r="G49" s="33"/>
      <c r="H49" s="144"/>
      <c r="I49" s="144"/>
      <c r="J49" s="33"/>
      <c r="K49" s="33"/>
      <c r="L49" s="158"/>
      <c r="M49" s="158"/>
      <c r="N49" s="147"/>
    </row>
    <row r="50" spans="1:14" s="3" customFormat="1" x14ac:dyDescent="0.2">
      <c r="A50" s="413" t="s">
        <v>8</v>
      </c>
      <c r="B50" s="423" t="s">
        <v>413</v>
      </c>
      <c r="C50" s="424" t="s">
        <v>413</v>
      </c>
      <c r="D50" s="259"/>
      <c r="E50" s="23"/>
      <c r="F50" s="144"/>
      <c r="G50" s="33"/>
      <c r="H50" s="144"/>
      <c r="I50" s="144"/>
      <c r="J50" s="33"/>
      <c r="K50" s="33"/>
      <c r="L50" s="158"/>
      <c r="M50" s="158"/>
      <c r="N50" s="147"/>
    </row>
    <row r="51" spans="1:14" s="3" customFormat="1" ht="15.75" x14ac:dyDescent="0.2">
      <c r="A51" s="39" t="s">
        <v>314</v>
      </c>
      <c r="B51" s="308"/>
      <c r="C51" s="309"/>
      <c r="D51" s="404"/>
      <c r="E51" s="11"/>
      <c r="F51" s="144"/>
      <c r="G51" s="33"/>
      <c r="H51" s="144"/>
      <c r="I51" s="144"/>
      <c r="J51" s="33"/>
      <c r="K51" s="33"/>
      <c r="L51" s="158"/>
      <c r="M51" s="158"/>
      <c r="N51" s="147"/>
    </row>
    <row r="52" spans="1:14" s="3" customFormat="1" ht="15.75" x14ac:dyDescent="0.2">
      <c r="A52" s="38" t="s">
        <v>312</v>
      </c>
      <c r="B52" s="286"/>
      <c r="C52" s="287"/>
      <c r="D52" s="259"/>
      <c r="E52" s="27"/>
      <c r="F52" s="144"/>
      <c r="G52" s="33"/>
      <c r="H52" s="144"/>
      <c r="I52" s="144"/>
      <c r="J52" s="33"/>
      <c r="K52" s="33"/>
      <c r="L52" s="158"/>
      <c r="M52" s="158"/>
      <c r="N52" s="147"/>
    </row>
    <row r="53" spans="1:14" s="3" customFormat="1" ht="15.75" x14ac:dyDescent="0.2">
      <c r="A53" s="38" t="s">
        <v>313</v>
      </c>
      <c r="B53" s="286"/>
      <c r="C53" s="287"/>
      <c r="D53" s="259"/>
      <c r="E53" s="27"/>
      <c r="F53" s="144"/>
      <c r="G53" s="33"/>
      <c r="H53" s="144"/>
      <c r="I53" s="144"/>
      <c r="J53" s="33"/>
      <c r="K53" s="33"/>
      <c r="L53" s="158"/>
      <c r="M53" s="158"/>
      <c r="N53" s="147"/>
    </row>
    <row r="54" spans="1:14" s="3" customFormat="1" ht="15.75" x14ac:dyDescent="0.2">
      <c r="A54" s="39" t="s">
        <v>315</v>
      </c>
      <c r="B54" s="308"/>
      <c r="C54" s="309"/>
      <c r="D54" s="404"/>
      <c r="E54" s="11"/>
      <c r="F54" s="144"/>
      <c r="G54" s="33"/>
      <c r="H54" s="144"/>
      <c r="I54" s="144"/>
      <c r="J54" s="33"/>
      <c r="K54" s="33"/>
      <c r="L54" s="158"/>
      <c r="M54" s="158"/>
      <c r="N54" s="147"/>
    </row>
    <row r="55" spans="1:14" s="3" customFormat="1" ht="15.75" x14ac:dyDescent="0.2">
      <c r="A55" s="38" t="s">
        <v>312</v>
      </c>
      <c r="B55" s="286"/>
      <c r="C55" s="287"/>
      <c r="D55" s="259"/>
      <c r="E55" s="27"/>
      <c r="F55" s="144"/>
      <c r="G55" s="33"/>
      <c r="H55" s="144"/>
      <c r="I55" s="144"/>
      <c r="J55" s="33"/>
      <c r="K55" s="33"/>
      <c r="L55" s="158"/>
      <c r="M55" s="158"/>
      <c r="N55" s="147"/>
    </row>
    <row r="56" spans="1:14" s="3" customFormat="1" ht="15.75" x14ac:dyDescent="0.2">
      <c r="A56" s="46" t="s">
        <v>313</v>
      </c>
      <c r="B56" s="288"/>
      <c r="C56" s="289"/>
      <c r="D56" s="260"/>
      <c r="E56" s="22"/>
      <c r="F56" s="144"/>
      <c r="G56" s="33"/>
      <c r="H56" s="144"/>
      <c r="I56" s="144"/>
      <c r="J56" s="33"/>
      <c r="K56" s="33"/>
      <c r="L56" s="158"/>
      <c r="M56" s="158"/>
      <c r="N56" s="147"/>
    </row>
    <row r="57" spans="1:14" s="3" customFormat="1" ht="15.75" x14ac:dyDescent="0.25">
      <c r="A57" s="163"/>
      <c r="B57" s="153"/>
      <c r="C57" s="153"/>
      <c r="D57" s="153"/>
      <c r="E57" s="153"/>
      <c r="F57" s="141"/>
      <c r="G57" s="141"/>
      <c r="H57" s="141"/>
      <c r="I57" s="141"/>
      <c r="J57" s="141"/>
      <c r="K57" s="141"/>
      <c r="L57" s="141"/>
      <c r="M57" s="141"/>
      <c r="N57" s="147"/>
    </row>
    <row r="58" spans="1:14" x14ac:dyDescent="0.2">
      <c r="A58" s="154"/>
    </row>
    <row r="59" spans="1:14" ht="15.75" x14ac:dyDescent="0.25">
      <c r="A59" s="146" t="s">
        <v>295</v>
      </c>
      <c r="C59" s="26"/>
      <c r="D59" s="26"/>
      <c r="E59" s="26"/>
      <c r="F59" s="26"/>
      <c r="G59" s="26"/>
      <c r="H59" s="26"/>
      <c r="I59" s="26"/>
      <c r="J59" s="26"/>
      <c r="K59" s="26"/>
      <c r="L59" s="26"/>
      <c r="M59" s="26"/>
    </row>
    <row r="60" spans="1:14" ht="15.75" x14ac:dyDescent="0.25">
      <c r="B60" s="680"/>
      <c r="C60" s="680"/>
      <c r="D60" s="680"/>
      <c r="E60" s="383"/>
      <c r="F60" s="680"/>
      <c r="G60" s="680"/>
      <c r="H60" s="680"/>
      <c r="I60" s="383"/>
      <c r="J60" s="680"/>
      <c r="K60" s="680"/>
      <c r="L60" s="680"/>
      <c r="M60" s="383"/>
    </row>
    <row r="61" spans="1:14" x14ac:dyDescent="0.2">
      <c r="A61" s="143"/>
      <c r="B61" s="676" t="s">
        <v>0</v>
      </c>
      <c r="C61" s="677"/>
      <c r="D61" s="678"/>
      <c r="E61" s="381"/>
      <c r="F61" s="677" t="s">
        <v>1</v>
      </c>
      <c r="G61" s="677"/>
      <c r="H61" s="677"/>
      <c r="I61" s="385"/>
      <c r="J61" s="676" t="s">
        <v>2</v>
      </c>
      <c r="K61" s="677"/>
      <c r="L61" s="677"/>
      <c r="M61" s="385"/>
    </row>
    <row r="62" spans="1:14" x14ac:dyDescent="0.2">
      <c r="A62" s="140"/>
      <c r="B62" s="151" t="s">
        <v>411</v>
      </c>
      <c r="C62" s="151" t="s">
        <v>412</v>
      </c>
      <c r="D62" s="246" t="s">
        <v>3</v>
      </c>
      <c r="E62" s="303" t="s">
        <v>33</v>
      </c>
      <c r="F62" s="151" t="s">
        <v>411</v>
      </c>
      <c r="G62" s="151" t="s">
        <v>412</v>
      </c>
      <c r="H62" s="246" t="s">
        <v>3</v>
      </c>
      <c r="I62" s="303" t="s">
        <v>33</v>
      </c>
      <c r="J62" s="151" t="s">
        <v>411</v>
      </c>
      <c r="K62" s="151" t="s">
        <v>412</v>
      </c>
      <c r="L62" s="246" t="s">
        <v>3</v>
      </c>
      <c r="M62" s="161" t="s">
        <v>33</v>
      </c>
    </row>
    <row r="63" spans="1:14" x14ac:dyDescent="0.2">
      <c r="A63" s="436"/>
      <c r="B63" s="155"/>
      <c r="C63" s="155"/>
      <c r="D63" s="248" t="s">
        <v>4</v>
      </c>
      <c r="E63" s="155" t="s">
        <v>34</v>
      </c>
      <c r="F63" s="160"/>
      <c r="G63" s="160"/>
      <c r="H63" s="246" t="s">
        <v>4</v>
      </c>
      <c r="I63" s="155" t="s">
        <v>34</v>
      </c>
      <c r="J63" s="160"/>
      <c r="K63" s="206"/>
      <c r="L63" s="155" t="s">
        <v>4</v>
      </c>
      <c r="M63" s="155" t="s">
        <v>34</v>
      </c>
    </row>
    <row r="64" spans="1:14" ht="15.75" x14ac:dyDescent="0.2">
      <c r="A64" s="14" t="s">
        <v>27</v>
      </c>
      <c r="B64" s="347">
        <v>53638.946000000004</v>
      </c>
      <c r="C64" s="347">
        <v>50996.048999999999</v>
      </c>
      <c r="D64" s="344">
        <f t="shared" ref="D64:D118" si="7">IF(B64=0, "    ---- ", IF(ABS(ROUND(100/B64*C64-100,1))&lt;999,ROUND(100/B64*C64-100,1),IF(ROUND(100/B64*C64-100,1)&gt;999,999,-999)))</f>
        <v>-4.9000000000000004</v>
      </c>
      <c r="E64" s="11">
        <f>IFERROR(100/'Skjema total MA'!C64*C64,0)</f>
        <v>0.94942521651252554</v>
      </c>
      <c r="F64" s="346">
        <v>551269.13600000006</v>
      </c>
      <c r="G64" s="346">
        <v>652398.84400000004</v>
      </c>
      <c r="H64" s="344">
        <f t="shared" ref="H64:H123" si="8">IF(F64=0, "    ---- ", IF(ABS(ROUND(100/F64*G64-100,1))&lt;999,ROUND(100/F64*G64-100,1),IF(ROUND(100/F64*G64-100,1)&gt;999,999,-999)))</f>
        <v>18.3</v>
      </c>
      <c r="I64" s="11">
        <f>IFERROR(100/'Skjema total MA'!F64*G64,0)</f>
        <v>5.0248869950109993</v>
      </c>
      <c r="J64" s="307">
        <v>604908.08200000005</v>
      </c>
      <c r="K64" s="314">
        <v>703394.89300000004</v>
      </c>
      <c r="L64" s="404">
        <f t="shared" ref="L64:L123" si="9">IF(J64=0, "    ---- ", IF(ABS(ROUND(100/J64*K64-100,1))&lt;999,ROUND(100/J64*K64-100,1),IF(ROUND(100/J64*K64-100,1)&gt;999,999,-999)))</f>
        <v>16.3</v>
      </c>
      <c r="M64" s="11">
        <f>IFERROR(100/'Skjema total MA'!I64*K64,0)</f>
        <v>3.8322522258646519</v>
      </c>
    </row>
    <row r="65" spans="1:14" x14ac:dyDescent="0.2">
      <c r="A65" s="21" t="s">
        <v>9</v>
      </c>
      <c r="B65" s="44">
        <v>53638.946000000004</v>
      </c>
      <c r="C65" s="144">
        <v>50996.048999999999</v>
      </c>
      <c r="D65" s="165">
        <f t="shared" si="7"/>
        <v>-4.9000000000000004</v>
      </c>
      <c r="E65" s="27">
        <f>IFERROR(100/'Skjema total MA'!C65*C65,0)</f>
        <v>0.99373716621802921</v>
      </c>
      <c r="F65" s="234"/>
      <c r="G65" s="144"/>
      <c r="H65" s="165"/>
      <c r="I65" s="27"/>
      <c r="J65" s="290">
        <v>53638.946000000004</v>
      </c>
      <c r="K65" s="44">
        <v>50996.048999999999</v>
      </c>
      <c r="L65" s="259">
        <f t="shared" si="9"/>
        <v>-4.9000000000000004</v>
      </c>
      <c r="M65" s="27">
        <f>IFERROR(100/'Skjema total MA'!I65*K65,0)</f>
        <v>0.99373716621802921</v>
      </c>
    </row>
    <row r="66" spans="1:14" x14ac:dyDescent="0.2">
      <c r="A66" s="21" t="s">
        <v>10</v>
      </c>
      <c r="B66" s="292"/>
      <c r="C66" s="293"/>
      <c r="D66" s="165"/>
      <c r="E66" s="27"/>
      <c r="F66" s="292">
        <v>551269.13600000006</v>
      </c>
      <c r="G66" s="293">
        <v>652398.84400000004</v>
      </c>
      <c r="H66" s="165">
        <f t="shared" si="8"/>
        <v>18.3</v>
      </c>
      <c r="I66" s="27">
        <f>IFERROR(100/'Skjema total MA'!F66*G66,0)</f>
        <v>5.0754107910507775</v>
      </c>
      <c r="J66" s="290">
        <v>551269.13600000006</v>
      </c>
      <c r="K66" s="44">
        <v>652398.84400000004</v>
      </c>
      <c r="L66" s="259">
        <f t="shared" si="9"/>
        <v>18.3</v>
      </c>
      <c r="M66" s="27">
        <f>IFERROR(100/'Skjema total MA'!I66*K66,0)</f>
        <v>5.0294468217753163</v>
      </c>
    </row>
    <row r="67" spans="1:14" ht="15.75" x14ac:dyDescent="0.2">
      <c r="A67" s="413" t="s">
        <v>316</v>
      </c>
      <c r="B67" s="423" t="s">
        <v>413</v>
      </c>
      <c r="C67" s="423" t="s">
        <v>413</v>
      </c>
      <c r="D67" s="165"/>
      <c r="E67" s="393"/>
      <c r="F67" s="423"/>
      <c r="G67" s="423"/>
      <c r="H67" s="165"/>
      <c r="I67" s="393"/>
      <c r="J67" s="423"/>
      <c r="K67" s="423"/>
      <c r="L67" s="165"/>
      <c r="M67" s="23"/>
    </row>
    <row r="68" spans="1:14" x14ac:dyDescent="0.2">
      <c r="A68" s="413" t="s">
        <v>12</v>
      </c>
      <c r="B68" s="430"/>
      <c r="C68" s="431"/>
      <c r="D68" s="165"/>
      <c r="E68" s="393"/>
      <c r="F68" s="423"/>
      <c r="G68" s="423"/>
      <c r="H68" s="165"/>
      <c r="I68" s="393"/>
      <c r="J68" s="423"/>
      <c r="K68" s="423"/>
      <c r="L68" s="165"/>
      <c r="M68" s="23"/>
    </row>
    <row r="69" spans="1:14" x14ac:dyDescent="0.2">
      <c r="A69" s="413" t="s">
        <v>13</v>
      </c>
      <c r="B69" s="432"/>
      <c r="C69" s="433"/>
      <c r="D69" s="165"/>
      <c r="E69" s="393"/>
      <c r="F69" s="423"/>
      <c r="G69" s="423"/>
      <c r="H69" s="165"/>
      <c r="I69" s="393"/>
      <c r="J69" s="423"/>
      <c r="K69" s="423"/>
      <c r="L69" s="165"/>
      <c r="M69" s="23"/>
    </row>
    <row r="70" spans="1:14" ht="15.75" x14ac:dyDescent="0.2">
      <c r="A70" s="413" t="s">
        <v>317</v>
      </c>
      <c r="B70" s="423" t="s">
        <v>413</v>
      </c>
      <c r="C70" s="423" t="s">
        <v>413</v>
      </c>
      <c r="D70" s="165"/>
      <c r="E70" s="393"/>
      <c r="F70" s="423"/>
      <c r="G70" s="423"/>
      <c r="H70" s="165"/>
      <c r="I70" s="393"/>
      <c r="J70" s="423"/>
      <c r="K70" s="423"/>
      <c r="L70" s="165"/>
      <c r="M70" s="23"/>
    </row>
    <row r="71" spans="1:14" x14ac:dyDescent="0.2">
      <c r="A71" s="413" t="s">
        <v>12</v>
      </c>
      <c r="B71" s="432"/>
      <c r="C71" s="433"/>
      <c r="D71" s="165"/>
      <c r="E71" s="393"/>
      <c r="F71" s="423"/>
      <c r="G71" s="423"/>
      <c r="H71" s="165"/>
      <c r="I71" s="393"/>
      <c r="J71" s="423"/>
      <c r="K71" s="423"/>
      <c r="L71" s="165"/>
      <c r="M71" s="23"/>
    </row>
    <row r="72" spans="1:14" s="3" customFormat="1" x14ac:dyDescent="0.2">
      <c r="A72" s="413" t="s">
        <v>13</v>
      </c>
      <c r="B72" s="432"/>
      <c r="C72" s="433"/>
      <c r="D72" s="165"/>
      <c r="E72" s="393"/>
      <c r="F72" s="423"/>
      <c r="G72" s="423"/>
      <c r="H72" s="165"/>
      <c r="I72" s="393"/>
      <c r="J72" s="423"/>
      <c r="K72" s="423"/>
      <c r="L72" s="165"/>
      <c r="M72" s="23"/>
      <c r="N72" s="147"/>
    </row>
    <row r="73" spans="1:14" s="3" customFormat="1" x14ac:dyDescent="0.2">
      <c r="A73" s="21" t="s">
        <v>400</v>
      </c>
      <c r="B73" s="234"/>
      <c r="C73" s="144"/>
      <c r="D73" s="165"/>
      <c r="E73" s="27"/>
      <c r="F73" s="234"/>
      <c r="G73" s="144"/>
      <c r="H73" s="165"/>
      <c r="I73" s="27"/>
      <c r="J73" s="290"/>
      <c r="K73" s="44"/>
      <c r="L73" s="259"/>
      <c r="M73" s="27"/>
      <c r="N73" s="147"/>
    </row>
    <row r="74" spans="1:14" s="3" customFormat="1" x14ac:dyDescent="0.2">
      <c r="A74" s="21" t="s">
        <v>399</v>
      </c>
      <c r="B74" s="234"/>
      <c r="C74" s="144"/>
      <c r="D74" s="165"/>
      <c r="E74" s="27"/>
      <c r="F74" s="234"/>
      <c r="G74" s="144"/>
      <c r="H74" s="165"/>
      <c r="I74" s="27"/>
      <c r="J74" s="290"/>
      <c r="K74" s="44"/>
      <c r="L74" s="259"/>
      <c r="M74" s="27"/>
      <c r="N74" s="147"/>
    </row>
    <row r="75" spans="1:14" ht="15.75" x14ac:dyDescent="0.2">
      <c r="A75" s="21" t="s">
        <v>318</v>
      </c>
      <c r="B75" s="234">
        <v>53638.946000000004</v>
      </c>
      <c r="C75" s="234">
        <v>50996.048999999999</v>
      </c>
      <c r="D75" s="165">
        <f t="shared" si="7"/>
        <v>-4.9000000000000004</v>
      </c>
      <c r="E75" s="27">
        <f>IFERROR(100/'Skjema total MA'!C75*C75,0)</f>
        <v>0.99908677427582826</v>
      </c>
      <c r="F75" s="234">
        <v>551269.13600000006</v>
      </c>
      <c r="G75" s="144">
        <v>652398.84400000004</v>
      </c>
      <c r="H75" s="165">
        <f t="shared" si="8"/>
        <v>18.3</v>
      </c>
      <c r="I75" s="27">
        <f>IFERROR(100/'Skjema total MA'!F75*G75,0)</f>
        <v>5.0787266344321722</v>
      </c>
      <c r="J75" s="290">
        <v>604908.08200000005</v>
      </c>
      <c r="K75" s="44">
        <v>703394.89300000004</v>
      </c>
      <c r="L75" s="259">
        <f t="shared" si="9"/>
        <v>16.3</v>
      </c>
      <c r="M75" s="27">
        <f>IFERROR(100/'Skjema total MA'!I75*K75,0)</f>
        <v>3.9186381873031317</v>
      </c>
    </row>
    <row r="76" spans="1:14" x14ac:dyDescent="0.2">
      <c r="A76" s="21" t="s">
        <v>9</v>
      </c>
      <c r="B76" s="234">
        <v>53638.946000000004</v>
      </c>
      <c r="C76" s="144">
        <v>50996.048999999999</v>
      </c>
      <c r="D76" s="165">
        <f t="shared" si="7"/>
        <v>-4.9000000000000004</v>
      </c>
      <c r="E76" s="27">
        <f>IFERROR(100/'Skjema total MA'!C76*C76,0)</f>
        <v>1.0221671375600041</v>
      </c>
      <c r="F76" s="234"/>
      <c r="G76" s="144"/>
      <c r="H76" s="165"/>
      <c r="I76" s="27"/>
      <c r="J76" s="290">
        <v>53638.946000000004</v>
      </c>
      <c r="K76" s="44">
        <v>50996.048999999999</v>
      </c>
      <c r="L76" s="259">
        <f t="shared" si="9"/>
        <v>-4.9000000000000004</v>
      </c>
      <c r="M76" s="27">
        <f>IFERROR(100/'Skjema total MA'!I76*K76,0)</f>
        <v>1.0221671375600041</v>
      </c>
    </row>
    <row r="77" spans="1:14" x14ac:dyDescent="0.2">
      <c r="A77" s="21" t="s">
        <v>10</v>
      </c>
      <c r="B77" s="292"/>
      <c r="C77" s="293"/>
      <c r="D77" s="165"/>
      <c r="E77" s="27"/>
      <c r="F77" s="292">
        <v>551269.13600000006</v>
      </c>
      <c r="G77" s="293">
        <v>652398.84400000004</v>
      </c>
      <c r="H77" s="165">
        <f t="shared" si="8"/>
        <v>18.3</v>
      </c>
      <c r="I77" s="27">
        <f>IFERROR(100/'Skjema total MA'!F77*G77,0)</f>
        <v>5.0787266344321722</v>
      </c>
      <c r="J77" s="290">
        <v>551269.13600000006</v>
      </c>
      <c r="K77" s="44">
        <v>652398.84400000004</v>
      </c>
      <c r="L77" s="259">
        <f t="shared" si="9"/>
        <v>18.3</v>
      </c>
      <c r="M77" s="27">
        <f>IFERROR(100/'Skjema total MA'!I77*K77,0)</f>
        <v>5.0335648216535764</v>
      </c>
    </row>
    <row r="78" spans="1:14" ht="15.75" x14ac:dyDescent="0.2">
      <c r="A78" s="413" t="s">
        <v>316</v>
      </c>
      <c r="B78" s="423" t="s">
        <v>413</v>
      </c>
      <c r="C78" s="423" t="s">
        <v>413</v>
      </c>
      <c r="D78" s="165"/>
      <c r="E78" s="393"/>
      <c r="F78" s="423"/>
      <c r="G78" s="423"/>
      <c r="H78" s="165"/>
      <c r="I78" s="393"/>
      <c r="J78" s="423"/>
      <c r="K78" s="423"/>
      <c r="L78" s="165"/>
      <c r="M78" s="23"/>
    </row>
    <row r="79" spans="1:14" x14ac:dyDescent="0.2">
      <c r="A79" s="413" t="s">
        <v>12</v>
      </c>
      <c r="B79" s="432"/>
      <c r="C79" s="433"/>
      <c r="D79" s="165"/>
      <c r="E79" s="393"/>
      <c r="F79" s="423"/>
      <c r="G79" s="423"/>
      <c r="H79" s="165"/>
      <c r="I79" s="393"/>
      <c r="J79" s="423"/>
      <c r="K79" s="423"/>
      <c r="L79" s="165"/>
      <c r="M79" s="23"/>
    </row>
    <row r="80" spans="1:14" x14ac:dyDescent="0.2">
      <c r="A80" s="413" t="s">
        <v>13</v>
      </c>
      <c r="B80" s="432"/>
      <c r="C80" s="433"/>
      <c r="D80" s="165"/>
      <c r="E80" s="393"/>
      <c r="F80" s="423"/>
      <c r="G80" s="423"/>
      <c r="H80" s="165"/>
      <c r="I80" s="393"/>
      <c r="J80" s="423"/>
      <c r="K80" s="423"/>
      <c r="L80" s="165"/>
      <c r="M80" s="23"/>
    </row>
    <row r="81" spans="1:13" ht="15.75" x14ac:dyDescent="0.2">
      <c r="A81" s="413" t="s">
        <v>317</v>
      </c>
      <c r="B81" s="423" t="s">
        <v>413</v>
      </c>
      <c r="C81" s="423" t="s">
        <v>413</v>
      </c>
      <c r="D81" s="165"/>
      <c r="E81" s="393"/>
      <c r="F81" s="423"/>
      <c r="G81" s="423"/>
      <c r="H81" s="165"/>
      <c r="I81" s="393"/>
      <c r="J81" s="423"/>
      <c r="K81" s="423"/>
      <c r="L81" s="165"/>
      <c r="M81" s="23"/>
    </row>
    <row r="82" spans="1:13" x14ac:dyDescent="0.2">
      <c r="A82" s="413" t="s">
        <v>12</v>
      </c>
      <c r="B82" s="432"/>
      <c r="C82" s="433"/>
      <c r="D82" s="165"/>
      <c r="E82" s="393"/>
      <c r="F82" s="423"/>
      <c r="G82" s="423"/>
      <c r="H82" s="165"/>
      <c r="I82" s="393"/>
      <c r="J82" s="423"/>
      <c r="K82" s="423"/>
      <c r="L82" s="165"/>
      <c r="M82" s="23"/>
    </row>
    <row r="83" spans="1:13" x14ac:dyDescent="0.2">
      <c r="A83" s="413" t="s">
        <v>13</v>
      </c>
      <c r="B83" s="432"/>
      <c r="C83" s="433"/>
      <c r="D83" s="165"/>
      <c r="E83" s="393"/>
      <c r="F83" s="423"/>
      <c r="G83" s="423"/>
      <c r="H83" s="165"/>
      <c r="I83" s="393"/>
      <c r="J83" s="423"/>
      <c r="K83" s="423"/>
      <c r="L83" s="165"/>
      <c r="M83" s="23"/>
    </row>
    <row r="84" spans="1:13" ht="15.75" x14ac:dyDescent="0.2">
      <c r="A84" s="21" t="s">
        <v>327</v>
      </c>
      <c r="B84" s="234"/>
      <c r="C84" s="144"/>
      <c r="D84" s="165"/>
      <c r="E84" s="27"/>
      <c r="F84" s="234"/>
      <c r="G84" s="144"/>
      <c r="H84" s="165"/>
      <c r="I84" s="27"/>
      <c r="J84" s="290"/>
      <c r="K84" s="44"/>
      <c r="L84" s="259"/>
      <c r="M84" s="27"/>
    </row>
    <row r="85" spans="1:13" ht="15.75" x14ac:dyDescent="0.2">
      <c r="A85" s="13" t="s">
        <v>26</v>
      </c>
      <c r="B85" s="347">
        <v>507176.36499999999</v>
      </c>
      <c r="C85" s="347">
        <v>584324.73199999996</v>
      </c>
      <c r="D85" s="170">
        <f t="shared" si="7"/>
        <v>15.2</v>
      </c>
      <c r="E85" s="11">
        <f>IFERROR(100/'Skjema total MA'!C85*C85,0)</f>
        <v>0.1563159005112196</v>
      </c>
      <c r="F85" s="346">
        <v>8718026.8729999997</v>
      </c>
      <c r="G85" s="346">
        <v>10969942.057</v>
      </c>
      <c r="H85" s="170">
        <f t="shared" si="8"/>
        <v>25.8</v>
      </c>
      <c r="I85" s="11">
        <f>IFERROR(100/'Skjema total MA'!F85*G85,0)</f>
        <v>5.5156817343298039</v>
      </c>
      <c r="J85" s="307">
        <v>9225203.2379999999</v>
      </c>
      <c r="K85" s="236">
        <v>11554266.789000001</v>
      </c>
      <c r="L85" s="404">
        <f t="shared" si="9"/>
        <v>25.2</v>
      </c>
      <c r="M85" s="11">
        <f>IFERROR(100/'Skjema total MA'!I85*K85,0)</f>
        <v>2.0175197419570554</v>
      </c>
    </row>
    <row r="86" spans="1:13" x14ac:dyDescent="0.2">
      <c r="A86" s="21" t="s">
        <v>9</v>
      </c>
      <c r="B86" s="234">
        <v>507176.36499999999</v>
      </c>
      <c r="C86" s="144">
        <v>584324.73199999996</v>
      </c>
      <c r="D86" s="165">
        <f t="shared" si="7"/>
        <v>15.2</v>
      </c>
      <c r="E86" s="27">
        <f>IFERROR(100/'Skjema total MA'!C86*C86,0)</f>
        <v>0.15747087838365803</v>
      </c>
      <c r="F86" s="234"/>
      <c r="G86" s="144"/>
      <c r="H86" s="165"/>
      <c r="I86" s="27"/>
      <c r="J86" s="290">
        <v>507176.36499999999</v>
      </c>
      <c r="K86" s="44">
        <v>584324.73199999996</v>
      </c>
      <c r="L86" s="259">
        <f t="shared" si="9"/>
        <v>15.2</v>
      </c>
      <c r="M86" s="27">
        <f>IFERROR(100/'Skjema total MA'!I86*K86,0)</f>
        <v>0.15747087838365803</v>
      </c>
    </row>
    <row r="87" spans="1:13" x14ac:dyDescent="0.2">
      <c r="A87" s="21" t="s">
        <v>10</v>
      </c>
      <c r="B87" s="234"/>
      <c r="C87" s="144"/>
      <c r="D87" s="165"/>
      <c r="E87" s="27"/>
      <c r="F87" s="234">
        <v>8718026.8729999997</v>
      </c>
      <c r="G87" s="144">
        <v>10969942.057</v>
      </c>
      <c r="H87" s="165">
        <f t="shared" si="8"/>
        <v>25.8</v>
      </c>
      <c r="I87" s="27">
        <f>IFERROR(100/'Skjema total MA'!F87*G87,0)</f>
        <v>5.5256669062015789</v>
      </c>
      <c r="J87" s="290">
        <v>8718026.8729999997</v>
      </c>
      <c r="K87" s="44">
        <v>10969942.057</v>
      </c>
      <c r="L87" s="259">
        <f t="shared" si="9"/>
        <v>25.8</v>
      </c>
      <c r="M87" s="27">
        <f>IFERROR(100/'Skjema total MA'!I87*K87,0)</f>
        <v>5.456973390133748</v>
      </c>
    </row>
    <row r="88" spans="1:13" ht="15.75" x14ac:dyDescent="0.2">
      <c r="A88" s="413" t="s">
        <v>316</v>
      </c>
      <c r="B88" s="423" t="s">
        <v>413</v>
      </c>
      <c r="C88" s="423" t="s">
        <v>413</v>
      </c>
      <c r="D88" s="165"/>
      <c r="E88" s="393"/>
      <c r="F88" s="423"/>
      <c r="G88" s="423"/>
      <c r="H88" s="165"/>
      <c r="I88" s="393"/>
      <c r="J88" s="423"/>
      <c r="K88" s="423"/>
      <c r="L88" s="165"/>
      <c r="M88" s="23"/>
    </row>
    <row r="89" spans="1:13" x14ac:dyDescent="0.2">
      <c r="A89" s="413" t="s">
        <v>12</v>
      </c>
      <c r="B89" s="432"/>
      <c r="C89" s="433"/>
      <c r="D89" s="165"/>
      <c r="E89" s="393"/>
      <c r="F89" s="423"/>
      <c r="G89" s="423"/>
      <c r="H89" s="165"/>
      <c r="I89" s="393"/>
      <c r="J89" s="423"/>
      <c r="K89" s="423"/>
      <c r="L89" s="165"/>
      <c r="M89" s="23"/>
    </row>
    <row r="90" spans="1:13" x14ac:dyDescent="0.2">
      <c r="A90" s="413" t="s">
        <v>13</v>
      </c>
      <c r="B90" s="432"/>
      <c r="C90" s="433"/>
      <c r="D90" s="165"/>
      <c r="E90" s="393"/>
      <c r="F90" s="423"/>
      <c r="G90" s="423"/>
      <c r="H90" s="165"/>
      <c r="I90" s="393"/>
      <c r="J90" s="423"/>
      <c r="K90" s="423"/>
      <c r="L90" s="165"/>
      <c r="M90" s="23"/>
    </row>
    <row r="91" spans="1:13" ht="15.75" x14ac:dyDescent="0.2">
      <c r="A91" s="413" t="s">
        <v>317</v>
      </c>
      <c r="B91" s="423" t="s">
        <v>413</v>
      </c>
      <c r="C91" s="423" t="s">
        <v>413</v>
      </c>
      <c r="D91" s="165"/>
      <c r="E91" s="393"/>
      <c r="F91" s="423"/>
      <c r="G91" s="423"/>
      <c r="H91" s="165"/>
      <c r="I91" s="393"/>
      <c r="J91" s="423"/>
      <c r="K91" s="423"/>
      <c r="L91" s="165"/>
      <c r="M91" s="23"/>
    </row>
    <row r="92" spans="1:13" x14ac:dyDescent="0.2">
      <c r="A92" s="413" t="s">
        <v>12</v>
      </c>
      <c r="B92" s="432"/>
      <c r="C92" s="433"/>
      <c r="D92" s="165"/>
      <c r="E92" s="393"/>
      <c r="F92" s="423"/>
      <c r="G92" s="423"/>
      <c r="H92" s="165"/>
      <c r="I92" s="393"/>
      <c r="J92" s="423"/>
      <c r="K92" s="423"/>
      <c r="L92" s="165"/>
      <c r="M92" s="23"/>
    </row>
    <row r="93" spans="1:13" x14ac:dyDescent="0.2">
      <c r="A93" s="413" t="s">
        <v>13</v>
      </c>
      <c r="B93" s="432"/>
      <c r="C93" s="433"/>
      <c r="D93" s="165"/>
      <c r="E93" s="393"/>
      <c r="F93" s="423"/>
      <c r="G93" s="423"/>
      <c r="H93" s="165"/>
      <c r="I93" s="393"/>
      <c r="J93" s="423"/>
      <c r="K93" s="423"/>
      <c r="L93" s="165"/>
      <c r="M93" s="23"/>
    </row>
    <row r="94" spans="1:13" x14ac:dyDescent="0.2">
      <c r="A94" s="21" t="s">
        <v>398</v>
      </c>
      <c r="B94" s="234"/>
      <c r="C94" s="144"/>
      <c r="D94" s="165"/>
      <c r="E94" s="27"/>
      <c r="F94" s="234"/>
      <c r="G94" s="144"/>
      <c r="H94" s="165"/>
      <c r="I94" s="27"/>
      <c r="J94" s="290"/>
      <c r="K94" s="44"/>
      <c r="L94" s="259"/>
      <c r="M94" s="27"/>
    </row>
    <row r="95" spans="1:13" x14ac:dyDescent="0.2">
      <c r="A95" s="21" t="s">
        <v>397</v>
      </c>
      <c r="B95" s="234"/>
      <c r="C95" s="144"/>
      <c r="D95" s="165"/>
      <c r="E95" s="27"/>
      <c r="F95" s="234"/>
      <c r="G95" s="144"/>
      <c r="H95" s="165"/>
      <c r="I95" s="27"/>
      <c r="J95" s="290"/>
      <c r="K95" s="44"/>
      <c r="L95" s="259"/>
      <c r="M95" s="27"/>
    </row>
    <row r="96" spans="1:13" ht="15.75" x14ac:dyDescent="0.2">
      <c r="A96" s="21" t="s">
        <v>318</v>
      </c>
      <c r="B96" s="234">
        <v>507176.36499999999</v>
      </c>
      <c r="C96" s="234">
        <v>584324.73199999996</v>
      </c>
      <c r="D96" s="165">
        <f t="shared" si="7"/>
        <v>15.2</v>
      </c>
      <c r="E96" s="27">
        <f>IFERROR(100/'Skjema total MA'!C96*C96,0)</f>
        <v>0.15850023858168738</v>
      </c>
      <c r="F96" s="292">
        <v>8718026.8729999997</v>
      </c>
      <c r="G96" s="292">
        <v>10969942.057</v>
      </c>
      <c r="H96" s="165">
        <f t="shared" si="8"/>
        <v>25.8</v>
      </c>
      <c r="I96" s="27">
        <f>IFERROR(100/'Skjema total MA'!F96*G96,0)</f>
        <v>5.5405360837575612</v>
      </c>
      <c r="J96" s="290">
        <v>9225203.2379999999</v>
      </c>
      <c r="K96" s="44">
        <v>11554266.789000001</v>
      </c>
      <c r="L96" s="259">
        <f t="shared" si="9"/>
        <v>25.2</v>
      </c>
      <c r="M96" s="27">
        <f>IFERROR(100/'Skjema total MA'!I96*K96,0)</f>
        <v>2.0390380907243908</v>
      </c>
    </row>
    <row r="97" spans="1:13" x14ac:dyDescent="0.2">
      <c r="A97" s="21" t="s">
        <v>9</v>
      </c>
      <c r="B97" s="292">
        <v>507176.36499999999</v>
      </c>
      <c r="C97" s="293">
        <v>584324.73199999996</v>
      </c>
      <c r="D97" s="165">
        <f t="shared" si="7"/>
        <v>15.2</v>
      </c>
      <c r="E97" s="27">
        <f>IFERROR(100/'Skjema total MA'!C97*C97,0)</f>
        <v>0.15958202911567657</v>
      </c>
      <c r="F97" s="234"/>
      <c r="G97" s="144"/>
      <c r="H97" s="165"/>
      <c r="I97" s="27"/>
      <c r="J97" s="290">
        <v>507176.36499999999</v>
      </c>
      <c r="K97" s="44">
        <v>584324.73199999996</v>
      </c>
      <c r="L97" s="259">
        <f t="shared" si="9"/>
        <v>15.2</v>
      </c>
      <c r="M97" s="27">
        <f>IFERROR(100/'Skjema total MA'!I97*K97,0)</f>
        <v>0.15958202911567657</v>
      </c>
    </row>
    <row r="98" spans="1:13" x14ac:dyDescent="0.2">
      <c r="A98" s="21" t="s">
        <v>10</v>
      </c>
      <c r="B98" s="292"/>
      <c r="C98" s="293"/>
      <c r="D98" s="165"/>
      <c r="E98" s="27"/>
      <c r="F98" s="234">
        <v>8718026.8729999997</v>
      </c>
      <c r="G98" s="234">
        <v>10969942.057</v>
      </c>
      <c r="H98" s="165">
        <f t="shared" si="8"/>
        <v>25.8</v>
      </c>
      <c r="I98" s="27">
        <f>IFERROR(100/'Skjema total MA'!F98*G98,0)</f>
        <v>5.5405360837575612</v>
      </c>
      <c r="J98" s="290">
        <v>8718026.8729999997</v>
      </c>
      <c r="K98" s="44">
        <v>10969942.057</v>
      </c>
      <c r="L98" s="259">
        <f t="shared" si="9"/>
        <v>25.8</v>
      </c>
      <c r="M98" s="27">
        <f>IFERROR(100/'Skjema total MA'!I98*K98,0)</f>
        <v>5.4714746818199735</v>
      </c>
    </row>
    <row r="99" spans="1:13" ht="15.75" x14ac:dyDescent="0.2">
      <c r="A99" s="413" t="s">
        <v>316</v>
      </c>
      <c r="B99" s="423" t="s">
        <v>413</v>
      </c>
      <c r="C99" s="423" t="s">
        <v>413</v>
      </c>
      <c r="D99" s="165"/>
      <c r="E99" s="393"/>
      <c r="F99" s="423"/>
      <c r="G99" s="423"/>
      <c r="H99" s="165"/>
      <c r="I99" s="393"/>
      <c r="J99" s="423"/>
      <c r="K99" s="423"/>
      <c r="L99" s="165"/>
      <c r="M99" s="23"/>
    </row>
    <row r="100" spans="1:13" x14ac:dyDescent="0.2">
      <c r="A100" s="413" t="s">
        <v>12</v>
      </c>
      <c r="B100" s="432"/>
      <c r="C100" s="433"/>
      <c r="D100" s="165"/>
      <c r="E100" s="393"/>
      <c r="F100" s="423"/>
      <c r="G100" s="423"/>
      <c r="H100" s="165"/>
      <c r="I100" s="393"/>
      <c r="J100" s="423"/>
      <c r="K100" s="423"/>
      <c r="L100" s="165"/>
      <c r="M100" s="23"/>
    </row>
    <row r="101" spans="1:13" x14ac:dyDescent="0.2">
      <c r="A101" s="413" t="s">
        <v>13</v>
      </c>
      <c r="B101" s="432"/>
      <c r="C101" s="433"/>
      <c r="D101" s="165"/>
      <c r="E101" s="393"/>
      <c r="F101" s="423"/>
      <c r="G101" s="423"/>
      <c r="H101" s="165"/>
      <c r="I101" s="393"/>
      <c r="J101" s="423"/>
      <c r="K101" s="423"/>
      <c r="L101" s="165"/>
      <c r="M101" s="23"/>
    </row>
    <row r="102" spans="1:13" ht="15.75" x14ac:dyDescent="0.2">
      <c r="A102" s="413" t="s">
        <v>317</v>
      </c>
      <c r="B102" s="423" t="s">
        <v>413</v>
      </c>
      <c r="C102" s="423" t="s">
        <v>413</v>
      </c>
      <c r="D102" s="165"/>
      <c r="E102" s="393"/>
      <c r="F102" s="423"/>
      <c r="G102" s="423"/>
      <c r="H102" s="165"/>
      <c r="I102" s="393"/>
      <c r="J102" s="423"/>
      <c r="K102" s="423"/>
      <c r="L102" s="165"/>
      <c r="M102" s="23"/>
    </row>
    <row r="103" spans="1:13" x14ac:dyDescent="0.2">
      <c r="A103" s="413" t="s">
        <v>12</v>
      </c>
      <c r="B103" s="432"/>
      <c r="C103" s="433"/>
      <c r="D103" s="165"/>
      <c r="E103" s="393"/>
      <c r="F103" s="423"/>
      <c r="G103" s="423"/>
      <c r="H103" s="165"/>
      <c r="I103" s="393"/>
      <c r="J103" s="423"/>
      <c r="K103" s="423"/>
      <c r="L103" s="165"/>
      <c r="M103" s="23"/>
    </row>
    <row r="104" spans="1:13" x14ac:dyDescent="0.2">
      <c r="A104" s="413" t="s">
        <v>13</v>
      </c>
      <c r="B104" s="432"/>
      <c r="C104" s="433"/>
      <c r="D104" s="165"/>
      <c r="E104" s="393"/>
      <c r="F104" s="423"/>
      <c r="G104" s="423"/>
      <c r="H104" s="165"/>
      <c r="I104" s="393"/>
      <c r="J104" s="423"/>
      <c r="K104" s="423"/>
      <c r="L104" s="165"/>
      <c r="M104" s="23"/>
    </row>
    <row r="105" spans="1:13" ht="15.75" x14ac:dyDescent="0.2">
      <c r="A105" s="21" t="s">
        <v>327</v>
      </c>
      <c r="B105" s="234"/>
      <c r="C105" s="144"/>
      <c r="D105" s="165"/>
      <c r="E105" s="27"/>
      <c r="F105" s="234"/>
      <c r="G105" s="144"/>
      <c r="H105" s="165"/>
      <c r="I105" s="27"/>
      <c r="J105" s="290"/>
      <c r="K105" s="44"/>
      <c r="L105" s="259"/>
      <c r="M105" s="27"/>
    </row>
    <row r="106" spans="1:13" ht="15.75" x14ac:dyDescent="0.2">
      <c r="A106" s="21" t="s">
        <v>328</v>
      </c>
      <c r="B106" s="234">
        <v>22822.966</v>
      </c>
      <c r="C106" s="234">
        <v>27740.724999999999</v>
      </c>
      <c r="D106" s="165">
        <f t="shared" si="7"/>
        <v>21.5</v>
      </c>
      <c r="E106" s="27">
        <f>IFERROR(100/'Skjema total MA'!C106*C106,0)</f>
        <v>9.4797490983720457E-3</v>
      </c>
      <c r="F106" s="234">
        <v>119570.284</v>
      </c>
      <c r="G106" s="234">
        <v>167967.61499999999</v>
      </c>
      <c r="H106" s="165">
        <f t="shared" si="8"/>
        <v>40.5</v>
      </c>
      <c r="I106" s="27">
        <f>IFERROR(100/'Skjema total MA'!F106*G106,0)</f>
        <v>2.5790636084521301</v>
      </c>
      <c r="J106" s="290">
        <v>142393.25</v>
      </c>
      <c r="K106" s="44">
        <v>195708.34</v>
      </c>
      <c r="L106" s="259">
        <f t="shared" si="9"/>
        <v>37.4</v>
      </c>
      <c r="M106" s="27">
        <f>IFERROR(100/'Skjema total MA'!I106*K106,0)</f>
        <v>6.5422750754185993E-2</v>
      </c>
    </row>
    <row r="107" spans="1:13" ht="15.75" x14ac:dyDescent="0.2">
      <c r="A107" s="21" t="s">
        <v>320</v>
      </c>
      <c r="B107" s="234"/>
      <c r="C107" s="234"/>
      <c r="D107" s="165"/>
      <c r="E107" s="27"/>
      <c r="F107" s="234">
        <v>3055556.0669999998</v>
      </c>
      <c r="G107" s="234">
        <v>3819931.0449999999</v>
      </c>
      <c r="H107" s="165">
        <f t="shared" si="8"/>
        <v>25</v>
      </c>
      <c r="I107" s="27">
        <f>IFERROR(100/'Skjema total MA'!F107*G107,0)</f>
        <v>6.0384778506065464</v>
      </c>
      <c r="J107" s="290">
        <v>3055556.0669999998</v>
      </c>
      <c r="K107" s="44">
        <v>3819931.0449999999</v>
      </c>
      <c r="L107" s="259">
        <f t="shared" si="9"/>
        <v>25</v>
      </c>
      <c r="M107" s="27">
        <f>IFERROR(100/'Skjema total MA'!I107*K107,0)</f>
        <v>5.9663951399701221</v>
      </c>
    </row>
    <row r="108" spans="1:13" ht="15.75" x14ac:dyDescent="0.2">
      <c r="A108" s="21" t="s">
        <v>321</v>
      </c>
      <c r="B108" s="234"/>
      <c r="C108" s="234"/>
      <c r="D108" s="165"/>
      <c r="E108" s="27"/>
      <c r="F108" s="234"/>
      <c r="G108" s="234"/>
      <c r="H108" s="165"/>
      <c r="I108" s="27"/>
      <c r="J108" s="290"/>
      <c r="K108" s="44"/>
      <c r="L108" s="259"/>
      <c r="M108" s="27"/>
    </row>
    <row r="109" spans="1:13" ht="15.75" x14ac:dyDescent="0.2">
      <c r="A109" s="13" t="s">
        <v>25</v>
      </c>
      <c r="B109" s="306">
        <v>12276.540999999999</v>
      </c>
      <c r="C109" s="158">
        <v>11483.305</v>
      </c>
      <c r="D109" s="170">
        <f t="shared" si="7"/>
        <v>-6.5</v>
      </c>
      <c r="E109" s="11">
        <f>IFERROR(100/'Skjema total MA'!C109*C109,0)</f>
        <v>3.2980917710950037</v>
      </c>
      <c r="F109" s="306">
        <v>274648.76400000002</v>
      </c>
      <c r="G109" s="158">
        <v>436436.43300000002</v>
      </c>
      <c r="H109" s="170">
        <f t="shared" si="8"/>
        <v>58.9</v>
      </c>
      <c r="I109" s="11">
        <f>IFERROR(100/'Skjema total MA'!F109*G109,0)</f>
        <v>6.7448282682274581</v>
      </c>
      <c r="J109" s="307">
        <v>286925.30500000005</v>
      </c>
      <c r="K109" s="236">
        <v>447919.73800000001</v>
      </c>
      <c r="L109" s="404">
        <f t="shared" si="9"/>
        <v>56.1</v>
      </c>
      <c r="M109" s="11">
        <f>IFERROR(100/'Skjema total MA'!I109*K109,0)</f>
        <v>6.5688332858460088</v>
      </c>
    </row>
    <row r="110" spans="1:13" x14ac:dyDescent="0.2">
      <c r="A110" s="21" t="s">
        <v>9</v>
      </c>
      <c r="B110" s="234">
        <v>12276.540999999999</v>
      </c>
      <c r="C110" s="144">
        <v>11483.305</v>
      </c>
      <c r="D110" s="165">
        <f t="shared" si="7"/>
        <v>-6.5</v>
      </c>
      <c r="E110" s="27">
        <f>IFERROR(100/'Skjema total MA'!C110*C110,0)</f>
        <v>3.5229595186821698</v>
      </c>
      <c r="F110" s="234"/>
      <c r="G110" s="144"/>
      <c r="H110" s="165"/>
      <c r="I110" s="27"/>
      <c r="J110" s="290">
        <v>12276.540999999999</v>
      </c>
      <c r="K110" s="44">
        <v>11483.305</v>
      </c>
      <c r="L110" s="259">
        <f t="shared" si="9"/>
        <v>-6.5</v>
      </c>
      <c r="M110" s="27">
        <f>IFERROR(100/'Skjema total MA'!I110*K110,0)</f>
        <v>3.5229595186821698</v>
      </c>
    </row>
    <row r="111" spans="1:13" x14ac:dyDescent="0.2">
      <c r="A111" s="21" t="s">
        <v>10</v>
      </c>
      <c r="B111" s="234"/>
      <c r="C111" s="144"/>
      <c r="D111" s="165"/>
      <c r="E111" s="27"/>
      <c r="F111" s="234">
        <v>274648.76400000002</v>
      </c>
      <c r="G111" s="144">
        <v>436436.43300000002</v>
      </c>
      <c r="H111" s="165">
        <f t="shared" si="8"/>
        <v>58.9</v>
      </c>
      <c r="I111" s="27">
        <f>IFERROR(100/'Skjema total MA'!F111*G111,0)</f>
        <v>6.7448282682274581</v>
      </c>
      <c r="J111" s="290">
        <v>274648.76400000002</v>
      </c>
      <c r="K111" s="44">
        <v>436436.43300000002</v>
      </c>
      <c r="L111" s="259">
        <f t="shared" si="9"/>
        <v>58.9</v>
      </c>
      <c r="M111" s="27">
        <f>IFERROR(100/'Skjema total MA'!I111*K111,0)</f>
        <v>6.7421929074100948</v>
      </c>
    </row>
    <row r="112" spans="1:13" x14ac:dyDescent="0.2">
      <c r="A112" s="21" t="s">
        <v>30</v>
      </c>
      <c r="B112" s="234"/>
      <c r="C112" s="144"/>
      <c r="D112" s="165"/>
      <c r="E112" s="27"/>
      <c r="F112" s="234"/>
      <c r="G112" s="144"/>
      <c r="H112" s="165"/>
      <c r="I112" s="27"/>
      <c r="J112" s="290"/>
      <c r="K112" s="44"/>
      <c r="L112" s="259"/>
      <c r="M112" s="27"/>
    </row>
    <row r="113" spans="1:14" x14ac:dyDescent="0.2">
      <c r="A113" s="413" t="s">
        <v>15</v>
      </c>
      <c r="B113" s="423" t="s">
        <v>413</v>
      </c>
      <c r="C113" s="423" t="s">
        <v>413</v>
      </c>
      <c r="D113" s="165"/>
      <c r="E113" s="393"/>
      <c r="F113" s="423"/>
      <c r="G113" s="423"/>
      <c r="H113" s="165"/>
      <c r="I113" s="393"/>
      <c r="J113" s="423"/>
      <c r="K113" s="423"/>
      <c r="L113" s="165"/>
      <c r="M113" s="23"/>
    </row>
    <row r="114" spans="1:14" ht="15.75" x14ac:dyDescent="0.2">
      <c r="A114" s="21" t="s">
        <v>329</v>
      </c>
      <c r="B114" s="234">
        <v>8747.2250000000004</v>
      </c>
      <c r="C114" s="234">
        <v>2428.154</v>
      </c>
      <c r="D114" s="165">
        <f t="shared" si="7"/>
        <v>-72.2</v>
      </c>
      <c r="E114" s="27">
        <f>IFERROR(100/'Skjema total MA'!C114*C114,0)</f>
        <v>7.9088289871118125</v>
      </c>
      <c r="F114" s="234">
        <v>45832.06</v>
      </c>
      <c r="G114" s="234">
        <v>12157.834999999999</v>
      </c>
      <c r="H114" s="165">
        <f t="shared" si="8"/>
        <v>-73.5</v>
      </c>
      <c r="I114" s="27">
        <f>IFERROR(100/'Skjema total MA'!F114*G114,0)</f>
        <v>100</v>
      </c>
      <c r="J114" s="290">
        <v>54579.284999999996</v>
      </c>
      <c r="K114" s="44">
        <v>14585.989</v>
      </c>
      <c r="L114" s="259">
        <f t="shared" si="9"/>
        <v>-73.3</v>
      </c>
      <c r="M114" s="27">
        <f>IFERROR(100/'Skjema total MA'!I114*K114,0)</f>
        <v>34.031983906959368</v>
      </c>
    </row>
    <row r="115" spans="1:14" ht="15.75" x14ac:dyDescent="0.2">
      <c r="A115" s="21" t="s">
        <v>322</v>
      </c>
      <c r="B115" s="234"/>
      <c r="C115" s="234"/>
      <c r="D115" s="165"/>
      <c r="E115" s="27"/>
      <c r="F115" s="234">
        <v>45968.3</v>
      </c>
      <c r="G115" s="234">
        <v>58665.031000000003</v>
      </c>
      <c r="H115" s="165">
        <f t="shared" si="8"/>
        <v>27.6</v>
      </c>
      <c r="I115" s="27">
        <f>IFERROR(100/'Skjema total MA'!F115*G115,0)</f>
        <v>5.3087618591351253</v>
      </c>
      <c r="J115" s="290">
        <v>45968.3</v>
      </c>
      <c r="K115" s="44">
        <v>58665.031000000003</v>
      </c>
      <c r="L115" s="259">
        <f t="shared" si="9"/>
        <v>27.6</v>
      </c>
      <c r="M115" s="27">
        <f>IFERROR(100/'Skjema total MA'!I115*K115,0)</f>
        <v>5.3087618591351253</v>
      </c>
    </row>
    <row r="116" spans="1:14" ht="15.75" x14ac:dyDescent="0.2">
      <c r="A116" s="21" t="s">
        <v>321</v>
      </c>
      <c r="B116" s="234"/>
      <c r="C116" s="234"/>
      <c r="D116" s="165"/>
      <c r="E116" s="27"/>
      <c r="F116" s="234"/>
      <c r="G116" s="234"/>
      <c r="H116" s="165"/>
      <c r="I116" s="27"/>
      <c r="J116" s="290"/>
      <c r="K116" s="44"/>
      <c r="L116" s="259"/>
      <c r="M116" s="27"/>
    </row>
    <row r="117" spans="1:14" ht="15.75" x14ac:dyDescent="0.2">
      <c r="A117" s="13" t="s">
        <v>24</v>
      </c>
      <c r="B117" s="306">
        <v>24715.607</v>
      </c>
      <c r="C117" s="158">
        <v>4949.9650000000001</v>
      </c>
      <c r="D117" s="170">
        <f t="shared" si="7"/>
        <v>-80</v>
      </c>
      <c r="E117" s="11">
        <f>IFERROR(100/'Skjema total MA'!C117*C117,0)</f>
        <v>1.6873321176421257</v>
      </c>
      <c r="F117" s="306">
        <v>316615.88900000002</v>
      </c>
      <c r="G117" s="158">
        <v>318142.087</v>
      </c>
      <c r="H117" s="170">
        <f t="shared" si="8"/>
        <v>0.5</v>
      </c>
      <c r="I117" s="11">
        <f>IFERROR(100/'Skjema total MA'!F117*G117,0)</f>
        <v>4.9347133463689028</v>
      </c>
      <c r="J117" s="307">
        <v>341331.49600000004</v>
      </c>
      <c r="K117" s="236">
        <v>323092.05200000003</v>
      </c>
      <c r="L117" s="404">
        <f t="shared" si="9"/>
        <v>-5.3</v>
      </c>
      <c r="M117" s="11">
        <f>IFERROR(100/'Skjema total MA'!I117*K117,0)</f>
        <v>4.7933781748053548</v>
      </c>
    </row>
    <row r="118" spans="1:14" x14ac:dyDescent="0.2">
      <c r="A118" s="21" t="s">
        <v>9</v>
      </c>
      <c r="B118" s="234">
        <v>24715.607</v>
      </c>
      <c r="C118" s="144">
        <v>4949.9650000000001</v>
      </c>
      <c r="D118" s="165">
        <f t="shared" si="7"/>
        <v>-80</v>
      </c>
      <c r="E118" s="27">
        <f>IFERROR(100/'Skjema total MA'!C118*C118,0)</f>
        <v>1.9162264342963589</v>
      </c>
      <c r="F118" s="234"/>
      <c r="G118" s="144"/>
      <c r="H118" s="165"/>
      <c r="I118" s="27"/>
      <c r="J118" s="290">
        <v>24715.607</v>
      </c>
      <c r="K118" s="44">
        <v>4949.9650000000001</v>
      </c>
      <c r="L118" s="259">
        <f t="shared" si="9"/>
        <v>-80</v>
      </c>
      <c r="M118" s="27">
        <f>IFERROR(100/'Skjema total MA'!I118*K118,0)</f>
        <v>1.9162264342963589</v>
      </c>
    </row>
    <row r="119" spans="1:14" x14ac:dyDescent="0.2">
      <c r="A119" s="21" t="s">
        <v>10</v>
      </c>
      <c r="B119" s="234"/>
      <c r="C119" s="144"/>
      <c r="D119" s="165"/>
      <c r="E119" s="27"/>
      <c r="F119" s="234">
        <v>316615.88900000002</v>
      </c>
      <c r="G119" s="144">
        <v>318142.087</v>
      </c>
      <c r="H119" s="165">
        <f t="shared" si="8"/>
        <v>0.5</v>
      </c>
      <c r="I119" s="27">
        <f>IFERROR(100/'Skjema total MA'!F119*G119,0)</f>
        <v>4.9347133463689028</v>
      </c>
      <c r="J119" s="290">
        <v>316615.88900000002</v>
      </c>
      <c r="K119" s="44">
        <v>318142.087</v>
      </c>
      <c r="L119" s="259">
        <f t="shared" si="9"/>
        <v>0.5</v>
      </c>
      <c r="M119" s="27">
        <f>IFERROR(100/'Skjema total MA'!I119*K119,0)</f>
        <v>4.9214217653096783</v>
      </c>
    </row>
    <row r="120" spans="1:14" x14ac:dyDescent="0.2">
      <c r="A120" s="21" t="s">
        <v>30</v>
      </c>
      <c r="B120" s="234"/>
      <c r="C120" s="144"/>
      <c r="D120" s="165"/>
      <c r="E120" s="27"/>
      <c r="F120" s="234"/>
      <c r="G120" s="144"/>
      <c r="H120" s="165"/>
      <c r="I120" s="27"/>
      <c r="J120" s="290"/>
      <c r="K120" s="44"/>
      <c r="L120" s="259"/>
      <c r="M120" s="27"/>
    </row>
    <row r="121" spans="1:14" x14ac:dyDescent="0.2">
      <c r="A121" s="413" t="s">
        <v>14</v>
      </c>
      <c r="B121" s="423" t="s">
        <v>413</v>
      </c>
      <c r="C121" s="423" t="s">
        <v>413</v>
      </c>
      <c r="D121" s="165"/>
      <c r="E121" s="393"/>
      <c r="F121" s="423"/>
      <c r="G121" s="423"/>
      <c r="H121" s="165"/>
      <c r="I121" s="393"/>
      <c r="J121" s="423"/>
      <c r="K121" s="423"/>
      <c r="L121" s="165"/>
      <c r="M121" s="23"/>
    </row>
    <row r="122" spans="1:14" ht="15.75" x14ac:dyDescent="0.2">
      <c r="A122" s="21" t="s">
        <v>319</v>
      </c>
      <c r="B122" s="234"/>
      <c r="C122" s="234"/>
      <c r="D122" s="165"/>
      <c r="E122" s="27"/>
      <c r="F122" s="234"/>
      <c r="G122" s="234"/>
      <c r="H122" s="165"/>
      <c r="I122" s="27"/>
      <c r="J122" s="290"/>
      <c r="K122" s="44"/>
      <c r="L122" s="259"/>
      <c r="M122" s="27"/>
    </row>
    <row r="123" spans="1:14" ht="15.75" x14ac:dyDescent="0.2">
      <c r="A123" s="21" t="s">
        <v>320</v>
      </c>
      <c r="B123" s="234"/>
      <c r="C123" s="234"/>
      <c r="D123" s="165"/>
      <c r="E123" s="27"/>
      <c r="F123" s="234">
        <v>32298.853999999999</v>
      </c>
      <c r="G123" s="234">
        <v>80034.934999999998</v>
      </c>
      <c r="H123" s="165">
        <f t="shared" si="8"/>
        <v>147.80000000000001</v>
      </c>
      <c r="I123" s="27">
        <f>IFERROR(100/'Skjema total MA'!F123*G123,0)</f>
        <v>8.4945896920614015</v>
      </c>
      <c r="J123" s="290">
        <v>32298.853999999999</v>
      </c>
      <c r="K123" s="44">
        <v>80034.934999999998</v>
      </c>
      <c r="L123" s="259">
        <f t="shared" si="9"/>
        <v>147.80000000000001</v>
      </c>
      <c r="M123" s="27">
        <f>IFERROR(100/'Skjema total MA'!I123*K123,0)</f>
        <v>8.4670814668924415</v>
      </c>
    </row>
    <row r="124" spans="1:14" ht="15.75" x14ac:dyDescent="0.2">
      <c r="A124" s="10" t="s">
        <v>321</v>
      </c>
      <c r="B124" s="45"/>
      <c r="C124" s="45"/>
      <c r="D124" s="166"/>
      <c r="E124" s="394"/>
      <c r="F124" s="45"/>
      <c r="G124" s="45"/>
      <c r="H124" s="166"/>
      <c r="I124" s="22"/>
      <c r="J124" s="291"/>
      <c r="K124" s="45"/>
      <c r="L124" s="260"/>
      <c r="M124" s="22"/>
    </row>
    <row r="125" spans="1:14" x14ac:dyDescent="0.2">
      <c r="A125" s="154"/>
      <c r="L125" s="26"/>
      <c r="M125" s="26"/>
      <c r="N125" s="26"/>
    </row>
    <row r="126" spans="1:14" x14ac:dyDescent="0.2">
      <c r="L126" s="26"/>
      <c r="M126" s="26"/>
      <c r="N126" s="26"/>
    </row>
    <row r="127" spans="1:14" ht="15.75" x14ac:dyDescent="0.25">
      <c r="A127" s="164" t="s">
        <v>31</v>
      </c>
    </row>
    <row r="128" spans="1:14" ht="15.75" x14ac:dyDescent="0.25">
      <c r="B128" s="680"/>
      <c r="C128" s="680"/>
      <c r="D128" s="680"/>
      <c r="E128" s="383"/>
      <c r="F128" s="680"/>
      <c r="G128" s="680"/>
      <c r="H128" s="680"/>
      <c r="I128" s="383"/>
      <c r="J128" s="680"/>
      <c r="K128" s="680"/>
      <c r="L128" s="680"/>
      <c r="M128" s="383"/>
    </row>
    <row r="129" spans="1:14" s="3" customFormat="1" x14ac:dyDescent="0.2">
      <c r="A129" s="143"/>
      <c r="B129" s="676" t="s">
        <v>0</v>
      </c>
      <c r="C129" s="677"/>
      <c r="D129" s="677"/>
      <c r="E129" s="382"/>
      <c r="F129" s="676" t="s">
        <v>1</v>
      </c>
      <c r="G129" s="677"/>
      <c r="H129" s="677"/>
      <c r="I129" s="385"/>
      <c r="J129" s="676" t="s">
        <v>2</v>
      </c>
      <c r="K129" s="677"/>
      <c r="L129" s="677"/>
      <c r="M129" s="385"/>
      <c r="N129" s="147"/>
    </row>
    <row r="130" spans="1:14" s="3" customFormat="1" x14ac:dyDescent="0.2">
      <c r="A130" s="140"/>
      <c r="B130" s="151" t="s">
        <v>411</v>
      </c>
      <c r="C130" s="151" t="s">
        <v>412</v>
      </c>
      <c r="D130" s="246" t="s">
        <v>3</v>
      </c>
      <c r="E130" s="303" t="s">
        <v>33</v>
      </c>
      <c r="F130" s="151" t="s">
        <v>411</v>
      </c>
      <c r="G130" s="151" t="s">
        <v>412</v>
      </c>
      <c r="H130" s="206" t="s">
        <v>3</v>
      </c>
      <c r="I130" s="161" t="s">
        <v>33</v>
      </c>
      <c r="J130" s="247" t="s">
        <v>411</v>
      </c>
      <c r="K130" s="247" t="s">
        <v>412</v>
      </c>
      <c r="L130" s="248" t="s">
        <v>3</v>
      </c>
      <c r="M130" s="161" t="s">
        <v>33</v>
      </c>
      <c r="N130" s="147"/>
    </row>
    <row r="131" spans="1:14" s="3" customFormat="1" x14ac:dyDescent="0.2">
      <c r="A131" s="436"/>
      <c r="B131" s="155"/>
      <c r="C131" s="155"/>
      <c r="D131" s="248" t="s">
        <v>4</v>
      </c>
      <c r="E131" s="155" t="s">
        <v>34</v>
      </c>
      <c r="F131" s="160"/>
      <c r="G131" s="160"/>
      <c r="H131" s="206" t="s">
        <v>4</v>
      </c>
      <c r="I131" s="155" t="s">
        <v>34</v>
      </c>
      <c r="J131" s="155"/>
      <c r="K131" s="155"/>
      <c r="L131" s="149" t="s">
        <v>4</v>
      </c>
      <c r="M131" s="155" t="s">
        <v>34</v>
      </c>
      <c r="N131" s="147"/>
    </row>
    <row r="132" spans="1:14" s="3" customFormat="1" ht="15.75" x14ac:dyDescent="0.2">
      <c r="A132" s="14" t="s">
        <v>323</v>
      </c>
      <c r="B132" s="236"/>
      <c r="C132" s="307"/>
      <c r="D132" s="344"/>
      <c r="E132" s="11"/>
      <c r="F132" s="314"/>
      <c r="G132" s="315"/>
      <c r="H132" s="407"/>
      <c r="I132" s="24"/>
      <c r="J132" s="316"/>
      <c r="K132" s="316"/>
      <c r="L132" s="403"/>
      <c r="M132" s="11"/>
      <c r="N132" s="147"/>
    </row>
    <row r="133" spans="1:14" s="3" customFormat="1" ht="15.75" x14ac:dyDescent="0.2">
      <c r="A133" s="13" t="s">
        <v>324</v>
      </c>
      <c r="B133" s="236"/>
      <c r="C133" s="307"/>
      <c r="D133" s="170"/>
      <c r="E133" s="11"/>
      <c r="F133" s="236"/>
      <c r="G133" s="307"/>
      <c r="H133" s="408"/>
      <c r="I133" s="24"/>
      <c r="J133" s="306"/>
      <c r="K133" s="306"/>
      <c r="L133" s="404"/>
      <c r="M133" s="11"/>
      <c r="N133" s="147"/>
    </row>
    <row r="134" spans="1:14" s="3" customFormat="1" ht="15.75" x14ac:dyDescent="0.2">
      <c r="A134" s="13" t="s">
        <v>325</v>
      </c>
      <c r="B134" s="236"/>
      <c r="C134" s="307"/>
      <c r="D134" s="170"/>
      <c r="E134" s="11"/>
      <c r="F134" s="236"/>
      <c r="G134" s="307"/>
      <c r="H134" s="408"/>
      <c r="I134" s="24"/>
      <c r="J134" s="306"/>
      <c r="K134" s="306"/>
      <c r="L134" s="404"/>
      <c r="M134" s="11"/>
      <c r="N134" s="147"/>
    </row>
    <row r="135" spans="1:14" s="3" customFormat="1" ht="15.75" x14ac:dyDescent="0.2">
      <c r="A135" s="41" t="s">
        <v>326</v>
      </c>
      <c r="B135" s="281"/>
      <c r="C135" s="313"/>
      <c r="D135" s="168"/>
      <c r="E135" s="9"/>
      <c r="F135" s="281"/>
      <c r="G135" s="313"/>
      <c r="H135" s="409"/>
      <c r="I135" s="36"/>
      <c r="J135" s="312"/>
      <c r="K135" s="312"/>
      <c r="L135" s="405"/>
      <c r="M135" s="36"/>
      <c r="N135" s="147"/>
    </row>
    <row r="136" spans="1:14" s="3" customFormat="1" x14ac:dyDescent="0.2">
      <c r="A136" s="167"/>
      <c r="B136" s="33"/>
      <c r="C136" s="33"/>
      <c r="D136" s="158"/>
      <c r="E136" s="158"/>
      <c r="F136" s="33"/>
      <c r="G136" s="33"/>
      <c r="H136" s="158"/>
      <c r="I136" s="158"/>
      <c r="J136" s="33"/>
      <c r="K136" s="33"/>
      <c r="L136" s="158"/>
      <c r="M136" s="158"/>
      <c r="N136" s="147"/>
    </row>
    <row r="137" spans="1:14" x14ac:dyDescent="0.2">
      <c r="A137" s="167"/>
      <c r="B137" s="33"/>
      <c r="C137" s="33"/>
      <c r="D137" s="158"/>
      <c r="E137" s="158"/>
      <c r="F137" s="33"/>
      <c r="G137" s="33"/>
      <c r="H137" s="158"/>
      <c r="I137" s="158"/>
      <c r="J137" s="33"/>
      <c r="K137" s="33"/>
      <c r="L137" s="158"/>
      <c r="M137" s="158"/>
      <c r="N137" s="147"/>
    </row>
    <row r="138" spans="1:14" x14ac:dyDescent="0.2">
      <c r="A138" s="167"/>
      <c r="B138" s="33"/>
      <c r="C138" s="33"/>
      <c r="D138" s="158"/>
      <c r="E138" s="158"/>
      <c r="F138" s="33"/>
      <c r="G138" s="33"/>
      <c r="H138" s="158"/>
      <c r="I138" s="158"/>
      <c r="J138" s="33"/>
      <c r="K138" s="33"/>
      <c r="L138" s="158"/>
      <c r="M138" s="158"/>
      <c r="N138" s="147"/>
    </row>
    <row r="139" spans="1:14" x14ac:dyDescent="0.2">
      <c r="A139" s="145"/>
      <c r="B139" s="145"/>
      <c r="C139" s="145"/>
      <c r="D139" s="145"/>
      <c r="E139" s="145"/>
      <c r="F139" s="145"/>
      <c r="G139" s="145"/>
      <c r="H139" s="145"/>
      <c r="I139" s="145"/>
      <c r="J139" s="145"/>
      <c r="K139" s="145"/>
      <c r="L139" s="145"/>
      <c r="M139" s="145"/>
      <c r="N139" s="145"/>
    </row>
    <row r="140" spans="1:14" ht="15.75" x14ac:dyDescent="0.25">
      <c r="B140" s="141"/>
      <c r="C140" s="141"/>
      <c r="D140" s="141"/>
      <c r="E140" s="141"/>
      <c r="F140" s="141"/>
      <c r="G140" s="141"/>
      <c r="H140" s="141"/>
      <c r="I140" s="141"/>
      <c r="J140" s="141"/>
      <c r="K140" s="141"/>
      <c r="L140" s="141"/>
      <c r="M140" s="141"/>
      <c r="N140" s="141"/>
    </row>
    <row r="141" spans="1:14" ht="15.75" x14ac:dyDescent="0.25">
      <c r="B141" s="156"/>
      <c r="C141" s="156"/>
      <c r="D141" s="156"/>
      <c r="E141" s="156"/>
      <c r="F141" s="156"/>
      <c r="G141" s="156"/>
      <c r="H141" s="156"/>
      <c r="I141" s="156"/>
      <c r="J141" s="156"/>
      <c r="K141" s="156"/>
      <c r="L141" s="156"/>
      <c r="M141" s="156"/>
      <c r="N141" s="156"/>
    </row>
    <row r="142" spans="1:14" ht="15.75" x14ac:dyDescent="0.25">
      <c r="B142" s="156"/>
      <c r="C142" s="156"/>
      <c r="D142" s="156"/>
      <c r="E142" s="156"/>
      <c r="F142" s="156"/>
      <c r="G142" s="156"/>
      <c r="H142" s="156"/>
      <c r="I142" s="156"/>
      <c r="J142" s="156"/>
      <c r="K142" s="156"/>
      <c r="L142" s="156"/>
      <c r="M142" s="156"/>
      <c r="N142" s="156"/>
    </row>
  </sheetData>
  <mergeCells count="31">
    <mergeCell ref="B128:D128"/>
    <mergeCell ref="F128:H128"/>
    <mergeCell ref="J128:L128"/>
    <mergeCell ref="B129:D129"/>
    <mergeCell ref="F129:H129"/>
    <mergeCell ref="J129:L129"/>
    <mergeCell ref="B42:D42"/>
    <mergeCell ref="B60:D60"/>
    <mergeCell ref="F60:H60"/>
    <mergeCell ref="J60:L60"/>
    <mergeCell ref="B61:D61"/>
    <mergeCell ref="F61:H61"/>
    <mergeCell ref="J61:L61"/>
    <mergeCell ref="D38:F38"/>
    <mergeCell ref="G38:I38"/>
    <mergeCell ref="J38:L38"/>
    <mergeCell ref="B40:D40"/>
    <mergeCell ref="F40:H40"/>
    <mergeCell ref="J40:L40"/>
    <mergeCell ref="B18:D18"/>
    <mergeCell ref="F18:H18"/>
    <mergeCell ref="J18:L18"/>
    <mergeCell ref="B19:D19"/>
    <mergeCell ref="F19:H19"/>
    <mergeCell ref="J19:L19"/>
    <mergeCell ref="B2:D2"/>
    <mergeCell ref="F2:H2"/>
    <mergeCell ref="J2:L2"/>
    <mergeCell ref="B4:D4"/>
    <mergeCell ref="F4:H4"/>
    <mergeCell ref="J4:L4"/>
  </mergeCells>
  <conditionalFormatting sqref="B48:C50">
    <cfRule type="expression" dxfId="1803" priority="82">
      <formula>kvartal &lt; 4</formula>
    </cfRule>
  </conditionalFormatting>
  <conditionalFormatting sqref="B29">
    <cfRule type="expression" dxfId="1802" priority="81">
      <formula>kvartal &lt; 4</formula>
    </cfRule>
  </conditionalFormatting>
  <conditionalFormatting sqref="B30">
    <cfRule type="expression" dxfId="1801" priority="80">
      <formula>kvartal &lt; 4</formula>
    </cfRule>
  </conditionalFormatting>
  <conditionalFormatting sqref="B31">
    <cfRule type="expression" dxfId="1800" priority="79">
      <formula>kvartal &lt; 4</formula>
    </cfRule>
  </conditionalFormatting>
  <conditionalFormatting sqref="C29">
    <cfRule type="expression" dxfId="1799" priority="78">
      <formula>kvartal &lt; 4</formula>
    </cfRule>
  </conditionalFormatting>
  <conditionalFormatting sqref="C30">
    <cfRule type="expression" dxfId="1798" priority="77">
      <formula>kvartal &lt; 4</formula>
    </cfRule>
  </conditionalFormatting>
  <conditionalFormatting sqref="C31">
    <cfRule type="expression" dxfId="1797" priority="76">
      <formula>kvartal &lt; 4</formula>
    </cfRule>
  </conditionalFormatting>
  <conditionalFormatting sqref="B23:C25">
    <cfRule type="expression" dxfId="1796" priority="75">
      <formula>kvartal &lt; 4</formula>
    </cfRule>
  </conditionalFormatting>
  <conditionalFormatting sqref="F23:G25">
    <cfRule type="expression" dxfId="1795" priority="74">
      <formula>kvartal &lt; 4</formula>
    </cfRule>
  </conditionalFormatting>
  <conditionalFormatting sqref="F29">
    <cfRule type="expression" dxfId="1794" priority="73">
      <formula>kvartal &lt; 4</formula>
    </cfRule>
  </conditionalFormatting>
  <conditionalFormatting sqref="F30">
    <cfRule type="expression" dxfId="1793" priority="72">
      <formula>kvartal &lt; 4</formula>
    </cfRule>
  </conditionalFormatting>
  <conditionalFormatting sqref="F31">
    <cfRule type="expression" dxfId="1792" priority="71">
      <formula>kvartal &lt; 4</formula>
    </cfRule>
  </conditionalFormatting>
  <conditionalFormatting sqref="G29">
    <cfRule type="expression" dxfId="1791" priority="70">
      <formula>kvartal &lt; 4</formula>
    </cfRule>
  </conditionalFormatting>
  <conditionalFormatting sqref="G30">
    <cfRule type="expression" dxfId="1790" priority="69">
      <formula>kvartal &lt; 4</formula>
    </cfRule>
  </conditionalFormatting>
  <conditionalFormatting sqref="G31">
    <cfRule type="expression" dxfId="1789" priority="68">
      <formula>kvartal &lt; 4</formula>
    </cfRule>
  </conditionalFormatting>
  <conditionalFormatting sqref="B26">
    <cfRule type="expression" dxfId="1788" priority="67">
      <formula>kvartal &lt; 4</formula>
    </cfRule>
  </conditionalFormatting>
  <conditionalFormatting sqref="C26">
    <cfRule type="expression" dxfId="1787" priority="66">
      <formula>kvartal &lt; 4</formula>
    </cfRule>
  </conditionalFormatting>
  <conditionalFormatting sqref="F26">
    <cfRule type="expression" dxfId="1786" priority="65">
      <formula>kvartal &lt; 4</formula>
    </cfRule>
  </conditionalFormatting>
  <conditionalFormatting sqref="G26">
    <cfRule type="expression" dxfId="1785" priority="64">
      <formula>kvartal &lt; 4</formula>
    </cfRule>
  </conditionalFormatting>
  <conditionalFormatting sqref="J23:K26">
    <cfRule type="expression" dxfId="1784" priority="63">
      <formula>kvartal &lt; 4</formula>
    </cfRule>
  </conditionalFormatting>
  <conditionalFormatting sqref="J29:K31">
    <cfRule type="expression" dxfId="1783" priority="62">
      <formula>kvartal &lt; 4</formula>
    </cfRule>
  </conditionalFormatting>
  <conditionalFormatting sqref="B67">
    <cfRule type="expression" dxfId="1782" priority="61">
      <formula>kvartal &lt; 4</formula>
    </cfRule>
  </conditionalFormatting>
  <conditionalFormatting sqref="C67">
    <cfRule type="expression" dxfId="1781" priority="60">
      <formula>kvartal &lt; 4</formula>
    </cfRule>
  </conditionalFormatting>
  <conditionalFormatting sqref="B70">
    <cfRule type="expression" dxfId="1780" priority="59">
      <formula>kvartal &lt; 4</formula>
    </cfRule>
  </conditionalFormatting>
  <conditionalFormatting sqref="C70">
    <cfRule type="expression" dxfId="1779" priority="58">
      <formula>kvartal &lt; 4</formula>
    </cfRule>
  </conditionalFormatting>
  <conditionalFormatting sqref="B78">
    <cfRule type="expression" dxfId="1778" priority="57">
      <formula>kvartal &lt; 4</formula>
    </cfRule>
  </conditionalFormatting>
  <conditionalFormatting sqref="C78">
    <cfRule type="expression" dxfId="1777" priority="56">
      <formula>kvartal &lt; 4</formula>
    </cfRule>
  </conditionalFormatting>
  <conditionalFormatting sqref="B81">
    <cfRule type="expression" dxfId="1776" priority="55">
      <formula>kvartal &lt; 4</formula>
    </cfRule>
  </conditionalFormatting>
  <conditionalFormatting sqref="C81">
    <cfRule type="expression" dxfId="1775" priority="54">
      <formula>kvartal &lt; 4</formula>
    </cfRule>
  </conditionalFormatting>
  <conditionalFormatting sqref="B88">
    <cfRule type="expression" dxfId="1774" priority="53">
      <formula>kvartal &lt; 4</formula>
    </cfRule>
  </conditionalFormatting>
  <conditionalFormatting sqref="C88">
    <cfRule type="expression" dxfId="1773" priority="52">
      <formula>kvartal &lt; 4</formula>
    </cfRule>
  </conditionalFormatting>
  <conditionalFormatting sqref="B91">
    <cfRule type="expression" dxfId="1772" priority="51">
      <formula>kvartal &lt; 4</formula>
    </cfRule>
  </conditionalFormatting>
  <conditionalFormatting sqref="C91">
    <cfRule type="expression" dxfId="1771" priority="50">
      <formula>kvartal &lt; 4</formula>
    </cfRule>
  </conditionalFormatting>
  <conditionalFormatting sqref="B99">
    <cfRule type="expression" dxfId="1770" priority="49">
      <formula>kvartal &lt; 4</formula>
    </cfRule>
  </conditionalFormatting>
  <conditionalFormatting sqref="C99">
    <cfRule type="expression" dxfId="1769" priority="48">
      <formula>kvartal &lt; 4</formula>
    </cfRule>
  </conditionalFormatting>
  <conditionalFormatting sqref="B102">
    <cfRule type="expression" dxfId="1768" priority="47">
      <formula>kvartal &lt; 4</formula>
    </cfRule>
  </conditionalFormatting>
  <conditionalFormatting sqref="C102">
    <cfRule type="expression" dxfId="1767" priority="46">
      <formula>kvartal &lt; 4</formula>
    </cfRule>
  </conditionalFormatting>
  <conditionalFormatting sqref="B113">
    <cfRule type="expression" dxfId="1766" priority="45">
      <formula>kvartal &lt; 4</formula>
    </cfRule>
  </conditionalFormatting>
  <conditionalFormatting sqref="C113">
    <cfRule type="expression" dxfId="1765" priority="44">
      <formula>kvartal &lt; 4</formula>
    </cfRule>
  </conditionalFormatting>
  <conditionalFormatting sqref="B121">
    <cfRule type="expression" dxfId="1764" priority="43">
      <formula>kvartal &lt; 4</formula>
    </cfRule>
  </conditionalFormatting>
  <conditionalFormatting sqref="C121">
    <cfRule type="expression" dxfId="1763" priority="42">
      <formula>kvartal &lt; 4</formula>
    </cfRule>
  </conditionalFormatting>
  <conditionalFormatting sqref="F68">
    <cfRule type="expression" dxfId="1762" priority="41">
      <formula>kvartal &lt; 4</formula>
    </cfRule>
  </conditionalFormatting>
  <conditionalFormatting sqref="G68">
    <cfRule type="expression" dxfId="1761" priority="40">
      <formula>kvartal &lt; 4</formula>
    </cfRule>
  </conditionalFormatting>
  <conditionalFormatting sqref="F69:G69">
    <cfRule type="expression" dxfId="1760" priority="39">
      <formula>kvartal &lt; 4</formula>
    </cfRule>
  </conditionalFormatting>
  <conditionalFormatting sqref="F71:G72">
    <cfRule type="expression" dxfId="1759" priority="38">
      <formula>kvartal &lt; 4</formula>
    </cfRule>
  </conditionalFormatting>
  <conditionalFormatting sqref="F79:G80">
    <cfRule type="expression" dxfId="1758" priority="37">
      <formula>kvartal &lt; 4</formula>
    </cfRule>
  </conditionalFormatting>
  <conditionalFormatting sqref="F82:G83">
    <cfRule type="expression" dxfId="1757" priority="36">
      <formula>kvartal &lt; 4</formula>
    </cfRule>
  </conditionalFormatting>
  <conditionalFormatting sqref="F89:G90">
    <cfRule type="expression" dxfId="1756" priority="35">
      <formula>kvartal &lt; 4</formula>
    </cfRule>
  </conditionalFormatting>
  <conditionalFormatting sqref="F92:G93">
    <cfRule type="expression" dxfId="1755" priority="34">
      <formula>kvartal &lt; 4</formula>
    </cfRule>
  </conditionalFormatting>
  <conditionalFormatting sqref="F100:G101">
    <cfRule type="expression" dxfId="1754" priority="33">
      <formula>kvartal &lt; 4</formula>
    </cfRule>
  </conditionalFormatting>
  <conditionalFormatting sqref="F103:G104">
    <cfRule type="expression" dxfId="1753" priority="32">
      <formula>kvartal &lt; 4</formula>
    </cfRule>
  </conditionalFormatting>
  <conditionalFormatting sqref="F113">
    <cfRule type="expression" dxfId="1752" priority="31">
      <formula>kvartal &lt; 4</formula>
    </cfRule>
  </conditionalFormatting>
  <conditionalFormatting sqref="G113">
    <cfRule type="expression" dxfId="1751" priority="30">
      <formula>kvartal &lt; 4</formula>
    </cfRule>
  </conditionalFormatting>
  <conditionalFormatting sqref="F121:G121">
    <cfRule type="expression" dxfId="1750" priority="29">
      <formula>kvartal &lt; 4</formula>
    </cfRule>
  </conditionalFormatting>
  <conditionalFormatting sqref="F67:G67">
    <cfRule type="expression" dxfId="1749" priority="28">
      <formula>kvartal &lt; 4</formula>
    </cfRule>
  </conditionalFormatting>
  <conditionalFormatting sqref="F70:G70">
    <cfRule type="expression" dxfId="1748" priority="27">
      <formula>kvartal &lt; 4</formula>
    </cfRule>
  </conditionalFormatting>
  <conditionalFormatting sqref="F78:G78">
    <cfRule type="expression" dxfId="1747" priority="26">
      <formula>kvartal &lt; 4</formula>
    </cfRule>
  </conditionalFormatting>
  <conditionalFormatting sqref="F81:G81">
    <cfRule type="expression" dxfId="1746" priority="25">
      <formula>kvartal &lt; 4</formula>
    </cfRule>
  </conditionalFormatting>
  <conditionalFormatting sqref="F88:G88">
    <cfRule type="expression" dxfId="1745" priority="24">
      <formula>kvartal &lt; 4</formula>
    </cfRule>
  </conditionalFormatting>
  <conditionalFormatting sqref="F91">
    <cfRule type="expression" dxfId="1744" priority="23">
      <formula>kvartal &lt; 4</formula>
    </cfRule>
  </conditionalFormatting>
  <conditionalFormatting sqref="G91">
    <cfRule type="expression" dxfId="1743" priority="22">
      <formula>kvartal &lt; 4</formula>
    </cfRule>
  </conditionalFormatting>
  <conditionalFormatting sqref="F99">
    <cfRule type="expression" dxfId="1742" priority="21">
      <formula>kvartal &lt; 4</formula>
    </cfRule>
  </conditionalFormatting>
  <conditionalFormatting sqref="G99">
    <cfRule type="expression" dxfId="1741" priority="20">
      <formula>kvartal &lt; 4</formula>
    </cfRule>
  </conditionalFormatting>
  <conditionalFormatting sqref="G102">
    <cfRule type="expression" dxfId="1740" priority="19">
      <formula>kvartal &lt; 4</formula>
    </cfRule>
  </conditionalFormatting>
  <conditionalFormatting sqref="F102">
    <cfRule type="expression" dxfId="1739" priority="18">
      <formula>kvartal &lt; 4</formula>
    </cfRule>
  </conditionalFormatting>
  <conditionalFormatting sqref="J67:K71">
    <cfRule type="expression" dxfId="1738" priority="17">
      <formula>kvartal &lt; 4</formula>
    </cfRule>
  </conditionalFormatting>
  <conditionalFormatting sqref="J72:K72">
    <cfRule type="expression" dxfId="1737" priority="16">
      <formula>kvartal &lt; 4</formula>
    </cfRule>
  </conditionalFormatting>
  <conditionalFormatting sqref="J78:K83">
    <cfRule type="expression" dxfId="1736" priority="15">
      <formula>kvartal &lt; 4</formula>
    </cfRule>
  </conditionalFormatting>
  <conditionalFormatting sqref="J88:K93">
    <cfRule type="expression" dxfId="1735" priority="14">
      <formula>kvartal &lt; 4</formula>
    </cfRule>
  </conditionalFormatting>
  <conditionalFormatting sqref="J99:K104">
    <cfRule type="expression" dxfId="1734" priority="13">
      <formula>kvartal &lt; 4</formula>
    </cfRule>
  </conditionalFormatting>
  <conditionalFormatting sqref="J113:K113">
    <cfRule type="expression" dxfId="1733" priority="12">
      <formula>kvartal &lt; 4</formula>
    </cfRule>
  </conditionalFormatting>
  <conditionalFormatting sqref="J121:K121">
    <cfRule type="expression" dxfId="1732" priority="11">
      <formula>kvartal &lt; 4</formula>
    </cfRule>
  </conditionalFormatting>
  <conditionalFormatting sqref="A23:A25">
    <cfRule type="expression" dxfId="1731" priority="10">
      <formula>kvartal &lt; 4</formula>
    </cfRule>
  </conditionalFormatting>
  <conditionalFormatting sqref="A29:A31">
    <cfRule type="expression" dxfId="1730" priority="9">
      <formula>kvartal &lt; 4</formula>
    </cfRule>
  </conditionalFormatting>
  <conditionalFormatting sqref="A48:A50">
    <cfRule type="expression" dxfId="1729" priority="8">
      <formula>kvartal &lt; 4</formula>
    </cfRule>
  </conditionalFormatting>
  <conditionalFormatting sqref="A67:A72">
    <cfRule type="expression" dxfId="1728" priority="7">
      <formula>kvartal &lt; 4</formula>
    </cfRule>
  </conditionalFormatting>
  <conditionalFormatting sqref="A78:A83">
    <cfRule type="expression" dxfId="1727" priority="6">
      <formula>kvartal &lt; 4</formula>
    </cfRule>
  </conditionalFormatting>
  <conditionalFormatting sqref="A88:A93">
    <cfRule type="expression" dxfId="1726" priority="5">
      <formula>kvartal &lt; 4</formula>
    </cfRule>
  </conditionalFormatting>
  <conditionalFormatting sqref="A99:A104">
    <cfRule type="expression" dxfId="1725" priority="4">
      <formula>kvartal &lt; 4</formula>
    </cfRule>
  </conditionalFormatting>
  <conditionalFormatting sqref="A113">
    <cfRule type="expression" dxfId="1724" priority="3">
      <formula>kvartal &lt; 4</formula>
    </cfRule>
  </conditionalFormatting>
  <conditionalFormatting sqref="A121">
    <cfRule type="expression" dxfId="1723" priority="2">
      <formula>kvartal &lt; 4</formula>
    </cfRule>
  </conditionalFormatting>
  <conditionalFormatting sqref="A26">
    <cfRule type="expression" dxfId="1722" priority="1">
      <formula>kvartal &lt; 4</formula>
    </cfRule>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8 f 6 9 7 3 f 7 - 0 8 c 0 - 4 5 7 9 - b f 5 c - 6 c 7 f a d 0 9 0 d 4 1 "   x m l n s = " h t t p : / / s c h e m a s . m i c r o s o f t . c o m / D a t a M a s h u p " > A A A A A P k D A A B Q S w M E F A A C A A g A b W 0 m S w O i a k u n A A A A + A A A A B I A H A B D b 2 5 m a W c v U G F j a 2 F n Z S 5 4 b W w g o h g A K K A U A A A A A A A A A A A A A A A A A A A A A A A A A A A A h Y / N C o J A H M R f R f b u f i U R 8 n c 9 d M 0 K g u h q 6 6 Z L u o a 7 t r 5 b h x 6 p V 0 g o q 1 s w l x l + A z O P 2 x 3 S o a m D q + q s b k 2 C G K Y o U E a 2 h T Z l g n p 3 C h c o F b D N 5 T k v V T D C x s a D 1 Q m q n L v E h H j v s Z / h t i s J p 5 S R Q 7 b a y U o 1 e a i N d b m R C n 1 a x f 8 W E r B / j R E c R 6 P m j G E e M S B T D J k 2 X 4 S P i z E F 8 h P C s q 9 d 3 y l h j u F 6 A 2 S y Q N 4 v x B N Q S w M E F A A C A A g A b W 0 m 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1 t J k t 3 i M u 3 8 A A A A F U B A A A T A B w A R m 9 y b X V s Y X M v U 2 V j d G l v b j E u b S C i G A A o o B Q A A A A A A A A A A A A A A A A A A A A A A A A A A A B 9 j 8 F q w k A Q h s 8 u + A 7 D H i S B E P Q c A o U 0 J 0 E U p S 0 s S 9 i Y g a b Z Z H V 2 E y z i s Y / S J / H F u q n S 0 k v n M g P z f / 8 / Y 3 H v a t P B 9 t Y X y Z R N m X 1 V h B U 8 K q c g B Y 2 O g a + 1 I t W i Q 3 p C q m q / y E 9 7 1 H H W E 2 H n n g 0 1 p T F N E J 7 F y u t S / q N H L i 8 i M 5 3 z M h n B t 9 m y 1 h V 6 j + 1 R x 2 N O q S w G 3 N J g j 3 q + 4 B F w X Q 9 F q / w k N j 3 S e 8 r z l z w D U Z V G x u J Q 4 B h e H A i t d 1 X 2 z X S S T S Y P 1 0 / y r h x m s O r b E i n e m R 2 e X P D 3 e H H 9 I H m e X 0 K Y 8 W j E m k G R U / q O / s 8 u b 9 o 7 D z z h M m R 1 9 / t W 8 g V Q S w E C L Q A U A A I A C A B t b S Z L A 6 J q S 6 c A A A D 4 A A A A E g A A A A A A A A A A A A A A A A A A A A A A Q 2 9 u Z m l n L 1 B h Y 2 t h Z 2 U u e G 1 s U E s B A i 0 A F A A C A A g A b W 0 m S w / K 6 a u k A A A A 6 Q A A A B M A A A A A A A A A A A A A A A A A 8 w A A A F t D b 2 5 0 Z W 5 0 X 1 R 5 c G V z X S 5 4 b W x Q S w E C L Q A U A A I A C A B t b S Z L d 4 j L t / A A A A B V A Q A A E w A A A A A A A A A A A A A A A A D k A Q A A R m 9 y b X V s Y X M v U 2 V j d G l v b j E u b V B L B Q Y A A A A A A w A D A M I A A A A h A w A A A A A 9 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P l B 1 Y m x p Y z w v V 2 9 y a 2 J v b 2 t H c m 9 1 c F R 5 c G U + P C 9 Q Z X J t a X N z a W 9 u T G l z d D 6 M C w A A A A A A A G o 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E Y X R h P C 9 J d G V t U G F 0 a D 4 8 L 0 l 0 Z W 1 M b 2 N h d G l v b j 4 8 U 3 R h Y m x l R W 5 0 c m l l c z 4 8 R W 5 0 c n k g V H l w Z T 0 i S X N Q c m l 2 Y X R l I i B W Y W x 1 Z T 0 i b D A i I C 8 + P E V u d H J 5 I F R 5 c G U 9 I k 5 h b W V V c G R h d G V k Q W Z 0 Z X J G a W x s I i B W Y W x 1 Z T 0 i b D A i I C 8 + P E V u d H J 5 I F R 5 c G U 9 I k Z p b G x F b m F i b G V k I i B W Y W x 1 Z T 0 i b D A i I C 8 + P E V u d H J 5 I F R 5 c G U 9 I k Z p b G x U b 0 R h d G F N b 2 R l b E V u Y W J s Z W Q i I F Z h b H V l P S J s M C I g L z 4 8 R W 5 0 c n k g V H l w Z T 0 i Q n V m Z m V y T m V 4 d F J l Z n J l c 2 g i I F Z h b H V l P S J s M S I g L z 4 8 R W 5 0 c n k g V H l w Z T 0 i U m V z d W x 0 V H l w Z S I g V m F s d W U 9 I n N U Y W J s Z S I g L z 4 8 R W 5 0 c n k g V H l w Z T 0 i R m l s b G V k Q 2 9 t c G x l d G V S Z X N 1 b H R U b 1 d v c m t z a G V l d C I g V m F s d W U 9 I m w x I i A v P j x F b n R y e S B U e X B l P S J B Z G R l Z F R v R G F 0 Y U 1 v Z G V s I i B W Y W x 1 Z T 0 i b D A i I C 8 + P E V u d H J 5 I F R 5 c G U 9 I l J l Y 2 9 2 Z X J 5 V G F y Z 2 V 0 U 2 h l Z X Q i I F Z h b H V l P S J z Q X J r M i I g L z 4 8 R W 5 0 c n k g V H l w Z T 0 i U m V j b 3 Z l c n l U Y X J n Z X R D b 2 x 1 b W 4 i I F Z h b H V l P S J s M S I g L z 4 8 R W 5 0 c n k g V H l w Z T 0 i U m V j b 3 Z l c n l U Y X J n Z X R S b 3 c i I F Z h b H V l P S J s M S I g L z 4 8 R W 5 0 c n k g V H l w Z T 0 i U X V l c n l J R C I g V m F s d W U 9 I n M 0 Z T g z Y W R k O S 1 l Y 2 N i L T R l Z j Y t O W N m O C 0 2 Y j I 5 O G R m M D Q 0 Y z k i I C 8 + P E V u d H J 5 I F R 5 c G U 9 I k Z p b G x D b 2 x 1 b W 5 U e X B l c y I g V m F s d W U 9 I n N C Z 0 l D Q W d J Q 0 F n V T 0 i I C 8 + P E V u d H J 5 I F R 5 c G U 9 I k Z p b G x F c n J v c k N v Z G U i I F Z h b H V l P S J z V W 5 r b m 9 3 b i I g L z 4 8 R W 5 0 c n k g V H l w Z T 0 i R m l s b E x h c 3 R V c G R h d G V k I i B W Y W x 1 Z T 0 i Z D I w M T c t M D k t M D Z U M T E 6 N D I 6 M j A u N z g x M D k z M V o i I C 8 + P E V u d H J 5 I F R 5 c G U 9 I k Z p b G x D b 2 x 1 b W 5 O Y W 1 l c y I g V m F s d W U 9 I n N b J n F 1 b 3 Q 7 c 8 O 4 a 2 V u w 7 h r a 2 V s J n F 1 b 3 Q 7 L C Z x d W 9 0 O 3 N l b H N r Y X B f a W Q m c X V v d D s s J n F 1 b 3 Q 7 w 6 V y J n F 1 b 3 Q 7 L C Z x d W 9 0 O 2 t 2 Y X J 0 Y W w m c X V v d D s s J n F 1 b 3 Q 7 d G F i Z W x s X 2 l k J n F 1 b 3 Q 7 L C Z x d W 9 0 O 3 J h Z F 9 p Z C Z x d W 9 0 O y w m c X V v d D t r Y X R l Z 2 9 y a V 9 p Z C Z x d W 9 0 O y w m c X V v d D t 2 Z X J k a S Z x d W 9 0 O 1 0 i I C 8 + P E V u d H J 5 I F R 5 c G U 9 I l J l b G F 0 a W 9 u c 2 h p c E l u Z m 9 D b 2 5 0 Y W l u Z X I i I F Z h b H V l P S J z e y Z x d W 9 0 O 2 N v b H V t b k N v d W 5 0 J n F 1 b 3 Q 7 O j g s J n F 1 b 3 Q 7 a 2 V 5 Q 2 9 s d W 1 u T m F t Z X M m c X V v d D s 6 W 1 0 s J n F 1 b 3 Q 7 c X V l c n l S Z W x h d G l v b n N o a X B z J n F 1 b 3 Q 7 O l t d L C Z x d W 9 0 O 2 N v b H V t b k l k Z W 5 0 a X R p Z X M m c X V v d D s 6 W y Z x d W 9 0 O 1 N l Y 3 R p b 2 4 x L 0 R h d G E v S 2 l s Z G U u e 3 P D u G t l b s O 4 a 2 t l b C w w f S Z x d W 9 0 O y w m c X V v d D t T Z W N 0 a W 9 u M S 9 E Y X R h L 0 t p b G R l L n t z Z W x z a 2 F w X 2 l k L D F 9 J n F 1 b 3 Q 7 L C Z x d W 9 0 O 1 N l Y 3 R p b 2 4 x L 0 R h d G E v S 2 l s Z G U u e 8 O l c i w y f S Z x d W 9 0 O y w m c X V v d D t T Z W N 0 a W 9 u M S 9 E Y X R h L 0 t p b G R l L n t r d m F y d G F s L D N 9 J n F 1 b 3 Q 7 L C Z x d W 9 0 O 1 N l Y 3 R p b 2 4 x L 0 R h d G E v S 2 l s Z G U u e 3 R h Y m V s b F 9 p Z C w 0 f S Z x d W 9 0 O y w m c X V v d D t T Z W N 0 a W 9 u M S 9 E Y X R h L 0 t p b G R l L n t y Y W R f a W Q s N X 0 m c X V v d D s s J n F 1 b 3 Q 7 U 2 V j d G l v b j E v R G F 0 Y S 9 L a W x k Z S 5 7 a 2 F 0 Z W d v c m l f a W Q s N n 0 m c X V v d D s s J n F 1 b 3 Q 7 U 2 V j d G l v b j E v R G F 0 Y S 9 L a W x k Z S 5 7 d m V y Z G k s N 3 0 m c X V v d D t d L C Z x d W 9 0 O 0 N v b H V t b k N v d W 5 0 J n F 1 b 3 Q 7 O j g s J n F 1 b 3 Q 7 S 2 V 5 Q 2 9 s d W 1 u T m F t Z X M m c X V v d D s 6 W 1 0 s J n F 1 b 3 Q 7 Q 2 9 s d W 1 u S W R l b n R p d G l l c y Z x d W 9 0 O z p b J n F 1 b 3 Q 7 U 2 V j d G l v b j E v R G F 0 Y S 9 L a W x k Z S 5 7 c 8 O 4 a 2 V u w 7 h r a 2 V s L D B 9 J n F 1 b 3 Q 7 L C Z x d W 9 0 O 1 N l Y 3 R p b 2 4 x L 0 R h d G E v S 2 l s Z G U u e 3 N l b H N r Y X B f a W Q s M X 0 m c X V v d D s s J n F 1 b 3 Q 7 U 2 V j d G l v b j E v R G F 0 Y S 9 L a W x k Z S 5 7 w 6 V y L D J 9 J n F 1 b 3 Q 7 L C Z x d W 9 0 O 1 N l Y 3 R p b 2 4 x L 0 R h d G E v S 2 l s Z G U u e 2 t 2 Y X J 0 Y W w s M 3 0 m c X V v d D s s J n F 1 b 3 Q 7 U 2 V j d G l v b j E v R G F 0 Y S 9 L a W x k Z S 5 7 d G F i Z W x s X 2 l k L D R 9 J n F 1 b 3 Q 7 L C Z x d W 9 0 O 1 N l Y 3 R p b 2 4 x L 0 R h d G E v S 2 l s Z G U u e 3 J h Z F 9 p Z C w 1 f S Z x d W 9 0 O y w m c X V v d D t T Z W N 0 a W 9 u M S 9 E Y X R h L 0 t p b G R l L n t r Y X R l Z 2 9 y a V 9 p Z C w 2 f S Z x d W 9 0 O y w m c X V v d D t T Z W N 0 a W 9 u M S 9 E Y X R h L 0 t p b G R l L n t 2 Z X J k a S w 3 f S Z x d W 9 0 O 1 0 s J n F 1 b 3 Q 7 U m V s Y X R p b 2 5 z a G l w S W 5 m b y Z x d W 9 0 O z p b X X 0 i I C 8 + P E V u d H J 5 I F R 5 c G U 9 I k Z p b G x F c n J v c k N v d W 5 0 I i B W Y W x 1 Z T 0 i b D A i I C 8 + P E V u d H J 5 I F R 5 c G U 9 I k Z p b G x D b 3 V u d C I g V m F s d W U 9 I m w 4 M T Y 1 I i A v P j x F b n R y e S B U e X B l P S J G a W x s U 3 R h d H V z I i B W Y W x 1 Z T 0 i c 0 N v b X B s Z X R l I i A v P j x F b n R y e S B U e X B l P S J G a W x s T 2 J q Z W N 0 V H l w Z S I g V m F s d W U 9 I n N D b 2 5 u Z W N 0 a W 9 u T 2 5 s e S I g L z 4 8 L 1 N 0 Y W J s Z U V u d H J p Z X M + P C 9 J d G V t P j x J d G V t P j x J d G V t T G 9 j Y X R p b 2 4 + P E l 0 Z W 1 U e X B l P k Z v c m 1 1 b G E 8 L 0 l 0 Z W 1 U e X B l P j x J d G V t U G F 0 a D 5 T Z W N 0 a W 9 u M S 9 E Y X R h L 0 t p b G R l P C 9 J d G V t U G F 0 a D 4 8 L 0 l 0 Z W 1 M b 2 N h d G l v b j 4 8 U 3 R h Y m x l R W 5 0 c m l l c y A v P j w v S X R l b T 4 8 S X R l b T 4 8 S X R l b U x v Y 2 F 0 a W 9 u P j x J d G V t V H l w Z T 5 G b 3 J t d W x h P C 9 J d G V t V H l w Z T 4 8 S X R l b V B h d G g + U 2 V j d G l v b j E v R G F 0 Y S 9 Q Y X J h b W V 0 Z X J W Z X J k a T w v S X R l b V B h d G g + P C 9 J d G V t T G 9 j Y X R p b 2 4 + P F N 0 Y W J s Z U V u d H J p Z X M g L z 4 8 L 0 l 0 Z W 0 + P C 9 J d G V t c z 4 8 L 0 x v Y 2 F s U G F j a 2 F n Z U 1 l d G F k Y X R h R m l s Z T 4 W A A A A U E s F B g A A A A A A A A A A A A A A A A A A A A A A A N o A A A A B A A A A 0 I y d 3 w E V 0 R G M e g D A T 8 K X 6 w E A A A D R h 6 U g a 3 t b R 4 n 5 E q 7 / l f k O A A A A A A I A A A A A A A N m A A D A A A A A E A A A A I 5 P X w N X V Y o C G K 3 8 G S S g G k A A A A A A B I A A A K A A A A A Q A A A A n c y 6 4 + p a E G E m z 8 u X G a T Z S V A A A A B Z c f t E J X e v i T j + h Y W J 8 s c Q H g Q S T V f 2 g g r 9 J u 6 / c w 2 W n Y e X D d e i o 9 1 t 6 E s p H U 3 r f h 5 I R O P j L 3 e t K x Y C A T O M h O u 9 j 8 W J L y j p S / Y L B i F W e O A O w h Q A A A B i b g G j + f D g 3 n 5 x 9 n k g 7 j o 7 k S F 4 m g = = < / D a t a M a s h u p > 
</file>

<file path=customXml/item2.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2020-123998358-377</_dlc_DocId>
    <_dlc_DocIdUrl xmlns="6edf9311-6556-4af2-85ff-d57844cfe120">
      <Url>https://finansnorge.sharepoint.com/sites/intranett/arkiv/_layouts/15/DocIdRedir.aspx?ID=2020-123998358-377</Url>
      <Description>2020-123998358-377</Description>
    </_dlc_DocIdUrl>
  </documentManagement>
</p:properties>
</file>

<file path=customXml/itemProps1.xml><?xml version="1.0" encoding="utf-8"?>
<ds:datastoreItem xmlns:ds="http://schemas.openxmlformats.org/officeDocument/2006/customXml" ds:itemID="{3E838CDB-7DC2-42FE-91DD-11DCF3497501}">
  <ds:schemaRefs>
    <ds:schemaRef ds:uri="http://schemas.microsoft.com/DataMashup"/>
  </ds:schemaRefs>
</ds:datastoreItem>
</file>

<file path=customXml/itemProps2.xml><?xml version="1.0" encoding="utf-8"?>
<ds:datastoreItem xmlns:ds="http://schemas.openxmlformats.org/officeDocument/2006/customXml" ds:itemID="{71D8A23A-6EAC-42A4-88B0-2E446204378B}"/>
</file>

<file path=customXml/itemProps3.xml><?xml version="1.0" encoding="utf-8"?>
<ds:datastoreItem xmlns:ds="http://schemas.openxmlformats.org/officeDocument/2006/customXml" ds:itemID="{296CDA62-A70D-4C55-9784-C828D52684D6}"/>
</file>

<file path=customXml/itemProps4.xml><?xml version="1.0" encoding="utf-8"?>
<ds:datastoreItem xmlns:ds="http://schemas.openxmlformats.org/officeDocument/2006/customXml" ds:itemID="{9B3CBC55-1138-41DA-92B1-024AFFE3CA79}"/>
</file>

<file path=customXml/itemProps5.xml><?xml version="1.0" encoding="utf-8"?>
<ds:datastoreItem xmlns:ds="http://schemas.openxmlformats.org/officeDocument/2006/customXml" ds:itemID="{832BF623-8FD2-43E6-BA9C-536636B85D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34</vt:i4>
      </vt:variant>
      <vt:variant>
        <vt:lpstr>Navngitte områder</vt:lpstr>
      </vt:variant>
      <vt:variant>
        <vt:i4>4</vt:i4>
      </vt:variant>
    </vt:vector>
  </HeadingPairs>
  <TitlesOfParts>
    <vt:vector size="38" baseType="lpstr">
      <vt:lpstr>Forside</vt:lpstr>
      <vt:lpstr>Innhold</vt:lpstr>
      <vt:lpstr>Figurer</vt:lpstr>
      <vt:lpstr>Tabel 1.1</vt:lpstr>
      <vt:lpstr>Tabell 1.2</vt:lpstr>
      <vt:lpstr>Tabell 1.3</vt:lpstr>
      <vt:lpstr>Skjema total MA</vt:lpstr>
      <vt:lpstr>ACE European Group</vt:lpstr>
      <vt:lpstr>Danica Pensjonsforsikring</vt:lpstr>
      <vt:lpstr>DNB Livsforsikring</vt:lpstr>
      <vt:lpstr>Eika Forsikring AS</vt:lpstr>
      <vt:lpstr>Frende Livsforsikring</vt:lpstr>
      <vt:lpstr>Frende Skadeforsikring</vt:lpstr>
      <vt:lpstr>Gjensidige Forsikring</vt:lpstr>
      <vt:lpstr>Gjensidige Pensjon</vt:lpstr>
      <vt:lpstr>Handelsbanken Liv</vt:lpstr>
      <vt:lpstr>If Skadeforsikring NUF</vt:lpstr>
      <vt:lpstr>KLP</vt:lpstr>
      <vt:lpstr>KLP Bedriftspensjon AS</vt:lpstr>
      <vt:lpstr>KLP Skadeforsikring AS</vt:lpstr>
      <vt:lpstr>Landbruksforsikring AS</vt:lpstr>
      <vt:lpstr>NEMI Forsikring</vt:lpstr>
      <vt:lpstr>Nordea Liv </vt:lpstr>
      <vt:lpstr>Oslo Pensjonsforsikring</vt:lpstr>
      <vt:lpstr>SHB Liv</vt:lpstr>
      <vt:lpstr>Silver Pensjonsforsikring AS</vt:lpstr>
      <vt:lpstr>Sparebank 1</vt:lpstr>
      <vt:lpstr>Storebrand Livsforsikring</vt:lpstr>
      <vt:lpstr>Telenor Forsikring</vt:lpstr>
      <vt:lpstr>Tryg Forsikring</vt:lpstr>
      <vt:lpstr>Tabell 4</vt:lpstr>
      <vt:lpstr>Tabell 6</vt:lpstr>
      <vt:lpstr>Tabell 8</vt:lpstr>
      <vt:lpstr>Noter og kommentarer</vt:lpstr>
      <vt:lpstr>'ACE European Group'!Utskriftsområde</vt:lpstr>
      <vt:lpstr>'NEMI Forsikring'!Utskriftsområde</vt:lpstr>
      <vt:lpstr>'Noter og kommentarer'!Utskriftsområde</vt:lpstr>
      <vt:lpstr>'Skjema total MA'!Utskriftsområde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Anne-Kathrine Johansen</dc:creator>
  <cp:lastModifiedBy>Randi Mørk</cp:lastModifiedBy>
  <cp:lastPrinted>2017-09-12T15:54:41Z</cp:lastPrinted>
  <dcterms:created xsi:type="dcterms:W3CDTF">2010-12-15T10:21:26Z</dcterms:created>
  <dcterms:modified xsi:type="dcterms:W3CDTF">2017-11-17T07:58:44Z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d472aacb-6d17-4d24-a9b9-0123028bd912</vt:lpwstr>
  </property>
  <property fmtid="{D5CDD505-2E9C-101B-9397-08002B2CF9AE}" pid="4" name="Avtale">
    <vt:lpwstr/>
  </property>
  <property fmtid="{D5CDD505-2E9C-101B-9397-08002B2CF9AE}" pid="5" name="n5dc56bd60b9453d8a2d716a3ace2936">
    <vt:lpwstr/>
  </property>
  <property fmtid="{D5CDD505-2E9C-101B-9397-08002B2CF9AE}" pid="6" name="Korrespondanse_x002d_fnf">
    <vt:lpwstr/>
  </property>
  <property fmtid="{D5CDD505-2E9C-101B-9397-08002B2CF9AE}" pid="7" name="pb5e3c85e100497daa11dd5a916fed68">
    <vt:lpwstr/>
  </property>
  <property fmtid="{D5CDD505-2E9C-101B-9397-08002B2CF9AE}" pid="8" name="Korrespondanse">
    <vt:lpwstr/>
  </property>
  <property fmtid="{D5CDD505-2E9C-101B-9397-08002B2CF9AE}" pid="9" name="b42cd6bccb18471bb7f8fb6f2b7f8ea5">
    <vt:lpwstr/>
  </property>
  <property fmtid="{D5CDD505-2E9C-101B-9397-08002B2CF9AE}" pid="10" name="Statistikk">
    <vt:lpwstr/>
  </property>
  <property fmtid="{D5CDD505-2E9C-101B-9397-08002B2CF9AE}" pid="11" name="Korrespondanse-fnf">
    <vt:lpwstr/>
  </property>
</Properties>
</file>