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externalLinks/externalLink1.xml" ContentType="application/vnd.openxmlformats-officedocument.spreadsheetml.externalLink+xml"/>
  <Override PartName="/xl/connections.xml" ContentType="application/vnd.openxmlformats-officedocument.spreadsheetml.connection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forsikringsdrift.sharepoint.com/sites/soa/Delte dokumenter/Liv-pensjon/Faste statistikker/MA/2026/Q1-2026/Publisert/"/>
    </mc:Choice>
  </mc:AlternateContent>
  <xr:revisionPtr revIDLastSave="0" documentId="8_{D05D386D-E32E-4BC4-BFC7-16A90C06CBD3}" xr6:coauthVersionLast="47" xr6:coauthVersionMax="47" xr10:uidLastSave="{00000000-0000-0000-0000-000000000000}"/>
  <bookViews>
    <workbookView xWindow="-108" yWindow="-108" windowWidth="30936" windowHeight="16776" tabRatio="835" activeTab="1" xr2:uid="{00000000-000D-0000-FFFF-FFFF00000000}"/>
  </bookViews>
  <sheets>
    <sheet name="Forside" sheetId="80" r:id="rId1"/>
    <sheet name="Innhold" sheetId="7" r:id="rId2"/>
    <sheet name="Figurer" sheetId="8" r:id="rId3"/>
    <sheet name="Tabel 1.1" sheetId="9" r:id="rId4"/>
    <sheet name="Tabell 1.2" sheetId="10" r:id="rId5"/>
    <sheet name="Tabell 1.3" sheetId="58" r:id="rId6"/>
    <sheet name="Skjema total MA" sheetId="4" r:id="rId7"/>
    <sheet name="DNB Livsforsikring" sheetId="13" r:id="rId8"/>
    <sheet name="Euro Accident" sheetId="77" r:id="rId9"/>
    <sheet name="Fremtind" sheetId="93" r:id="rId10"/>
    <sheet name="Frende Livsforsikring" sheetId="20" r:id="rId11"/>
    <sheet name="Frende Skadeforsikring" sheetId="21" r:id="rId12"/>
    <sheet name="Gjensidige Forsikring" sheetId="22" r:id="rId13"/>
    <sheet name="Gjensidige Pensjon" sheetId="23" r:id="rId14"/>
    <sheet name="If Skadeforsikring NUF" sheetId="25" r:id="rId15"/>
    <sheet name="KLP" sheetId="26" r:id="rId16"/>
    <sheet name="KLP Skadeforsikring AS" sheetId="51" r:id="rId17"/>
    <sheet name="Knif Trygghet Forsikring" sheetId="91" r:id="rId18"/>
    <sheet name="Landkreditt Forsikring AS" sheetId="40" r:id="rId19"/>
    <sheet name="Ly Forsikring" sheetId="78" r:id="rId20"/>
    <sheet name="Nordea Liv " sheetId="29" r:id="rId21"/>
    <sheet name="Oslo Forsikring" sheetId="81" r:id="rId22"/>
    <sheet name="Oslo Pensjonsforsikring" sheetId="34" r:id="rId23"/>
    <sheet name="Protector Forsikring" sheetId="72" r:id="rId24"/>
    <sheet name="Sparebank 1 Fors." sheetId="33" r:id="rId25"/>
    <sheet name="Storebrand Livsforsikring" sheetId="37" r:id="rId26"/>
    <sheet name="Telenor Forsikring" sheetId="38" r:id="rId27"/>
    <sheet name="Tryg Forsikring" sheetId="39" r:id="rId28"/>
    <sheet name="WaterCircles F" sheetId="74" r:id="rId29"/>
    <sheet name="Youplus Livsforsikring" sheetId="79" r:id="rId30"/>
    <sheet name="Tabell 4" sheetId="82" r:id="rId31"/>
    <sheet name="Tabell 6" sheetId="86" r:id="rId32"/>
    <sheet name="Tabell 8" sheetId="90" r:id="rId33"/>
    <sheet name="Noter og kommentarer" sheetId="3" r:id="rId34"/>
  </sheets>
  <externalReferences>
    <externalReference r:id="rId35"/>
  </externalReferences>
  <definedNames>
    <definedName name="Dag">#REF!</definedName>
    <definedName name="Dager">#REF!</definedName>
    <definedName name="dato">#REF!</definedName>
    <definedName name="Feilmelding">#REF!</definedName>
    <definedName name="FilNavn">[1]Oppslagstabeller!$N$5</definedName>
    <definedName name="Fjorårstall">#REF!</definedName>
    <definedName name="Koder2a">#REF!</definedName>
    <definedName name="kvartal">#REF!</definedName>
    <definedName name="Måned">#REF!</definedName>
    <definedName name="OppslagsKolonneDataVerdi">#REF!</definedName>
    <definedName name="OppslagsKolonneSelskapNavn">#REF!</definedName>
    <definedName name="Selskap">[1]Oppslagstabeller!$N$4</definedName>
    <definedName name="SelskapKolonneIndeks">[1]!Tabell3[#All]</definedName>
    <definedName name="SelskapListe">#REF!</definedName>
    <definedName name="Selskapsliste">[1]Oppslagstabeller!$A$1:$G$36</definedName>
    <definedName name="UtfylteTall">#REF!</definedName>
    <definedName name="_xlnm.Print_Area" localSheetId="33">'Noter og kommentarer'!$A$1:$L$43</definedName>
    <definedName name="_xlnm.Print_Area" localSheetId="6">'Skjema total MA'!$A$1:$J$138</definedName>
    <definedName name="år">#REF!</definedName>
    <definedName name="ÅrFratrek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90" l="1"/>
  <c r="Y17" i="90"/>
  <c r="S17" i="90"/>
  <c r="P17" i="90"/>
  <c r="M17" i="90"/>
  <c r="G17" i="90"/>
  <c r="AD13" i="90"/>
  <c r="AC13" i="90"/>
  <c r="AJ75" i="86"/>
  <c r="AJ74" i="86"/>
  <c r="AF74" i="86"/>
  <c r="AG74" i="86"/>
  <c r="AF75" i="86"/>
  <c r="AG75" i="86"/>
  <c r="G34" i="82"/>
  <c r="AG27" i="82"/>
  <c r="AG25" i="82"/>
  <c r="I33" i="37"/>
  <c r="I33" i="33"/>
  <c r="I33" i="29"/>
  <c r="M33" i="29"/>
  <c r="I33" i="23"/>
  <c r="M33" i="23"/>
  <c r="F87" i="86" l="1"/>
  <c r="F80" i="86"/>
  <c r="E80" i="86"/>
  <c r="E93" i="86" s="1"/>
  <c r="F54" i="86"/>
  <c r="F50" i="86"/>
  <c r="F39" i="86"/>
  <c r="E39" i="86"/>
  <c r="E45" i="86" s="1"/>
  <c r="E62" i="86" s="1"/>
  <c r="F35" i="86"/>
  <c r="F20" i="86"/>
  <c r="F16" i="86"/>
  <c r="E16" i="86"/>
  <c r="E27" i="86" s="1"/>
  <c r="E29" i="86" s="1"/>
  <c r="F41" i="82"/>
  <c r="E41" i="82"/>
  <c r="F30" i="82"/>
  <c r="E30" i="82"/>
  <c r="F21" i="82"/>
  <c r="E21" i="82"/>
  <c r="F14" i="82"/>
  <c r="E14" i="82"/>
  <c r="E35" i="82" l="1"/>
  <c r="E42" i="82" s="1"/>
  <c r="E44" i="82" s="1"/>
  <c r="E46" i="82" s="1"/>
  <c r="F35" i="82"/>
  <c r="F42" i="82" s="1"/>
  <c r="F44" i="82" s="1"/>
  <c r="F46" i="82" s="1"/>
  <c r="F93" i="86"/>
  <c r="F45" i="86"/>
  <c r="E64" i="86"/>
  <c r="F27" i="86"/>
  <c r="F29" i="86" s="1"/>
  <c r="F60" i="86"/>
  <c r="J36" i="86"/>
  <c r="I80" i="86"/>
  <c r="I93" i="86" s="1"/>
  <c r="H80" i="86"/>
  <c r="H93" i="86" s="1"/>
  <c r="I39" i="86"/>
  <c r="H39" i="86"/>
  <c r="I35" i="86"/>
  <c r="H35" i="86"/>
  <c r="I20" i="86"/>
  <c r="I27" i="86" s="1"/>
  <c r="I29" i="86" s="1"/>
  <c r="H20" i="86"/>
  <c r="H27" i="86" s="1"/>
  <c r="H29" i="86" s="1"/>
  <c r="I41" i="82"/>
  <c r="H41" i="82"/>
  <c r="I30" i="82"/>
  <c r="H30" i="82"/>
  <c r="I21" i="82"/>
  <c r="H21" i="82"/>
  <c r="I14" i="82"/>
  <c r="H14" i="82"/>
  <c r="P86" i="86"/>
  <c r="P84" i="86"/>
  <c r="P79" i="86"/>
  <c r="P52" i="86"/>
  <c r="P43" i="82"/>
  <c r="P28" i="82"/>
  <c r="H35" i="82" l="1"/>
  <c r="H42" i="82" s="1"/>
  <c r="H44" i="82" s="1"/>
  <c r="H46" i="82" s="1"/>
  <c r="F62" i="86"/>
  <c r="F64" i="86" s="1"/>
  <c r="H45" i="86"/>
  <c r="H62" i="86" s="1"/>
  <c r="H64" i="86" s="1"/>
  <c r="I35" i="82"/>
  <c r="I42" i="82" s="1"/>
  <c r="I44" i="82" s="1"/>
  <c r="I46" i="82" s="1"/>
  <c r="I45" i="86"/>
  <c r="I62" i="86" s="1"/>
  <c r="I64" i="86" s="1"/>
  <c r="J35" i="86"/>
  <c r="V17" i="90" l="1"/>
  <c r="U13" i="90"/>
  <c r="T13" i="90"/>
  <c r="V79" i="86"/>
  <c r="V77" i="86"/>
  <c r="V21" i="86"/>
  <c r="U88" i="86"/>
  <c r="U80" i="86"/>
  <c r="U39" i="86"/>
  <c r="U35" i="86"/>
  <c r="U45" i="86" s="1"/>
  <c r="U28" i="86"/>
  <c r="U20" i="86"/>
  <c r="U16" i="86"/>
  <c r="U15" i="86"/>
  <c r="V34" i="82"/>
  <c r="U41" i="82"/>
  <c r="U30" i="82"/>
  <c r="U21" i="82"/>
  <c r="U14" i="82"/>
  <c r="U93" i="86" l="1"/>
  <c r="U27" i="86"/>
  <c r="U29" i="86" s="1"/>
  <c r="U35" i="82"/>
  <c r="U42" i="82" s="1"/>
  <c r="U44" i="82" s="1"/>
  <c r="U46" i="82" s="1"/>
  <c r="U62" i="86"/>
  <c r="U64" i="86" l="1"/>
  <c r="AD80" i="86"/>
  <c r="AD93" i="86" s="1"/>
  <c r="AC80" i="86"/>
  <c r="AC93" i="86" s="1"/>
  <c r="AD39" i="86"/>
  <c r="AD45" i="86" s="1"/>
  <c r="AC39" i="86"/>
  <c r="AC45" i="86" s="1"/>
  <c r="AC62" i="86" s="1"/>
  <c r="AD20" i="86"/>
  <c r="AC20" i="86"/>
  <c r="AC27" i="86" s="1"/>
  <c r="AC29" i="86" s="1"/>
  <c r="AD27" i="86"/>
  <c r="AD29" i="86" s="1"/>
  <c r="AD41" i="82"/>
  <c r="AC41" i="82"/>
  <c r="AD30" i="82"/>
  <c r="AC30" i="82"/>
  <c r="AD21" i="82"/>
  <c r="AC21" i="82"/>
  <c r="AD14" i="82"/>
  <c r="AC14" i="82"/>
  <c r="AD35" i="82" l="1"/>
  <c r="AD42" i="82" s="1"/>
  <c r="AD44" i="82" s="1"/>
  <c r="AD46" i="82" s="1"/>
  <c r="AC35" i="82"/>
  <c r="AC42" i="82" s="1"/>
  <c r="AC44" i="82" s="1"/>
  <c r="AC46" i="82" s="1"/>
  <c r="AC64" i="86"/>
  <c r="AD62" i="86"/>
  <c r="AD64" i="86" s="1"/>
  <c r="M77" i="86" l="1"/>
  <c r="M71" i="86"/>
  <c r="M49" i="86"/>
  <c r="M46" i="86"/>
  <c r="M40" i="86"/>
  <c r="M34" i="86"/>
  <c r="M14" i="86"/>
  <c r="M19" i="86"/>
  <c r="L87" i="86"/>
  <c r="K87" i="86"/>
  <c r="L80" i="86"/>
  <c r="K80" i="86"/>
  <c r="L54" i="86"/>
  <c r="L60" i="86" s="1"/>
  <c r="K54" i="86"/>
  <c r="K60" i="86" s="1"/>
  <c r="L39" i="86"/>
  <c r="K39" i="86"/>
  <c r="L35" i="86"/>
  <c r="K35" i="86"/>
  <c r="L20" i="86"/>
  <c r="K20" i="86"/>
  <c r="L16" i="86"/>
  <c r="K16" i="86"/>
  <c r="K27" i="86" s="1"/>
  <c r="K29" i="86" s="1"/>
  <c r="M26" i="82"/>
  <c r="M17" i="82"/>
  <c r="L41" i="82"/>
  <c r="K41" i="82"/>
  <c r="L30" i="82"/>
  <c r="K30" i="82"/>
  <c r="L21" i="82"/>
  <c r="K21" i="82"/>
  <c r="L14" i="82"/>
  <c r="K14" i="82"/>
  <c r="K45" i="86" l="1"/>
  <c r="L27" i="86"/>
  <c r="L29" i="86" s="1"/>
  <c r="L93" i="86"/>
  <c r="L45" i="86"/>
  <c r="L62" i="86" s="1"/>
  <c r="M16" i="86"/>
  <c r="L35" i="82"/>
  <c r="L42" i="82" s="1"/>
  <c r="L44" i="82" s="1"/>
  <c r="L46" i="82" s="1"/>
  <c r="K93" i="86"/>
  <c r="K35" i="82"/>
  <c r="K42" i="82" s="1"/>
  <c r="K44" i="82" s="1"/>
  <c r="K46" i="82" s="1"/>
  <c r="L64" i="86"/>
  <c r="K62" i="86"/>
  <c r="K64" i="86" s="1"/>
  <c r="C90" i="86" l="1"/>
  <c r="C87" i="86"/>
  <c r="B87" i="86"/>
  <c r="C80" i="86"/>
  <c r="B80" i="86"/>
  <c r="B93" i="86" s="1"/>
  <c r="C54" i="86"/>
  <c r="B54" i="86"/>
  <c r="B60" i="86" s="1"/>
  <c r="C50" i="86"/>
  <c r="C39" i="86"/>
  <c r="B39" i="86"/>
  <c r="C35" i="86"/>
  <c r="C45" i="86" s="1"/>
  <c r="B35" i="86"/>
  <c r="C20" i="86"/>
  <c r="B20" i="86"/>
  <c r="B27" i="86" s="1"/>
  <c r="B29" i="86" s="1"/>
  <c r="C16" i="86"/>
  <c r="C27" i="86" s="1"/>
  <c r="C29" i="86" s="1"/>
  <c r="C41" i="82"/>
  <c r="B41" i="82"/>
  <c r="C30" i="82"/>
  <c r="B30" i="82"/>
  <c r="C21" i="82"/>
  <c r="B21" i="82"/>
  <c r="C14" i="82"/>
  <c r="C35" i="82" s="1"/>
  <c r="B14" i="82"/>
  <c r="B35" i="82" s="1"/>
  <c r="C60" i="86" l="1"/>
  <c r="B42" i="82"/>
  <c r="B44" i="82" s="1"/>
  <c r="B46" i="82" s="1"/>
  <c r="C93" i="86"/>
  <c r="C42" i="82"/>
  <c r="C44" i="82" s="1"/>
  <c r="C46" i="82" s="1"/>
  <c r="B45" i="86"/>
  <c r="B62" i="86" s="1"/>
  <c r="B64" i="86" s="1"/>
  <c r="C62" i="86"/>
  <c r="C64" i="86" s="1"/>
  <c r="AA87" i="86" l="1"/>
  <c r="Z87" i="86"/>
  <c r="AA80" i="86"/>
  <c r="Z80" i="86"/>
  <c r="AA54" i="86"/>
  <c r="Z54" i="86"/>
  <c r="AA50" i="86"/>
  <c r="Z50" i="86"/>
  <c r="AA39" i="86"/>
  <c r="Z39" i="86"/>
  <c r="AA35" i="86"/>
  <c r="AA45" i="86" s="1"/>
  <c r="Z35" i="86"/>
  <c r="Z45" i="86" s="1"/>
  <c r="AA20" i="86"/>
  <c r="Z20" i="86"/>
  <c r="AA16" i="86"/>
  <c r="AA27" i="86" s="1"/>
  <c r="AA29" i="86" s="1"/>
  <c r="Z16" i="86"/>
  <c r="AA41" i="82"/>
  <c r="Z41" i="82"/>
  <c r="AA30" i="82"/>
  <c r="Z30" i="82"/>
  <c r="AA21" i="82"/>
  <c r="Z21" i="82"/>
  <c r="AA14" i="82"/>
  <c r="Z14" i="82"/>
  <c r="Z27" i="86" l="1"/>
  <c r="Z29" i="86" s="1"/>
  <c r="AA60" i="86"/>
  <c r="AA62" i="86" s="1"/>
  <c r="AA64" i="86" s="1"/>
  <c r="Z35" i="82"/>
  <c r="Z42" i="82" s="1"/>
  <c r="Z44" i="82" s="1"/>
  <c r="Z46" i="82" s="1"/>
  <c r="AA35" i="82"/>
  <c r="AA42" i="82" s="1"/>
  <c r="AA44" i="82" s="1"/>
  <c r="AA46" i="82" s="1"/>
  <c r="AA93" i="86"/>
  <c r="Z93" i="86"/>
  <c r="Z60" i="86"/>
  <c r="Z62" i="86" s="1"/>
  <c r="Z64" i="86" s="1"/>
  <c r="S58" i="86" l="1"/>
  <c r="S56" i="86"/>
  <c r="S49" i="86"/>
  <c r="S25" i="86"/>
  <c r="S24" i="86"/>
  <c r="S18" i="86"/>
  <c r="S17" i="86"/>
  <c r="S15" i="86"/>
  <c r="R87" i="86"/>
  <c r="Q87" i="86"/>
  <c r="R80" i="86"/>
  <c r="R93" i="86" s="1"/>
  <c r="Q80" i="86"/>
  <c r="Q93" i="86" s="1"/>
  <c r="R54" i="86"/>
  <c r="R60" i="86" s="1"/>
  <c r="Q54" i="86"/>
  <c r="Q60" i="86" s="1"/>
  <c r="R39" i="86"/>
  <c r="Q39" i="86"/>
  <c r="R35" i="86"/>
  <c r="Q35" i="86"/>
  <c r="R20" i="86"/>
  <c r="Q20" i="86"/>
  <c r="R16" i="86"/>
  <c r="R27" i="86" s="1"/>
  <c r="R29" i="86" s="1"/>
  <c r="Q16" i="86"/>
  <c r="Q27" i="86" s="1"/>
  <c r="Q29" i="86" s="1"/>
  <c r="R41" i="82"/>
  <c r="Q41" i="82"/>
  <c r="R30" i="82"/>
  <c r="Q30" i="82"/>
  <c r="R21" i="82"/>
  <c r="Q21" i="82"/>
  <c r="R14" i="82"/>
  <c r="Q14" i="82"/>
  <c r="R45" i="86" l="1"/>
  <c r="R62" i="86" s="1"/>
  <c r="R64" i="86" s="1"/>
  <c r="Q35" i="82"/>
  <c r="Q42" i="82" s="1"/>
  <c r="Q44" i="82" s="1"/>
  <c r="Q46" i="82" s="1"/>
  <c r="Q45" i="86"/>
  <c r="Q62" i="86" s="1"/>
  <c r="Q64" i="86" s="1"/>
  <c r="R35" i="82"/>
  <c r="R42" i="82" s="1"/>
  <c r="R44" i="82" s="1"/>
  <c r="R46" i="82" s="1"/>
  <c r="S16" i="86"/>
  <c r="G90" i="86" l="1"/>
  <c r="G89" i="86"/>
  <c r="G71" i="86"/>
  <c r="G42" i="86"/>
  <c r="G37" i="86"/>
  <c r="G36" i="86"/>
  <c r="G35" i="86"/>
  <c r="G34" i="86"/>
  <c r="G23" i="86"/>
  <c r="G20" i="86"/>
  <c r="G18" i="86"/>
  <c r="G17" i="86"/>
  <c r="G16" i="86"/>
  <c r="X87" i="86"/>
  <c r="W87" i="86"/>
  <c r="X80" i="86"/>
  <c r="X93" i="86" s="1"/>
  <c r="W80" i="86"/>
  <c r="X54" i="86"/>
  <c r="W54" i="86"/>
  <c r="W60" i="86" s="1"/>
  <c r="X50" i="86"/>
  <c r="X39" i="86"/>
  <c r="W39" i="86"/>
  <c r="X35" i="86"/>
  <c r="W35" i="86"/>
  <c r="X20" i="86"/>
  <c r="W20" i="86"/>
  <c r="X16" i="86"/>
  <c r="X27" i="86" s="1"/>
  <c r="X29" i="86" s="1"/>
  <c r="W16" i="86"/>
  <c r="X41" i="82"/>
  <c r="W41" i="82"/>
  <c r="X30" i="82"/>
  <c r="W30" i="82"/>
  <c r="X21" i="82"/>
  <c r="W21" i="82"/>
  <c r="X14" i="82"/>
  <c r="W14" i="82"/>
  <c r="W93" i="86" l="1"/>
  <c r="W45" i="86"/>
  <c r="W62" i="86" s="1"/>
  <c r="X45" i="86"/>
  <c r="W35" i="82"/>
  <c r="W42" i="82" s="1"/>
  <c r="W44" i="82" s="1"/>
  <c r="W46" i="82" s="1"/>
  <c r="X35" i="82"/>
  <c r="X42" i="82" s="1"/>
  <c r="X44" i="82" s="1"/>
  <c r="X46" i="82" s="1"/>
  <c r="X60" i="86"/>
  <c r="W27" i="86"/>
  <c r="W29" i="86" s="1"/>
  <c r="X62" i="86" l="1"/>
  <c r="X64" i="86" s="1"/>
  <c r="W64" i="86"/>
  <c r="K29" i="93"/>
  <c r="K22" i="93"/>
  <c r="K28" i="93"/>
  <c r="K30" i="93"/>
  <c r="D10" i="91"/>
  <c r="D9" i="91"/>
  <c r="D53" i="91"/>
  <c r="K7" i="91"/>
  <c r="D56" i="91"/>
  <c r="D54" i="91"/>
  <c r="K9" i="91"/>
  <c r="D7" i="91"/>
  <c r="K10" i="91"/>
  <c r="D48" i="91"/>
  <c r="D57" i="91"/>
  <c r="C19" i="9" l="1"/>
  <c r="L9" i="91"/>
  <c r="L7" i="91"/>
  <c r="D47" i="91"/>
  <c r="L10" i="91"/>
  <c r="H19" i="9" l="1"/>
  <c r="N62" i="8" s="1"/>
  <c r="B19" i="9"/>
  <c r="B55" i="9" s="1"/>
  <c r="G19" i="9"/>
  <c r="M62" i="8" s="1"/>
  <c r="N18" i="8"/>
  <c r="C55" i="9"/>
  <c r="AD17" i="90"/>
  <c r="AC17" i="90"/>
  <c r="D17" i="90"/>
  <c r="AD15" i="90"/>
  <c r="AC15" i="90"/>
  <c r="AB15" i="90"/>
  <c r="Y15" i="90"/>
  <c r="V15" i="90"/>
  <c r="S15" i="90"/>
  <c r="P15" i="90"/>
  <c r="M15" i="90"/>
  <c r="D15" i="90"/>
  <c r="AE13" i="90"/>
  <c r="AB13" i="90"/>
  <c r="Y13" i="90"/>
  <c r="V13" i="90"/>
  <c r="S13" i="90"/>
  <c r="P13" i="90"/>
  <c r="M13" i="90"/>
  <c r="J13" i="90"/>
  <c r="G13" i="90"/>
  <c r="D13" i="90"/>
  <c r="D11" i="90"/>
  <c r="H55" i="9" l="1"/>
  <c r="G55" i="9"/>
  <c r="I55" i="9" s="1"/>
  <c r="D55" i="9"/>
  <c r="D19" i="9"/>
  <c r="M18" i="8"/>
  <c r="I19" i="9"/>
  <c r="AE17" i="90"/>
  <c r="AE15" i="90"/>
  <c r="AD8" i="90" l="1"/>
  <c r="AC8" i="90"/>
  <c r="AA8" i="90"/>
  <c r="Z8" i="90"/>
  <c r="X8" i="90"/>
  <c r="W8" i="90"/>
  <c r="U8" i="90"/>
  <c r="T8" i="90"/>
  <c r="R8" i="90"/>
  <c r="Q8" i="90"/>
  <c r="O8" i="90"/>
  <c r="N8" i="90"/>
  <c r="L8" i="90"/>
  <c r="K8" i="90"/>
  <c r="I8" i="90"/>
  <c r="H8" i="90"/>
  <c r="F8" i="90"/>
  <c r="E8" i="90"/>
  <c r="AI93" i="86"/>
  <c r="AF93" i="86"/>
  <c r="G93" i="86"/>
  <c r="AJ91" i="86"/>
  <c r="AI91" i="86"/>
  <c r="AG91" i="86"/>
  <c r="AF91" i="86"/>
  <c r="AE91" i="86"/>
  <c r="AB91" i="86"/>
  <c r="Y91" i="86"/>
  <c r="V91" i="86"/>
  <c r="S91" i="86"/>
  <c r="P91" i="86"/>
  <c r="M91" i="86"/>
  <c r="J91" i="86"/>
  <c r="D91" i="86"/>
  <c r="AJ90" i="86"/>
  <c r="AI90" i="86"/>
  <c r="AG90" i="86"/>
  <c r="AF90" i="86"/>
  <c r="AE90" i="86"/>
  <c r="AB90" i="86"/>
  <c r="Y90" i="86"/>
  <c r="S90" i="86"/>
  <c r="P90" i="86"/>
  <c r="M90" i="86"/>
  <c r="D90" i="86"/>
  <c r="AJ89" i="86"/>
  <c r="AI89" i="86"/>
  <c r="AG89" i="86"/>
  <c r="AF89" i="86"/>
  <c r="Y89" i="86"/>
  <c r="AJ88" i="86"/>
  <c r="AI88" i="86"/>
  <c r="AG88" i="86"/>
  <c r="AF88" i="86"/>
  <c r="AE88" i="86"/>
  <c r="AB88" i="86"/>
  <c r="Y88" i="86"/>
  <c r="V88" i="86"/>
  <c r="S88" i="86"/>
  <c r="P88" i="86"/>
  <c r="M88" i="86"/>
  <c r="J88" i="86"/>
  <c r="G88" i="86"/>
  <c r="D88" i="86"/>
  <c r="AJ86" i="86"/>
  <c r="AI86" i="86"/>
  <c r="AG86" i="86"/>
  <c r="AF86" i="86"/>
  <c r="AJ85" i="86"/>
  <c r="AI85" i="86"/>
  <c r="AG85" i="86"/>
  <c r="AF85" i="86"/>
  <c r="AB85" i="86"/>
  <c r="Y85" i="86"/>
  <c r="P85" i="86"/>
  <c r="M85" i="86"/>
  <c r="D85" i="86"/>
  <c r="AJ84" i="86"/>
  <c r="AI84" i="86"/>
  <c r="AK84" i="86" s="1"/>
  <c r="AG84" i="86"/>
  <c r="AF84" i="86"/>
  <c r="AI83" i="86"/>
  <c r="AK83" i="86" s="1"/>
  <c r="AF83" i="86"/>
  <c r="AH83" i="86" s="1"/>
  <c r="AB83" i="86"/>
  <c r="Y83" i="86"/>
  <c r="AJ82" i="86"/>
  <c r="AI82" i="86"/>
  <c r="AG82" i="86"/>
  <c r="AF82" i="86"/>
  <c r="AB82" i="86"/>
  <c r="Y82" i="86"/>
  <c r="S82" i="86"/>
  <c r="P82" i="86"/>
  <c r="M82" i="86"/>
  <c r="D82" i="86"/>
  <c r="G80" i="86"/>
  <c r="AJ79" i="86"/>
  <c r="AI79" i="86"/>
  <c r="AG79" i="86"/>
  <c r="AF79" i="86"/>
  <c r="AJ78" i="86"/>
  <c r="AI78" i="86"/>
  <c r="AG78" i="86"/>
  <c r="AF78" i="86"/>
  <c r="AB78" i="86"/>
  <c r="Y78" i="86"/>
  <c r="D78" i="86"/>
  <c r="AJ77" i="86"/>
  <c r="AI77" i="86"/>
  <c r="AG77" i="86"/>
  <c r="AF77" i="86"/>
  <c r="AE77" i="86"/>
  <c r="AB77" i="86"/>
  <c r="Y77" i="86"/>
  <c r="S77" i="86"/>
  <c r="P77" i="86"/>
  <c r="D77" i="86"/>
  <c r="AJ76" i="86"/>
  <c r="AI76" i="86"/>
  <c r="AG76" i="86"/>
  <c r="AF76" i="86"/>
  <c r="AE76" i="86"/>
  <c r="AB76" i="86"/>
  <c r="Y76" i="86"/>
  <c r="V76" i="86"/>
  <c r="S76" i="86"/>
  <c r="P76" i="86"/>
  <c r="M76" i="86"/>
  <c r="G76" i="86"/>
  <c r="D76" i="86"/>
  <c r="AI75" i="86"/>
  <c r="AK75" i="86" s="1"/>
  <c r="AH75" i="86"/>
  <c r="P75" i="86"/>
  <c r="AI74" i="86"/>
  <c r="AK74" i="86" s="1"/>
  <c r="AH74" i="86"/>
  <c r="AJ73" i="86"/>
  <c r="AI73" i="86"/>
  <c r="AG73" i="86"/>
  <c r="AF73" i="86"/>
  <c r="AE73" i="86"/>
  <c r="AB73" i="86"/>
  <c r="Y73" i="86"/>
  <c r="V73" i="86"/>
  <c r="S73" i="86"/>
  <c r="P73" i="86"/>
  <c r="M73" i="86"/>
  <c r="J73" i="86"/>
  <c r="G73" i="86"/>
  <c r="D73" i="86"/>
  <c r="AJ71" i="86"/>
  <c r="AI71" i="86"/>
  <c r="AG71" i="86"/>
  <c r="AF71" i="86"/>
  <c r="AB71" i="86"/>
  <c r="Y71" i="86"/>
  <c r="S71" i="86"/>
  <c r="P71" i="86"/>
  <c r="D71" i="86"/>
  <c r="AJ70" i="86"/>
  <c r="AI70" i="86"/>
  <c r="AG70" i="86"/>
  <c r="AF70" i="86"/>
  <c r="AB70" i="86"/>
  <c r="Y70" i="86"/>
  <c r="S70" i="86"/>
  <c r="P70" i="86"/>
  <c r="M70" i="86"/>
  <c r="D70" i="86"/>
  <c r="AJ69" i="86"/>
  <c r="AI69" i="86"/>
  <c r="AG69" i="86"/>
  <c r="AF69" i="86"/>
  <c r="AE69" i="86"/>
  <c r="AB69" i="86"/>
  <c r="Y69" i="86"/>
  <c r="V69" i="86"/>
  <c r="S69" i="86"/>
  <c r="P69" i="86"/>
  <c r="M69" i="86"/>
  <c r="J69" i="86"/>
  <c r="G69" i="86"/>
  <c r="D69" i="86"/>
  <c r="AJ68" i="86"/>
  <c r="AI68" i="86"/>
  <c r="AG68" i="86"/>
  <c r="AF68" i="86"/>
  <c r="AE68" i="86"/>
  <c r="AB68" i="86"/>
  <c r="Y68" i="86"/>
  <c r="V68" i="86"/>
  <c r="S68" i="86"/>
  <c r="P68" i="86"/>
  <c r="M68" i="86"/>
  <c r="J68" i="86"/>
  <c r="G68" i="86"/>
  <c r="D68" i="86"/>
  <c r="AI64" i="86"/>
  <c r="AF64" i="86"/>
  <c r="G64" i="86"/>
  <c r="G62" i="86"/>
  <c r="AJ61" i="86"/>
  <c r="AI61" i="86"/>
  <c r="AG61" i="86"/>
  <c r="AF61" i="86"/>
  <c r="AJ59" i="86"/>
  <c r="AG59" i="86"/>
  <c r="AB59" i="86"/>
  <c r="Y59" i="86"/>
  <c r="S59" i="86"/>
  <c r="P59" i="86"/>
  <c r="AJ58" i="86"/>
  <c r="AI58" i="86"/>
  <c r="AG58" i="86"/>
  <c r="AF58" i="86"/>
  <c r="AB58" i="86"/>
  <c r="P58" i="86"/>
  <c r="AJ57" i="86"/>
  <c r="AI57" i="86"/>
  <c r="AG57" i="86"/>
  <c r="AF57" i="86"/>
  <c r="AB57" i="86"/>
  <c r="P57" i="86"/>
  <c r="D57" i="86"/>
  <c r="AJ56" i="86"/>
  <c r="AG56" i="86"/>
  <c r="Y56" i="86"/>
  <c r="P56" i="86"/>
  <c r="M56" i="86"/>
  <c r="D56" i="86"/>
  <c r="AJ55" i="86"/>
  <c r="AG55" i="86"/>
  <c r="AB55" i="86"/>
  <c r="Y55" i="86"/>
  <c r="S55" i="86"/>
  <c r="P55" i="86"/>
  <c r="M55" i="86"/>
  <c r="AF55" i="86"/>
  <c r="D55" i="86"/>
  <c r="AJ53" i="86"/>
  <c r="AI53" i="86"/>
  <c r="AG53" i="86"/>
  <c r="AF53" i="86"/>
  <c r="AJ52" i="86"/>
  <c r="AI52" i="86"/>
  <c r="AG52" i="86"/>
  <c r="AF52" i="86"/>
  <c r="AJ51" i="86"/>
  <c r="AI51" i="86"/>
  <c r="AG51" i="86"/>
  <c r="AF51" i="86"/>
  <c r="P51" i="86"/>
  <c r="AJ49" i="86"/>
  <c r="AI49" i="86"/>
  <c r="AG49" i="86"/>
  <c r="AF49" i="86"/>
  <c r="AB49" i="86"/>
  <c r="P49" i="86"/>
  <c r="AJ48" i="86"/>
  <c r="AI48" i="86"/>
  <c r="AG48" i="86"/>
  <c r="AF48" i="86"/>
  <c r="AH48" i="86" s="1"/>
  <c r="AJ46" i="86"/>
  <c r="AI46" i="86"/>
  <c r="AG46" i="86"/>
  <c r="AF46" i="86"/>
  <c r="Y46" i="86"/>
  <c r="S46" i="86"/>
  <c r="J46" i="86"/>
  <c r="G46" i="86"/>
  <c r="G45" i="86"/>
  <c r="AJ44" i="86"/>
  <c r="AI44" i="86"/>
  <c r="AG44" i="86"/>
  <c r="AF44" i="86"/>
  <c r="AB44" i="86"/>
  <c r="Y44" i="86"/>
  <c r="S44" i="86"/>
  <c r="P44" i="86"/>
  <c r="M44" i="86"/>
  <c r="J44" i="86"/>
  <c r="G44" i="86"/>
  <c r="D44" i="86"/>
  <c r="AJ43" i="86"/>
  <c r="AI43" i="86"/>
  <c r="AG43" i="86"/>
  <c r="AF43" i="86"/>
  <c r="AB43" i="86"/>
  <c r="Y43" i="86"/>
  <c r="V43" i="86"/>
  <c r="S43" i="86"/>
  <c r="P43" i="86"/>
  <c r="D43" i="86"/>
  <c r="AJ42" i="86"/>
  <c r="AI42" i="86"/>
  <c r="AG42" i="86"/>
  <c r="AF42" i="86"/>
  <c r="AB42" i="86"/>
  <c r="V42" i="86"/>
  <c r="P42" i="86"/>
  <c r="D42" i="86"/>
  <c r="AJ41" i="86"/>
  <c r="AI41" i="86"/>
  <c r="AG41" i="86"/>
  <c r="AF41" i="86"/>
  <c r="AE41" i="86"/>
  <c r="AB41" i="86"/>
  <c r="Y41" i="86"/>
  <c r="V41" i="86"/>
  <c r="S41" i="86"/>
  <c r="P41" i="86"/>
  <c r="M41" i="86"/>
  <c r="J41" i="86"/>
  <c r="G41" i="86"/>
  <c r="D41" i="86"/>
  <c r="AJ40" i="86"/>
  <c r="AI40" i="86"/>
  <c r="AG40" i="86"/>
  <c r="AF40" i="86"/>
  <c r="AB40" i="86"/>
  <c r="Y40" i="86"/>
  <c r="V40" i="86"/>
  <c r="S40" i="86"/>
  <c r="P40" i="86"/>
  <c r="J40" i="86"/>
  <c r="G40" i="86"/>
  <c r="D40" i="86"/>
  <c r="G39" i="86"/>
  <c r="AJ38" i="86"/>
  <c r="AG38" i="86"/>
  <c r="Y38" i="86"/>
  <c r="V38" i="86"/>
  <c r="P38" i="86"/>
  <c r="M38" i="86"/>
  <c r="AJ37" i="86"/>
  <c r="AI37" i="86"/>
  <c r="AG37" i="86"/>
  <c r="AF37" i="86"/>
  <c r="AB37" i="86"/>
  <c r="Y37" i="86"/>
  <c r="S37" i="86"/>
  <c r="D37" i="86"/>
  <c r="AJ36" i="86"/>
  <c r="AI36" i="86"/>
  <c r="AG36" i="86"/>
  <c r="AF36" i="86"/>
  <c r="AB36" i="86"/>
  <c r="Y36" i="86"/>
  <c r="S36" i="86"/>
  <c r="D36" i="86"/>
  <c r="AJ34" i="86"/>
  <c r="AI34" i="86"/>
  <c r="AG34" i="86"/>
  <c r="AF34" i="86"/>
  <c r="AB34" i="86"/>
  <c r="Y34" i="86"/>
  <c r="V34" i="86"/>
  <c r="S34" i="86"/>
  <c r="P34" i="86"/>
  <c r="D34" i="86"/>
  <c r="AJ33" i="86"/>
  <c r="AI33" i="86"/>
  <c r="AG33" i="86"/>
  <c r="AF33" i="86"/>
  <c r="Y33" i="86"/>
  <c r="D33" i="86"/>
  <c r="G29" i="86"/>
  <c r="AJ28" i="86"/>
  <c r="AG28" i="86"/>
  <c r="AE28" i="86"/>
  <c r="AB28" i="86"/>
  <c r="Y28" i="86"/>
  <c r="V28" i="86"/>
  <c r="S28" i="86"/>
  <c r="P28" i="86"/>
  <c r="M28" i="86"/>
  <c r="J28" i="86"/>
  <c r="G28" i="86"/>
  <c r="G27" i="86"/>
  <c r="AJ26" i="86"/>
  <c r="AI26" i="86"/>
  <c r="AK26" i="86" s="1"/>
  <c r="AG26" i="86"/>
  <c r="AF26" i="86"/>
  <c r="AH26" i="86" s="1"/>
  <c r="AJ25" i="86"/>
  <c r="AI25" i="86"/>
  <c r="AG25" i="86"/>
  <c r="AF25" i="86"/>
  <c r="AB25" i="86"/>
  <c r="Y25" i="86"/>
  <c r="P25" i="86"/>
  <c r="J25" i="86"/>
  <c r="G25" i="86"/>
  <c r="D25" i="86"/>
  <c r="AJ24" i="86"/>
  <c r="AI24" i="86"/>
  <c r="AG24" i="86"/>
  <c r="AF24" i="86"/>
  <c r="AB24" i="86"/>
  <c r="V24" i="86"/>
  <c r="P24" i="86"/>
  <c r="D24" i="86"/>
  <c r="AJ23" i="86"/>
  <c r="AI23" i="86"/>
  <c r="AG23" i="86"/>
  <c r="AF23" i="86"/>
  <c r="AE23" i="86"/>
  <c r="AB23" i="86"/>
  <c r="Y23" i="86"/>
  <c r="S23" i="86"/>
  <c r="P23" i="86"/>
  <c r="D23" i="86"/>
  <c r="AJ22" i="86"/>
  <c r="AI22" i="86"/>
  <c r="AG22" i="86"/>
  <c r="AF22" i="86"/>
  <c r="AE22" i="86"/>
  <c r="AB22" i="86"/>
  <c r="Y22" i="86"/>
  <c r="V22" i="86"/>
  <c r="S22" i="86"/>
  <c r="P22" i="86"/>
  <c r="M22" i="86"/>
  <c r="J22" i="86"/>
  <c r="G22" i="86"/>
  <c r="D22" i="86"/>
  <c r="AJ21" i="86"/>
  <c r="AI21" i="86"/>
  <c r="AG21" i="86"/>
  <c r="AF21" i="86"/>
  <c r="AB21" i="86"/>
  <c r="Y21" i="86"/>
  <c r="S21" i="86"/>
  <c r="P21" i="86"/>
  <c r="M21" i="86"/>
  <c r="J21" i="86"/>
  <c r="D21" i="86"/>
  <c r="AJ19" i="86"/>
  <c r="AG19" i="86"/>
  <c r="Y19" i="86"/>
  <c r="V19" i="86"/>
  <c r="P19" i="86"/>
  <c r="AJ18" i="86"/>
  <c r="AI18" i="86"/>
  <c r="AG18" i="86"/>
  <c r="AF18" i="86"/>
  <c r="AB18" i="86"/>
  <c r="Y18" i="86"/>
  <c r="P18" i="86"/>
  <c r="AJ17" i="86"/>
  <c r="AI17" i="86"/>
  <c r="AG17" i="86"/>
  <c r="AF17" i="86"/>
  <c r="AB17" i="86"/>
  <c r="Y17" i="86"/>
  <c r="P17" i="86"/>
  <c r="AJ15" i="86"/>
  <c r="AG15" i="86"/>
  <c r="AB15" i="86"/>
  <c r="Y15" i="86"/>
  <c r="V15" i="86"/>
  <c r="P15" i="86"/>
  <c r="AJ14" i="86"/>
  <c r="AI14" i="86"/>
  <c r="AG14" i="86"/>
  <c r="AF14" i="86"/>
  <c r="Y14" i="86"/>
  <c r="P14" i="86"/>
  <c r="F8" i="86"/>
  <c r="I8" i="86" s="1"/>
  <c r="L8" i="86" s="1"/>
  <c r="O8" i="86" s="1"/>
  <c r="R8" i="86" s="1"/>
  <c r="U8" i="86" s="1"/>
  <c r="X8" i="86" s="1"/>
  <c r="AA8" i="86" s="1"/>
  <c r="AD8" i="86" s="1"/>
  <c r="AG8" i="86" s="1"/>
  <c r="AJ8" i="86" s="1"/>
  <c r="E8" i="86"/>
  <c r="H8" i="86" s="1"/>
  <c r="K8" i="86" s="1"/>
  <c r="N8" i="86" s="1"/>
  <c r="Q8" i="86" s="1"/>
  <c r="T8" i="86" s="1"/>
  <c r="W8" i="86" s="1"/>
  <c r="Z8" i="86" s="1"/>
  <c r="AC8" i="86" s="1"/>
  <c r="AF8" i="86" s="1"/>
  <c r="AI8" i="86" s="1"/>
  <c r="AG45" i="82"/>
  <c r="AF45" i="82"/>
  <c r="AB45" i="82"/>
  <c r="S45" i="82"/>
  <c r="P45" i="82"/>
  <c r="AG43" i="82"/>
  <c r="AF43" i="82"/>
  <c r="AB43" i="82"/>
  <c r="Y43" i="82"/>
  <c r="V43" i="82"/>
  <c r="S43" i="82"/>
  <c r="M43" i="82"/>
  <c r="J43" i="82"/>
  <c r="G43" i="82"/>
  <c r="D43" i="82"/>
  <c r="P41" i="82"/>
  <c r="AG40" i="82"/>
  <c r="AF40" i="82"/>
  <c r="AB40" i="82"/>
  <c r="Y40" i="82"/>
  <c r="V40" i="82"/>
  <c r="S40" i="82"/>
  <c r="P40" i="82"/>
  <c r="M40" i="82"/>
  <c r="G40" i="82"/>
  <c r="D40" i="82"/>
  <c r="AG39" i="82"/>
  <c r="AF39" i="82"/>
  <c r="AB39" i="82"/>
  <c r="Y39" i="82"/>
  <c r="S39" i="82"/>
  <c r="P39" i="82"/>
  <c r="G39" i="82"/>
  <c r="D39" i="82"/>
  <c r="AG38" i="82"/>
  <c r="AF38" i="82"/>
  <c r="AE38" i="82"/>
  <c r="AB38" i="82"/>
  <c r="Y38" i="82"/>
  <c r="V38" i="82"/>
  <c r="S38" i="82"/>
  <c r="P38" i="82"/>
  <c r="M38" i="82"/>
  <c r="J38" i="82"/>
  <c r="G38" i="82"/>
  <c r="D38" i="82"/>
  <c r="AG34" i="82"/>
  <c r="AF34" i="82"/>
  <c r="AB34" i="82"/>
  <c r="Y34" i="82"/>
  <c r="S34" i="82"/>
  <c r="P34" i="82"/>
  <c r="D34" i="82"/>
  <c r="AG33" i="82"/>
  <c r="AF33" i="82"/>
  <c r="AE33" i="82"/>
  <c r="AB33" i="82"/>
  <c r="Y33" i="82"/>
  <c r="S33" i="82"/>
  <c r="P33" i="82"/>
  <c r="M33" i="82"/>
  <c r="J33" i="82"/>
  <c r="G33" i="82"/>
  <c r="D33" i="82"/>
  <c r="AG32" i="82"/>
  <c r="AF32" i="82"/>
  <c r="AB32" i="82"/>
  <c r="Y32" i="82"/>
  <c r="V32" i="82"/>
  <c r="S32" i="82"/>
  <c r="P32" i="82"/>
  <c r="M32" i="82"/>
  <c r="D32" i="82"/>
  <c r="AG31" i="82"/>
  <c r="AF31" i="82"/>
  <c r="AB31" i="82"/>
  <c r="Y31" i="82"/>
  <c r="S31" i="82"/>
  <c r="P31" i="82"/>
  <c r="M31" i="82"/>
  <c r="D31" i="82"/>
  <c r="AG29" i="82"/>
  <c r="AF29" i="82"/>
  <c r="AB29" i="82"/>
  <c r="Y29" i="82"/>
  <c r="S29" i="82"/>
  <c r="D29" i="82"/>
  <c r="AG28" i="82"/>
  <c r="AF28" i="82"/>
  <c r="AB28" i="82"/>
  <c r="J28" i="82"/>
  <c r="D28" i="82"/>
  <c r="AF27" i="82"/>
  <c r="AH27" i="82" s="1"/>
  <c r="AB27" i="82"/>
  <c r="AG26" i="82"/>
  <c r="AF26" i="82"/>
  <c r="AH26" i="82" s="1"/>
  <c r="AB26" i="82"/>
  <c r="Y26" i="82"/>
  <c r="V26" i="82"/>
  <c r="S26" i="82"/>
  <c r="P26" i="82"/>
  <c r="D26" i="82"/>
  <c r="AF25" i="82"/>
  <c r="AH25" i="82" s="1"/>
  <c r="AG24" i="82"/>
  <c r="AF24" i="82"/>
  <c r="AB24" i="82"/>
  <c r="Y24" i="82"/>
  <c r="V24" i="82"/>
  <c r="S24" i="82"/>
  <c r="M24" i="82"/>
  <c r="J24" i="82"/>
  <c r="D24" i="82"/>
  <c r="AG23" i="82"/>
  <c r="AE23" i="82"/>
  <c r="AB23" i="82"/>
  <c r="Y23" i="82"/>
  <c r="V23" i="82"/>
  <c r="S23" i="82"/>
  <c r="P23" i="82"/>
  <c r="AF23" i="82"/>
  <c r="J23" i="82"/>
  <c r="G23" i="82"/>
  <c r="D23" i="82"/>
  <c r="AJ20" i="82"/>
  <c r="AI20" i="82"/>
  <c r="AG20" i="82"/>
  <c r="AF20" i="82"/>
  <c r="AE20" i="82"/>
  <c r="AB20" i="82"/>
  <c r="Y20" i="82"/>
  <c r="S20" i="82"/>
  <c r="P20" i="82"/>
  <c r="M20" i="82"/>
  <c r="G20" i="82"/>
  <c r="D20" i="82"/>
  <c r="AJ19" i="82"/>
  <c r="AG19" i="82"/>
  <c r="Y19" i="82"/>
  <c r="V19" i="82"/>
  <c r="S19" i="82"/>
  <c r="P19" i="82"/>
  <c r="M19" i="82"/>
  <c r="J19" i="82"/>
  <c r="G19" i="82"/>
  <c r="D19" i="82"/>
  <c r="AJ17" i="82"/>
  <c r="AI17" i="82"/>
  <c r="AG17" i="82"/>
  <c r="AF17" i="82"/>
  <c r="AB17" i="82"/>
  <c r="Y17" i="82"/>
  <c r="S17" i="82"/>
  <c r="P17" i="82"/>
  <c r="G17" i="82"/>
  <c r="D17" i="82"/>
  <c r="AJ16" i="82"/>
  <c r="AI16" i="82"/>
  <c r="AG16" i="82"/>
  <c r="AF16" i="82"/>
  <c r="AB16" i="82"/>
  <c r="Y16" i="82"/>
  <c r="S16" i="82"/>
  <c r="P16" i="82"/>
  <c r="M16" i="82"/>
  <c r="D16" i="82"/>
  <c r="AJ15" i="82"/>
  <c r="AI15" i="82"/>
  <c r="AG15" i="82"/>
  <c r="AF15" i="82"/>
  <c r="AB15" i="82"/>
  <c r="Y15" i="82"/>
  <c r="V15" i="82"/>
  <c r="S15" i="82"/>
  <c r="P15" i="82"/>
  <c r="M15" i="82"/>
  <c r="J15" i="82"/>
  <c r="G15" i="82"/>
  <c r="D15" i="82"/>
  <c r="P14" i="82"/>
  <c r="AJ13" i="82"/>
  <c r="AI13" i="82"/>
  <c r="AG13" i="82"/>
  <c r="AF13" i="82"/>
  <c r="AE13" i="82"/>
  <c r="AB13" i="82"/>
  <c r="Y13" i="82"/>
  <c r="S13" i="82"/>
  <c r="P13" i="82"/>
  <c r="M13" i="82"/>
  <c r="D13" i="82"/>
  <c r="AJ12" i="82"/>
  <c r="AI12" i="82"/>
  <c r="AG12" i="82"/>
  <c r="AF12" i="82"/>
  <c r="AE12" i="82"/>
  <c r="AB12" i="82"/>
  <c r="Y12" i="82"/>
  <c r="S12" i="82"/>
  <c r="M12" i="82"/>
  <c r="J12" i="82"/>
  <c r="G12" i="82"/>
  <c r="D12" i="82"/>
  <c r="AJ11" i="82"/>
  <c r="AI11" i="82"/>
  <c r="AG11" i="82"/>
  <c r="AF11" i="82"/>
  <c r="AE11" i="82"/>
  <c r="AB11" i="82"/>
  <c r="Y11" i="82"/>
  <c r="V11" i="82"/>
  <c r="S11" i="82"/>
  <c r="P11" i="82"/>
  <c r="M11" i="82"/>
  <c r="J11" i="82"/>
  <c r="G11" i="82"/>
  <c r="D11" i="82"/>
  <c r="AH24" i="82" l="1"/>
  <c r="AH76" i="86"/>
  <c r="AK76" i="86"/>
  <c r="G41" i="82"/>
  <c r="AH23" i="86"/>
  <c r="AH52" i="86"/>
  <c r="C11" i="58"/>
  <c r="C12" i="58"/>
  <c r="AH17" i="86"/>
  <c r="AH21" i="86"/>
  <c r="AK25" i="86"/>
  <c r="B19" i="58"/>
  <c r="B18" i="58"/>
  <c r="AH55" i="86"/>
  <c r="C25" i="58"/>
  <c r="B11" i="58"/>
  <c r="B10" i="58"/>
  <c r="C13" i="58"/>
  <c r="B9" i="58"/>
  <c r="C19" i="58"/>
  <c r="C18" i="58"/>
  <c r="AK43" i="86"/>
  <c r="B22" i="58"/>
  <c r="C10" i="58"/>
  <c r="C9" i="58"/>
  <c r="C22" i="58"/>
  <c r="C30" i="58"/>
  <c r="B20" i="58"/>
  <c r="B28" i="58"/>
  <c r="AH32" i="82"/>
  <c r="AH38" i="82"/>
  <c r="C20" i="58"/>
  <c r="AK48" i="86"/>
  <c r="B27" i="58"/>
  <c r="C28" i="58"/>
  <c r="C26" i="58"/>
  <c r="B29" i="58"/>
  <c r="C17" i="58"/>
  <c r="C14" i="58"/>
  <c r="C27" i="58"/>
  <c r="C29" i="58"/>
  <c r="C21" i="58"/>
  <c r="B17" i="58"/>
  <c r="Y41" i="82"/>
  <c r="AH45" i="82"/>
  <c r="AK57" i="86"/>
  <c r="AH91" i="86"/>
  <c r="S41" i="82"/>
  <c r="AE41" i="82"/>
  <c r="AH73" i="86"/>
  <c r="V41" i="82"/>
  <c r="AH22" i="86"/>
  <c r="J41" i="82"/>
  <c r="AK44" i="86"/>
  <c r="D35" i="86"/>
  <c r="AK70" i="86"/>
  <c r="AH90" i="86"/>
  <c r="AH71" i="86"/>
  <c r="AK78" i="86"/>
  <c r="AK12" i="82"/>
  <c r="AK18" i="86"/>
  <c r="AH11" i="82"/>
  <c r="AH41" i="86"/>
  <c r="AK24" i="86"/>
  <c r="AK58" i="86"/>
  <c r="AH13" i="82"/>
  <c r="J20" i="86"/>
  <c r="AH37" i="86"/>
  <c r="G30" i="82"/>
  <c r="AF28" i="86"/>
  <c r="AH28" i="86" s="1"/>
  <c r="V39" i="86"/>
  <c r="AK46" i="86"/>
  <c r="AK52" i="86"/>
  <c r="AH58" i="86"/>
  <c r="AK71" i="86"/>
  <c r="AH23" i="82"/>
  <c r="AK13" i="82"/>
  <c r="AH28" i="82"/>
  <c r="AH33" i="86"/>
  <c r="AK40" i="86"/>
  <c r="AH42" i="86"/>
  <c r="AK69" i="86"/>
  <c r="AB30" i="82"/>
  <c r="M41" i="82"/>
  <c r="AH44" i="86"/>
  <c r="AK51" i="86"/>
  <c r="S87" i="86"/>
  <c r="AH16" i="82"/>
  <c r="S21" i="82"/>
  <c r="V16" i="86"/>
  <c r="AK36" i="86"/>
  <c r="AK77" i="86"/>
  <c r="AH61" i="86"/>
  <c r="AH69" i="86"/>
  <c r="V14" i="82"/>
  <c r="AH20" i="82"/>
  <c r="P30" i="82"/>
  <c r="AH34" i="82"/>
  <c r="AH14" i="86"/>
  <c r="AH24" i="86"/>
  <c r="AH43" i="86"/>
  <c r="AH88" i="86"/>
  <c r="AH15" i="82"/>
  <c r="AH39" i="82"/>
  <c r="AH43" i="82"/>
  <c r="D20" i="86"/>
  <c r="AG39" i="86"/>
  <c r="AK20" i="82"/>
  <c r="AK14" i="86"/>
  <c r="P35" i="86"/>
  <c r="AH46" i="86"/>
  <c r="AH70" i="86"/>
  <c r="AH77" i="86"/>
  <c r="J80" i="86"/>
  <c r="AK88" i="86"/>
  <c r="AK15" i="82"/>
  <c r="AH25" i="86"/>
  <c r="S35" i="86"/>
  <c r="AK79" i="86"/>
  <c r="S14" i="82"/>
  <c r="AK17" i="82"/>
  <c r="AH29" i="82"/>
  <c r="J30" i="82"/>
  <c r="Y30" i="82"/>
  <c r="AK17" i="86"/>
  <c r="Y20" i="86"/>
  <c r="V35" i="86"/>
  <c r="M39" i="86"/>
  <c r="AH49" i="86"/>
  <c r="AH78" i="86"/>
  <c r="AK86" i="86"/>
  <c r="Y14" i="82"/>
  <c r="AF19" i="82"/>
  <c r="AH19" i="82" s="1"/>
  <c r="J21" i="82"/>
  <c r="V21" i="82"/>
  <c r="AH31" i="82"/>
  <c r="AB41" i="82"/>
  <c r="S20" i="86"/>
  <c r="AH57" i="86"/>
  <c r="AK90" i="86"/>
  <c r="AH12" i="82"/>
  <c r="AB14" i="82"/>
  <c r="AK16" i="82"/>
  <c r="AH40" i="82"/>
  <c r="AG41" i="82"/>
  <c r="Y54" i="86"/>
  <c r="AK73" i="86"/>
  <c r="AF19" i="86"/>
  <c r="AH19" i="86" s="1"/>
  <c r="J14" i="82"/>
  <c r="D21" i="82"/>
  <c r="M23" i="82"/>
  <c r="AF41" i="82"/>
  <c r="P39" i="86"/>
  <c r="AB39" i="86"/>
  <c r="AH68" i="86"/>
  <c r="AI14" i="82"/>
  <c r="AH17" i="82"/>
  <c r="D30" i="82"/>
  <c r="AH18" i="86"/>
  <c r="D54" i="86"/>
  <c r="P54" i="86"/>
  <c r="AK21" i="86"/>
  <c r="AJ14" i="82"/>
  <c r="AK11" i="82"/>
  <c r="D14" i="82"/>
  <c r="M14" i="82"/>
  <c r="AB19" i="82"/>
  <c r="AH33" i="82"/>
  <c r="AH79" i="86"/>
  <c r="V80" i="86"/>
  <c r="AE20" i="86"/>
  <c r="AK33" i="86"/>
  <c r="AH36" i="86"/>
  <c r="AK42" i="86"/>
  <c r="AH51" i="86"/>
  <c r="AH85" i="86"/>
  <c r="AK23" i="86"/>
  <c r="AJ50" i="86"/>
  <c r="AK68" i="86"/>
  <c r="AK89" i="86"/>
  <c r="AK34" i="86"/>
  <c r="AK49" i="86"/>
  <c r="AH53" i="86"/>
  <c r="AH82" i="86"/>
  <c r="AF15" i="86"/>
  <c r="AH15" i="86" s="1"/>
  <c r="P20" i="86"/>
  <c r="D39" i="86"/>
  <c r="AH40" i="86"/>
  <c r="AK41" i="86"/>
  <c r="AK53" i="86"/>
  <c r="AK61" i="86"/>
  <c r="AK82" i="86"/>
  <c r="AH86" i="86"/>
  <c r="AK91" i="86"/>
  <c r="AB21" i="82"/>
  <c r="AE21" i="82"/>
  <c r="AE14" i="82"/>
  <c r="G21" i="82"/>
  <c r="P21" i="82"/>
  <c r="V30" i="82"/>
  <c r="G14" i="82"/>
  <c r="AF14" i="82"/>
  <c r="AI19" i="82"/>
  <c r="AK19" i="82" s="1"/>
  <c r="Y21" i="82"/>
  <c r="AG21" i="82"/>
  <c r="AE30" i="82"/>
  <c r="D41" i="82"/>
  <c r="AG14" i="82"/>
  <c r="AG30" i="82"/>
  <c r="AI21" i="82"/>
  <c r="AJ21" i="82"/>
  <c r="AE19" i="82"/>
  <c r="S30" i="82"/>
  <c r="AI20" i="86"/>
  <c r="M20" i="86"/>
  <c r="AE39" i="86"/>
  <c r="AJ54" i="86"/>
  <c r="AG54" i="86"/>
  <c r="AG16" i="86"/>
  <c r="AF20" i="86"/>
  <c r="AG20" i="86"/>
  <c r="AF59" i="86"/>
  <c r="AH59" i="86" s="1"/>
  <c r="AI59" i="86"/>
  <c r="AK59" i="86" s="1"/>
  <c r="M59" i="86"/>
  <c r="AJ20" i="86"/>
  <c r="AB19" i="86"/>
  <c r="AI19" i="86"/>
  <c r="M87" i="86"/>
  <c r="AI87" i="86"/>
  <c r="AI15" i="86"/>
  <c r="D15" i="86"/>
  <c r="AB20" i="86"/>
  <c r="AI28" i="86"/>
  <c r="AK28" i="86" s="1"/>
  <c r="D28" i="86"/>
  <c r="Y16" i="86"/>
  <c r="AF35" i="86"/>
  <c r="AI38" i="86"/>
  <c r="AF38" i="86"/>
  <c r="AH38" i="86" s="1"/>
  <c r="AB38" i="86"/>
  <c r="P16" i="86"/>
  <c r="AK22" i="86"/>
  <c r="M35" i="86"/>
  <c r="V20" i="86"/>
  <c r="AH34" i="86"/>
  <c r="AK37" i="86"/>
  <c r="P50" i="86"/>
  <c r="S54" i="86"/>
  <c r="AB80" i="86"/>
  <c r="AK85" i="86"/>
  <c r="D87" i="86"/>
  <c r="Y87" i="86"/>
  <c r="AF87" i="86"/>
  <c r="AJ16" i="86"/>
  <c r="AF39" i="86"/>
  <c r="P87" i="86"/>
  <c r="S80" i="86"/>
  <c r="AJ87" i="86"/>
  <c r="AH89" i="86"/>
  <c r="AF56" i="86"/>
  <c r="AH56" i="86" s="1"/>
  <c r="AI56" i="86"/>
  <c r="AK56" i="86" s="1"/>
  <c r="AF80" i="86"/>
  <c r="Y39" i="86"/>
  <c r="AF50" i="86"/>
  <c r="AB56" i="86"/>
  <c r="AE80" i="86"/>
  <c r="AB87" i="86"/>
  <c r="S39" i="86"/>
  <c r="D80" i="86"/>
  <c r="M80" i="86"/>
  <c r="AG35" i="86"/>
  <c r="Y35" i="86"/>
  <c r="AJ35" i="86"/>
  <c r="J39" i="86"/>
  <c r="AI50" i="86"/>
  <c r="P80" i="86"/>
  <c r="Y80" i="86"/>
  <c r="AI80" i="86"/>
  <c r="AG50" i="86"/>
  <c r="AI55" i="86"/>
  <c r="AJ80" i="86"/>
  <c r="AI39" i="86"/>
  <c r="AG87" i="86"/>
  <c r="AJ39" i="86"/>
  <c r="AG80" i="86"/>
  <c r="Y45" i="86" l="1"/>
  <c r="V27" i="86"/>
  <c r="Y93" i="86"/>
  <c r="AF30" i="82"/>
  <c r="AH30" i="82" s="1"/>
  <c r="D45" i="86"/>
  <c r="J42" i="82"/>
  <c r="S35" i="82"/>
  <c r="B14" i="58"/>
  <c r="AK55" i="86"/>
  <c r="B25" i="58"/>
  <c r="AK38" i="86"/>
  <c r="B21" i="58"/>
  <c r="B26" i="58"/>
  <c r="B30" i="58"/>
  <c r="AK15" i="86"/>
  <c r="B12" i="58"/>
  <c r="AK19" i="86"/>
  <c r="B13" i="58"/>
  <c r="Y27" i="86"/>
  <c r="P35" i="82"/>
  <c r="J29" i="86"/>
  <c r="J27" i="86"/>
  <c r="J35" i="82"/>
  <c r="D93" i="86"/>
  <c r="AK14" i="82"/>
  <c r="AH41" i="82"/>
  <c r="AF54" i="86"/>
  <c r="AH54" i="86" s="1"/>
  <c r="V35" i="82"/>
  <c r="AI16" i="86"/>
  <c r="AK16" i="86" s="1"/>
  <c r="AI54" i="86"/>
  <c r="M30" i="82"/>
  <c r="AI35" i="86"/>
  <c r="AB16" i="86"/>
  <c r="AG60" i="86"/>
  <c r="AF27" i="86"/>
  <c r="J93" i="86"/>
  <c r="Y60" i="86"/>
  <c r="AF16" i="86"/>
  <c r="AH16" i="86" s="1"/>
  <c r="D48" i="81"/>
  <c r="AK21" i="82"/>
  <c r="D60" i="86"/>
  <c r="AJ93" i="86"/>
  <c r="P45" i="86"/>
  <c r="AH14" i="82"/>
  <c r="AB54" i="86"/>
  <c r="S60" i="86"/>
  <c r="S93" i="86"/>
  <c r="AH87" i="86"/>
  <c r="V45" i="86"/>
  <c r="AK87" i="86"/>
  <c r="M93" i="86"/>
  <c r="AG45" i="86"/>
  <c r="AJ45" i="86"/>
  <c r="AH50" i="86"/>
  <c r="AB60" i="86"/>
  <c r="P27" i="86"/>
  <c r="AB35" i="86"/>
  <c r="P93" i="86"/>
  <c r="Y29" i="86"/>
  <c r="V29" i="86"/>
  <c r="P42" i="82"/>
  <c r="AK50" i="86"/>
  <c r="AH80" i="86"/>
  <c r="M45" i="86"/>
  <c r="AH20" i="86"/>
  <c r="D27" i="86"/>
  <c r="Y35" i="82"/>
  <c r="AE35" i="82"/>
  <c r="AG35" i="82"/>
  <c r="D35" i="82"/>
  <c r="AK39" i="86"/>
  <c r="AH35" i="86"/>
  <c r="M54" i="86"/>
  <c r="S27" i="86"/>
  <c r="AB35" i="82"/>
  <c r="AH39" i="86"/>
  <c r="AK20" i="86"/>
  <c r="M21" i="82"/>
  <c r="J44" i="82"/>
  <c r="AG93" i="86"/>
  <c r="AJ27" i="86"/>
  <c r="AG27" i="86"/>
  <c r="AB93" i="86"/>
  <c r="J45" i="86"/>
  <c r="S45" i="86"/>
  <c r="M27" i="86"/>
  <c r="AF21" i="82"/>
  <c r="AK80" i="86"/>
  <c r="AJ60" i="86"/>
  <c r="V93" i="86"/>
  <c r="AE93" i="86"/>
  <c r="P60" i="86"/>
  <c r="G35" i="82"/>
  <c r="Y62" i="86" l="1"/>
  <c r="C23" i="9"/>
  <c r="D47" i="81"/>
  <c r="AE64" i="86"/>
  <c r="AK35" i="86"/>
  <c r="S42" i="82"/>
  <c r="V42" i="82"/>
  <c r="AI45" i="86"/>
  <c r="F21" i="58" s="1"/>
  <c r="G25" i="58"/>
  <c r="G28" i="58"/>
  <c r="G30" i="58"/>
  <c r="G26" i="58"/>
  <c r="G27" i="58"/>
  <c r="G29" i="58"/>
  <c r="G17" i="58"/>
  <c r="G22" i="58"/>
  <c r="G21" i="58"/>
  <c r="G19" i="58"/>
  <c r="G20" i="58"/>
  <c r="G18" i="58"/>
  <c r="AB27" i="86"/>
  <c r="AI60" i="86"/>
  <c r="AB29" i="86"/>
  <c r="AK54" i="86"/>
  <c r="AI27" i="86"/>
  <c r="AK27" i="86" s="1"/>
  <c r="AB45" i="86"/>
  <c r="AF60" i="86"/>
  <c r="G42" i="82"/>
  <c r="M35" i="82"/>
  <c r="AF42" i="82"/>
  <c r="AF45" i="86"/>
  <c r="S44" i="82"/>
  <c r="J62" i="86"/>
  <c r="AG29" i="86"/>
  <c r="AJ29" i="86"/>
  <c r="AG42" i="82"/>
  <c r="P29" i="86"/>
  <c r="AH93" i="86"/>
  <c r="AB42" i="82"/>
  <c r="Y42" i="82"/>
  <c r="J46" i="82"/>
  <c r="D42" i="82"/>
  <c r="AE27" i="86"/>
  <c r="AG62" i="86"/>
  <c r="AJ62" i="86"/>
  <c r="V62" i="86"/>
  <c r="P62" i="86"/>
  <c r="AH27" i="86"/>
  <c r="P44" i="82"/>
  <c r="AE45" i="86"/>
  <c r="S29" i="86"/>
  <c r="AF35" i="82"/>
  <c r="D29" i="86"/>
  <c r="D62" i="86"/>
  <c r="AH21" i="82"/>
  <c r="M29" i="86"/>
  <c r="S62" i="86"/>
  <c r="M60" i="86"/>
  <c r="AE42" i="82"/>
  <c r="V44" i="82"/>
  <c r="AK93" i="86"/>
  <c r="P64" i="86" l="1"/>
  <c r="M66" i="8"/>
  <c r="B23" i="9"/>
  <c r="M22" i="8" s="1"/>
  <c r="AK45" i="86"/>
  <c r="V64" i="86"/>
  <c r="M64" i="86"/>
  <c r="F22" i="58"/>
  <c r="J64" i="86"/>
  <c r="F20" i="58"/>
  <c r="F18" i="58"/>
  <c r="F17" i="58"/>
  <c r="F19" i="58"/>
  <c r="G13" i="58"/>
  <c r="G9" i="58"/>
  <c r="G14" i="58"/>
  <c r="G11" i="58"/>
  <c r="G12" i="58"/>
  <c r="G10" i="58"/>
  <c r="F27" i="58"/>
  <c r="F28" i="58"/>
  <c r="F29" i="58"/>
  <c r="F30" i="58"/>
  <c r="F25" i="58"/>
  <c r="F26" i="58"/>
  <c r="AF29" i="86"/>
  <c r="AH29" i="86" s="1"/>
  <c r="AI62" i="86"/>
  <c r="AK62" i="86" s="1"/>
  <c r="M62" i="86"/>
  <c r="AH42" i="82"/>
  <c r="AK60" i="86"/>
  <c r="AF62" i="86"/>
  <c r="AH62" i="86" s="1"/>
  <c r="AI29" i="86"/>
  <c r="AK29" i="86" s="1"/>
  <c r="P46" i="82"/>
  <c r="G44" i="82"/>
  <c r="AH35" i="82"/>
  <c r="S64" i="86"/>
  <c r="S46" i="82"/>
  <c r="AH60" i="86"/>
  <c r="Y44" i="82"/>
  <c r="AJ64" i="86"/>
  <c r="D64" i="86"/>
  <c r="AG64" i="86"/>
  <c r="AH45" i="86"/>
  <c r="D44" i="82"/>
  <c r="Y64" i="86"/>
  <c r="AE44" i="82"/>
  <c r="AE62" i="86"/>
  <c r="AB62" i="86"/>
  <c r="AG44" i="82"/>
  <c r="AE29" i="86"/>
  <c r="AB44" i="82"/>
  <c r="AB64" i="86"/>
  <c r="V46" i="82"/>
  <c r="M42" i="82"/>
  <c r="B59" i="9" l="1"/>
  <c r="D23" i="9"/>
  <c r="F11" i="58"/>
  <c r="F9" i="58"/>
  <c r="F10" i="58"/>
  <c r="F12" i="58"/>
  <c r="F14" i="58"/>
  <c r="F13" i="58"/>
  <c r="M44" i="82"/>
  <c r="AF44" i="82"/>
  <c r="AH44" i="82" s="1"/>
  <c r="AG46" i="82"/>
  <c r="AK64" i="86"/>
  <c r="AB46" i="82"/>
  <c r="D46" i="82"/>
  <c r="AE46" i="82"/>
  <c r="Y46" i="82"/>
  <c r="G46" i="82"/>
  <c r="AH64" i="86"/>
  <c r="M46" i="82" l="1"/>
  <c r="AF46" i="82"/>
  <c r="D27" i="58"/>
  <c r="AH46" i="82" l="1"/>
  <c r="B33" i="58"/>
  <c r="D29" i="58"/>
  <c r="D17" i="58"/>
  <c r="D11" i="58"/>
  <c r="D18" i="58"/>
  <c r="C38" i="58"/>
  <c r="D19" i="58"/>
  <c r="D22" i="58"/>
  <c r="D26" i="58"/>
  <c r="C37" i="58"/>
  <c r="D28" i="58"/>
  <c r="C34" i="58"/>
  <c r="C35" i="58"/>
  <c r="C24" i="58"/>
  <c r="C36" i="58"/>
  <c r="D20" i="58"/>
  <c r="C16" i="58"/>
  <c r="D30" i="58"/>
  <c r="C33" i="58"/>
  <c r="C8" i="58"/>
  <c r="D9" i="58"/>
  <c r="D14" i="58"/>
  <c r="B35" i="58"/>
  <c r="D10" i="58"/>
  <c r="B34" i="58"/>
  <c r="G16" i="58" l="1"/>
  <c r="G24" i="58"/>
  <c r="D34" i="58"/>
  <c r="C32" i="58"/>
  <c r="G36" i="58" s="1"/>
  <c r="B38" i="58"/>
  <c r="D38" i="58" s="1"/>
  <c r="D35" i="58"/>
  <c r="D13" i="58"/>
  <c r="B37" i="58"/>
  <c r="D33" i="58"/>
  <c r="D25" i="58"/>
  <c r="B24" i="58"/>
  <c r="D24" i="58" s="1"/>
  <c r="B8" i="58"/>
  <c r="D8" i="58" s="1"/>
  <c r="D12" i="58"/>
  <c r="B36" i="58"/>
  <c r="D21" i="58"/>
  <c r="B16" i="58"/>
  <c r="D16" i="58" s="1"/>
  <c r="H22" i="58" l="1"/>
  <c r="H18" i="58"/>
  <c r="H20" i="58"/>
  <c r="H21" i="58"/>
  <c r="G8" i="58"/>
  <c r="H28" i="58"/>
  <c r="H27" i="58"/>
  <c r="H29" i="58"/>
  <c r="H26" i="58"/>
  <c r="H30" i="58"/>
  <c r="G35" i="58"/>
  <c r="B32" i="58"/>
  <c r="F34" i="58" s="1"/>
  <c r="G33" i="58"/>
  <c r="G37" i="58"/>
  <c r="G38" i="58"/>
  <c r="H19" i="58"/>
  <c r="G34" i="58"/>
  <c r="D36" i="58"/>
  <c r="D37" i="58"/>
  <c r="G32" i="58" l="1"/>
  <c r="F33" i="58"/>
  <c r="H33" i="58" s="1"/>
  <c r="H10" i="58"/>
  <c r="H14" i="58"/>
  <c r="F37" i="58"/>
  <c r="H37" i="58" s="1"/>
  <c r="F38" i="58"/>
  <c r="H38" i="58" s="1"/>
  <c r="H34" i="58"/>
  <c r="F36" i="58"/>
  <c r="H36" i="58" s="1"/>
  <c r="H17" i="58"/>
  <c r="F16" i="58"/>
  <c r="H16" i="58" s="1"/>
  <c r="H12" i="58"/>
  <c r="H13" i="58"/>
  <c r="H25" i="58"/>
  <c r="F24" i="58"/>
  <c r="H24" i="58" s="1"/>
  <c r="F35" i="58"/>
  <c r="H35" i="58" s="1"/>
  <c r="D32" i="58"/>
  <c r="H11" i="58"/>
  <c r="H9" i="58"/>
  <c r="F8" i="58"/>
  <c r="H8" i="58" s="1"/>
  <c r="F32" i="58" l="1"/>
  <c r="H32" i="58" s="1"/>
  <c r="K36" i="79" l="1"/>
  <c r="J9" i="79"/>
  <c r="K8" i="79"/>
  <c r="D7" i="79" l="1"/>
  <c r="D37" i="79"/>
  <c r="K122" i="79"/>
  <c r="J23" i="79"/>
  <c r="K114" i="79"/>
  <c r="D48" i="79"/>
  <c r="D10" i="79"/>
  <c r="J114" i="79"/>
  <c r="J29" i="79"/>
  <c r="J97" i="79"/>
  <c r="J28" i="79"/>
  <c r="K76" i="79"/>
  <c r="J122" i="79"/>
  <c r="D122" i="79"/>
  <c r="D9" i="79"/>
  <c r="K7" i="79"/>
  <c r="J22" i="79"/>
  <c r="J30" i="79"/>
  <c r="K10" i="79"/>
  <c r="D36" i="79"/>
  <c r="D8" i="79"/>
  <c r="J8" i="79"/>
  <c r="L8" i="79" s="1"/>
  <c r="K22" i="79"/>
  <c r="K23" i="79"/>
  <c r="K28" i="79"/>
  <c r="K29" i="79"/>
  <c r="K30" i="79"/>
  <c r="J10" i="79"/>
  <c r="K9" i="79"/>
  <c r="L9" i="79" s="1"/>
  <c r="J7" i="79"/>
  <c r="D22" i="79"/>
  <c r="D23" i="79"/>
  <c r="D28" i="79"/>
  <c r="D29" i="79"/>
  <c r="D30" i="79"/>
  <c r="K37" i="79"/>
  <c r="D76" i="79"/>
  <c r="K97" i="79"/>
  <c r="J76" i="79"/>
  <c r="D97" i="79"/>
  <c r="D114" i="79"/>
  <c r="L23" i="79" l="1"/>
  <c r="L122" i="79"/>
  <c r="L76" i="79"/>
  <c r="L97" i="79"/>
  <c r="L114" i="79"/>
  <c r="L10" i="79"/>
  <c r="L22" i="79"/>
  <c r="L29" i="79"/>
  <c r="L28" i="79"/>
  <c r="L7" i="79"/>
  <c r="L30" i="79"/>
  <c r="H31" i="9"/>
  <c r="H67" i="9" s="1"/>
  <c r="K119" i="79"/>
  <c r="K111" i="79"/>
  <c r="G31" i="9"/>
  <c r="G67" i="9" s="1"/>
  <c r="D66" i="79"/>
  <c r="C31" i="9"/>
  <c r="C67" i="9" s="1"/>
  <c r="D111" i="79"/>
  <c r="J111" i="79"/>
  <c r="D119" i="79"/>
  <c r="J119" i="79"/>
  <c r="L111" i="79" l="1"/>
  <c r="L119" i="79"/>
  <c r="D87" i="79"/>
  <c r="K87" i="79"/>
  <c r="D47" i="79"/>
  <c r="B31" i="9"/>
  <c r="B67" i="9" s="1"/>
  <c r="J87" i="79" l="1"/>
  <c r="L87" i="79" s="1"/>
  <c r="J66" i="79"/>
  <c r="K66" i="79"/>
  <c r="L66" i="79" l="1"/>
  <c r="D48" i="78"/>
  <c r="C21" i="9" l="1"/>
  <c r="N20" i="8" s="1"/>
  <c r="D47" i="78"/>
  <c r="N64" i="8"/>
  <c r="M64" i="8" l="1"/>
  <c r="C57" i="9"/>
  <c r="B21" i="9"/>
  <c r="M20" i="8" l="1"/>
  <c r="D21" i="9"/>
  <c r="B57" i="9"/>
  <c r="D57" i="9" s="1"/>
  <c r="D54" i="77" l="1"/>
  <c r="D55" i="77"/>
  <c r="D48" i="77"/>
  <c r="D53" i="77" l="1"/>
  <c r="M54" i="8"/>
  <c r="N54" i="8"/>
  <c r="D49" i="77"/>
  <c r="C10" i="9"/>
  <c r="C46" i="9" l="1"/>
  <c r="N9" i="8"/>
  <c r="B10" i="9"/>
  <c r="M9" i="8" s="1"/>
  <c r="D47" i="77"/>
  <c r="D10" i="9" l="1"/>
  <c r="B46" i="9"/>
  <c r="D46" i="9" s="1"/>
  <c r="N121" i="8" l="1"/>
  <c r="M121" i="8"/>
  <c r="N99" i="8"/>
  <c r="M99" i="8"/>
  <c r="N84" i="8"/>
  <c r="M84" i="8"/>
  <c r="N71" i="8"/>
  <c r="M71" i="8"/>
  <c r="N52" i="8"/>
  <c r="M52" i="8"/>
  <c r="N34" i="8"/>
  <c r="M34" i="8"/>
  <c r="L66" i="9"/>
  <c r="O66" i="9"/>
  <c r="M66" i="9"/>
  <c r="N66" i="9"/>
  <c r="K8" i="74" l="1"/>
  <c r="D8" i="74"/>
  <c r="J8" i="74"/>
  <c r="K7" i="74"/>
  <c r="J7" i="74"/>
  <c r="D48" i="74"/>
  <c r="D7" i="74"/>
  <c r="M72" i="8" l="1"/>
  <c r="L8" i="74"/>
  <c r="C30" i="9"/>
  <c r="L7" i="74"/>
  <c r="D47" i="74"/>
  <c r="N72" i="8"/>
  <c r="B30" i="9" l="1"/>
  <c r="M29" i="8" s="1"/>
  <c r="B66" i="9" l="1"/>
  <c r="B22" i="4" l="1"/>
  <c r="J22" i="93"/>
  <c r="L22" i="93" s="1"/>
  <c r="D22" i="93"/>
  <c r="C22" i="4"/>
  <c r="C29" i="4"/>
  <c r="E22" i="4"/>
  <c r="F22" i="4"/>
  <c r="B29" i="4"/>
  <c r="D29" i="93"/>
  <c r="J29" i="93"/>
  <c r="L29" i="93" s="1"/>
  <c r="E29" i="4"/>
  <c r="F29" i="4"/>
  <c r="E29" i="93" l="1"/>
  <c r="E22" i="93"/>
  <c r="G21" i="10"/>
  <c r="C21" i="10"/>
  <c r="E29" i="79"/>
  <c r="E22" i="79"/>
  <c r="G10" i="10"/>
  <c r="C10" i="10"/>
  <c r="F26" i="4" l="1"/>
  <c r="C32" i="4"/>
  <c r="F32" i="4"/>
  <c r="C23" i="4"/>
  <c r="F23" i="4"/>
  <c r="C30" i="4"/>
  <c r="F33" i="4"/>
  <c r="B31" i="4"/>
  <c r="B32" i="4"/>
  <c r="B25" i="4"/>
  <c r="D28" i="93"/>
  <c r="E23" i="4"/>
  <c r="E24" i="4"/>
  <c r="E30" i="4"/>
  <c r="E33" i="4"/>
  <c r="E25" i="4"/>
  <c r="C24" i="4"/>
  <c r="F24" i="4"/>
  <c r="F30" i="4"/>
  <c r="B23" i="4"/>
  <c r="E31" i="4"/>
  <c r="F25" i="4"/>
  <c r="C31" i="4"/>
  <c r="F31" i="4"/>
  <c r="B30" i="4"/>
  <c r="D30" i="93"/>
  <c r="J30" i="93"/>
  <c r="L30" i="93" s="1"/>
  <c r="E26" i="4"/>
  <c r="C25" i="4"/>
  <c r="B24" i="4"/>
  <c r="E32" i="4"/>
  <c r="K32" i="13"/>
  <c r="D23" i="23"/>
  <c r="H23" i="33"/>
  <c r="D23" i="29"/>
  <c r="D30" i="33"/>
  <c r="D25" i="13"/>
  <c r="D31" i="37"/>
  <c r="D32" i="29"/>
  <c r="H30" i="37"/>
  <c r="H30" i="33"/>
  <c r="H30" i="29"/>
  <c r="H30" i="23"/>
  <c r="H30" i="13"/>
  <c r="D23" i="37"/>
  <c r="D23" i="20"/>
  <c r="D30" i="37"/>
  <c r="D30" i="20"/>
  <c r="H23" i="37"/>
  <c r="H24" i="13"/>
  <c r="H31" i="37"/>
  <c r="H31" i="29"/>
  <c r="H31" i="23"/>
  <c r="H31" i="13"/>
  <c r="H25" i="13"/>
  <c r="D31" i="13"/>
  <c r="H32" i="37"/>
  <c r="H32" i="33"/>
  <c r="H32" i="29"/>
  <c r="H32" i="23"/>
  <c r="H33" i="37"/>
  <c r="H33" i="33"/>
  <c r="H33" i="29"/>
  <c r="H33" i="23"/>
  <c r="H23" i="13"/>
  <c r="D30" i="13"/>
  <c r="D31" i="33"/>
  <c r="D31" i="29"/>
  <c r="D32" i="13"/>
  <c r="H24" i="37"/>
  <c r="H24" i="33"/>
  <c r="H31" i="33"/>
  <c r="H25" i="37"/>
  <c r="H25" i="33"/>
  <c r="H25" i="29"/>
  <c r="H32" i="13"/>
  <c r="D24" i="37"/>
  <c r="D24" i="33"/>
  <c r="D24" i="29"/>
  <c r="D24" i="13"/>
  <c r="H26" i="37"/>
  <c r="H26" i="33"/>
  <c r="H26" i="29"/>
  <c r="H26" i="23"/>
  <c r="J30" i="29"/>
  <c r="D30" i="29"/>
  <c r="J30" i="23"/>
  <c r="D30" i="23"/>
  <c r="D23" i="33"/>
  <c r="H23" i="29"/>
  <c r="H23" i="23"/>
  <c r="D23" i="13"/>
  <c r="J33" i="23"/>
  <c r="J33" i="33"/>
  <c r="J33" i="29"/>
  <c r="J25" i="29"/>
  <c r="J25" i="13"/>
  <c r="J32" i="33"/>
  <c r="J32" i="29"/>
  <c r="J32" i="23"/>
  <c r="J26" i="37"/>
  <c r="J26" i="33"/>
  <c r="J26" i="29"/>
  <c r="J26" i="23"/>
  <c r="K23" i="33"/>
  <c r="J33" i="37"/>
  <c r="K31" i="23"/>
  <c r="K25" i="37"/>
  <c r="K25" i="33"/>
  <c r="K25" i="29"/>
  <c r="K25" i="13"/>
  <c r="K23" i="37"/>
  <c r="K23" i="20"/>
  <c r="K32" i="33"/>
  <c r="K32" i="29"/>
  <c r="K32" i="23"/>
  <c r="K33" i="23"/>
  <c r="K26" i="33"/>
  <c r="K26" i="29"/>
  <c r="K23" i="13"/>
  <c r="K33" i="33"/>
  <c r="K33" i="29"/>
  <c r="J23" i="20"/>
  <c r="J23" i="37"/>
  <c r="K26" i="37"/>
  <c r="K26" i="23"/>
  <c r="K31" i="13"/>
  <c r="J23" i="29"/>
  <c r="J23" i="23"/>
  <c r="J25" i="37"/>
  <c r="J25" i="33"/>
  <c r="K24" i="13"/>
  <c r="K31" i="33"/>
  <c r="K31" i="29"/>
  <c r="J23" i="13"/>
  <c r="K30" i="20"/>
  <c r="K30" i="13"/>
  <c r="K24" i="33"/>
  <c r="K24" i="29"/>
  <c r="J31" i="37"/>
  <c r="J31" i="13"/>
  <c r="J24" i="37"/>
  <c r="J24" i="33"/>
  <c r="J24" i="29"/>
  <c r="J24" i="13"/>
  <c r="K23" i="29"/>
  <c r="K23" i="23"/>
  <c r="J31" i="33"/>
  <c r="J31" i="29"/>
  <c r="J31" i="23"/>
  <c r="K24" i="37"/>
  <c r="K30" i="37"/>
  <c r="J30" i="13"/>
  <c r="J23" i="33"/>
  <c r="J30" i="33"/>
  <c r="J32" i="13"/>
  <c r="J30" i="37"/>
  <c r="J30" i="20"/>
  <c r="J32" i="37"/>
  <c r="K30" i="33"/>
  <c r="K30" i="29"/>
  <c r="K30" i="23"/>
  <c r="K32" i="37"/>
  <c r="K31" i="37"/>
  <c r="K33" i="37"/>
  <c r="H26" i="4" l="1"/>
  <c r="L32" i="13"/>
  <c r="E30" i="93"/>
  <c r="L31" i="23"/>
  <c r="E23" i="79"/>
  <c r="E30" i="79"/>
  <c r="L23" i="33"/>
  <c r="L30" i="37"/>
  <c r="L24" i="29"/>
  <c r="L23" i="20"/>
  <c r="L31" i="29"/>
  <c r="L25" i="29"/>
  <c r="L24" i="33"/>
  <c r="L26" i="33"/>
  <c r="L33" i="23"/>
  <c r="L30" i="20"/>
  <c r="L31" i="13"/>
  <c r="L24" i="13"/>
  <c r="L24" i="37"/>
  <c r="L31" i="37"/>
  <c r="L23" i="23"/>
  <c r="L26" i="37"/>
  <c r="L26" i="29"/>
  <c r="L30" i="29"/>
  <c r="L32" i="37"/>
  <c r="L31" i="33"/>
  <c r="L23" i="13"/>
  <c r="L23" i="29"/>
  <c r="L33" i="37"/>
  <c r="L32" i="23"/>
  <c r="L25" i="13"/>
  <c r="L33" i="29"/>
  <c r="L25" i="33"/>
  <c r="L26" i="23"/>
  <c r="L32" i="29"/>
  <c r="L33" i="33"/>
  <c r="L30" i="13"/>
  <c r="L30" i="33"/>
  <c r="L25" i="37"/>
  <c r="L23" i="37"/>
  <c r="L32" i="33"/>
  <c r="L30" i="23"/>
  <c r="J9" i="72"/>
  <c r="K8" i="72"/>
  <c r="J8" i="72"/>
  <c r="L8" i="72" l="1"/>
  <c r="E31" i="13"/>
  <c r="E31" i="37"/>
  <c r="E31" i="33"/>
  <c r="E31" i="29"/>
  <c r="E23" i="23"/>
  <c r="E23" i="13"/>
  <c r="E23" i="20"/>
  <c r="E23" i="37"/>
  <c r="E23" i="33"/>
  <c r="E23" i="29"/>
  <c r="E25" i="13"/>
  <c r="E30" i="13"/>
  <c r="E30" i="20"/>
  <c r="E30" i="37"/>
  <c r="E30" i="23"/>
  <c r="E30" i="29"/>
  <c r="E30" i="33"/>
  <c r="E32" i="13"/>
  <c r="E32" i="29"/>
  <c r="E24" i="13"/>
  <c r="E24" i="29"/>
  <c r="E24" i="33"/>
  <c r="E24" i="37"/>
  <c r="K7" i="72"/>
  <c r="K9" i="72"/>
  <c r="L9" i="72" s="1"/>
  <c r="J7" i="72"/>
  <c r="D8" i="72"/>
  <c r="D48" i="72"/>
  <c r="D7" i="72"/>
  <c r="D9" i="72"/>
  <c r="L7" i="72" l="1"/>
  <c r="D47" i="72"/>
  <c r="B25" i="9"/>
  <c r="M24" i="8" s="1"/>
  <c r="C25" i="9" l="1"/>
  <c r="B61" i="9"/>
  <c r="C61" i="9" l="1"/>
  <c r="D61" i="9" s="1"/>
  <c r="N24" i="8"/>
  <c r="G33" i="4"/>
  <c r="I33" i="4" l="1"/>
  <c r="H33" i="4"/>
  <c r="M33" i="37" l="1"/>
  <c r="M33" i="33"/>
  <c r="J33" i="4"/>
  <c r="C97" i="4" l="1"/>
  <c r="B97" i="4"/>
  <c r="C76" i="4"/>
  <c r="B76" i="4"/>
  <c r="K97" i="37"/>
  <c r="J97" i="37"/>
  <c r="D97" i="29"/>
  <c r="K97" i="33"/>
  <c r="K97" i="29"/>
  <c r="J97" i="13"/>
  <c r="J97" i="33"/>
  <c r="J97" i="29"/>
  <c r="D97" i="37"/>
  <c r="D97" i="13"/>
  <c r="K97" i="13"/>
  <c r="D97" i="33"/>
  <c r="K76" i="37"/>
  <c r="D76" i="33"/>
  <c r="D76" i="37"/>
  <c r="K76" i="29"/>
  <c r="J76" i="13"/>
  <c r="J76" i="37"/>
  <c r="D76" i="29"/>
  <c r="K76" i="33"/>
  <c r="J76" i="33"/>
  <c r="J76" i="29"/>
  <c r="D76" i="13"/>
  <c r="K76" i="13"/>
  <c r="J8" i="37"/>
  <c r="K8" i="37"/>
  <c r="J9" i="37"/>
  <c r="K9" i="37"/>
  <c r="J37" i="37"/>
  <c r="E76" i="33" l="1"/>
  <c r="E76" i="37"/>
  <c r="E76" i="29"/>
  <c r="E76" i="13"/>
  <c r="E76" i="79"/>
  <c r="L8" i="37"/>
  <c r="L9" i="37"/>
  <c r="L76" i="33"/>
  <c r="L97" i="33"/>
  <c r="L97" i="29"/>
  <c r="L76" i="29"/>
  <c r="L76" i="13"/>
  <c r="D97" i="4"/>
  <c r="D76" i="4"/>
  <c r="L97" i="37"/>
  <c r="L76" i="37"/>
  <c r="L97" i="13"/>
  <c r="I97" i="4"/>
  <c r="I76" i="4"/>
  <c r="H34" i="37"/>
  <c r="H116" i="37"/>
  <c r="D114" i="37"/>
  <c r="D116" i="37"/>
  <c r="J124" i="37"/>
  <c r="H76" i="4"/>
  <c r="H97" i="4"/>
  <c r="K12" i="37"/>
  <c r="K7" i="37"/>
  <c r="H113" i="37"/>
  <c r="H117" i="37"/>
  <c r="J88" i="37"/>
  <c r="K75" i="37"/>
  <c r="K108" i="37"/>
  <c r="K96" i="37"/>
  <c r="K67" i="37"/>
  <c r="J35" i="37"/>
  <c r="J10" i="37"/>
  <c r="D7" i="37"/>
  <c r="K137" i="37"/>
  <c r="K135" i="37"/>
  <c r="K134" i="37"/>
  <c r="K122" i="37"/>
  <c r="D122" i="37"/>
  <c r="H112" i="37"/>
  <c r="J121" i="37"/>
  <c r="D137" i="37"/>
  <c r="H121" i="37"/>
  <c r="K114" i="37"/>
  <c r="K107" i="37"/>
  <c r="K99" i="37"/>
  <c r="J125" i="37"/>
  <c r="D121" i="37"/>
  <c r="K116" i="37"/>
  <c r="K78" i="37"/>
  <c r="D8" i="37"/>
  <c r="H108" i="37"/>
  <c r="D67" i="37"/>
  <c r="K110" i="37"/>
  <c r="J86" i="37"/>
  <c r="K28" i="37"/>
  <c r="H7" i="37"/>
  <c r="D135" i="37"/>
  <c r="H124" i="37"/>
  <c r="J110" i="37"/>
  <c r="D108" i="37"/>
  <c r="D28" i="37"/>
  <c r="D125" i="37"/>
  <c r="K113" i="37"/>
  <c r="J108" i="37"/>
  <c r="D34" i="37"/>
  <c r="K10" i="37"/>
  <c r="K125" i="37"/>
  <c r="J117" i="37"/>
  <c r="J113" i="37"/>
  <c r="D110" i="37"/>
  <c r="K136" i="37"/>
  <c r="J134" i="37"/>
  <c r="H35" i="37"/>
  <c r="J28" i="37"/>
  <c r="K11" i="37"/>
  <c r="J122" i="37"/>
  <c r="J116" i="37"/>
  <c r="K109" i="37"/>
  <c r="D35" i="37"/>
  <c r="J12" i="37"/>
  <c r="J7" i="37"/>
  <c r="H75" i="37"/>
  <c r="D48" i="37"/>
  <c r="J137" i="37"/>
  <c r="K121" i="37"/>
  <c r="J67" i="37"/>
  <c r="H125" i="37"/>
  <c r="D124" i="37"/>
  <c r="D109" i="37"/>
  <c r="H96" i="37"/>
  <c r="K88" i="37"/>
  <c r="D55" i="37"/>
  <c r="J34" i="37"/>
  <c r="D9" i="37"/>
  <c r="J107" i="37"/>
  <c r="D107" i="37"/>
  <c r="K124" i="37"/>
  <c r="D99" i="37"/>
  <c r="D134" i="37"/>
  <c r="D120" i="37"/>
  <c r="J78" i="37"/>
  <c r="D78" i="37"/>
  <c r="J75" i="37"/>
  <c r="D75" i="37"/>
  <c r="J112" i="37"/>
  <c r="D112" i="37"/>
  <c r="J109" i="37"/>
  <c r="J135" i="37"/>
  <c r="D136" i="37"/>
  <c r="K120" i="37"/>
  <c r="J99" i="37"/>
  <c r="J96" i="37"/>
  <c r="D96" i="37"/>
  <c r="K86" i="37"/>
  <c r="J136" i="37"/>
  <c r="J120" i="37"/>
  <c r="J114" i="37"/>
  <c r="H109" i="37"/>
  <c r="D86" i="37"/>
  <c r="K117" i="37"/>
  <c r="K112" i="37"/>
  <c r="D88" i="37"/>
  <c r="H11" i="37"/>
  <c r="D10" i="37"/>
  <c r="K35" i="37"/>
  <c r="D57" i="37"/>
  <c r="D54" i="37"/>
  <c r="K34" i="37"/>
  <c r="H12" i="37"/>
  <c r="K37" i="37"/>
  <c r="D37" i="37"/>
  <c r="H10" i="37"/>
  <c r="J11" i="37"/>
  <c r="L122" i="37" l="1"/>
  <c r="M76" i="13"/>
  <c r="M76" i="33"/>
  <c r="M76" i="37"/>
  <c r="M76" i="29"/>
  <c r="M76" i="79"/>
  <c r="J76" i="4"/>
  <c r="L114" i="37"/>
  <c r="D77" i="37"/>
  <c r="H29" i="37"/>
  <c r="J29" i="37"/>
  <c r="D100" i="37"/>
  <c r="K98" i="37"/>
  <c r="K77" i="37"/>
  <c r="J79" i="37"/>
  <c r="L110" i="37"/>
  <c r="J97" i="4"/>
  <c r="J100" i="37"/>
  <c r="J66" i="37"/>
  <c r="L116" i="37"/>
  <c r="D89" i="37"/>
  <c r="K22" i="37"/>
  <c r="D49" i="37"/>
  <c r="J22" i="37"/>
  <c r="H22" i="37"/>
  <c r="K29" i="37"/>
  <c r="D29" i="37"/>
  <c r="D22" i="37"/>
  <c r="D87" i="37"/>
  <c r="D56" i="37"/>
  <c r="L88" i="37"/>
  <c r="L124" i="37"/>
  <c r="L12" i="37"/>
  <c r="L78" i="37"/>
  <c r="K111" i="37"/>
  <c r="L7" i="37"/>
  <c r="L135" i="37"/>
  <c r="D53" i="37"/>
  <c r="L28" i="37"/>
  <c r="L136" i="37"/>
  <c r="L96" i="37"/>
  <c r="L34" i="37"/>
  <c r="L109" i="37"/>
  <c r="L67" i="37"/>
  <c r="L99" i="37"/>
  <c r="L108" i="37"/>
  <c r="L134" i="37"/>
  <c r="L10" i="37"/>
  <c r="D47" i="37"/>
  <c r="L107" i="37"/>
  <c r="L75" i="37"/>
  <c r="K119" i="37"/>
  <c r="H111" i="37"/>
  <c r="L86" i="37"/>
  <c r="L121" i="37"/>
  <c r="H119" i="37"/>
  <c r="L137" i="37"/>
  <c r="L35" i="37"/>
  <c r="L120" i="37"/>
  <c r="L11" i="37"/>
  <c r="D119" i="37"/>
  <c r="L117" i="37"/>
  <c r="L125" i="37"/>
  <c r="L113" i="37"/>
  <c r="J111" i="37"/>
  <c r="D111" i="37"/>
  <c r="D66" i="37"/>
  <c r="D98" i="37"/>
  <c r="J119" i="37"/>
  <c r="L112" i="37"/>
  <c r="L29" i="37" l="1"/>
  <c r="K79" i="37"/>
  <c r="L79" i="37" s="1"/>
  <c r="K100" i="37"/>
  <c r="L100" i="37" s="1"/>
  <c r="K87" i="37"/>
  <c r="K89" i="37"/>
  <c r="H68" i="37"/>
  <c r="H79" i="37"/>
  <c r="H100" i="37"/>
  <c r="H77" i="37"/>
  <c r="H98" i="37"/>
  <c r="L22" i="37"/>
  <c r="J68" i="37"/>
  <c r="K68" i="37"/>
  <c r="H89" i="37"/>
  <c r="J89" i="37"/>
  <c r="L111" i="37"/>
  <c r="L119" i="37"/>
  <c r="H87" i="37" l="1"/>
  <c r="L89" i="37"/>
  <c r="J98" i="37"/>
  <c r="L98" i="37" s="1"/>
  <c r="J77" i="37"/>
  <c r="L77" i="37" s="1"/>
  <c r="L68" i="37"/>
  <c r="J87" i="37"/>
  <c r="L87" i="37" s="1"/>
  <c r="H66" i="37"/>
  <c r="K66" i="37"/>
  <c r="L66" i="37" s="1"/>
  <c r="G31" i="4" l="1"/>
  <c r="G23" i="4" l="1"/>
  <c r="G24" i="4"/>
  <c r="G30" i="4"/>
  <c r="G25" i="4"/>
  <c r="G32" i="4"/>
  <c r="D32" i="4"/>
  <c r="D24" i="4"/>
  <c r="I23" i="37"/>
  <c r="I25" i="37"/>
  <c r="I30" i="37"/>
  <c r="I31" i="37"/>
  <c r="G26" i="4"/>
  <c r="D25" i="4"/>
  <c r="I24" i="37"/>
  <c r="I32" i="37"/>
  <c r="D30" i="4"/>
  <c r="D31" i="4"/>
  <c r="E29" i="23" l="1"/>
  <c r="E29" i="29"/>
  <c r="E29" i="33"/>
  <c r="E29" i="20"/>
  <c r="E29" i="51"/>
  <c r="E29" i="37"/>
  <c r="E29" i="13"/>
  <c r="D23" i="4"/>
  <c r="I26" i="4"/>
  <c r="J26" i="4" s="1"/>
  <c r="I26" i="29"/>
  <c r="I26" i="23"/>
  <c r="I26" i="33"/>
  <c r="I26" i="37"/>
  <c r="M26" i="29" l="1"/>
  <c r="M26" i="23"/>
  <c r="M26" i="37"/>
  <c r="M26" i="33"/>
  <c r="L51" i="10" l="1"/>
  <c r="G60" i="10"/>
  <c r="F60" i="10" l="1"/>
  <c r="K28" i="10" l="1"/>
  <c r="J28" i="10"/>
  <c r="K9" i="33" l="1"/>
  <c r="K9" i="29"/>
  <c r="K8" i="51"/>
  <c r="K8" i="29"/>
  <c r="K8" i="33"/>
  <c r="K9" i="51"/>
  <c r="K8" i="25"/>
  <c r="K9" i="25"/>
  <c r="K8" i="22"/>
  <c r="K9" i="22"/>
  <c r="K9" i="20"/>
  <c r="K8" i="20"/>
  <c r="J36" i="13"/>
  <c r="J39" i="13"/>
  <c r="J37" i="13"/>
  <c r="K8" i="13"/>
  <c r="K9" i="13"/>
  <c r="J28" i="93"/>
  <c r="L28" i="93" s="1"/>
  <c r="F12" i="4" l="1"/>
  <c r="F134" i="4"/>
  <c r="F35" i="4"/>
  <c r="F117" i="4"/>
  <c r="C49" i="4"/>
  <c r="E49" i="93" s="1"/>
  <c r="F68" i="4"/>
  <c r="F109" i="4"/>
  <c r="F125" i="4"/>
  <c r="C58" i="4"/>
  <c r="F113" i="4"/>
  <c r="F89" i="4"/>
  <c r="B57" i="4"/>
  <c r="D57" i="93"/>
  <c r="F135" i="4"/>
  <c r="E79" i="4"/>
  <c r="C125" i="4"/>
  <c r="F124" i="4"/>
  <c r="F75" i="4"/>
  <c r="E121" i="4"/>
  <c r="E86" i="4"/>
  <c r="B89" i="4"/>
  <c r="B23" i="10" s="1"/>
  <c r="B110" i="4"/>
  <c r="F34" i="4"/>
  <c r="C109" i="4"/>
  <c r="K10" i="93"/>
  <c r="C10" i="4"/>
  <c r="E10" i="91" s="1"/>
  <c r="E117" i="4"/>
  <c r="C114" i="4"/>
  <c r="C12" i="4"/>
  <c r="F7" i="4"/>
  <c r="B34" i="4"/>
  <c r="B49" i="4"/>
  <c r="D49" i="93"/>
  <c r="C121" i="4"/>
  <c r="E75" i="4"/>
  <c r="F14" i="10" s="1"/>
  <c r="C57" i="4"/>
  <c r="E57" i="91" s="1"/>
  <c r="E96" i="4"/>
  <c r="F24" i="10" s="1"/>
  <c r="B108" i="4"/>
  <c r="B134" i="4"/>
  <c r="B15" i="10" s="1"/>
  <c r="C134" i="4"/>
  <c r="D118" i="4"/>
  <c r="C112" i="4"/>
  <c r="B8" i="4"/>
  <c r="J8" i="93"/>
  <c r="D8" i="93"/>
  <c r="B114" i="4"/>
  <c r="E109" i="4"/>
  <c r="E112" i="4"/>
  <c r="E89" i="4"/>
  <c r="C28" i="4"/>
  <c r="C107" i="4"/>
  <c r="C110" i="4"/>
  <c r="B75" i="4"/>
  <c r="B14" i="10" s="1"/>
  <c r="B68" i="4"/>
  <c r="B13" i="10" s="1"/>
  <c r="B107" i="4"/>
  <c r="B120" i="4"/>
  <c r="B112" i="4"/>
  <c r="B28" i="4"/>
  <c r="B121" i="4"/>
  <c r="C137" i="4"/>
  <c r="E124" i="4"/>
  <c r="C34" i="4"/>
  <c r="B88" i="4"/>
  <c r="E68" i="4"/>
  <c r="C99" i="4"/>
  <c r="C89" i="4"/>
  <c r="B39" i="4"/>
  <c r="E108" i="4"/>
  <c r="E113" i="4"/>
  <c r="C113" i="4"/>
  <c r="E35" i="4"/>
  <c r="F42" i="10" s="1"/>
  <c r="B96" i="4"/>
  <c r="B24" i="10" s="1"/>
  <c r="B79" i="4"/>
  <c r="B137" i="4"/>
  <c r="B44" i="10" s="1"/>
  <c r="C122" i="4"/>
  <c r="C135" i="4"/>
  <c r="B122" i="4"/>
  <c r="B124" i="4"/>
  <c r="J9" i="93"/>
  <c r="D9" i="93"/>
  <c r="B9" i="4"/>
  <c r="C136" i="4"/>
  <c r="C78" i="4"/>
  <c r="E135" i="4"/>
  <c r="F25" i="10" s="1"/>
  <c r="B136" i="4"/>
  <c r="B33" i="10" s="1"/>
  <c r="B100" i="4"/>
  <c r="E125" i="4"/>
  <c r="B7" i="4"/>
  <c r="B9" i="10" s="1"/>
  <c r="D7" i="93"/>
  <c r="J7" i="93"/>
  <c r="B55" i="4"/>
  <c r="B135" i="4"/>
  <c r="B25" i="10" s="1"/>
  <c r="E7" i="4"/>
  <c r="F9" i="10" s="1"/>
  <c r="F10" i="4"/>
  <c r="C86" i="4"/>
  <c r="D48" i="93"/>
  <c r="B48" i="4"/>
  <c r="C67" i="4"/>
  <c r="C108" i="4"/>
  <c r="E116" i="4"/>
  <c r="C35" i="4"/>
  <c r="K37" i="13"/>
  <c r="C37" i="4"/>
  <c r="E37" i="79" s="1"/>
  <c r="B10" i="4"/>
  <c r="B20" i="10" s="1"/>
  <c r="J10" i="93"/>
  <c r="D10" i="93"/>
  <c r="E10" i="4"/>
  <c r="F20" i="10" s="1"/>
  <c r="B86" i="4"/>
  <c r="F86" i="4"/>
  <c r="E12" i="4"/>
  <c r="F41" i="10" s="1"/>
  <c r="C96" i="4"/>
  <c r="K8" i="93"/>
  <c r="C8" i="4"/>
  <c r="F79" i="4"/>
  <c r="B116" i="4"/>
  <c r="B12" i="4"/>
  <c r="B41" i="10" s="1"/>
  <c r="E134" i="4"/>
  <c r="F15" i="10" s="1"/>
  <c r="B36" i="4"/>
  <c r="B16" i="10" s="1"/>
  <c r="C88" i="4"/>
  <c r="D54" i="93"/>
  <c r="B54" i="4"/>
  <c r="F116" i="4"/>
  <c r="K36" i="13"/>
  <c r="C36" i="4"/>
  <c r="E36" i="79" s="1"/>
  <c r="E34" i="4"/>
  <c r="F31" i="10" s="1"/>
  <c r="E11" i="4"/>
  <c r="F30" i="10" s="1"/>
  <c r="E107" i="4"/>
  <c r="C68" i="4"/>
  <c r="C118" i="4"/>
  <c r="K39" i="13"/>
  <c r="C39" i="4"/>
  <c r="C75" i="4"/>
  <c r="F96" i="4"/>
  <c r="B58" i="4"/>
  <c r="F107" i="4"/>
  <c r="C79" i="4"/>
  <c r="E100" i="4"/>
  <c r="C124" i="4"/>
  <c r="C116" i="4"/>
  <c r="C7" i="4"/>
  <c r="K7" i="93"/>
  <c r="C120" i="4"/>
  <c r="B35" i="4"/>
  <c r="C48" i="4"/>
  <c r="F100" i="4"/>
  <c r="F11" i="4"/>
  <c r="B37" i="4"/>
  <c r="B26" i="10" s="1"/>
  <c r="F114" i="4"/>
  <c r="C54" i="4"/>
  <c r="C100" i="4"/>
  <c r="B109" i="4"/>
  <c r="F112" i="4"/>
  <c r="K9" i="93"/>
  <c r="C9" i="4"/>
  <c r="E9" i="91" s="1"/>
  <c r="F108" i="4"/>
  <c r="F136" i="4"/>
  <c r="C55" i="4"/>
  <c r="B99" i="4"/>
  <c r="B78" i="4"/>
  <c r="F121" i="4"/>
  <c r="B67" i="4"/>
  <c r="B125" i="4"/>
  <c r="N22" i="8"/>
  <c r="C59" i="9"/>
  <c r="D59" i="9" s="1"/>
  <c r="H38" i="9"/>
  <c r="C36" i="9"/>
  <c r="H37" i="9"/>
  <c r="G36" i="9"/>
  <c r="N59" i="8"/>
  <c r="G15" i="9"/>
  <c r="H11" i="9"/>
  <c r="G12" i="9"/>
  <c r="G48" i="9" s="1"/>
  <c r="C35" i="9"/>
  <c r="B39" i="9"/>
  <c r="C39" i="9"/>
  <c r="G18" i="9"/>
  <c r="C38" i="9"/>
  <c r="H12" i="9"/>
  <c r="G17" i="9"/>
  <c r="H17" i="9"/>
  <c r="G22" i="9"/>
  <c r="G11" i="9"/>
  <c r="H35" i="9"/>
  <c r="H9" i="9"/>
  <c r="H36" i="9"/>
  <c r="G9" i="9"/>
  <c r="C37" i="9"/>
  <c r="G24" i="9"/>
  <c r="G60" i="9" s="1"/>
  <c r="H39" i="9"/>
  <c r="G26" i="9"/>
  <c r="G35" i="9"/>
  <c r="N63" i="8"/>
  <c r="B35" i="9"/>
  <c r="B38" i="9"/>
  <c r="K135" i="26"/>
  <c r="H29" i="29"/>
  <c r="K121" i="13"/>
  <c r="H121" i="33"/>
  <c r="H125" i="33"/>
  <c r="H68" i="29"/>
  <c r="K113" i="33"/>
  <c r="H29" i="13"/>
  <c r="K12" i="29"/>
  <c r="J86" i="29"/>
  <c r="K108" i="33"/>
  <c r="H22" i="33"/>
  <c r="K68" i="33"/>
  <c r="H35" i="29"/>
  <c r="H34" i="13"/>
  <c r="D49" i="51"/>
  <c r="K22" i="51"/>
  <c r="K135" i="34"/>
  <c r="K134" i="26"/>
  <c r="K113" i="29"/>
  <c r="H100" i="29"/>
  <c r="K137" i="26"/>
  <c r="J79" i="29"/>
  <c r="K28" i="51"/>
  <c r="H89" i="29"/>
  <c r="K12" i="33"/>
  <c r="K116" i="33"/>
  <c r="K29" i="51"/>
  <c r="H34" i="33"/>
  <c r="H12" i="33"/>
  <c r="H125" i="29"/>
  <c r="K108" i="23"/>
  <c r="K22" i="23"/>
  <c r="H107" i="23"/>
  <c r="K107" i="33"/>
  <c r="K100" i="33"/>
  <c r="K75" i="33"/>
  <c r="K122" i="33"/>
  <c r="K114" i="33"/>
  <c r="H29" i="33"/>
  <c r="D58" i="39"/>
  <c r="H75" i="33"/>
  <c r="D37" i="13"/>
  <c r="K89" i="23"/>
  <c r="K68" i="23"/>
  <c r="H135" i="26"/>
  <c r="H22" i="29"/>
  <c r="H96" i="33"/>
  <c r="H117" i="33"/>
  <c r="K28" i="25"/>
  <c r="K96" i="33"/>
  <c r="H35" i="33"/>
  <c r="K117" i="33"/>
  <c r="K28" i="23"/>
  <c r="H114" i="33"/>
  <c r="K89" i="33"/>
  <c r="H100" i="23"/>
  <c r="B21" i="10"/>
  <c r="K109" i="23"/>
  <c r="K34" i="13"/>
  <c r="K107" i="13"/>
  <c r="K121" i="23"/>
  <c r="H109" i="23"/>
  <c r="H22" i="23"/>
  <c r="H100" i="33"/>
  <c r="H68" i="33"/>
  <c r="K125" i="33"/>
  <c r="D49" i="39"/>
  <c r="K7" i="13"/>
  <c r="K10" i="29"/>
  <c r="H7" i="23"/>
  <c r="H7" i="29"/>
  <c r="H7" i="33"/>
  <c r="K10" i="33"/>
  <c r="H10" i="13"/>
  <c r="K7" i="23"/>
  <c r="K11" i="33"/>
  <c r="K7" i="29"/>
  <c r="H11" i="13"/>
  <c r="K22" i="13"/>
  <c r="K29" i="13"/>
  <c r="H79" i="13"/>
  <c r="K100" i="13"/>
  <c r="K116" i="13"/>
  <c r="K10" i="13"/>
  <c r="H121" i="13"/>
  <c r="K7" i="20"/>
  <c r="K10" i="20"/>
  <c r="D49" i="26"/>
  <c r="K11" i="29"/>
  <c r="H113" i="29"/>
  <c r="K7" i="33"/>
  <c r="H89" i="33"/>
  <c r="H107" i="33"/>
  <c r="K118" i="33"/>
  <c r="K121" i="33"/>
  <c r="H89" i="13"/>
  <c r="K109" i="13"/>
  <c r="K67" i="13"/>
  <c r="K11" i="13"/>
  <c r="H113" i="33"/>
  <c r="H12" i="23"/>
  <c r="H86" i="23"/>
  <c r="H136" i="26"/>
  <c r="K28" i="29"/>
  <c r="K34" i="29"/>
  <c r="H134" i="26"/>
  <c r="K117" i="29"/>
  <c r="H79" i="23"/>
  <c r="H89" i="23"/>
  <c r="H117" i="23"/>
  <c r="K35" i="29"/>
  <c r="H117" i="29"/>
  <c r="H40" i="9"/>
  <c r="D39" i="13"/>
  <c r="H22" i="13"/>
  <c r="H7" i="13"/>
  <c r="K35" i="13"/>
  <c r="K108" i="13"/>
  <c r="K12" i="13"/>
  <c r="H107" i="13"/>
  <c r="C40" i="9"/>
  <c r="D48" i="13"/>
  <c r="J10" i="13"/>
  <c r="D10" i="13"/>
  <c r="K28" i="13"/>
  <c r="K68" i="13"/>
  <c r="K112" i="13"/>
  <c r="K117" i="13"/>
  <c r="H35" i="13"/>
  <c r="H109" i="13"/>
  <c r="J89" i="13"/>
  <c r="D89" i="13"/>
  <c r="J11" i="13"/>
  <c r="K113" i="13"/>
  <c r="J9" i="13"/>
  <c r="L9" i="13" s="1"/>
  <c r="D9" i="13"/>
  <c r="H68" i="13"/>
  <c r="J88" i="13"/>
  <c r="D88" i="13"/>
  <c r="H100" i="13"/>
  <c r="H12" i="13"/>
  <c r="D78" i="13"/>
  <c r="J78" i="13"/>
  <c r="J12" i="13"/>
  <c r="D12" i="13"/>
  <c r="K120" i="13"/>
  <c r="K88" i="13"/>
  <c r="H117" i="13"/>
  <c r="D35" i="13"/>
  <c r="J35" i="13"/>
  <c r="J68" i="13"/>
  <c r="K86" i="13"/>
  <c r="K89" i="13"/>
  <c r="J107" i="13"/>
  <c r="D107" i="13"/>
  <c r="D112" i="13"/>
  <c r="J112" i="13"/>
  <c r="J117" i="13"/>
  <c r="D86" i="13"/>
  <c r="J86" i="13"/>
  <c r="J125" i="13"/>
  <c r="D8" i="20"/>
  <c r="J8" i="20"/>
  <c r="L8" i="20" s="1"/>
  <c r="J79" i="13"/>
  <c r="D99" i="13"/>
  <c r="J99" i="13"/>
  <c r="J124" i="13"/>
  <c r="D124" i="13"/>
  <c r="H108" i="13"/>
  <c r="H113" i="13"/>
  <c r="D36" i="13"/>
  <c r="D54" i="13"/>
  <c r="D108" i="13"/>
  <c r="J108" i="13"/>
  <c r="J113" i="13"/>
  <c r="K124" i="13"/>
  <c r="J7" i="20"/>
  <c r="D7" i="20"/>
  <c r="J7" i="13"/>
  <c r="D7" i="13"/>
  <c r="D22" i="13"/>
  <c r="J22" i="13"/>
  <c r="J29" i="13"/>
  <c r="D29" i="13"/>
  <c r="D57" i="13"/>
  <c r="K78" i="13"/>
  <c r="K99" i="13"/>
  <c r="D109" i="13"/>
  <c r="J109" i="13"/>
  <c r="J120" i="13"/>
  <c r="D120" i="13"/>
  <c r="H125" i="13"/>
  <c r="J10" i="20"/>
  <c r="D10" i="20"/>
  <c r="J28" i="20"/>
  <c r="D28" i="20"/>
  <c r="D54" i="22"/>
  <c r="D22" i="23"/>
  <c r="J22" i="23"/>
  <c r="D28" i="25"/>
  <c r="J28" i="25"/>
  <c r="J112" i="23"/>
  <c r="D112" i="23"/>
  <c r="D8" i="22"/>
  <c r="J8" i="22"/>
  <c r="L8" i="22" s="1"/>
  <c r="D29" i="23"/>
  <c r="J29" i="23"/>
  <c r="K112" i="23"/>
  <c r="J22" i="51"/>
  <c r="D22" i="51"/>
  <c r="K11" i="23"/>
  <c r="K35" i="23"/>
  <c r="D107" i="23"/>
  <c r="J107" i="23"/>
  <c r="J117" i="23"/>
  <c r="D48" i="25"/>
  <c r="D9" i="22"/>
  <c r="J9" i="22"/>
  <c r="L9" i="22" s="1"/>
  <c r="K12" i="23"/>
  <c r="K67" i="23"/>
  <c r="D78" i="23"/>
  <c r="K78" i="23"/>
  <c r="J108" i="23"/>
  <c r="D108" i="23"/>
  <c r="H113" i="23"/>
  <c r="D67" i="29"/>
  <c r="K67" i="29"/>
  <c r="J75" i="33"/>
  <c r="D75" i="33"/>
  <c r="D48" i="51"/>
  <c r="D54" i="40"/>
  <c r="J28" i="29"/>
  <c r="D28" i="29"/>
  <c r="D136" i="26"/>
  <c r="J136" i="26"/>
  <c r="D7" i="29"/>
  <c r="J7" i="29"/>
  <c r="J12" i="29"/>
  <c r="H12" i="29"/>
  <c r="J109" i="29"/>
  <c r="D109" i="29"/>
  <c r="K120" i="29"/>
  <c r="D68" i="29"/>
  <c r="J68" i="29"/>
  <c r="D86" i="29"/>
  <c r="K86" i="29"/>
  <c r="K89" i="29"/>
  <c r="K107" i="29"/>
  <c r="H121" i="29"/>
  <c r="J10" i="33"/>
  <c r="D10" i="33"/>
  <c r="J68" i="33"/>
  <c r="D68" i="33"/>
  <c r="K78" i="33"/>
  <c r="K112" i="33"/>
  <c r="J8" i="33"/>
  <c r="L8" i="33" s="1"/>
  <c r="D8" i="33"/>
  <c r="H11" i="33"/>
  <c r="K35" i="33"/>
  <c r="D96" i="33"/>
  <c r="J96" i="33"/>
  <c r="J108" i="33"/>
  <c r="D108" i="33"/>
  <c r="K110" i="33"/>
  <c r="D116" i="33"/>
  <c r="J116" i="33"/>
  <c r="D54" i="39"/>
  <c r="J8" i="13"/>
  <c r="L8" i="13" s="1"/>
  <c r="D8" i="13"/>
  <c r="J28" i="13"/>
  <c r="D28" i="13"/>
  <c r="J34" i="13"/>
  <c r="D34" i="13"/>
  <c r="D67" i="13"/>
  <c r="J67" i="13"/>
  <c r="K79" i="13"/>
  <c r="D100" i="13"/>
  <c r="J100" i="13"/>
  <c r="J116" i="13"/>
  <c r="D116" i="13"/>
  <c r="J121" i="13"/>
  <c r="K125" i="13"/>
  <c r="D57" i="22"/>
  <c r="J9" i="20"/>
  <c r="L9" i="20" s="1"/>
  <c r="D9" i="20"/>
  <c r="K22" i="20"/>
  <c r="K29" i="20"/>
  <c r="J113" i="23"/>
  <c r="K7" i="22"/>
  <c r="D49" i="22"/>
  <c r="J10" i="23"/>
  <c r="J34" i="23"/>
  <c r="K113" i="23"/>
  <c r="J125" i="23"/>
  <c r="J7" i="25"/>
  <c r="D7" i="25"/>
  <c r="D29" i="51"/>
  <c r="J29" i="51"/>
  <c r="J12" i="23"/>
  <c r="J78" i="23"/>
  <c r="H29" i="23"/>
  <c r="J68" i="23"/>
  <c r="K79" i="23"/>
  <c r="J88" i="23"/>
  <c r="D88" i="23"/>
  <c r="K99" i="23"/>
  <c r="J109" i="23"/>
  <c r="K120" i="23"/>
  <c r="D48" i="40"/>
  <c r="J29" i="29"/>
  <c r="D29" i="29"/>
  <c r="D134" i="26"/>
  <c r="J134" i="26"/>
  <c r="D137" i="26"/>
  <c r="J137" i="26"/>
  <c r="K7" i="51"/>
  <c r="K10" i="51"/>
  <c r="J78" i="29"/>
  <c r="D78" i="29"/>
  <c r="J22" i="29"/>
  <c r="D22" i="29"/>
  <c r="K68" i="29"/>
  <c r="J88" i="29"/>
  <c r="D88" i="29"/>
  <c r="J11" i="33"/>
  <c r="J121" i="29"/>
  <c r="J134" i="34"/>
  <c r="D134" i="34"/>
  <c r="K108" i="29"/>
  <c r="H107" i="29"/>
  <c r="J117" i="29"/>
  <c r="J135" i="34"/>
  <c r="D135" i="34"/>
  <c r="J9" i="33"/>
  <c r="L9" i="33" s="1"/>
  <c r="D9" i="33"/>
  <c r="J78" i="33"/>
  <c r="D78" i="33"/>
  <c r="J22" i="33"/>
  <c r="D22" i="33"/>
  <c r="J29" i="33"/>
  <c r="D29" i="33"/>
  <c r="J67" i="33"/>
  <c r="K79" i="33"/>
  <c r="J99" i="33"/>
  <c r="D99" i="33"/>
  <c r="D109" i="33"/>
  <c r="J109" i="33"/>
  <c r="D48" i="38"/>
  <c r="G40" i="9"/>
  <c r="J112" i="33"/>
  <c r="D112" i="33"/>
  <c r="J117" i="33"/>
  <c r="D48" i="39"/>
  <c r="D54" i="20"/>
  <c r="D57" i="21"/>
  <c r="K28" i="20"/>
  <c r="J28" i="23"/>
  <c r="D28" i="23"/>
  <c r="D48" i="21"/>
  <c r="D57" i="25"/>
  <c r="J11" i="23"/>
  <c r="J35" i="23"/>
  <c r="J8" i="25"/>
  <c r="L8" i="25" s="1"/>
  <c r="D8" i="25"/>
  <c r="J9" i="51"/>
  <c r="L9" i="51" s="1"/>
  <c r="D9" i="51"/>
  <c r="K29" i="23"/>
  <c r="J67" i="23"/>
  <c r="D67" i="23"/>
  <c r="J79" i="23"/>
  <c r="J99" i="23"/>
  <c r="D99" i="23"/>
  <c r="J120" i="23"/>
  <c r="D120" i="23"/>
  <c r="K125" i="23"/>
  <c r="K7" i="25"/>
  <c r="D48" i="22"/>
  <c r="H10" i="23"/>
  <c r="H34" i="23"/>
  <c r="K86" i="23"/>
  <c r="J89" i="23"/>
  <c r="K100" i="23"/>
  <c r="J121" i="23"/>
  <c r="H125" i="23"/>
  <c r="D54" i="25"/>
  <c r="J7" i="51"/>
  <c r="D7" i="51"/>
  <c r="D10" i="51"/>
  <c r="J10" i="51"/>
  <c r="J34" i="29"/>
  <c r="D34" i="29"/>
  <c r="D10" i="29"/>
  <c r="J10" i="29"/>
  <c r="J89" i="29"/>
  <c r="D89" i="29"/>
  <c r="H10" i="29"/>
  <c r="K22" i="29"/>
  <c r="K29" i="29"/>
  <c r="J120" i="29"/>
  <c r="D120" i="29"/>
  <c r="J107" i="29"/>
  <c r="D107" i="29"/>
  <c r="K78" i="29"/>
  <c r="K99" i="29"/>
  <c r="K109" i="29"/>
  <c r="J125" i="29"/>
  <c r="K134" i="34"/>
  <c r="H27" i="9"/>
  <c r="N69" i="8" s="1"/>
  <c r="H79" i="29"/>
  <c r="J113" i="29"/>
  <c r="K125" i="29"/>
  <c r="D67" i="33"/>
  <c r="K67" i="33"/>
  <c r="J79" i="33"/>
  <c r="D79" i="33"/>
  <c r="J34" i="33"/>
  <c r="D34" i="33"/>
  <c r="K86" i="33"/>
  <c r="D122" i="33"/>
  <c r="J122" i="33"/>
  <c r="K22" i="33"/>
  <c r="K29" i="33"/>
  <c r="H79" i="33"/>
  <c r="J88" i="33"/>
  <c r="D88" i="33"/>
  <c r="J100" i="33"/>
  <c r="D100" i="33"/>
  <c r="K120" i="33"/>
  <c r="D113" i="33"/>
  <c r="J113" i="33"/>
  <c r="D118" i="33"/>
  <c r="J118" i="33"/>
  <c r="L118" i="33" s="1"/>
  <c r="D57" i="39"/>
  <c r="J22" i="20"/>
  <c r="D22" i="20"/>
  <c r="J29" i="20"/>
  <c r="D29" i="20"/>
  <c r="D48" i="20"/>
  <c r="J7" i="23"/>
  <c r="K88" i="23"/>
  <c r="J35" i="29"/>
  <c r="D7" i="22"/>
  <c r="J7" i="22"/>
  <c r="H121" i="23"/>
  <c r="K10" i="23"/>
  <c r="K34" i="23"/>
  <c r="H68" i="23"/>
  <c r="D86" i="23"/>
  <c r="J86" i="23"/>
  <c r="J100" i="23"/>
  <c r="J28" i="51"/>
  <c r="D28" i="51"/>
  <c r="H11" i="23"/>
  <c r="H35" i="23"/>
  <c r="K107" i="23"/>
  <c r="K117" i="23"/>
  <c r="J9" i="25"/>
  <c r="L9" i="25" s="1"/>
  <c r="D9" i="25"/>
  <c r="K136" i="26"/>
  <c r="J8" i="51"/>
  <c r="L8" i="51" s="1"/>
  <c r="D8" i="51"/>
  <c r="D135" i="26"/>
  <c r="J135" i="26"/>
  <c r="D57" i="40"/>
  <c r="J8" i="29"/>
  <c r="L8" i="29" s="1"/>
  <c r="D8" i="29"/>
  <c r="J11" i="29"/>
  <c r="J99" i="29"/>
  <c r="D99" i="29"/>
  <c r="D120" i="33"/>
  <c r="J120" i="33"/>
  <c r="D9" i="29"/>
  <c r="J9" i="29"/>
  <c r="L9" i="29" s="1"/>
  <c r="H11" i="29"/>
  <c r="H34" i="29"/>
  <c r="J100" i="29"/>
  <c r="D100" i="29"/>
  <c r="J108" i="29"/>
  <c r="D108" i="29"/>
  <c r="J12" i="33"/>
  <c r="D125" i="33"/>
  <c r="J125" i="33"/>
  <c r="J67" i="29"/>
  <c r="D79" i="29"/>
  <c r="K79" i="29"/>
  <c r="K88" i="29"/>
  <c r="K100" i="29"/>
  <c r="K121" i="29"/>
  <c r="K99" i="33"/>
  <c r="H86" i="29"/>
  <c r="H109" i="29"/>
  <c r="K88" i="33"/>
  <c r="J86" i="33"/>
  <c r="D121" i="33"/>
  <c r="J121" i="33"/>
  <c r="J35" i="33"/>
  <c r="D35" i="33"/>
  <c r="J7" i="33"/>
  <c r="D7" i="33"/>
  <c r="H10" i="33"/>
  <c r="K34" i="33"/>
  <c r="H86" i="33"/>
  <c r="J89" i="33"/>
  <c r="D89" i="33"/>
  <c r="J107" i="33"/>
  <c r="J110" i="33"/>
  <c r="D110" i="33"/>
  <c r="K109" i="33"/>
  <c r="H109" i="33"/>
  <c r="J114" i="33"/>
  <c r="D114" i="33"/>
  <c r="G27" i="9"/>
  <c r="B10" i="10"/>
  <c r="F21" i="10"/>
  <c r="F10" i="10"/>
  <c r="E36" i="13" l="1"/>
  <c r="E37" i="37"/>
  <c r="E37" i="13"/>
  <c r="B11" i="9"/>
  <c r="H77" i="29"/>
  <c r="L10" i="93"/>
  <c r="D56" i="21"/>
  <c r="D53" i="20"/>
  <c r="E54" i="91"/>
  <c r="F111" i="4"/>
  <c r="E54" i="93"/>
  <c r="L7" i="93"/>
  <c r="F119" i="4"/>
  <c r="L9" i="93"/>
  <c r="C47" i="4"/>
  <c r="E47" i="91" s="1"/>
  <c r="F77" i="4"/>
  <c r="C119" i="4"/>
  <c r="E28" i="93"/>
  <c r="C111" i="4"/>
  <c r="C56" i="4"/>
  <c r="L8" i="93"/>
  <c r="E8" i="93"/>
  <c r="F98" i="4"/>
  <c r="C66" i="4"/>
  <c r="D56" i="93"/>
  <c r="B56" i="4"/>
  <c r="B49" i="10" s="1"/>
  <c r="B119" i="4"/>
  <c r="B43" i="10" s="1"/>
  <c r="D47" i="93"/>
  <c r="B47" i="4"/>
  <c r="B11" i="10" s="1"/>
  <c r="E7" i="93"/>
  <c r="C53" i="4"/>
  <c r="C77" i="4"/>
  <c r="E48" i="93"/>
  <c r="C11" i="9"/>
  <c r="E10" i="93"/>
  <c r="E98" i="4"/>
  <c r="E7" i="91"/>
  <c r="E87" i="4"/>
  <c r="C87" i="4"/>
  <c r="E77" i="4"/>
  <c r="E66" i="4"/>
  <c r="F87" i="4"/>
  <c r="F66" i="4"/>
  <c r="B77" i="4"/>
  <c r="B111" i="4"/>
  <c r="B32" i="10" s="1"/>
  <c r="E111" i="4"/>
  <c r="F32" i="10" s="1"/>
  <c r="B66" i="4"/>
  <c r="B87" i="4"/>
  <c r="B22" i="10" s="1"/>
  <c r="E48" i="91"/>
  <c r="E9" i="93"/>
  <c r="B98" i="4"/>
  <c r="E119" i="4"/>
  <c r="C98" i="4"/>
  <c r="B53" i="4"/>
  <c r="B38" i="10" s="1"/>
  <c r="D53" i="93"/>
  <c r="E57" i="93"/>
  <c r="G114" i="4"/>
  <c r="G125" i="4"/>
  <c r="K77" i="33"/>
  <c r="G89" i="4"/>
  <c r="E48" i="81"/>
  <c r="G112" i="4"/>
  <c r="G109" i="4"/>
  <c r="G79" i="4"/>
  <c r="M58" i="8"/>
  <c r="G51" i="9"/>
  <c r="M61" i="8"/>
  <c r="G54" i="9"/>
  <c r="M70" i="8"/>
  <c r="M65" i="8"/>
  <c r="M68" i="8"/>
  <c r="M69" i="8"/>
  <c r="G63" i="9"/>
  <c r="M60" i="8"/>
  <c r="G45" i="9"/>
  <c r="G68" i="4"/>
  <c r="G116" i="4"/>
  <c r="G113" i="4"/>
  <c r="G107" i="4"/>
  <c r="G24" i="10"/>
  <c r="C25" i="10"/>
  <c r="G23" i="10"/>
  <c r="C15" i="10"/>
  <c r="G15" i="10"/>
  <c r="C16" i="10"/>
  <c r="C14" i="10"/>
  <c r="G20" i="10"/>
  <c r="G13" i="10"/>
  <c r="G9" i="10"/>
  <c r="C26" i="10"/>
  <c r="N66" i="8"/>
  <c r="C9" i="10"/>
  <c r="C23" i="10"/>
  <c r="C20" i="10"/>
  <c r="C24" i="10"/>
  <c r="C13" i="10"/>
  <c r="G14" i="10"/>
  <c r="G25" i="10"/>
  <c r="G117" i="4"/>
  <c r="G124" i="4"/>
  <c r="G86" i="4"/>
  <c r="G96" i="4"/>
  <c r="G108" i="4"/>
  <c r="F13" i="10"/>
  <c r="G100" i="4"/>
  <c r="G121" i="4"/>
  <c r="G75" i="4"/>
  <c r="N56" i="8"/>
  <c r="H48" i="9"/>
  <c r="F23" i="10"/>
  <c r="M56" i="8"/>
  <c r="D28" i="4"/>
  <c r="N53" i="8"/>
  <c r="M53" i="8"/>
  <c r="M73" i="8"/>
  <c r="L86" i="23"/>
  <c r="E9" i="79"/>
  <c r="E114" i="79"/>
  <c r="E122" i="79"/>
  <c r="E7" i="79"/>
  <c r="E48" i="78"/>
  <c r="E48" i="79"/>
  <c r="E8" i="79"/>
  <c r="E10" i="79"/>
  <c r="E28" i="79"/>
  <c r="N55" i="8"/>
  <c r="N73" i="8"/>
  <c r="D34" i="4"/>
  <c r="E48" i="77"/>
  <c r="E55" i="77"/>
  <c r="E49" i="77"/>
  <c r="E54" i="77"/>
  <c r="L107" i="23"/>
  <c r="M10" i="8"/>
  <c r="H77" i="33"/>
  <c r="L29" i="51"/>
  <c r="N124" i="8"/>
  <c r="H53" i="9"/>
  <c r="N60" i="8"/>
  <c r="E28" i="51"/>
  <c r="M67" i="8"/>
  <c r="M59" i="8"/>
  <c r="E28" i="29"/>
  <c r="M63" i="8"/>
  <c r="E28" i="23"/>
  <c r="E28" i="20"/>
  <c r="E28" i="25"/>
  <c r="M57" i="8"/>
  <c r="M124" i="8"/>
  <c r="I9" i="9"/>
  <c r="K98" i="33"/>
  <c r="L22" i="51"/>
  <c r="D47" i="39"/>
  <c r="L7" i="51"/>
  <c r="E34" i="33"/>
  <c r="E34" i="37"/>
  <c r="E34" i="13"/>
  <c r="E34" i="29"/>
  <c r="L110" i="33"/>
  <c r="E8" i="74"/>
  <c r="E7" i="72"/>
  <c r="E7" i="74"/>
  <c r="E48" i="72"/>
  <c r="E48" i="74"/>
  <c r="E28" i="37"/>
  <c r="E28" i="13"/>
  <c r="D35" i="4"/>
  <c r="C29" i="9"/>
  <c r="N28" i="8" s="1"/>
  <c r="D53" i="40"/>
  <c r="L28" i="51"/>
  <c r="L10" i="51"/>
  <c r="E35" i="13"/>
  <c r="E35" i="37"/>
  <c r="E35" i="33"/>
  <c r="H77" i="13"/>
  <c r="B42" i="10"/>
  <c r="D29" i="4"/>
  <c r="E9" i="72"/>
  <c r="E8" i="72"/>
  <c r="D37" i="4"/>
  <c r="D36" i="4"/>
  <c r="D39" i="4"/>
  <c r="B31" i="10"/>
  <c r="D110" i="4"/>
  <c r="L122" i="33"/>
  <c r="L135" i="26"/>
  <c r="E39" i="13"/>
  <c r="D122" i="4"/>
  <c r="L121" i="13"/>
  <c r="L108" i="33"/>
  <c r="E48" i="37"/>
  <c r="I11" i="37"/>
  <c r="E54" i="37"/>
  <c r="I34" i="37"/>
  <c r="I117" i="37"/>
  <c r="E22" i="37"/>
  <c r="I109" i="37"/>
  <c r="E7" i="37"/>
  <c r="E134" i="37"/>
  <c r="E55" i="37"/>
  <c r="I89" i="37"/>
  <c r="I10" i="37"/>
  <c r="I125" i="37"/>
  <c r="I124" i="37"/>
  <c r="I113" i="37"/>
  <c r="I68" i="37"/>
  <c r="E137" i="37"/>
  <c r="I96" i="37"/>
  <c r="E75" i="37"/>
  <c r="E49" i="37"/>
  <c r="I100" i="37"/>
  <c r="E89" i="37"/>
  <c r="D114" i="4"/>
  <c r="I12" i="37"/>
  <c r="I22" i="37"/>
  <c r="I121" i="37"/>
  <c r="I29" i="37"/>
  <c r="I79" i="37"/>
  <c r="I116" i="37"/>
  <c r="I35" i="37"/>
  <c r="I75" i="37"/>
  <c r="E135" i="37"/>
  <c r="I112" i="37"/>
  <c r="I108" i="37"/>
  <c r="E10" i="37"/>
  <c r="E57" i="37"/>
  <c r="I7" i="37"/>
  <c r="E96" i="37"/>
  <c r="E136" i="37"/>
  <c r="L114" i="33"/>
  <c r="H77" i="23"/>
  <c r="K77" i="23"/>
  <c r="D47" i="21"/>
  <c r="D47" i="20"/>
  <c r="L107" i="29"/>
  <c r="L134" i="26"/>
  <c r="L109" i="23"/>
  <c r="L113" i="33"/>
  <c r="L12" i="33"/>
  <c r="D56" i="22"/>
  <c r="E100" i="37"/>
  <c r="E122" i="37"/>
  <c r="E78" i="37"/>
  <c r="E114" i="37"/>
  <c r="E9" i="37"/>
  <c r="E124" i="37"/>
  <c r="E8" i="37"/>
  <c r="E67" i="37"/>
  <c r="E109" i="37"/>
  <c r="E116" i="37"/>
  <c r="E125" i="37"/>
  <c r="E99" i="37"/>
  <c r="E112" i="37"/>
  <c r="E110" i="37"/>
  <c r="E107" i="37"/>
  <c r="E88" i="37"/>
  <c r="E86" i="37"/>
  <c r="E108" i="37"/>
  <c r="E121" i="37"/>
  <c r="E120" i="37"/>
  <c r="D47" i="38"/>
  <c r="L96" i="33"/>
  <c r="L113" i="29"/>
  <c r="L89" i="23"/>
  <c r="L75" i="33"/>
  <c r="L68" i="33"/>
  <c r="L68" i="23"/>
  <c r="H98" i="29"/>
  <c r="K98" i="29"/>
  <c r="L22" i="23"/>
  <c r="L120" i="33"/>
  <c r="K87" i="29"/>
  <c r="L137" i="26"/>
  <c r="D47" i="40"/>
  <c r="L28" i="23"/>
  <c r="L12" i="29"/>
  <c r="D53" i="13"/>
  <c r="K87" i="33"/>
  <c r="K87" i="23"/>
  <c r="L89" i="33"/>
  <c r="H87" i="29"/>
  <c r="L135" i="34"/>
  <c r="L10" i="29"/>
  <c r="L7" i="33"/>
  <c r="H66" i="23"/>
  <c r="L35" i="29"/>
  <c r="D56" i="39"/>
  <c r="L11" i="29"/>
  <c r="H111" i="13"/>
  <c r="L35" i="23"/>
  <c r="N123" i="8"/>
  <c r="N102" i="8"/>
  <c r="C22" i="9"/>
  <c r="N21" i="8" s="1"/>
  <c r="C12" i="9"/>
  <c r="C20" i="9"/>
  <c r="N19" i="8" s="1"/>
  <c r="C26" i="9"/>
  <c r="N25" i="8" s="1"/>
  <c r="K111" i="13"/>
  <c r="L107" i="33"/>
  <c r="L100" i="33"/>
  <c r="M102" i="8"/>
  <c r="L108" i="13"/>
  <c r="D56" i="40"/>
  <c r="N126" i="8"/>
  <c r="H119" i="23"/>
  <c r="L116" i="33"/>
  <c r="C17" i="9"/>
  <c r="N16" i="8" s="1"/>
  <c r="D53" i="22"/>
  <c r="L35" i="33"/>
  <c r="L67" i="29"/>
  <c r="L29" i="20"/>
  <c r="L108" i="23"/>
  <c r="L28" i="25"/>
  <c r="H98" i="13"/>
  <c r="K111" i="29"/>
  <c r="D56" i="25"/>
  <c r="L117" i="33"/>
  <c r="L12" i="13"/>
  <c r="N122" i="8"/>
  <c r="L99" i="23"/>
  <c r="L7" i="20"/>
  <c r="K119" i="13"/>
  <c r="M103" i="8"/>
  <c r="K66" i="23"/>
  <c r="L11" i="33"/>
  <c r="H119" i="13"/>
  <c r="C13" i="9"/>
  <c r="N12" i="8" s="1"/>
  <c r="N125" i="8"/>
  <c r="L7" i="13"/>
  <c r="B27" i="9"/>
  <c r="M26" i="8" s="1"/>
  <c r="M104" i="8"/>
  <c r="M125" i="8"/>
  <c r="N101" i="8"/>
  <c r="N127" i="8"/>
  <c r="C27" i="9"/>
  <c r="N26" i="8" s="1"/>
  <c r="C18" i="9"/>
  <c r="N17" i="8" s="1"/>
  <c r="M101" i="8"/>
  <c r="B9" i="9"/>
  <c r="B14" i="9"/>
  <c r="M13" i="8" s="1"/>
  <c r="M105" i="8"/>
  <c r="H119" i="33"/>
  <c r="L125" i="33"/>
  <c r="L121" i="23"/>
  <c r="M123" i="8"/>
  <c r="L116" i="13"/>
  <c r="N104" i="8"/>
  <c r="L10" i="33"/>
  <c r="C16" i="9"/>
  <c r="N15" i="8" s="1"/>
  <c r="B16" i="9"/>
  <c r="M15" i="8" s="1"/>
  <c r="L22" i="13"/>
  <c r="L107" i="13"/>
  <c r="L10" i="13"/>
  <c r="L121" i="33"/>
  <c r="C24" i="9"/>
  <c r="N23" i="8" s="1"/>
  <c r="H87" i="23"/>
  <c r="L7" i="23"/>
  <c r="H87" i="33"/>
  <c r="L120" i="29"/>
  <c r="D47" i="22"/>
  <c r="L11" i="23"/>
  <c r="L117" i="29"/>
  <c r="K119" i="23"/>
  <c r="L34" i="13"/>
  <c r="M126" i="8"/>
  <c r="B18" i="9"/>
  <c r="M17" i="8" s="1"/>
  <c r="B17" i="9"/>
  <c r="M16" i="8" s="1"/>
  <c r="M100" i="8"/>
  <c r="L11" i="13"/>
  <c r="C9" i="9"/>
  <c r="N8" i="8" s="1"/>
  <c r="C28" i="9"/>
  <c r="N27" i="8" s="1"/>
  <c r="E48" i="39"/>
  <c r="I89" i="13"/>
  <c r="I89" i="29"/>
  <c r="I89" i="33"/>
  <c r="I89" i="23"/>
  <c r="I35" i="23"/>
  <c r="I35" i="29"/>
  <c r="I35" i="33"/>
  <c r="I35" i="13"/>
  <c r="G42" i="10"/>
  <c r="I134" i="26"/>
  <c r="I10" i="23"/>
  <c r="I10" i="29"/>
  <c r="I10" i="33"/>
  <c r="I10" i="13"/>
  <c r="E49" i="39"/>
  <c r="I23" i="33"/>
  <c r="I23" i="13"/>
  <c r="I23" i="23"/>
  <c r="I23" i="29"/>
  <c r="E54" i="39"/>
  <c r="I114" i="33"/>
  <c r="C31" i="10"/>
  <c r="C41" i="10"/>
  <c r="I86" i="23"/>
  <c r="I86" i="29"/>
  <c r="I86" i="33"/>
  <c r="C33" i="10"/>
  <c r="H15" i="9"/>
  <c r="N58" i="8" s="1"/>
  <c r="B13" i="9"/>
  <c r="M12" i="8" s="1"/>
  <c r="M127" i="8"/>
  <c r="N100" i="8"/>
  <c r="I29" i="33"/>
  <c r="I29" i="23"/>
  <c r="I29" i="29"/>
  <c r="I29" i="13"/>
  <c r="I25" i="29"/>
  <c r="I25" i="33"/>
  <c r="I25" i="13"/>
  <c r="I30" i="23"/>
  <c r="I30" i="29"/>
  <c r="I30" i="33"/>
  <c r="I30" i="13"/>
  <c r="I107" i="13"/>
  <c r="I107" i="23"/>
  <c r="I107" i="29"/>
  <c r="I107" i="33"/>
  <c r="C44" i="10"/>
  <c r="I75" i="33"/>
  <c r="I32" i="13"/>
  <c r="I32" i="23"/>
  <c r="I32" i="29"/>
  <c r="I32" i="33"/>
  <c r="I100" i="13"/>
  <c r="I100" i="23"/>
  <c r="I100" i="29"/>
  <c r="I100" i="33"/>
  <c r="I22" i="23"/>
  <c r="I22" i="29"/>
  <c r="I22" i="33"/>
  <c r="I22" i="13"/>
  <c r="I121" i="13"/>
  <c r="I121" i="23"/>
  <c r="I121" i="33"/>
  <c r="I121" i="29"/>
  <c r="I113" i="23"/>
  <c r="I113" i="13"/>
  <c r="I113" i="33"/>
  <c r="I113" i="29"/>
  <c r="I108" i="13"/>
  <c r="N103" i="8"/>
  <c r="B37" i="9"/>
  <c r="B12" i="9"/>
  <c r="B29" i="9"/>
  <c r="M28" i="8" s="1"/>
  <c r="G39" i="9"/>
  <c r="G62" i="9" s="1"/>
  <c r="H18" i="9"/>
  <c r="N61" i="8" s="1"/>
  <c r="C14" i="9"/>
  <c r="N13" i="8" s="1"/>
  <c r="B28" i="9"/>
  <c r="M27" i="8" s="1"/>
  <c r="H26" i="9"/>
  <c r="N68" i="8" s="1"/>
  <c r="B36" i="9"/>
  <c r="I136" i="26"/>
  <c r="G33" i="10"/>
  <c r="I7" i="29"/>
  <c r="I7" i="33"/>
  <c r="I7" i="23"/>
  <c r="I7" i="13"/>
  <c r="B45" i="10"/>
  <c r="I31" i="13"/>
  <c r="I31" i="33"/>
  <c r="I31" i="23"/>
  <c r="I31" i="29"/>
  <c r="C45" i="10"/>
  <c r="C42" i="10"/>
  <c r="I24" i="13"/>
  <c r="I24" i="33"/>
  <c r="B26" i="9"/>
  <c r="M25" i="8" s="1"/>
  <c r="M122" i="8"/>
  <c r="B40" i="9"/>
  <c r="N105" i="8"/>
  <c r="C15" i="9"/>
  <c r="N14" i="8" s="1"/>
  <c r="N70" i="8"/>
  <c r="I135" i="26"/>
  <c r="E58" i="39"/>
  <c r="I96" i="33"/>
  <c r="I68" i="23"/>
  <c r="I68" i="29"/>
  <c r="I68" i="33"/>
  <c r="I68" i="13"/>
  <c r="G136" i="4"/>
  <c r="F33" i="10"/>
  <c r="I79" i="13"/>
  <c r="I79" i="23"/>
  <c r="I79" i="33"/>
  <c r="I79" i="29"/>
  <c r="I109" i="13"/>
  <c r="I109" i="29"/>
  <c r="I109" i="23"/>
  <c r="I109" i="33"/>
  <c r="I12" i="29"/>
  <c r="I12" i="33"/>
  <c r="I12" i="23"/>
  <c r="I12" i="13"/>
  <c r="G41" i="10"/>
  <c r="I11" i="13"/>
  <c r="I11" i="23"/>
  <c r="I11" i="33"/>
  <c r="G30" i="10"/>
  <c r="I11" i="29"/>
  <c r="I125" i="13"/>
  <c r="I125" i="23"/>
  <c r="I125" i="29"/>
  <c r="I125" i="33"/>
  <c r="I34" i="13"/>
  <c r="I34" i="23"/>
  <c r="I34" i="29"/>
  <c r="I34" i="33"/>
  <c r="G31" i="10"/>
  <c r="D96" i="4"/>
  <c r="I117" i="13"/>
  <c r="I117" i="23"/>
  <c r="I117" i="29"/>
  <c r="I117" i="33"/>
  <c r="D75" i="4"/>
  <c r="E57" i="39"/>
  <c r="L120" i="23"/>
  <c r="L67" i="23"/>
  <c r="H98" i="33"/>
  <c r="L100" i="13"/>
  <c r="D53" i="39"/>
  <c r="L109" i="29"/>
  <c r="L7" i="29"/>
  <c r="L28" i="29"/>
  <c r="L117" i="23"/>
  <c r="H98" i="23"/>
  <c r="L10" i="20"/>
  <c r="K98" i="13"/>
  <c r="L29" i="13"/>
  <c r="G37" i="9"/>
  <c r="G53" i="9" s="1"/>
  <c r="B15" i="9"/>
  <c r="M14" i="8" s="1"/>
  <c r="G38" i="9"/>
  <c r="G58" i="9" s="1"/>
  <c r="B20" i="9"/>
  <c r="M19" i="8" s="1"/>
  <c r="N57" i="8"/>
  <c r="B24" i="9"/>
  <c r="M23" i="8" s="1"/>
  <c r="N30" i="8"/>
  <c r="H24" i="9"/>
  <c r="N67" i="8" s="1"/>
  <c r="B22" i="9"/>
  <c r="M21" i="8" s="1"/>
  <c r="H22" i="9"/>
  <c r="N65" i="8" s="1"/>
  <c r="L22" i="20"/>
  <c r="L109" i="33"/>
  <c r="L99" i="33"/>
  <c r="H111" i="29"/>
  <c r="L10" i="23"/>
  <c r="L28" i="13"/>
  <c r="D56" i="13"/>
  <c r="L99" i="29"/>
  <c r="K119" i="33"/>
  <c r="L88" i="33"/>
  <c r="L79" i="33"/>
  <c r="L34" i="29"/>
  <c r="H66" i="33"/>
  <c r="L78" i="33"/>
  <c r="L67" i="13"/>
  <c r="L109" i="13"/>
  <c r="L112" i="13"/>
  <c r="L35" i="13"/>
  <c r="L79" i="29"/>
  <c r="L86" i="29"/>
  <c r="L7" i="22"/>
  <c r="K66" i="33"/>
  <c r="L89" i="29"/>
  <c r="L12" i="23"/>
  <c r="H87" i="13"/>
  <c r="L120" i="13"/>
  <c r="L68" i="13"/>
  <c r="L7" i="25"/>
  <c r="L134" i="34"/>
  <c r="L108" i="29"/>
  <c r="D53" i="25"/>
  <c r="L112" i="33"/>
  <c r="L29" i="33"/>
  <c r="L121" i="29"/>
  <c r="L29" i="29"/>
  <c r="H111" i="23"/>
  <c r="L68" i="29"/>
  <c r="L136" i="26"/>
  <c r="D47" i="25"/>
  <c r="L112" i="23"/>
  <c r="L113" i="13"/>
  <c r="L117" i="13"/>
  <c r="L86" i="33"/>
  <c r="H119" i="29"/>
  <c r="L100" i="29"/>
  <c r="L34" i="33"/>
  <c r="L125" i="29"/>
  <c r="L88" i="29"/>
  <c r="L78" i="29"/>
  <c r="L88" i="23"/>
  <c r="L125" i="23"/>
  <c r="L113" i="23"/>
  <c r="H111" i="33"/>
  <c r="D47" i="51"/>
  <c r="D47" i="26"/>
  <c r="L29" i="23"/>
  <c r="L28" i="20"/>
  <c r="L100" i="23"/>
  <c r="L79" i="23"/>
  <c r="L67" i="33"/>
  <c r="L22" i="33"/>
  <c r="L22" i="29"/>
  <c r="J77" i="29"/>
  <c r="K98" i="23"/>
  <c r="L78" i="23"/>
  <c r="L34" i="23"/>
  <c r="L124" i="13"/>
  <c r="L79" i="13"/>
  <c r="L89" i="13"/>
  <c r="L99" i="13"/>
  <c r="L125" i="13"/>
  <c r="L78" i="13"/>
  <c r="K66" i="13"/>
  <c r="L86" i="13"/>
  <c r="K87" i="13"/>
  <c r="J77" i="13"/>
  <c r="L88" i="13"/>
  <c r="H66" i="13"/>
  <c r="D47" i="13"/>
  <c r="D66" i="33"/>
  <c r="J66" i="33"/>
  <c r="J98" i="23"/>
  <c r="D98" i="23"/>
  <c r="D111" i="33"/>
  <c r="J111" i="33"/>
  <c r="D66" i="13"/>
  <c r="J66" i="13"/>
  <c r="K111" i="33"/>
  <c r="J111" i="29"/>
  <c r="J111" i="23"/>
  <c r="D111" i="23"/>
  <c r="J87" i="13"/>
  <c r="D87" i="13"/>
  <c r="J119" i="33"/>
  <c r="D119" i="33"/>
  <c r="D77" i="29"/>
  <c r="K77" i="29"/>
  <c r="D77" i="13"/>
  <c r="K77" i="13"/>
  <c r="J66" i="29"/>
  <c r="J87" i="33"/>
  <c r="D87" i="33"/>
  <c r="D119" i="29"/>
  <c r="J119" i="29"/>
  <c r="D98" i="33"/>
  <c r="J98" i="33"/>
  <c r="J87" i="29"/>
  <c r="D87" i="29"/>
  <c r="J87" i="23"/>
  <c r="D87" i="23"/>
  <c r="K119" i="29"/>
  <c r="K111" i="23"/>
  <c r="D119" i="13"/>
  <c r="J119" i="13"/>
  <c r="D98" i="13"/>
  <c r="J98" i="13"/>
  <c r="D111" i="13"/>
  <c r="J111" i="13"/>
  <c r="J98" i="29"/>
  <c r="D98" i="29"/>
  <c r="H66" i="29"/>
  <c r="D119" i="23"/>
  <c r="J119" i="23"/>
  <c r="J66" i="23"/>
  <c r="D66" i="23"/>
  <c r="D77" i="33"/>
  <c r="J77" i="33"/>
  <c r="J77" i="23"/>
  <c r="D77" i="23"/>
  <c r="D66" i="29"/>
  <c r="K66" i="29"/>
  <c r="E48" i="38"/>
  <c r="E88" i="33"/>
  <c r="E108" i="33"/>
  <c r="E22" i="33"/>
  <c r="E99" i="33"/>
  <c r="E9" i="33"/>
  <c r="E118" i="33"/>
  <c r="E110" i="33"/>
  <c r="E122" i="33"/>
  <c r="E75" i="33"/>
  <c r="E116" i="33"/>
  <c r="E10" i="33"/>
  <c r="E79" i="33"/>
  <c r="E7" i="33"/>
  <c r="E89" i="33"/>
  <c r="E100" i="33"/>
  <c r="E125" i="33"/>
  <c r="E68" i="33"/>
  <c r="E96" i="33"/>
  <c r="E8" i="33"/>
  <c r="E78" i="33"/>
  <c r="E67" i="33"/>
  <c r="E112" i="33"/>
  <c r="E109" i="33"/>
  <c r="E114" i="33"/>
  <c r="E121" i="33"/>
  <c r="E120" i="33"/>
  <c r="E113" i="33"/>
  <c r="E99" i="29"/>
  <c r="E9" i="29"/>
  <c r="E86" i="29"/>
  <c r="E134" i="34"/>
  <c r="E68" i="29"/>
  <c r="E88" i="29"/>
  <c r="E108" i="29"/>
  <c r="E22" i="29"/>
  <c r="E10" i="29"/>
  <c r="E79" i="29"/>
  <c r="E135" i="34"/>
  <c r="E7" i="29"/>
  <c r="E89" i="29"/>
  <c r="E100" i="29"/>
  <c r="E107" i="29"/>
  <c r="E8" i="29"/>
  <c r="E78" i="29"/>
  <c r="E67" i="29"/>
  <c r="E109" i="29"/>
  <c r="E120" i="29"/>
  <c r="E48" i="40"/>
  <c r="E57" i="40"/>
  <c r="E54" i="40"/>
  <c r="E9" i="51"/>
  <c r="E48" i="51"/>
  <c r="E22" i="51"/>
  <c r="E10" i="51"/>
  <c r="E49" i="51"/>
  <c r="E7" i="51"/>
  <c r="E8" i="51"/>
  <c r="E9" i="25"/>
  <c r="E57" i="25"/>
  <c r="E48" i="25"/>
  <c r="E137" i="26"/>
  <c r="E49" i="26"/>
  <c r="E54" i="25"/>
  <c r="E135" i="26"/>
  <c r="E7" i="25"/>
  <c r="E136" i="26"/>
  <c r="E134" i="26"/>
  <c r="E8" i="25"/>
  <c r="E99" i="23"/>
  <c r="E86" i="23"/>
  <c r="E88" i="23"/>
  <c r="E108" i="23"/>
  <c r="E22" i="23"/>
  <c r="E107" i="23"/>
  <c r="E78" i="23"/>
  <c r="E67" i="23"/>
  <c r="E112" i="23"/>
  <c r="E120" i="23"/>
  <c r="E9" i="22"/>
  <c r="E48" i="21"/>
  <c r="E48" i="22"/>
  <c r="E57" i="21"/>
  <c r="E57" i="22"/>
  <c r="E49" i="22"/>
  <c r="E54" i="22"/>
  <c r="E7" i="22"/>
  <c r="E8" i="22"/>
  <c r="E22" i="20"/>
  <c r="E10" i="20"/>
  <c r="E54" i="20"/>
  <c r="E7" i="20"/>
  <c r="E9" i="20"/>
  <c r="E48" i="20"/>
  <c r="E8" i="20"/>
  <c r="E99" i="13"/>
  <c r="E9" i="13"/>
  <c r="E48" i="13"/>
  <c r="E86" i="13"/>
  <c r="E88" i="13"/>
  <c r="E124" i="13"/>
  <c r="E108" i="13"/>
  <c r="E116" i="13"/>
  <c r="E22" i="13"/>
  <c r="E10" i="13"/>
  <c r="E57" i="13"/>
  <c r="E54" i="13"/>
  <c r="E7" i="13"/>
  <c r="E89" i="13"/>
  <c r="E100" i="13"/>
  <c r="E107" i="13"/>
  <c r="E12" i="13"/>
  <c r="E8" i="13"/>
  <c r="E78" i="13"/>
  <c r="E67" i="13"/>
  <c r="E112" i="13"/>
  <c r="E109" i="13"/>
  <c r="E120" i="13"/>
  <c r="D116" i="4"/>
  <c r="D108" i="4"/>
  <c r="D124" i="4"/>
  <c r="D125" i="4"/>
  <c r="D109" i="4"/>
  <c r="D22" i="4"/>
  <c r="D136" i="4"/>
  <c r="D57" i="4"/>
  <c r="G22" i="4"/>
  <c r="D113" i="4"/>
  <c r="D137" i="4"/>
  <c r="D10" i="4"/>
  <c r="D112" i="4"/>
  <c r="D55" i="4"/>
  <c r="D120" i="4"/>
  <c r="D7" i="4"/>
  <c r="D68" i="4"/>
  <c r="D8" i="4"/>
  <c r="D134" i="4"/>
  <c r="G7" i="4"/>
  <c r="D48" i="4"/>
  <c r="D54" i="4"/>
  <c r="D49" i="4"/>
  <c r="D12" i="4"/>
  <c r="G12" i="4"/>
  <c r="G34" i="4"/>
  <c r="D121" i="4"/>
  <c r="G11" i="4"/>
  <c r="H22" i="4"/>
  <c r="G29" i="4"/>
  <c r="D67" i="4"/>
  <c r="D100" i="4"/>
  <c r="D58" i="4"/>
  <c r="G10" i="4"/>
  <c r="D89" i="4"/>
  <c r="G35" i="4"/>
  <c r="D99" i="4"/>
  <c r="D86" i="4"/>
  <c r="D107" i="4"/>
  <c r="D135" i="4"/>
  <c r="G135" i="4"/>
  <c r="G134" i="4"/>
  <c r="D78" i="4"/>
  <c r="D88" i="4"/>
  <c r="D79" i="4"/>
  <c r="D9" i="4"/>
  <c r="L77" i="33" l="1"/>
  <c r="E56" i="91"/>
  <c r="E47" i="93"/>
  <c r="E53" i="93"/>
  <c r="E53" i="91"/>
  <c r="E56" i="93"/>
  <c r="M55" i="8"/>
  <c r="G47" i="9"/>
  <c r="G68" i="9" s="1"/>
  <c r="G12" i="10"/>
  <c r="G22" i="10"/>
  <c r="C12" i="10"/>
  <c r="C22" i="10"/>
  <c r="C11" i="10"/>
  <c r="E47" i="81"/>
  <c r="G77" i="4"/>
  <c r="G87" i="4"/>
  <c r="G111" i="4"/>
  <c r="G119" i="4"/>
  <c r="G98" i="4"/>
  <c r="F43" i="10"/>
  <c r="M11" i="8"/>
  <c r="B48" i="9"/>
  <c r="N11" i="8"/>
  <c r="C48" i="9"/>
  <c r="C32" i="9"/>
  <c r="E19" i="9" s="1"/>
  <c r="H32" i="9"/>
  <c r="M8" i="8"/>
  <c r="B32" i="9"/>
  <c r="G32" i="9"/>
  <c r="M30" i="8"/>
  <c r="E66" i="79"/>
  <c r="E111" i="79"/>
  <c r="E97" i="79"/>
  <c r="E47" i="78"/>
  <c r="E47" i="79"/>
  <c r="E119" i="79"/>
  <c r="E87" i="79"/>
  <c r="I11" i="9"/>
  <c r="H47" i="9"/>
  <c r="E47" i="77"/>
  <c r="E53" i="77"/>
  <c r="B47" i="9"/>
  <c r="L98" i="33"/>
  <c r="C47" i="9"/>
  <c r="N10" i="8"/>
  <c r="D11" i="9"/>
  <c r="E47" i="72"/>
  <c r="E47" i="74"/>
  <c r="L77" i="23"/>
  <c r="I77" i="29"/>
  <c r="I77" i="23"/>
  <c r="I77" i="13"/>
  <c r="I77" i="33"/>
  <c r="E56" i="37"/>
  <c r="I111" i="37"/>
  <c r="E119" i="37"/>
  <c r="I119" i="37"/>
  <c r="E47" i="37"/>
  <c r="I87" i="37"/>
  <c r="E111" i="37"/>
  <c r="E53" i="37"/>
  <c r="I66" i="37"/>
  <c r="I77" i="37"/>
  <c r="L87" i="29"/>
  <c r="E97" i="33"/>
  <c r="E97" i="29"/>
  <c r="E97" i="37"/>
  <c r="E97" i="13"/>
  <c r="I98" i="37"/>
  <c r="L119" i="13"/>
  <c r="E66" i="37"/>
  <c r="E87" i="33"/>
  <c r="E87" i="37"/>
  <c r="E98" i="37"/>
  <c r="E77" i="37"/>
  <c r="L111" i="29"/>
  <c r="L111" i="13"/>
  <c r="L87" i="33"/>
  <c r="L98" i="29"/>
  <c r="L119" i="23"/>
  <c r="L87" i="23"/>
  <c r="L98" i="23"/>
  <c r="E87" i="13"/>
  <c r="E87" i="23"/>
  <c r="D98" i="4"/>
  <c r="E98" i="29"/>
  <c r="E98" i="33"/>
  <c r="L119" i="33"/>
  <c r="L98" i="13"/>
  <c r="L66" i="33"/>
  <c r="L66" i="23"/>
  <c r="L66" i="13"/>
  <c r="E66" i="23"/>
  <c r="E66" i="13"/>
  <c r="E66" i="29"/>
  <c r="E66" i="33"/>
  <c r="L111" i="33"/>
  <c r="D87" i="4"/>
  <c r="E98" i="23"/>
  <c r="E87" i="29"/>
  <c r="C43" i="10"/>
  <c r="I119" i="13"/>
  <c r="I119" i="23"/>
  <c r="I119" i="29"/>
  <c r="I119" i="33"/>
  <c r="G43" i="10"/>
  <c r="F22" i="10"/>
  <c r="I98" i="13"/>
  <c r="I98" i="23"/>
  <c r="I98" i="29"/>
  <c r="I98" i="33"/>
  <c r="D66" i="4"/>
  <c r="B12" i="10"/>
  <c r="I66" i="13"/>
  <c r="I66" i="29"/>
  <c r="I66" i="33"/>
  <c r="I66" i="23"/>
  <c r="G66" i="4"/>
  <c r="F12" i="10"/>
  <c r="E53" i="39"/>
  <c r="C38" i="10"/>
  <c r="I111" i="13"/>
  <c r="I111" i="23"/>
  <c r="I111" i="29"/>
  <c r="I111" i="33"/>
  <c r="G32" i="10"/>
  <c r="E56" i="39"/>
  <c r="C49" i="10"/>
  <c r="C32" i="10"/>
  <c r="E47" i="39"/>
  <c r="I87" i="13"/>
  <c r="I87" i="29"/>
  <c r="I87" i="23"/>
  <c r="I87" i="33"/>
  <c r="L87" i="13"/>
  <c r="L119" i="29"/>
  <c r="L66" i="29"/>
  <c r="L77" i="29"/>
  <c r="L111" i="23"/>
  <c r="E98" i="13"/>
  <c r="L77" i="13"/>
  <c r="E47" i="38"/>
  <c r="E77" i="33"/>
  <c r="E111" i="33"/>
  <c r="E119" i="33"/>
  <c r="E119" i="29"/>
  <c r="E77" i="29"/>
  <c r="E53" i="40"/>
  <c r="E56" i="40"/>
  <c r="E47" i="40"/>
  <c r="E47" i="51"/>
  <c r="E53" i="25"/>
  <c r="E47" i="25"/>
  <c r="E47" i="26"/>
  <c r="E56" i="25"/>
  <c r="E119" i="23"/>
  <c r="E77" i="23"/>
  <c r="E111" i="23"/>
  <c r="E56" i="21"/>
  <c r="E56" i="22"/>
  <c r="E47" i="21"/>
  <c r="E47" i="22"/>
  <c r="E53" i="22"/>
  <c r="E53" i="20"/>
  <c r="E47" i="20"/>
  <c r="E53" i="13"/>
  <c r="E77" i="13"/>
  <c r="E56" i="13"/>
  <c r="E111" i="13"/>
  <c r="E47" i="13"/>
  <c r="E119" i="13"/>
  <c r="D111" i="4"/>
  <c r="D77" i="4"/>
  <c r="D119" i="4"/>
  <c r="D53" i="4"/>
  <c r="D56" i="4"/>
  <c r="D47" i="4"/>
  <c r="J19" i="9" l="1"/>
  <c r="E21" i="9"/>
  <c r="E23" i="9"/>
  <c r="J27" i="9"/>
  <c r="J9" i="9"/>
  <c r="J31" i="9"/>
  <c r="J22" i="9"/>
  <c r="J24" i="9"/>
  <c r="J15" i="9"/>
  <c r="J11" i="9"/>
  <c r="J17" i="9"/>
  <c r="J26" i="9"/>
  <c r="J12" i="9"/>
  <c r="J18" i="9"/>
  <c r="I47" i="9"/>
  <c r="D47" i="9"/>
  <c r="C60" i="10"/>
  <c r="H107" i="4"/>
  <c r="H114" i="4"/>
  <c r="H116" i="4"/>
  <c r="H28" i="4"/>
  <c r="J32" i="9" l="1"/>
  <c r="H98" i="4"/>
  <c r="H117" i="4"/>
  <c r="H99" i="4"/>
  <c r="H24" i="4"/>
  <c r="J118" i="4"/>
  <c r="H78" i="4"/>
  <c r="D9" i="10"/>
  <c r="H124" i="4"/>
  <c r="H112" i="4"/>
  <c r="H88" i="4"/>
  <c r="H9" i="4"/>
  <c r="H8" i="4"/>
  <c r="H79" i="4"/>
  <c r="H122" i="4"/>
  <c r="H14" i="10"/>
  <c r="H37" i="4"/>
  <c r="H121" i="4"/>
  <c r="I121" i="4"/>
  <c r="I112" i="4"/>
  <c r="I9" i="4"/>
  <c r="I109" i="4"/>
  <c r="K49" i="10"/>
  <c r="H113" i="4"/>
  <c r="I108" i="4"/>
  <c r="H11" i="4"/>
  <c r="I122" i="4"/>
  <c r="I79" i="4"/>
  <c r="I100" i="4"/>
  <c r="H110" i="4"/>
  <c r="H25" i="4"/>
  <c r="H125" i="4"/>
  <c r="H86" i="4"/>
  <c r="H42" i="10"/>
  <c r="H21" i="10"/>
  <c r="I120" i="4"/>
  <c r="I28" i="4"/>
  <c r="H109" i="4"/>
  <c r="I32" i="4"/>
  <c r="I67" i="4"/>
  <c r="K11" i="10"/>
  <c r="I23" i="4"/>
  <c r="H22" i="10"/>
  <c r="H108" i="4"/>
  <c r="H10" i="4"/>
  <c r="I77" i="4"/>
  <c r="I88" i="4"/>
  <c r="I117" i="4"/>
  <c r="H67" i="4"/>
  <c r="H12" i="10"/>
  <c r="I116" i="4"/>
  <c r="I118" i="4"/>
  <c r="H120" i="4"/>
  <c r="I110" i="4"/>
  <c r="I113" i="4"/>
  <c r="I78" i="4"/>
  <c r="K26" i="10"/>
  <c r="I98" i="4"/>
  <c r="I99" i="4"/>
  <c r="K9" i="10"/>
  <c r="H77" i="4"/>
  <c r="H24" i="10"/>
  <c r="I31" i="4"/>
  <c r="I24" i="4"/>
  <c r="K16" i="10"/>
  <c r="I30" i="4"/>
  <c r="H36" i="4"/>
  <c r="K45" i="10"/>
  <c r="H39" i="4"/>
  <c r="I107" i="4"/>
  <c r="I8" i="4"/>
  <c r="I114" i="4"/>
  <c r="I86" i="4"/>
  <c r="H10" i="10"/>
  <c r="I124" i="4"/>
  <c r="H100" i="4"/>
  <c r="H7" i="4"/>
  <c r="H23" i="4"/>
  <c r="H15" i="10"/>
  <c r="I125" i="4"/>
  <c r="M30" i="93" l="1"/>
  <c r="M28" i="93"/>
  <c r="M8" i="93"/>
  <c r="M9" i="91"/>
  <c r="M9" i="93"/>
  <c r="M28" i="79"/>
  <c r="M97" i="79"/>
  <c r="M114" i="79"/>
  <c r="M23" i="79"/>
  <c r="M8" i="79"/>
  <c r="M122" i="79"/>
  <c r="M30" i="79"/>
  <c r="M9" i="79"/>
  <c r="M9" i="72"/>
  <c r="M8" i="72"/>
  <c r="M8" i="74"/>
  <c r="J23" i="4"/>
  <c r="J24" i="4"/>
  <c r="J110" i="4"/>
  <c r="M67" i="37"/>
  <c r="M107" i="37"/>
  <c r="M32" i="37"/>
  <c r="M79" i="37"/>
  <c r="M124" i="37"/>
  <c r="M88" i="37"/>
  <c r="M78" i="37"/>
  <c r="M100" i="37"/>
  <c r="M86" i="37"/>
  <c r="M122" i="37"/>
  <c r="M109" i="37"/>
  <c r="M99" i="37"/>
  <c r="M113" i="37"/>
  <c r="M117" i="37"/>
  <c r="M28" i="37"/>
  <c r="M114" i="37"/>
  <c r="M110" i="37"/>
  <c r="M9" i="37"/>
  <c r="M31" i="37"/>
  <c r="M8" i="37"/>
  <c r="M24" i="37"/>
  <c r="M108" i="37"/>
  <c r="M112" i="37"/>
  <c r="J122" i="4"/>
  <c r="M23" i="37"/>
  <c r="M121" i="37"/>
  <c r="M125" i="37"/>
  <c r="M30" i="37"/>
  <c r="M116" i="37"/>
  <c r="M120" i="37"/>
  <c r="J114" i="4"/>
  <c r="M98" i="37"/>
  <c r="M97" i="37"/>
  <c r="M97" i="13"/>
  <c r="M97" i="29"/>
  <c r="M97" i="33"/>
  <c r="M77" i="37"/>
  <c r="M24" i="13"/>
  <c r="M24" i="33"/>
  <c r="M24" i="29"/>
  <c r="M118" i="33"/>
  <c r="M88" i="13"/>
  <c r="M88" i="29"/>
  <c r="M88" i="23"/>
  <c r="M88" i="33"/>
  <c r="J28" i="4"/>
  <c r="M28" i="20"/>
  <c r="M28" i="25"/>
  <c r="M28" i="23"/>
  <c r="M28" i="51"/>
  <c r="M28" i="29"/>
  <c r="M28" i="13"/>
  <c r="M121" i="23"/>
  <c r="M121" i="13"/>
  <c r="M121" i="29"/>
  <c r="M121" i="33"/>
  <c r="M125" i="23"/>
  <c r="M125" i="13"/>
  <c r="M125" i="29"/>
  <c r="M125" i="33"/>
  <c r="M124" i="13"/>
  <c r="M114" i="33"/>
  <c r="M31" i="23"/>
  <c r="M31" i="13"/>
  <c r="M31" i="29"/>
  <c r="M31" i="33"/>
  <c r="M78" i="23"/>
  <c r="M78" i="13"/>
  <c r="M78" i="29"/>
  <c r="M78" i="33"/>
  <c r="M113" i="23"/>
  <c r="M113" i="13"/>
  <c r="M113" i="29"/>
  <c r="M113" i="33"/>
  <c r="J116" i="4"/>
  <c r="M116" i="13"/>
  <c r="M116" i="33"/>
  <c r="M117" i="23"/>
  <c r="M117" i="13"/>
  <c r="M117" i="29"/>
  <c r="M117" i="33"/>
  <c r="M23" i="20"/>
  <c r="M23" i="23"/>
  <c r="M23" i="13"/>
  <c r="M23" i="29"/>
  <c r="M23" i="33"/>
  <c r="M32" i="13"/>
  <c r="M32" i="33"/>
  <c r="M32" i="23"/>
  <c r="M32" i="29"/>
  <c r="M79" i="13"/>
  <c r="M79" i="23"/>
  <c r="M79" i="33"/>
  <c r="M79" i="29"/>
  <c r="M8" i="20"/>
  <c r="M8" i="13"/>
  <c r="M8" i="22"/>
  <c r="M8" i="51"/>
  <c r="M8" i="25"/>
  <c r="M8" i="29"/>
  <c r="M8" i="33"/>
  <c r="M30" i="20"/>
  <c r="M30" i="13"/>
  <c r="M30" i="23"/>
  <c r="M30" i="33"/>
  <c r="M30" i="29"/>
  <c r="M99" i="23"/>
  <c r="M99" i="29"/>
  <c r="M99" i="13"/>
  <c r="M99" i="33"/>
  <c r="M110" i="33"/>
  <c r="M120" i="13"/>
  <c r="M120" i="23"/>
  <c r="M120" i="29"/>
  <c r="M120" i="33"/>
  <c r="M100" i="13"/>
  <c r="M100" i="29"/>
  <c r="M100" i="33"/>
  <c r="M100" i="23"/>
  <c r="M122" i="33"/>
  <c r="M108" i="13"/>
  <c r="M108" i="23"/>
  <c r="M108" i="33"/>
  <c r="M108" i="29"/>
  <c r="M9" i="25"/>
  <c r="M9" i="20"/>
  <c r="M9" i="22"/>
  <c r="M9" i="51"/>
  <c r="M9" i="13"/>
  <c r="M9" i="29"/>
  <c r="M9" i="33"/>
  <c r="M86" i="23"/>
  <c r="M86" i="29"/>
  <c r="M86" i="13"/>
  <c r="M86" i="33"/>
  <c r="J107" i="4"/>
  <c r="M107" i="23"/>
  <c r="M107" i="13"/>
  <c r="M107" i="29"/>
  <c r="M107" i="33"/>
  <c r="M98" i="13"/>
  <c r="M98" i="23"/>
  <c r="M98" i="29"/>
  <c r="M98" i="33"/>
  <c r="M77" i="13"/>
  <c r="M77" i="23"/>
  <c r="M77" i="29"/>
  <c r="M77" i="33"/>
  <c r="M67" i="13"/>
  <c r="M67" i="23"/>
  <c r="M67" i="29"/>
  <c r="M67" i="33"/>
  <c r="M109" i="13"/>
  <c r="M109" i="23"/>
  <c r="M109" i="29"/>
  <c r="M109" i="33"/>
  <c r="M112" i="13"/>
  <c r="M112" i="23"/>
  <c r="M112" i="33"/>
  <c r="J108" i="4"/>
  <c r="M38" i="8"/>
  <c r="D38" i="9"/>
  <c r="H60" i="9"/>
  <c r="N40" i="8"/>
  <c r="B65" i="9"/>
  <c r="D29" i="9"/>
  <c r="D13" i="9"/>
  <c r="B49" i="9"/>
  <c r="D20" i="9"/>
  <c r="B56" i="9"/>
  <c r="B41" i="9"/>
  <c r="I22" i="9"/>
  <c r="B64" i="9"/>
  <c r="D28" i="9"/>
  <c r="I17" i="9"/>
  <c r="N38" i="8"/>
  <c r="C56" i="9"/>
  <c r="B53" i="9"/>
  <c r="D17" i="9"/>
  <c r="N37" i="8"/>
  <c r="N36" i="8"/>
  <c r="C63" i="9"/>
  <c r="N39" i="8"/>
  <c r="M40" i="8"/>
  <c r="D40" i="9"/>
  <c r="B63" i="9"/>
  <c r="I31" i="9"/>
  <c r="C45" i="9"/>
  <c r="M85" i="8"/>
  <c r="I35" i="9"/>
  <c r="D39" i="9"/>
  <c r="M39" i="8"/>
  <c r="I18" i="9"/>
  <c r="D12" i="9"/>
  <c r="B60" i="9"/>
  <c r="D24" i="9"/>
  <c r="C53" i="9"/>
  <c r="D31" i="9"/>
  <c r="D9" i="9"/>
  <c r="B45" i="9"/>
  <c r="M86" i="8"/>
  <c r="I36" i="9"/>
  <c r="I26" i="9"/>
  <c r="H62" i="9"/>
  <c r="H63" i="9"/>
  <c r="N90" i="8"/>
  <c r="H58" i="9"/>
  <c r="N86" i="8"/>
  <c r="H45" i="9"/>
  <c r="C50" i="9"/>
  <c r="I38" i="9"/>
  <c r="M88" i="8"/>
  <c r="N88" i="8"/>
  <c r="C65" i="9"/>
  <c r="C62" i="9"/>
  <c r="D18" i="9"/>
  <c r="B54" i="9"/>
  <c r="C51" i="9"/>
  <c r="N89" i="8"/>
  <c r="C41" i="9"/>
  <c r="M37" i="8"/>
  <c r="D37" i="9"/>
  <c r="I24" i="9"/>
  <c r="B58" i="9"/>
  <c r="D22" i="9"/>
  <c r="D35" i="9"/>
  <c r="M35" i="8"/>
  <c r="N87" i="8"/>
  <c r="D27" i="9"/>
  <c r="H41" i="9"/>
  <c r="C60" i="9"/>
  <c r="N35" i="8"/>
  <c r="B51" i="9"/>
  <c r="D15" i="9"/>
  <c r="C54" i="9"/>
  <c r="N85" i="8"/>
  <c r="C64" i="9"/>
  <c r="I37" i="9"/>
  <c r="M87" i="8"/>
  <c r="C49" i="9"/>
  <c r="G41" i="9"/>
  <c r="F27" i="10" s="1"/>
  <c r="D26" i="9"/>
  <c r="B62" i="9"/>
  <c r="H51" i="9"/>
  <c r="M89" i="8"/>
  <c r="I39" i="9"/>
  <c r="H54" i="9"/>
  <c r="D16" i="9"/>
  <c r="B52" i="9"/>
  <c r="C52" i="9"/>
  <c r="M90" i="8"/>
  <c r="I40" i="9"/>
  <c r="M36" i="8"/>
  <c r="D36" i="9"/>
  <c r="D25" i="9"/>
  <c r="B50" i="9"/>
  <c r="D14" i="9"/>
  <c r="I12" i="9"/>
  <c r="I27" i="9"/>
  <c r="I15" i="9"/>
  <c r="C58" i="9"/>
  <c r="J109" i="4"/>
  <c r="J117" i="4"/>
  <c r="J125" i="4"/>
  <c r="J124" i="4"/>
  <c r="J120" i="4"/>
  <c r="J8" i="4"/>
  <c r="J112" i="4"/>
  <c r="J78" i="4"/>
  <c r="J9" i="4"/>
  <c r="J67" i="4"/>
  <c r="J86" i="4"/>
  <c r="J113" i="4"/>
  <c r="J88" i="4"/>
  <c r="J99" i="4"/>
  <c r="J100" i="4"/>
  <c r="J121" i="4"/>
  <c r="J77" i="4"/>
  <c r="J79" i="4"/>
  <c r="J98" i="4"/>
  <c r="K21" i="10"/>
  <c r="H75" i="4"/>
  <c r="H25" i="10"/>
  <c r="G55" i="10"/>
  <c r="H136" i="4"/>
  <c r="H96" i="4"/>
  <c r="K42" i="10"/>
  <c r="G53" i="10"/>
  <c r="H29" i="4"/>
  <c r="H89" i="4"/>
  <c r="K12" i="10"/>
  <c r="K14" i="10"/>
  <c r="K23" i="10"/>
  <c r="H87" i="4"/>
  <c r="H111" i="4"/>
  <c r="K44" i="10"/>
  <c r="K24" i="10"/>
  <c r="G46" i="10"/>
  <c r="H43" i="10"/>
  <c r="H31" i="4"/>
  <c r="J31" i="4" s="1"/>
  <c r="H32" i="4"/>
  <c r="J32" i="4" s="1"/>
  <c r="J10" i="10"/>
  <c r="D10" i="10"/>
  <c r="J24" i="10"/>
  <c r="D24" i="10"/>
  <c r="I25" i="4"/>
  <c r="B60" i="10"/>
  <c r="D38" i="10"/>
  <c r="J38" i="10"/>
  <c r="I37" i="4"/>
  <c r="F55" i="10"/>
  <c r="H33" i="10"/>
  <c r="D23" i="10"/>
  <c r="J23" i="10"/>
  <c r="H34" i="4"/>
  <c r="H134" i="4"/>
  <c r="J14" i="10"/>
  <c r="D14" i="10"/>
  <c r="I87" i="4"/>
  <c r="J11" i="10"/>
  <c r="L11" i="10" s="1"/>
  <c r="D11" i="10"/>
  <c r="K32" i="10"/>
  <c r="C54" i="10"/>
  <c r="K15" i="10"/>
  <c r="H41" i="10"/>
  <c r="F46" i="10"/>
  <c r="D42" i="10"/>
  <c r="J42" i="10"/>
  <c r="C52" i="10"/>
  <c r="C35" i="10"/>
  <c r="K30" i="10"/>
  <c r="H23" i="10"/>
  <c r="K25" i="10"/>
  <c r="D33" i="10"/>
  <c r="B55" i="10"/>
  <c r="J33" i="10"/>
  <c r="D45" i="10"/>
  <c r="J45" i="10"/>
  <c r="L45" i="10" s="1"/>
  <c r="J16" i="10"/>
  <c r="L16" i="10" s="1"/>
  <c r="D16" i="10"/>
  <c r="I75" i="4"/>
  <c r="I137" i="4"/>
  <c r="D22" i="10"/>
  <c r="J22" i="10"/>
  <c r="G54" i="10"/>
  <c r="J31" i="10"/>
  <c r="B53" i="10"/>
  <c r="D31" i="10"/>
  <c r="J15" i="10"/>
  <c r="D15" i="10"/>
  <c r="I96" i="4"/>
  <c r="H20" i="10"/>
  <c r="K22" i="10"/>
  <c r="K10" i="10"/>
  <c r="D44" i="10"/>
  <c r="J44" i="10"/>
  <c r="I111" i="4"/>
  <c r="C55" i="10"/>
  <c r="K33" i="10"/>
  <c r="J13" i="10"/>
  <c r="D13" i="10"/>
  <c r="K13" i="10"/>
  <c r="H35" i="4"/>
  <c r="C56" i="10"/>
  <c r="K56" i="10" s="1"/>
  <c r="I119" i="4"/>
  <c r="F35" i="10"/>
  <c r="F52" i="10"/>
  <c r="H30" i="10"/>
  <c r="I135" i="4"/>
  <c r="I29" i="4"/>
  <c r="H31" i="10"/>
  <c r="F53" i="10"/>
  <c r="I89" i="4"/>
  <c r="J32" i="10"/>
  <c r="D32" i="10"/>
  <c r="B54" i="10"/>
  <c r="I66" i="4"/>
  <c r="J20" i="10"/>
  <c r="D20" i="10"/>
  <c r="B56" i="10"/>
  <c r="H66" i="4"/>
  <c r="H32" i="10"/>
  <c r="F54" i="10"/>
  <c r="I22" i="4"/>
  <c r="K41" i="10"/>
  <c r="C46" i="10"/>
  <c r="H119" i="4"/>
  <c r="H137" i="4"/>
  <c r="I136" i="4"/>
  <c r="H68" i="4"/>
  <c r="I68" i="4"/>
  <c r="K43" i="10"/>
  <c r="I10" i="4"/>
  <c r="H135" i="4"/>
  <c r="H12" i="4"/>
  <c r="J26" i="10"/>
  <c r="L26" i="10" s="1"/>
  <c r="D26" i="10"/>
  <c r="I34" i="4"/>
  <c r="H9" i="10"/>
  <c r="J9" i="10"/>
  <c r="L9" i="10" s="1"/>
  <c r="J49" i="10"/>
  <c r="L49" i="10" s="1"/>
  <c r="D49" i="10"/>
  <c r="D21" i="10"/>
  <c r="J21" i="10"/>
  <c r="I39" i="4"/>
  <c r="I36" i="4"/>
  <c r="B35" i="10"/>
  <c r="J30" i="10"/>
  <c r="B52" i="10"/>
  <c r="I7" i="4"/>
  <c r="K60" i="10"/>
  <c r="K38" i="10"/>
  <c r="H13" i="10"/>
  <c r="G35" i="10"/>
  <c r="G52" i="10"/>
  <c r="I35" i="4"/>
  <c r="D12" i="10"/>
  <c r="J12" i="10"/>
  <c r="I12" i="4"/>
  <c r="D43" i="10"/>
  <c r="J43" i="10"/>
  <c r="I134" i="4"/>
  <c r="I11" i="4"/>
  <c r="K20" i="10"/>
  <c r="D25" i="10"/>
  <c r="J25" i="10"/>
  <c r="D41" i="10"/>
  <c r="J41" i="10"/>
  <c r="B46" i="10"/>
  <c r="K31" i="10"/>
  <c r="C53" i="10"/>
  <c r="L37" i="9"/>
  <c r="M29" i="93" l="1"/>
  <c r="M22" i="93"/>
  <c r="M10" i="91"/>
  <c r="M10" i="93"/>
  <c r="M7" i="91"/>
  <c r="M7" i="93"/>
  <c r="B68" i="9"/>
  <c r="H68" i="9"/>
  <c r="J55" i="9" s="1"/>
  <c r="M119" i="79"/>
  <c r="M111" i="79"/>
  <c r="M37" i="79"/>
  <c r="M36" i="79"/>
  <c r="M22" i="79"/>
  <c r="M29" i="79"/>
  <c r="M10" i="79"/>
  <c r="M66" i="79"/>
  <c r="M7" i="79"/>
  <c r="M87" i="79"/>
  <c r="B17" i="10"/>
  <c r="M27" i="9"/>
  <c r="L14" i="9"/>
  <c r="M7" i="72" l="1"/>
  <c r="M7" i="74"/>
  <c r="J37" i="9"/>
  <c r="O15" i="9"/>
  <c r="M16" i="9"/>
  <c r="M29" i="9"/>
  <c r="L31" i="9"/>
  <c r="N17" i="9"/>
  <c r="L24" i="9"/>
  <c r="N13" i="9"/>
  <c r="M22" i="9"/>
  <c r="N25" i="9"/>
  <c r="N20" i="9"/>
  <c r="O30" i="9"/>
  <c r="L26" i="9"/>
  <c r="L9" i="9"/>
  <c r="M30" i="9"/>
  <c r="M11" i="9"/>
  <c r="M38" i="9"/>
  <c r="N40" i="9"/>
  <c r="N18" i="9"/>
  <c r="M31" i="9"/>
  <c r="O36" i="9"/>
  <c r="O20" i="9"/>
  <c r="O26" i="9"/>
  <c r="O13" i="9"/>
  <c r="L38" i="9"/>
  <c r="L29" i="9"/>
  <c r="M37" i="9"/>
  <c r="L17" i="9"/>
  <c r="O17" i="9"/>
  <c r="N11" i="9"/>
  <c r="O18" i="9"/>
  <c r="L39" i="9"/>
  <c r="N16" i="9"/>
  <c r="N27" i="9"/>
  <c r="O16" i="9"/>
  <c r="M35" i="9"/>
  <c r="L28" i="9"/>
  <c r="M18" i="9"/>
  <c r="M13" i="9"/>
  <c r="N22" i="9"/>
  <c r="M36" i="9"/>
  <c r="N31" i="9"/>
  <c r="O11" i="9"/>
  <c r="M25" i="9"/>
  <c r="M9" i="9"/>
  <c r="O29" i="9"/>
  <c r="O9" i="9"/>
  <c r="N26" i="9"/>
  <c r="O22" i="9"/>
  <c r="L15" i="9"/>
  <c r="N39" i="9"/>
  <c r="M20" i="9"/>
  <c r="N38" i="9"/>
  <c r="L35" i="9"/>
  <c r="O14" i="9"/>
  <c r="M39" i="9"/>
  <c r="O38" i="9"/>
  <c r="L27" i="9"/>
  <c r="L16" i="9"/>
  <c r="M40" i="9"/>
  <c r="L13" i="9"/>
  <c r="M28" i="9"/>
  <c r="N29" i="9"/>
  <c r="L25" i="9"/>
  <c r="O27" i="9"/>
  <c r="N30" i="9"/>
  <c r="M26" i="9"/>
  <c r="O35" i="9"/>
  <c r="L11" i="9"/>
  <c r="L36" i="9"/>
  <c r="N35" i="9"/>
  <c r="N28" i="9"/>
  <c r="O39" i="9"/>
  <c r="L20" i="9"/>
  <c r="O31" i="9"/>
  <c r="M17" i="9"/>
  <c r="N24" i="9"/>
  <c r="N37" i="9"/>
  <c r="O28" i="9"/>
  <c r="M14" i="9"/>
  <c r="N15" i="9"/>
  <c r="N9" i="9"/>
  <c r="O25" i="9"/>
  <c r="O37" i="9"/>
  <c r="O24" i="9"/>
  <c r="L18" i="9"/>
  <c r="M15" i="9"/>
  <c r="N36" i="9"/>
  <c r="O40" i="9"/>
  <c r="L22" i="9"/>
  <c r="N14" i="9"/>
  <c r="M24" i="9"/>
  <c r="L40" i="9"/>
  <c r="J25" i="4" l="1"/>
  <c r="M35" i="37"/>
  <c r="M22" i="37"/>
  <c r="M29" i="37"/>
  <c r="M135" i="37"/>
  <c r="M37" i="37"/>
  <c r="M137" i="37"/>
  <c r="M66" i="37"/>
  <c r="M111" i="37"/>
  <c r="M10" i="37"/>
  <c r="M136" i="37"/>
  <c r="M75" i="37"/>
  <c r="M134" i="37"/>
  <c r="M12" i="37"/>
  <c r="M89" i="37"/>
  <c r="M87" i="37"/>
  <c r="M25" i="37"/>
  <c r="M11" i="37"/>
  <c r="M7" i="37"/>
  <c r="M34" i="37"/>
  <c r="M119" i="37"/>
  <c r="M68" i="37"/>
  <c r="M96" i="37"/>
  <c r="L24" i="10"/>
  <c r="L14" i="10"/>
  <c r="J39" i="4"/>
  <c r="J75" i="4"/>
  <c r="J96" i="4"/>
  <c r="L15" i="10"/>
  <c r="L45" i="9"/>
  <c r="M41" i="9"/>
  <c r="M63" i="9"/>
  <c r="O62" i="9"/>
  <c r="L49" i="9"/>
  <c r="M45" i="9"/>
  <c r="M51" i="9"/>
  <c r="O51" i="9"/>
  <c r="N54" i="9"/>
  <c r="O65" i="9"/>
  <c r="O50" i="9"/>
  <c r="M54" i="9"/>
  <c r="N51" i="9"/>
  <c r="N48" i="9"/>
  <c r="O64" i="9"/>
  <c r="M62" i="9"/>
  <c r="L60" i="9"/>
  <c r="L52" i="9"/>
  <c r="L58" i="9"/>
  <c r="M67" i="9"/>
  <c r="L64" i="9"/>
  <c r="M32" i="9"/>
  <c r="O49" i="9"/>
  <c r="L41" i="9"/>
  <c r="L48" i="9"/>
  <c r="M65" i="9"/>
  <c r="N32" i="9"/>
  <c r="M56" i="9"/>
  <c r="O41" i="9"/>
  <c r="N50" i="9"/>
  <c r="O45" i="9"/>
  <c r="L54" i="9"/>
  <c r="N65" i="9"/>
  <c r="M58" i="9"/>
  <c r="O58" i="9"/>
  <c r="N63" i="9"/>
  <c r="O53" i="9"/>
  <c r="L56" i="9"/>
  <c r="L63" i="9"/>
  <c r="N60" i="9"/>
  <c r="N49" i="9"/>
  <c r="O54" i="9"/>
  <c r="O67" i="9"/>
  <c r="O63" i="9"/>
  <c r="L53" i="9"/>
  <c r="O60" i="9"/>
  <c r="N45" i="9"/>
  <c r="L67" i="9"/>
  <c r="M64" i="9"/>
  <c r="N58" i="9"/>
  <c r="M49" i="9"/>
  <c r="O32" i="9"/>
  <c r="M52" i="9"/>
  <c r="M53" i="9"/>
  <c r="N64" i="9"/>
  <c r="L62" i="9"/>
  <c r="M48" i="9"/>
  <c r="M50" i="9"/>
  <c r="N41" i="9"/>
  <c r="N56" i="9"/>
  <c r="N67" i="9"/>
  <c r="N53" i="9"/>
  <c r="L32" i="9"/>
  <c r="M60" i="9"/>
  <c r="L50" i="9"/>
  <c r="O52" i="9"/>
  <c r="O48" i="9"/>
  <c r="N62" i="9"/>
  <c r="O56" i="9"/>
  <c r="L42" i="10"/>
  <c r="J11" i="4"/>
  <c r="M11" i="13"/>
  <c r="M11" i="33"/>
  <c r="M11" i="23"/>
  <c r="M11" i="29"/>
  <c r="J10" i="4"/>
  <c r="M10" i="20"/>
  <c r="M10" i="23"/>
  <c r="M10" i="13"/>
  <c r="M10" i="51"/>
  <c r="M10" i="29"/>
  <c r="M10" i="33"/>
  <c r="M68" i="13"/>
  <c r="M68" i="23"/>
  <c r="M68" i="29"/>
  <c r="M68" i="33"/>
  <c r="M136" i="26"/>
  <c r="M119" i="23"/>
  <c r="M119" i="13"/>
  <c r="M119" i="29"/>
  <c r="M119" i="33"/>
  <c r="M111" i="23"/>
  <c r="M111" i="29"/>
  <c r="M111" i="13"/>
  <c r="M111" i="33"/>
  <c r="J7" i="4"/>
  <c r="M7" i="13"/>
  <c r="M7" i="23"/>
  <c r="M7" i="22"/>
  <c r="M7" i="25"/>
  <c r="M7" i="20"/>
  <c r="M7" i="29"/>
  <c r="M7" i="51"/>
  <c r="M7" i="33"/>
  <c r="J22" i="4"/>
  <c r="M22" i="20"/>
  <c r="M22" i="13"/>
  <c r="M22" i="51"/>
  <c r="M22" i="23"/>
  <c r="M22" i="29"/>
  <c r="M22" i="33"/>
  <c r="M29" i="23"/>
  <c r="M29" i="13"/>
  <c r="M29" i="29"/>
  <c r="M29" i="51"/>
  <c r="M29" i="20"/>
  <c r="M29" i="33"/>
  <c r="M137" i="26"/>
  <c r="M87" i="13"/>
  <c r="M87" i="23"/>
  <c r="M87" i="33"/>
  <c r="M87" i="29"/>
  <c r="M35" i="13"/>
  <c r="M35" i="23"/>
  <c r="M35" i="29"/>
  <c r="M35" i="33"/>
  <c r="M39" i="13"/>
  <c r="M34" i="13"/>
  <c r="M34" i="23"/>
  <c r="M34" i="29"/>
  <c r="M34" i="33"/>
  <c r="M66" i="13"/>
  <c r="M66" i="33"/>
  <c r="M66" i="23"/>
  <c r="M66" i="29"/>
  <c r="M89" i="13"/>
  <c r="M89" i="23"/>
  <c r="M89" i="29"/>
  <c r="M89" i="33"/>
  <c r="M96" i="33"/>
  <c r="M75" i="33"/>
  <c r="J37" i="4"/>
  <c r="M37" i="13"/>
  <c r="I63" i="9"/>
  <c r="M134" i="26"/>
  <c r="M134" i="34"/>
  <c r="M12" i="13"/>
  <c r="M12" i="23"/>
  <c r="M12" i="29"/>
  <c r="M12" i="33"/>
  <c r="J36" i="4"/>
  <c r="M36" i="13"/>
  <c r="L21" i="10"/>
  <c r="H53" i="10"/>
  <c r="M135" i="26"/>
  <c r="M135" i="34"/>
  <c r="M25" i="13"/>
  <c r="M25" i="29"/>
  <c r="M25" i="33"/>
  <c r="L31" i="10"/>
  <c r="L22" i="10"/>
  <c r="L12" i="10"/>
  <c r="L10" i="10"/>
  <c r="I58" i="9"/>
  <c r="I67" i="9"/>
  <c r="I51" i="9"/>
  <c r="I48" i="9"/>
  <c r="I32" i="9"/>
  <c r="D41" i="9"/>
  <c r="G17" i="10"/>
  <c r="E36" i="9"/>
  <c r="E35" i="9"/>
  <c r="E40" i="9"/>
  <c r="E39" i="9"/>
  <c r="E38" i="9"/>
  <c r="F17" i="10"/>
  <c r="J17" i="10" s="1"/>
  <c r="E37" i="9"/>
  <c r="B27" i="10"/>
  <c r="J27" i="10" s="1"/>
  <c r="J38" i="9"/>
  <c r="G27" i="10"/>
  <c r="H27" i="10" s="1"/>
  <c r="J47" i="9"/>
  <c r="C27" i="10"/>
  <c r="J39" i="9"/>
  <c r="J35" i="9"/>
  <c r="I41" i="9"/>
  <c r="J36" i="9"/>
  <c r="J40" i="9"/>
  <c r="J119" i="4"/>
  <c r="J137" i="4"/>
  <c r="J135" i="4"/>
  <c r="J111" i="4"/>
  <c r="J12" i="4"/>
  <c r="J66" i="4"/>
  <c r="J35" i="4"/>
  <c r="J134" i="4"/>
  <c r="J34" i="4"/>
  <c r="J136" i="4"/>
  <c r="J68" i="4"/>
  <c r="J89" i="4"/>
  <c r="J87" i="4"/>
  <c r="J29" i="4"/>
  <c r="K53" i="10"/>
  <c r="K55" i="10"/>
  <c r="L44" i="10"/>
  <c r="L23" i="10"/>
  <c r="H55" i="10"/>
  <c r="L30" i="10"/>
  <c r="G57" i="10"/>
  <c r="L32" i="10"/>
  <c r="H54" i="10"/>
  <c r="L43" i="10"/>
  <c r="K46" i="10"/>
  <c r="H46" i="10"/>
  <c r="L41" i="10"/>
  <c r="L13" i="10"/>
  <c r="L25" i="10"/>
  <c r="H30" i="4"/>
  <c r="J30" i="4" s="1"/>
  <c r="K54" i="10"/>
  <c r="L38" i="10"/>
  <c r="D46" i="10"/>
  <c r="J46" i="10"/>
  <c r="D52" i="10"/>
  <c r="J52" i="10"/>
  <c r="B57" i="10"/>
  <c r="J54" i="10"/>
  <c r="D54" i="10"/>
  <c r="F57" i="10"/>
  <c r="H52" i="10"/>
  <c r="L33" i="10"/>
  <c r="K35" i="10"/>
  <c r="L20" i="10"/>
  <c r="H35" i="10"/>
  <c r="J53" i="10"/>
  <c r="D53" i="10"/>
  <c r="D55" i="10"/>
  <c r="J55" i="10"/>
  <c r="K52" i="10"/>
  <c r="C57" i="10"/>
  <c r="J60" i="10"/>
  <c r="L60" i="10" s="1"/>
  <c r="D60" i="10"/>
  <c r="J35" i="10"/>
  <c r="D35" i="10"/>
  <c r="D56" i="10"/>
  <c r="J56" i="10"/>
  <c r="L56" i="10" s="1"/>
  <c r="L30" i="9"/>
  <c r="N52" i="9" l="1"/>
  <c r="L51" i="9"/>
  <c r="L68" i="9" s="1"/>
  <c r="L65" i="9"/>
  <c r="L55" i="10"/>
  <c r="M68" i="9"/>
  <c r="O68" i="9"/>
  <c r="N68" i="9"/>
  <c r="L53" i="10"/>
  <c r="J41" i="9"/>
  <c r="I68" i="9"/>
  <c r="E41" i="9"/>
  <c r="H17" i="10"/>
  <c r="J51" i="9"/>
  <c r="D27" i="10"/>
  <c r="K27" i="10"/>
  <c r="L27" i="10" s="1"/>
  <c r="J53" i="9"/>
  <c r="I53" i="9" s="1"/>
  <c r="J45" i="9"/>
  <c r="I45" i="9" s="1"/>
  <c r="J58" i="9"/>
  <c r="J60" i="9"/>
  <c r="I60" i="9" s="1"/>
  <c r="J48" i="9"/>
  <c r="J67" i="9"/>
  <c r="J54" i="9"/>
  <c r="I54" i="9" s="1"/>
  <c r="J62" i="9"/>
  <c r="I62" i="9" s="1"/>
  <c r="J63" i="9"/>
  <c r="K57" i="10"/>
  <c r="H57" i="10"/>
  <c r="L46" i="10"/>
  <c r="L35" i="10"/>
  <c r="L54" i="10"/>
  <c r="J57" i="10"/>
  <c r="D57" i="10"/>
  <c r="L52" i="10"/>
  <c r="J68" i="9" l="1"/>
  <c r="L57" i="10"/>
  <c r="D30" i="9" l="1"/>
  <c r="N29" i="8" l="1"/>
  <c r="C66" i="9"/>
  <c r="D66" i="9" l="1"/>
  <c r="C68" i="9"/>
  <c r="E10" i="9"/>
  <c r="E25" i="9"/>
  <c r="D32" i="9"/>
  <c r="E22" i="9"/>
  <c r="E12" i="9"/>
  <c r="E31" i="9"/>
  <c r="E18" i="9"/>
  <c r="E28" i="9"/>
  <c r="E13" i="9"/>
  <c r="E9" i="9"/>
  <c r="E24" i="9"/>
  <c r="E11" i="9"/>
  <c r="C17" i="10"/>
  <c r="K17" i="10" s="1"/>
  <c r="L17" i="10" s="1"/>
  <c r="E26" i="9"/>
  <c r="E30" i="9"/>
  <c r="E16" i="9"/>
  <c r="E20" i="9"/>
  <c r="E15" i="9"/>
  <c r="E27" i="9"/>
  <c r="E29" i="9"/>
  <c r="E14" i="9"/>
  <c r="E17" i="9"/>
  <c r="E66" i="9"/>
  <c r="E59" i="9" l="1"/>
  <c r="E55" i="9"/>
  <c r="E32" i="9"/>
  <c r="E46" i="9"/>
  <c r="E57" i="9"/>
  <c r="D68" i="9"/>
  <c r="D17" i="10"/>
  <c r="E47" i="9"/>
  <c r="E56" i="9"/>
  <c r="D56" i="9" s="1"/>
  <c r="E67" i="9"/>
  <c r="D67" i="9" s="1"/>
  <c r="E60" i="9"/>
  <c r="D60" i="9" s="1"/>
  <c r="E62" i="9"/>
  <c r="D62" i="9" s="1"/>
  <c r="E50" i="9"/>
  <c r="D50" i="9" s="1"/>
  <c r="E53" i="9"/>
  <c r="D53" i="9" s="1"/>
  <c r="E54" i="9"/>
  <c r="D54" i="9" s="1"/>
  <c r="E45" i="9"/>
  <c r="D45" i="9" s="1"/>
  <c r="E51" i="9"/>
  <c r="D51" i="9" s="1"/>
  <c r="E63" i="9"/>
  <c r="D63" i="9" s="1"/>
  <c r="E61" i="9"/>
  <c r="E48" i="9"/>
  <c r="D48" i="9" s="1"/>
  <c r="E65" i="9"/>
  <c r="D65" i="9" s="1"/>
  <c r="E52" i="9"/>
  <c r="D52" i="9" s="1"/>
  <c r="E64" i="9"/>
  <c r="D64" i="9" s="1"/>
  <c r="E49" i="9"/>
  <c r="D49" i="9" s="1"/>
  <c r="E58" i="9"/>
  <c r="D58" i="9" s="1"/>
  <c r="E68"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pørring - Data" description="Tilkobling til spørringen Data i arbeidsboken." type="5" refreshedVersion="8" background="1" refreshOnLoad="1">
    <dbPr connection="Provider=Microsoft.Mashup.OleDb.1;Data Source=$Workbook$;Location=Data;Extended Properties=&quot;&quot;" command="SELECT * FROM [Data]"/>
  </connection>
</connections>
</file>

<file path=xl/sharedStrings.xml><?xml version="1.0" encoding="utf-8"?>
<sst xmlns="http://schemas.openxmlformats.org/spreadsheetml/2006/main" count="5430" uniqueCount="423">
  <si>
    <t>INNHOLDSFORTEGNELSE</t>
  </si>
  <si>
    <t>FIGURER</t>
  </si>
  <si>
    <t>Figur 1</t>
  </si>
  <si>
    <t>Brutto forfalt premie livprodukter - produkter uten investeringsvalg</t>
  </si>
  <si>
    <t>Figur 2</t>
  </si>
  <si>
    <t>Brutto forfalt premie livprodukter - produkter med investeringsvalg</t>
  </si>
  <si>
    <t>Figur 3</t>
  </si>
  <si>
    <t>Forsikringsforpliktelser livprodukter - produkter uten investeringsvalg</t>
  </si>
  <si>
    <t>Figur 4</t>
  </si>
  <si>
    <t>Forsikringsforpliktelser livprodukter - produkter med investeringsvalg</t>
  </si>
  <si>
    <t>Figur 5</t>
  </si>
  <si>
    <t>Netto tilflytting livprodukter - produkter uten investeringsvalg</t>
  </si>
  <si>
    <t>Figur 6</t>
  </si>
  <si>
    <t>Netto tilflytting livprodukter - produkter med investeringsvalg</t>
  </si>
  <si>
    <t>TABELLER</t>
  </si>
  <si>
    <t>MARKEDSDEL</t>
  </si>
  <si>
    <t>Tabell 1.1</t>
  </si>
  <si>
    <t>Hovedtall - produkter uten  og med investeringsvalg</t>
  </si>
  <si>
    <t>Tabell 1.2</t>
  </si>
  <si>
    <t>Hovedtall - fordelt på bransjer</t>
  </si>
  <si>
    <t>Tabell 1.3</t>
  </si>
  <si>
    <t>Hovedtall - aktivaposter</t>
  </si>
  <si>
    <t>Skjema total MA</t>
  </si>
  <si>
    <t>Totalt - alle produkter</t>
  </si>
  <si>
    <t>Selskapsnavn</t>
  </si>
  <si>
    <t>Tall pr. selskap - alle produkter</t>
  </si>
  <si>
    <t>REGNSKAPSDEL</t>
  </si>
  <si>
    <t>Tabell 4</t>
  </si>
  <si>
    <t>Resultatregnskap - alle produkter</t>
  </si>
  <si>
    <t>Tabell 5.1</t>
  </si>
  <si>
    <t>Resultatanalyse - Individuell kapital og individuell pensjon - alle produkter</t>
  </si>
  <si>
    <t>Tabell 5.2</t>
  </si>
  <si>
    <t>Resultatanalyse - Kollektiv pensjon - alle produkter</t>
  </si>
  <si>
    <t>Tabell 5.3</t>
  </si>
  <si>
    <t>Resultatanalyse - Gruppeliv, ulykke o.a. og total - alle produkter</t>
  </si>
  <si>
    <t>Tabell 6</t>
  </si>
  <si>
    <t>Balanse - alle produkter</t>
  </si>
  <si>
    <t>Tabell 7a</t>
  </si>
  <si>
    <t>Spesifikasjon av post 12 - forsikringsforpliktelser - produkter uten investeringsvalg</t>
  </si>
  <si>
    <t>Tabell 7b</t>
  </si>
  <si>
    <t>Spesifikasjon post 13 forsikringsforpliktelser - produkter med investeringsvalg</t>
  </si>
  <si>
    <t>Tabell 8</t>
  </si>
  <si>
    <t>Diverse nøkkeltall - produkter uten investeringsvalg</t>
  </si>
  <si>
    <t>NOTER OG KOMMENTARER</t>
  </si>
  <si>
    <t>Tilbake</t>
  </si>
  <si>
    <t xml:space="preserve">Brutto forfalt premie livprodukter </t>
  </si>
  <si>
    <t>Produkter uten investeringsvalg</t>
  </si>
  <si>
    <t>DNB Liv</t>
  </si>
  <si>
    <t>Euro Accident</t>
  </si>
  <si>
    <t>Frende Livsfors</t>
  </si>
  <si>
    <t>Frende Skade</t>
  </si>
  <si>
    <t>Gjensidige Fors</t>
  </si>
  <si>
    <t>Gjensidige Pensj</t>
  </si>
  <si>
    <t>If Skadefors</t>
  </si>
  <si>
    <t>KLP</t>
  </si>
  <si>
    <t>KLP Skadef</t>
  </si>
  <si>
    <t>Knif Trygghet Fors.</t>
  </si>
  <si>
    <t>Landkreditt Fors.</t>
  </si>
  <si>
    <t>Ly Forsikring</t>
  </si>
  <si>
    <t>Nordea Liv</t>
  </si>
  <si>
    <t>Oslo Forsikring</t>
  </si>
  <si>
    <t>OPF</t>
  </si>
  <si>
    <t>Protector Fors</t>
  </si>
  <si>
    <t>SpareBank 1 Forsikring</t>
  </si>
  <si>
    <t>Storebrand Liv</t>
  </si>
  <si>
    <t>Telenor Fors</t>
  </si>
  <si>
    <t>Tryg Fors</t>
  </si>
  <si>
    <t>WaterCircles Fors.</t>
  </si>
  <si>
    <t>Youplus Livsf</t>
  </si>
  <si>
    <t>Produkter med investeringsvalg</t>
  </si>
  <si>
    <t>Forsikringsforpliktelser i livsforsikring</t>
  </si>
  <si>
    <t>Landkreditt Fors</t>
  </si>
  <si>
    <t>Telenor Forsikring</t>
  </si>
  <si>
    <t>Tryg Forsikring</t>
  </si>
  <si>
    <t>WaterCicles Fors.</t>
  </si>
  <si>
    <t xml:space="preserve">Netto tilflytting </t>
  </si>
  <si>
    <t>Netto tilflytting</t>
  </si>
  <si>
    <t>Markedsdel, endelig år</t>
  </si>
  <si>
    <t>Tabell 1.1 Hovedtall</t>
  </si>
  <si>
    <t>Produkter med og uten investeringsvalg</t>
  </si>
  <si>
    <r>
      <t>Brutto forfalt premie</t>
    </r>
    <r>
      <rPr>
        <sz val="14"/>
        <rFont val="Times New Roman"/>
        <family val="1"/>
      </rPr>
      <t xml:space="preserve"> </t>
    </r>
    <r>
      <rPr>
        <vertAlign val="superscript"/>
        <sz val="14"/>
        <rFont val="Times New Roman"/>
        <family val="1"/>
      </rPr>
      <t>1)</t>
    </r>
  </si>
  <si>
    <r>
      <t>Forsikringsforpliktelser</t>
    </r>
    <r>
      <rPr>
        <sz val="14"/>
        <rFont val="Times New Roman"/>
        <family val="1"/>
      </rPr>
      <t xml:space="preserve"> </t>
    </r>
    <r>
      <rPr>
        <vertAlign val="superscript"/>
        <sz val="14"/>
        <rFont val="Times New Roman"/>
        <family val="1"/>
      </rPr>
      <t>4)</t>
    </r>
  </si>
  <si>
    <t>Flytting fra andre</t>
  </si>
  <si>
    <t>Flytting til andre</t>
  </si>
  <si>
    <t>%-</t>
  </si>
  <si>
    <t>Markeds-</t>
  </si>
  <si>
    <t>Beløp i 1000  kroner</t>
  </si>
  <si>
    <t>endring</t>
  </si>
  <si>
    <t>andel</t>
  </si>
  <si>
    <t>Q10</t>
  </si>
  <si>
    <t>R10</t>
  </si>
  <si>
    <t>DNB Livsforsikring</t>
  </si>
  <si>
    <t>R7</t>
  </si>
  <si>
    <t>R11</t>
  </si>
  <si>
    <t>Fremtind Livsforsikring</t>
  </si>
  <si>
    <t>R8</t>
  </si>
  <si>
    <t>Frende Livsforsikring</t>
  </si>
  <si>
    <t>Frende Skadeforsikring</t>
  </si>
  <si>
    <t>Q9</t>
  </si>
  <si>
    <t>Gjensidige Forsikring</t>
  </si>
  <si>
    <t>R9</t>
  </si>
  <si>
    <t>Gjensidige Pensjon</t>
  </si>
  <si>
    <t>If Skadeforsikring NUF</t>
  </si>
  <si>
    <t>KLP Skadeforsikring AS</t>
  </si>
  <si>
    <t>Knif Trygghet Forsikring</t>
  </si>
  <si>
    <t>Landkreditt Forsikring</t>
  </si>
  <si>
    <t xml:space="preserve">Nordea Liv </t>
  </si>
  <si>
    <t>Oslo Pensjonsforsikring</t>
  </si>
  <si>
    <t>Protector Forsikring</t>
  </si>
  <si>
    <t>Storebrand Livsforsikring</t>
  </si>
  <si>
    <t>WaterCircles Forsikring</t>
  </si>
  <si>
    <t>Youplus Livsforsikring</t>
  </si>
  <si>
    <t>Totalt uten investeringsvalg</t>
  </si>
  <si>
    <t>Q17</t>
  </si>
  <si>
    <t>R14</t>
  </si>
  <si>
    <t>Q18</t>
  </si>
  <si>
    <t>R15</t>
  </si>
  <si>
    <t>Q16</t>
  </si>
  <si>
    <t>Totalt med investeringsvalg</t>
  </si>
  <si>
    <t>Alle produkter</t>
  </si>
  <si>
    <t>Totalt</t>
  </si>
  <si>
    <t>Noter : Se "Noter og kommentarer"</t>
  </si>
  <si>
    <t>Tabell 1.2 Hovedtall</t>
  </si>
  <si>
    <t>Fordelt på bransjer</t>
  </si>
  <si>
    <t>Totalt alle produkter</t>
  </si>
  <si>
    <t>%</t>
  </si>
  <si>
    <t>Beløp i 1000 kr.</t>
  </si>
  <si>
    <r>
      <t xml:space="preserve">Brutto forfalt premie </t>
    </r>
    <r>
      <rPr>
        <vertAlign val="superscript"/>
        <sz val="14"/>
        <rFont val="Times New Roman"/>
        <family val="1"/>
      </rPr>
      <t>1)</t>
    </r>
  </si>
  <si>
    <t xml:space="preserve">   Individuell kapitalforsikring</t>
  </si>
  <si>
    <t xml:space="preserve">   Individuell pensjonsforsikring</t>
  </si>
  <si>
    <t xml:space="preserve">   Gruppeliv</t>
  </si>
  <si>
    <t xml:space="preserve">   Privat kollektiv pensjon</t>
  </si>
  <si>
    <t xml:space="preserve">     - herav innskuddsbasert *</t>
  </si>
  <si>
    <t xml:space="preserve">     - herav etter tjenestepensjonsloven</t>
  </si>
  <si>
    <r>
      <t xml:space="preserve">   Kommunal kollektiv pensjon </t>
    </r>
    <r>
      <rPr>
        <vertAlign val="superscript"/>
        <sz val="14"/>
        <rFont val="Times New Roman"/>
        <family val="1"/>
      </rPr>
      <t>15)</t>
    </r>
  </si>
  <si>
    <t xml:space="preserve">   Foreningskollektiv</t>
  </si>
  <si>
    <t>Totalt brutto forfalt premie</t>
  </si>
  <si>
    <r>
      <t xml:space="preserve">Forsikringsforpliktelser </t>
    </r>
    <r>
      <rPr>
        <vertAlign val="superscript"/>
        <sz val="14"/>
        <rFont val="Times New Roman"/>
        <family val="1"/>
      </rPr>
      <t>4)</t>
    </r>
  </si>
  <si>
    <r>
      <t xml:space="preserve">     - herav innskuddsbasert </t>
    </r>
    <r>
      <rPr>
        <vertAlign val="superscript"/>
        <sz val="14"/>
        <rFont val="Times New Roman"/>
        <family val="1"/>
      </rPr>
      <t>*</t>
    </r>
  </si>
  <si>
    <t>Totalt forsikringsforpliktelser</t>
  </si>
  <si>
    <r>
      <t xml:space="preserve">Overførte reserver fra andre </t>
    </r>
    <r>
      <rPr>
        <vertAlign val="superscript"/>
        <sz val="14"/>
        <rFont val="Times New Roman"/>
        <family val="1"/>
      </rPr>
      <t>5)</t>
    </r>
  </si>
  <si>
    <t>Totalt overførte reserver fra andre</t>
  </si>
  <si>
    <r>
      <t xml:space="preserve">Flytting fra andre </t>
    </r>
    <r>
      <rPr>
        <vertAlign val="superscript"/>
        <sz val="14"/>
        <rFont val="Times New Roman"/>
        <family val="1"/>
      </rPr>
      <t>9)</t>
    </r>
  </si>
  <si>
    <r>
      <t xml:space="preserve">Overførte reserver til andre </t>
    </r>
    <r>
      <rPr>
        <vertAlign val="superscript"/>
        <sz val="14"/>
        <rFont val="Times New Roman"/>
        <family val="1"/>
      </rPr>
      <t>6)</t>
    </r>
  </si>
  <si>
    <t>Totalt overførte reserver til andre</t>
  </si>
  <si>
    <r>
      <t xml:space="preserve">Flytting til andre </t>
    </r>
    <r>
      <rPr>
        <vertAlign val="superscript"/>
        <sz val="14"/>
        <rFont val="Times New Roman"/>
        <family val="1"/>
      </rPr>
      <t>9)</t>
    </r>
  </si>
  <si>
    <r>
      <t xml:space="preserve">Netto overførte reserver fra andre </t>
    </r>
    <r>
      <rPr>
        <b/>
        <vertAlign val="superscript"/>
        <sz val="14"/>
        <rFont val="Times New Roman"/>
        <family val="1"/>
      </rPr>
      <t>9)</t>
    </r>
  </si>
  <si>
    <t>Totalt netto overførte reserver fra andre</t>
  </si>
  <si>
    <r>
      <t xml:space="preserve">Netto flytting fra andre </t>
    </r>
    <r>
      <rPr>
        <vertAlign val="superscript"/>
        <sz val="14"/>
        <rFont val="Times New Roman"/>
        <family val="1"/>
      </rPr>
      <t>9)</t>
    </r>
  </si>
  <si>
    <t xml:space="preserve">* "Innskuddsbasert" er summen av "Engangsbetalt" og "Innskuddspensjon". </t>
  </si>
  <si>
    <t>** Bokført verdi, se tabell 6 i statistikken.</t>
  </si>
  <si>
    <t>Tabell 1.3 Hovedtall</t>
  </si>
  <si>
    <t>Aktivaposter (aggregert)</t>
  </si>
  <si>
    <t>31.03.</t>
  </si>
  <si>
    <t>i mill. kr</t>
  </si>
  <si>
    <t>prosentvis andel</t>
  </si>
  <si>
    <t>Selskapsporteføljen</t>
  </si>
  <si>
    <t xml:space="preserve">   Aksjer</t>
  </si>
  <si>
    <t xml:space="preserve">   Rentebærende verdipapirer</t>
  </si>
  <si>
    <t xml:space="preserve">   Eiendom</t>
  </si>
  <si>
    <t xml:space="preserve">   Datterforetak m.m.</t>
  </si>
  <si>
    <t xml:space="preserve">   Utlån</t>
  </si>
  <si>
    <t xml:space="preserve">   Annet</t>
  </si>
  <si>
    <t>Kollektivporteføljen</t>
  </si>
  <si>
    <t>Investeringsvalgporteføljen</t>
  </si>
  <si>
    <t>Tallene er hentet fra tabell 6 Balanse.</t>
  </si>
  <si>
    <t>Tabell 1 : Individuell kapitalforsikring*</t>
  </si>
  <si>
    <t>Endring</t>
  </si>
  <si>
    <t>i %</t>
  </si>
  <si>
    <r>
      <t xml:space="preserve">Brutto forfalt premie </t>
    </r>
    <r>
      <rPr>
        <b/>
        <vertAlign val="superscript"/>
        <sz val="10"/>
        <rFont val="Times New Roman"/>
        <family val="1"/>
      </rPr>
      <t>1</t>
    </r>
  </si>
  <si>
    <r>
      <t xml:space="preserve">    Herav brutto risikopremie død </t>
    </r>
    <r>
      <rPr>
        <vertAlign val="superscript"/>
        <sz val="10"/>
        <rFont val="Times New Roman"/>
        <family val="1"/>
      </rPr>
      <t>2</t>
    </r>
  </si>
  <si>
    <r>
      <t xml:space="preserve">    Herav brutto risikopremie uførekapital </t>
    </r>
    <r>
      <rPr>
        <vertAlign val="superscript"/>
        <sz val="10"/>
        <rFont val="Times New Roman"/>
        <family val="1"/>
      </rPr>
      <t>2</t>
    </r>
  </si>
  <si>
    <r>
      <t xml:space="preserve">Forsikringsforpliktelser </t>
    </r>
    <r>
      <rPr>
        <b/>
        <vertAlign val="superscript"/>
        <sz val="10"/>
        <rFont val="Times New Roman"/>
        <family val="1"/>
      </rPr>
      <t>4</t>
    </r>
  </si>
  <si>
    <r>
      <t xml:space="preserve">Overførte reserver fra andre </t>
    </r>
    <r>
      <rPr>
        <b/>
        <vertAlign val="superscript"/>
        <sz val="10"/>
        <rFont val="Times New Roman"/>
        <family val="1"/>
      </rPr>
      <t>5</t>
    </r>
  </si>
  <si>
    <r>
      <t>Overførte reserver til andre</t>
    </r>
    <r>
      <rPr>
        <b/>
        <vertAlign val="superscript"/>
        <sz val="10"/>
        <rFont val="Times New Roman"/>
        <family val="1"/>
      </rPr>
      <t xml:space="preserve"> 6</t>
    </r>
  </si>
  <si>
    <t>* Brutto risiokopremie for invidiuell uførepensjon fremkommer i tabell 2.</t>
  </si>
  <si>
    <t>Tabell 2: Individuell  pensjonsforsikring, herunder foreningskollektiv</t>
  </si>
  <si>
    <t xml:space="preserve">                     </t>
  </si>
  <si>
    <r>
      <t xml:space="preserve">    Livrenter </t>
    </r>
    <r>
      <rPr>
        <vertAlign val="superscript"/>
        <sz val="10"/>
        <rFont val="Times New Roman"/>
        <family val="1"/>
      </rPr>
      <t>10</t>
    </r>
  </si>
  <si>
    <r>
      <t xml:space="preserve">    IPA </t>
    </r>
    <r>
      <rPr>
        <vertAlign val="superscript"/>
        <sz val="10"/>
        <rFont val="Times New Roman"/>
        <family val="1"/>
      </rPr>
      <t>10</t>
    </r>
  </si>
  <si>
    <r>
      <t xml:space="preserve">    IPS 2008 </t>
    </r>
    <r>
      <rPr>
        <vertAlign val="superscript"/>
        <sz val="10"/>
        <rFont val="Times New Roman"/>
        <family val="1"/>
      </rPr>
      <t>10</t>
    </r>
  </si>
  <si>
    <r>
      <t xml:space="preserve">    IPS </t>
    </r>
    <r>
      <rPr>
        <vertAlign val="superscript"/>
        <sz val="10"/>
        <rFont val="Times New Roman"/>
        <family val="1"/>
      </rPr>
      <t>10</t>
    </r>
  </si>
  <si>
    <t xml:space="preserve">      herav kapitaliseringsprodukt IPA+IPS</t>
  </si>
  <si>
    <r>
      <t xml:space="preserve">Brutto risikopremie for individuell uførepensjon </t>
    </r>
    <r>
      <rPr>
        <vertAlign val="superscript"/>
        <sz val="10"/>
        <rFont val="Times New Roman"/>
        <family val="1"/>
      </rPr>
      <t>3</t>
    </r>
  </si>
  <si>
    <r>
      <t xml:space="preserve">Forsikringsforpliktelser </t>
    </r>
    <r>
      <rPr>
        <b/>
        <vertAlign val="superscript"/>
        <sz val="10"/>
        <rFont val="Times New Roman"/>
        <family val="1"/>
      </rPr>
      <t>6</t>
    </r>
  </si>
  <si>
    <r>
      <t xml:space="preserve">Brutto forfalt premie - Foreningskollektiv </t>
    </r>
    <r>
      <rPr>
        <b/>
        <vertAlign val="superscript"/>
        <sz val="10"/>
        <rFont val="Times New Roman"/>
        <family val="1"/>
      </rPr>
      <t>1</t>
    </r>
  </si>
  <si>
    <r>
      <t xml:space="preserve">Forsikringsforpliktelser  - Foreningskollektiv </t>
    </r>
    <r>
      <rPr>
        <b/>
        <vertAlign val="superscript"/>
        <sz val="10"/>
        <rFont val="Times New Roman"/>
        <family val="1"/>
      </rPr>
      <t>4</t>
    </r>
  </si>
  <si>
    <r>
      <t xml:space="preserve">Overførte reserver fra andre - Foreningskollektiv </t>
    </r>
    <r>
      <rPr>
        <b/>
        <vertAlign val="superscript"/>
        <sz val="10"/>
        <rFont val="Times New Roman"/>
        <family val="1"/>
      </rPr>
      <t>5</t>
    </r>
  </si>
  <si>
    <r>
      <t xml:space="preserve">Overførte reserver til andre - Foreningskollektiv </t>
    </r>
    <r>
      <rPr>
        <b/>
        <vertAlign val="superscript"/>
        <sz val="10"/>
        <rFont val="Times New Roman"/>
        <family val="1"/>
      </rPr>
      <t>6</t>
    </r>
  </si>
  <si>
    <t>Tabell 3: Gruppelivsforsikring</t>
  </si>
  <si>
    <r>
      <t xml:space="preserve">    Bedrift </t>
    </r>
    <r>
      <rPr>
        <vertAlign val="superscript"/>
        <sz val="10"/>
        <rFont val="Times New Roman"/>
        <family val="1"/>
      </rPr>
      <t>7</t>
    </r>
  </si>
  <si>
    <r>
      <t xml:space="preserve">    Privat </t>
    </r>
    <r>
      <rPr>
        <vertAlign val="superscript"/>
        <sz val="10"/>
        <rFont val="Times New Roman"/>
        <family val="1"/>
      </rPr>
      <t>8</t>
    </r>
  </si>
  <si>
    <t xml:space="preserve">      Gjeldsgruppeliv</t>
  </si>
  <si>
    <t xml:space="preserve">      Foreningsgruppeliv</t>
  </si>
  <si>
    <t xml:space="preserve">      Andre grupper</t>
  </si>
  <si>
    <r>
      <t xml:space="preserve">Flytting fra andre </t>
    </r>
    <r>
      <rPr>
        <b/>
        <vertAlign val="superscript"/>
        <sz val="10"/>
        <rFont val="Times New Roman"/>
        <family val="1"/>
      </rPr>
      <t>9</t>
    </r>
  </si>
  <si>
    <r>
      <t xml:space="preserve">Flytting til andre </t>
    </r>
    <r>
      <rPr>
        <b/>
        <vertAlign val="superscript"/>
        <sz val="10"/>
        <rFont val="Times New Roman"/>
        <family val="1"/>
      </rPr>
      <t>9</t>
    </r>
  </si>
  <si>
    <t>Tabell 4: Privat kollektiv pensjonsforsikring, herunder fripoliser, pensjonskapitalbevis og pensjonsbevis</t>
  </si>
  <si>
    <t xml:space="preserve">   Ytelsesbasert</t>
  </si>
  <si>
    <t xml:space="preserve">   Innskuddsbasert</t>
  </si>
  <si>
    <r>
      <t xml:space="preserve">      Engangsbetalt </t>
    </r>
    <r>
      <rPr>
        <vertAlign val="superscript"/>
        <sz val="10"/>
        <rFont val="Times New Roman"/>
        <family val="1"/>
      </rPr>
      <t>11</t>
    </r>
  </si>
  <si>
    <t xml:space="preserve">        Inv.valg foretak</t>
  </si>
  <si>
    <t xml:space="preserve">        Inv.valg kontohaver</t>
  </si>
  <si>
    <r>
      <t xml:space="preserve">      Innskuddspensjon </t>
    </r>
    <r>
      <rPr>
        <vertAlign val="superscript"/>
        <sz val="10"/>
        <rFont val="Times New Roman"/>
        <family val="1"/>
      </rPr>
      <t>12</t>
    </r>
  </si>
  <si>
    <t xml:space="preserve">  Etter tjenestepensjonsloven - Alderspensjon</t>
  </si>
  <si>
    <t xml:space="preserve">  Etter tjenestepensjonsloven - Uførepensjon</t>
  </si>
  <si>
    <r>
      <t xml:space="preserve">  Innenfor LOF/LOI </t>
    </r>
    <r>
      <rPr>
        <vertAlign val="superscript"/>
        <sz val="10"/>
        <rFont val="Times New Roman"/>
        <family val="1"/>
      </rPr>
      <t>13</t>
    </r>
  </si>
  <si>
    <t xml:space="preserve">   Innskuddsbasert (inkl. EPK)</t>
  </si>
  <si>
    <r>
      <t xml:space="preserve">  Utenfor LOF/LOI - Livrenter </t>
    </r>
    <r>
      <rPr>
        <vertAlign val="superscript"/>
        <sz val="10"/>
        <rFont val="Times New Roman"/>
        <family val="1"/>
      </rPr>
      <t>13,17</t>
    </r>
  </si>
  <si>
    <r>
      <t xml:space="preserve">  Herav fripoliser </t>
    </r>
    <r>
      <rPr>
        <vertAlign val="superscript"/>
        <sz val="10"/>
        <rFont val="Times New Roman"/>
        <family val="1"/>
      </rPr>
      <t>14,16</t>
    </r>
  </si>
  <si>
    <r>
      <t xml:space="preserve">  Herav pensjonskapitalbevis innenfor og utenfor EPK</t>
    </r>
    <r>
      <rPr>
        <vertAlign val="superscript"/>
        <sz val="10"/>
        <rFont val="Times New Roman"/>
        <family val="1"/>
      </rPr>
      <t>14) 18)</t>
    </r>
  </si>
  <si>
    <r>
      <t xml:space="preserve">  Herav pensjonsbevis</t>
    </r>
    <r>
      <rPr>
        <vertAlign val="superscript"/>
        <sz val="10"/>
        <rFont val="Times New Roman"/>
        <family val="1"/>
      </rPr>
      <t>14</t>
    </r>
  </si>
  <si>
    <t xml:space="preserve">   Etter tjenestepensjonsloven</t>
  </si>
  <si>
    <t xml:space="preserve">    Fra pensjonskasser</t>
  </si>
  <si>
    <r>
      <t xml:space="preserve">   Herav fripoliser </t>
    </r>
    <r>
      <rPr>
        <vertAlign val="superscript"/>
        <sz val="10"/>
        <rFont val="Times New Roman"/>
        <family val="1"/>
      </rPr>
      <t>14,16</t>
    </r>
  </si>
  <si>
    <t xml:space="preserve">    Til pensjonskasser</t>
  </si>
  <si>
    <t>Tabell 5: Kommunale ordninger</t>
  </si>
  <si>
    <r>
      <t xml:space="preserve">Brutto forfalt premie </t>
    </r>
    <r>
      <rPr>
        <b/>
        <vertAlign val="superscript"/>
        <sz val="10"/>
        <rFont val="Times New Roman"/>
        <family val="1"/>
      </rPr>
      <t>1, 15</t>
    </r>
  </si>
  <si>
    <r>
      <t xml:space="preserve">Forsikringsforpliktelser </t>
    </r>
    <r>
      <rPr>
        <b/>
        <vertAlign val="superscript"/>
        <sz val="10"/>
        <rFont val="Times New Roman"/>
        <family val="1"/>
      </rPr>
      <t>4, 15</t>
    </r>
  </si>
  <si>
    <r>
      <t xml:space="preserve">Overførte reserver fra andre </t>
    </r>
    <r>
      <rPr>
        <b/>
        <vertAlign val="superscript"/>
        <sz val="10"/>
        <rFont val="Times New Roman"/>
        <family val="1"/>
      </rPr>
      <t>5, 15</t>
    </r>
  </si>
  <si>
    <r>
      <t>Overførte reserver til andre</t>
    </r>
    <r>
      <rPr>
        <b/>
        <vertAlign val="superscript"/>
        <sz val="10"/>
        <rFont val="Times New Roman"/>
        <family val="1"/>
      </rPr>
      <t xml:space="preserve"> 6, 15</t>
    </r>
  </si>
  <si>
    <t>Selskap</t>
  </si>
  <si>
    <t xml:space="preserve">   Etter tjenestepensjonsloven - Alderspensjon</t>
  </si>
  <si>
    <t xml:space="preserve">   Etter tjenestepensjonsloven - Uførepensjon</t>
  </si>
  <si>
    <r>
      <t xml:space="preserve">  Herav fripoliser </t>
    </r>
    <r>
      <rPr>
        <vertAlign val="superscript"/>
        <sz val="10"/>
        <rFont val="Times New Roman"/>
        <family val="1"/>
      </rPr>
      <t>14</t>
    </r>
  </si>
  <si>
    <r>
      <t xml:space="preserve">Forsikringsforpliktelser </t>
    </r>
    <r>
      <rPr>
        <b/>
        <vertAlign val="superscript"/>
        <sz val="10"/>
        <rFont val="Times New Roman"/>
        <family val="1"/>
      </rPr>
      <t>5, 15</t>
    </r>
  </si>
  <si>
    <t>Regnskapsdel, endelig kvartal</t>
  </si>
  <si>
    <t>Resultatregnskap</t>
  </si>
  <si>
    <t>DNB</t>
  </si>
  <si>
    <t>Frende</t>
  </si>
  <si>
    <t>Gjensidige</t>
  </si>
  <si>
    <t>Oslo</t>
  </si>
  <si>
    <t>Storebrand</t>
  </si>
  <si>
    <t>Youplus</t>
  </si>
  <si>
    <t xml:space="preserve">Totalt </t>
  </si>
  <si>
    <t>Livsforsikring</t>
  </si>
  <si>
    <t>Fremtind Liv</t>
  </si>
  <si>
    <t>Pensjon</t>
  </si>
  <si>
    <t>Pensjonsforsikring</t>
  </si>
  <si>
    <t>SpareBank 1</t>
  </si>
  <si>
    <t>norske livselskaper</t>
  </si>
  <si>
    <t>alle livselskaper</t>
  </si>
  <si>
    <t xml:space="preserve">Beløp i millioner kroner </t>
  </si>
  <si>
    <t>TEKNISK REGNSKAP FOR LIVSFORSIKRING</t>
  </si>
  <si>
    <t>1. Premieinntekter f.e.r.</t>
  </si>
  <si>
    <t xml:space="preserve">    1.1 Forfalt premier, brutto</t>
  </si>
  <si>
    <t xml:space="preserve">    1.2 - Avgitte gjenforsikringspremier</t>
  </si>
  <si>
    <t xml:space="preserve">    1.3 Overføring av premiereserve og pensjonskapital mv. fra andre f.selskap/p.kasser</t>
  </si>
  <si>
    <t xml:space="preserve">    Sum premieinntekter f.e.r.</t>
  </si>
  <si>
    <t>2. Netto inntekter fra investeringer i kollektivporteføljen</t>
  </si>
  <si>
    <t>3. Netto inntekter fra investeringer i investeringsvalgporteføljen</t>
  </si>
  <si>
    <t>4. Andre forsikringsrelaterte inntekter</t>
  </si>
  <si>
    <t>5. Erstatninger</t>
  </si>
  <si>
    <t xml:space="preserve">    5.1 Utbetalte erstatninger</t>
  </si>
  <si>
    <t xml:space="preserve">    5.2 Overføring av premiereserve, pensjonskapital mv. og bufferfond til andre f.selskap/p.kasser</t>
  </si>
  <si>
    <t>Sum erstatninger f.e.r.</t>
  </si>
  <si>
    <t>6. Resultatførte endringer i forsikringsforpliktelser - KF</t>
  </si>
  <si>
    <t xml:space="preserve">    6.1 Endring i premiereserve mv.</t>
  </si>
  <si>
    <t xml:space="preserve">    6.2 Endring i bufferfond</t>
  </si>
  <si>
    <t xml:space="preserve">    6.3 Endring i premiefond, innskuddsfond og fond for regulering av pensjoner mv.</t>
  </si>
  <si>
    <r>
      <t xml:space="preserve">    Endring i kursreguleringsfond</t>
    </r>
    <r>
      <rPr>
        <i/>
        <vertAlign val="superscript"/>
        <sz val="14"/>
        <rFont val="Times New Roman"/>
        <family val="1"/>
      </rPr>
      <t>19</t>
    </r>
  </si>
  <si>
    <t xml:space="preserve">    6.4 Endring i tekniske avsetninger for skadeforsikringsvirksomhet</t>
  </si>
  <si>
    <t xml:space="preserve">    6.5 Overføring av bufferfond fra andre fors.selskap/pensj.kasser</t>
  </si>
  <si>
    <t>Sum resultatførte endringer i forsikringsforpliktelser - KF</t>
  </si>
  <si>
    <t>7. Resultatførte endringer i forsikringsforpliktelser - SI</t>
  </si>
  <si>
    <t>8. Midler tilordnet forsikringskontrakter -KF</t>
  </si>
  <si>
    <t>9. Forsikringsrelaterte driftskostnader</t>
  </si>
  <si>
    <t>10. Andre forsikringsrelaterte kostnader</t>
  </si>
  <si>
    <t>11.Resultat av teknisk regnskap</t>
  </si>
  <si>
    <t>IKKE-TEKNISK REGNSKAP FOR LIVSFORSIKRING</t>
  </si>
  <si>
    <t>12. Netto inntekter fra investeringer i selskapsporteføljen</t>
  </si>
  <si>
    <t>13. Andre inntekter</t>
  </si>
  <si>
    <t>14. Forvaltningskostnader og andre kostnader knyttet til selskapsporteføljen</t>
  </si>
  <si>
    <t>15. Resultat av ikke-teknisk regnskap</t>
  </si>
  <si>
    <t>16. Resultat før skattekostnad</t>
  </si>
  <si>
    <t>17. Skattekostnader</t>
  </si>
  <si>
    <t>18. Resultat før andre inntekter og kostnader</t>
  </si>
  <si>
    <t>19. Andre inntekter og kostnader</t>
  </si>
  <si>
    <t>20. TOTALRESULTAT</t>
  </si>
  <si>
    <t>Overføringer og disponeringer</t>
  </si>
  <si>
    <t xml:space="preserve">    Overføringer</t>
  </si>
  <si>
    <t xml:space="preserve">        Mottatt konsernbidrag</t>
  </si>
  <si>
    <t xml:space="preserve">        Overført fra annen egenkapital</t>
  </si>
  <si>
    <t xml:space="preserve">    Sum overføringer</t>
  </si>
  <si>
    <t xml:space="preserve">    Disponeringer</t>
  </si>
  <si>
    <t xml:space="preserve">        Utbytte</t>
  </si>
  <si>
    <t xml:space="preserve">        Avgitt konsernbidrag</t>
  </si>
  <si>
    <t xml:space="preserve">        Overført til annen egenkapital</t>
  </si>
  <si>
    <t xml:space="preserve">    Sum disponeringer</t>
  </si>
  <si>
    <t>Sum overføringer og disponeringer</t>
  </si>
  <si>
    <t>Noter: Se "Noter og kommentarer"</t>
  </si>
  <si>
    <t>KF=Kontraktsfastsatte forpliktelser</t>
  </si>
  <si>
    <t>SI=Særskilt investeringsportefølje</t>
  </si>
  <si>
    <t>Regnskapsdel, endelig år</t>
  </si>
  <si>
    <t xml:space="preserve"> </t>
  </si>
  <si>
    <t>Forsikring</t>
  </si>
  <si>
    <t>Balanse</t>
  </si>
  <si>
    <r>
      <t>norske livselskaper</t>
    </r>
    <r>
      <rPr>
        <b/>
        <vertAlign val="superscript"/>
        <sz val="14"/>
        <rFont val="Times New Roman"/>
        <family val="1"/>
      </rPr>
      <t xml:space="preserve"> </t>
    </r>
  </si>
  <si>
    <r>
      <t>alle livselskaper</t>
    </r>
    <r>
      <rPr>
        <b/>
        <vertAlign val="superscript"/>
        <sz val="14"/>
        <rFont val="Times New Roman"/>
        <family val="1"/>
      </rPr>
      <t xml:space="preserve"> </t>
    </r>
  </si>
  <si>
    <t>Beløp i millioner kroner</t>
  </si>
  <si>
    <t>EIENDELER</t>
  </si>
  <si>
    <t>EIENDELER I SELSKAPSPORTEFØLJEN</t>
  </si>
  <si>
    <t>2. Investeringer i selskapsporteføljen</t>
  </si>
  <si>
    <t xml:space="preserve">    2.1 Bygninger og andre faste eiendommer</t>
  </si>
  <si>
    <t xml:space="preserve">    2.2 Datterforetak, tilknyttede foretak og felleskontrollerte foretak</t>
  </si>
  <si>
    <t xml:space="preserve">    2.3 Finansielle eiendeler som måles til amortisert kost</t>
  </si>
  <si>
    <t xml:space="preserve">         2.3.1 Rentebærende verdipapirer</t>
  </si>
  <si>
    <t xml:space="preserve">            - Obligasjoner</t>
  </si>
  <si>
    <t xml:space="preserve">         2.3.2 Utlån og fordringer</t>
  </si>
  <si>
    <t xml:space="preserve">    2.4 Finansielle eiendeler som måles til virkelig verdi</t>
  </si>
  <si>
    <t xml:space="preserve">         2.4.1 Aksjer og andeler (inkl. aksjer og andeler målt til kost)</t>
  </si>
  <si>
    <t xml:space="preserve">         2.4.2 Rentebærende verdipapirer</t>
  </si>
  <si>
    <t xml:space="preserve">         2.4.3 Utlån og fordringer</t>
  </si>
  <si>
    <t xml:space="preserve">         2.4.4 Finansielle derivater</t>
  </si>
  <si>
    <t xml:space="preserve">         2.4.5 Andre finansielle eiendeler</t>
  </si>
  <si>
    <t xml:space="preserve">    2.5 Gjenforsikringsdepoter</t>
  </si>
  <si>
    <t xml:space="preserve">    Sum investeringer i selskapsporteføljen</t>
  </si>
  <si>
    <t>Annet - postene 1, 3, 4 og 5</t>
  </si>
  <si>
    <t>Sum eiendeler i selskapsporteføljen</t>
  </si>
  <si>
    <t>EIENDELER I KUNDEPORTEFØLJENE</t>
  </si>
  <si>
    <t>6. Investeringer i kollektivporteføljen</t>
  </si>
  <si>
    <t xml:space="preserve">    6.1 Bygninger og andre faste eiendommer</t>
  </si>
  <si>
    <t xml:space="preserve">    6.2 Datterforetak, tilknyttede foretak og felleskontrollerte foretak</t>
  </si>
  <si>
    <t xml:space="preserve">    6.3 Finansielle eiendeler som måles til amortisert kost</t>
  </si>
  <si>
    <t xml:space="preserve">         6.3.1 Rentebærende verdipapirer</t>
  </si>
  <si>
    <t xml:space="preserve">         6.3.2 Utlån og fordringer</t>
  </si>
  <si>
    <t xml:space="preserve">    6.4 Finansielle eiendeler som måles til virkelig verdi</t>
  </si>
  <si>
    <t xml:space="preserve">         6.4.1 Aksjer og andeler (inkl. aksjer og andeler målt til kost)</t>
  </si>
  <si>
    <t xml:space="preserve">         6.4.2 Rentebærende verdipapirer</t>
  </si>
  <si>
    <t xml:space="preserve">         6.4.3 Utlån og fordringer</t>
  </si>
  <si>
    <t xml:space="preserve">         6.4.4 Finansielle derivater</t>
  </si>
  <si>
    <t xml:space="preserve">         6.4.5 Andre finansielle eiendeler</t>
  </si>
  <si>
    <t xml:space="preserve">    Sum investeringer i kollektivporteføljen</t>
  </si>
  <si>
    <t>7. Gjenforsikringsandel av forsikringsforpliktelser i kollektivporteføljen</t>
  </si>
  <si>
    <t>8. Investeringer i investeringsvalgporteføljen</t>
  </si>
  <si>
    <t xml:space="preserve">    8.1 Bygninger og andre faste eiendommer</t>
  </si>
  <si>
    <t xml:space="preserve">    8.2 Datterforetak, tilknyttede foretak og felleskontrollerte foretak</t>
  </si>
  <si>
    <t xml:space="preserve">    8.3 Finansielle eiendeler som måles til amortisert kost</t>
  </si>
  <si>
    <t xml:space="preserve">         8.3.1 Rentebærende verdipapirer</t>
  </si>
  <si>
    <t xml:space="preserve">         8.3.2 Utlån og fordringer</t>
  </si>
  <si>
    <t xml:space="preserve">    8.4 Finansielle eiendeler som måles til virkelig verdi</t>
  </si>
  <si>
    <t xml:space="preserve">         8.4.1 Aksjer og andeler (inkl. aksjer og andeler målt til kost)</t>
  </si>
  <si>
    <t xml:space="preserve">         8.4.2 Rentebærende verdipapirer</t>
  </si>
  <si>
    <t xml:space="preserve">         8.4.3 Utlån og fordringer</t>
  </si>
  <si>
    <t xml:space="preserve">         8.4.4 Finansielle derivater</t>
  </si>
  <si>
    <t xml:space="preserve">         8.4.5 Andre finansielle eiendeler</t>
  </si>
  <si>
    <t xml:space="preserve">    Sum investeringer i investeringsvalgsporteføljen</t>
  </si>
  <si>
    <t>9. Gjenforsikringsandel av forsikringsforpliktelser i investeringsvalgporteføljen</t>
  </si>
  <si>
    <t>Sum eiendeler i kundeporteføljene</t>
  </si>
  <si>
    <t>SUM EIENDELER</t>
  </si>
  <si>
    <t>EGENKAPITAL OG FORPLIKTELSER</t>
  </si>
  <si>
    <t>10. Innskutt egenkapital</t>
  </si>
  <si>
    <t>11. Opptjent egenkapital</t>
  </si>
  <si>
    <t xml:space="preserve">    11.1 Risikoutjevningsfond</t>
  </si>
  <si>
    <t>12. Ansvarlig lånekapital mv.</t>
  </si>
  <si>
    <t>13. Forsikringsforpliktelser i livsforsikring - KF</t>
  </si>
  <si>
    <t xml:space="preserve">    13.1 Premiereserve mv.</t>
  </si>
  <si>
    <r>
      <t xml:space="preserve">    Kursreguleringsfond</t>
    </r>
    <r>
      <rPr>
        <i/>
        <vertAlign val="superscript"/>
        <sz val="14"/>
        <rFont val="Times New Roman"/>
        <family val="1"/>
      </rPr>
      <t>19</t>
    </r>
  </si>
  <si>
    <t xml:space="preserve">    13.2 Bufferfond</t>
  </si>
  <si>
    <t xml:space="preserve">    13.3 Premiefond, innskuddsfond og fond for regulering av pensjoner mv.</t>
  </si>
  <si>
    <t xml:space="preserve">    13.4 Andre tekniske avsetninger for skadeforsikringsvirksomheten</t>
  </si>
  <si>
    <t xml:space="preserve">    Ufordelte overskuddsmidler til forsikringskontraktene</t>
  </si>
  <si>
    <t>Sum forsikringsforpliktelser i livsforsikring - KF</t>
  </si>
  <si>
    <t>14. Forsikringsforpliktelser i livsforsikring - SI</t>
  </si>
  <si>
    <t xml:space="preserve">    14.1 Pensjonskapital mv.</t>
  </si>
  <si>
    <t xml:space="preserve">    14.2 Bufferfond</t>
  </si>
  <si>
    <t xml:space="preserve">    14.3 Premiefond, innskuddsfond og fond for regulering av pensjoner mv.</t>
  </si>
  <si>
    <t>Sum forsikringsforpliktelser i livsforsikring - SI</t>
  </si>
  <si>
    <t>15. Avsetninger for forpliktelser</t>
  </si>
  <si>
    <t>16. Premiedepot fra gjenforsikringsselskaper</t>
  </si>
  <si>
    <t>17. Forpliktelser</t>
  </si>
  <si>
    <t>18. Påløpte kostnader og mottatte ikke opptjente inntekter</t>
  </si>
  <si>
    <t>SUM EGENKAPTAL OG FORPLIKTELSER</t>
  </si>
  <si>
    <t>Diverse nøkkeltall</t>
  </si>
  <si>
    <t>Bufferfond</t>
  </si>
  <si>
    <t>Mer/mindre-verdier</t>
  </si>
  <si>
    <t>Avkastningstall (%)</t>
  </si>
  <si>
    <t>Kapitalavkastning hittil i år</t>
  </si>
  <si>
    <r>
      <t xml:space="preserve">Soliditetskapital </t>
    </r>
    <r>
      <rPr>
        <sz val="14"/>
        <rFont val="Times New Roman"/>
        <family val="1"/>
      </rPr>
      <t>(%)</t>
    </r>
  </si>
  <si>
    <t>Noter til tabellene</t>
  </si>
  <si>
    <t>Brutto forfalt premie tilsvarer post 1.1 i resultatregnskapet, jf. forskrift til årsregnskap for livsforsikringsfortak.</t>
  </si>
  <si>
    <t>Brutto risikopremie rapporteres for produkter både med og uten sparing. Risikopremie for tilknyttede dekninger, som kritisk sykdom, ulykke m.m. skal ikke tas med. For Brutto risikopremie for individuell uførepensjon, se note 3.</t>
  </si>
  <si>
    <t xml:space="preserve">Risikopremie for individuell uførepensjon blir i noen selskap regnskapsført under Individuell kapital, mens den for de fleste regnskapsføres under Individuell pensjon. Brutto risikopremie for uførepensjon er derfor ikke en heravpost for verken Individuell kapital eller Individuell pensjon, men gjelder som en heravpost samlet for disse. </t>
  </si>
  <si>
    <t xml:space="preserve">Forsikringsforpliktelser i livsforsikring tilsvarer post 13 i balansen uten investeringsvalg og post 14 i balansen for produkter med investeringsvalg. Gjenforsikringsandel skal ikke tas hensyn til i markedsdelen. </t>
  </si>
  <si>
    <t>Overførte reserver fra andre tilsvarer post 1.3 i resultatregnskapet samt overførte tilleggsavsetninger som tilsvarer post 6.6 i  resultatregnskapet.</t>
  </si>
  <si>
    <t>Overførte reserver til andre tilsvarer post 5.2 i resultatregnskapet.</t>
  </si>
  <si>
    <t>Gruppeliv bedrift tilsvarer tjenestegruppeliv.</t>
  </si>
  <si>
    <t>Gruppeliv privat består av foreningsgruppeliv, gjeldsgruppeliv og annet.</t>
  </si>
  <si>
    <t>Flytting av en gruppelivsordning fra andre eller til andre måles i brutto årlig premie (ikke brutto forfalt premie).</t>
  </si>
  <si>
    <t>Livrenter, IPA og IPS er individuelle pensjonsspareavtaler etter skattereglene (kun i årsstatistikken / 4.kvartal). IPS forsikring etablert før 1.11.2017 defineres som IPS forsikring 2008, etter lov om individuell pensjonsordning vedtatt i 2008. Nye ordningen for skattefavorisert individuell pensjonssparing fra 1. november 2017 defineres som IPS forsikring.</t>
  </si>
  <si>
    <t xml:space="preserve">Engangsbetalt alderspensjon er innskuddsbasert pensjon med dødelighetsarv. </t>
  </si>
  <si>
    <t>Innskuddspensjon er innskuddsbasert pensjon uten dødelighetsarv.</t>
  </si>
  <si>
    <t>LOF/LOI betyr lov om foretakspensjon og lov om innskuddspensjon.</t>
  </si>
  <si>
    <t>Herav fripoliser, herav pensjonskapitalbevis og herav pensjonsbevis omfatter også fortsettelsesforsikringer. Herav-postene er uttrekk fra hovedpostene i tabellen Privat kollektiv pensjonsforsikring, uansett om det er Innenfor LOF/LOI eller Utenfor LOF/LOI - Livrenter.</t>
  </si>
  <si>
    <t xml:space="preserve">Med kommunal kollektiv pensjon menes kollektive pensjonsordninger som definert i lov om forsikringsvirksomhet § 4-1 og § 4-2.   </t>
  </si>
  <si>
    <t>Herav fripoliser med investeringsvalg betraktes som innskuddsbasert.</t>
  </si>
  <si>
    <t>Gjelder ikke ordninger etter lov om tjenestepensjon</t>
  </si>
  <si>
    <t>Postene Herav pensjonskapitalbevis omfatter pensjonskapitalbevis innenfor og utenfor Egen pensjonskonto. Med pensjonskapitalbevis innenfor Egen pensjonskonto menes passiv kapital. Se for øvrig note 14.</t>
  </si>
  <si>
    <t>Fra og med 2024 inngår mye av kursreserven i bufferfondet og er dermed rapportert i egen post.</t>
  </si>
  <si>
    <t>DNB Livsforsikring ASA</t>
  </si>
  <si>
    <t>Frende Livsforsikring AS</t>
  </si>
  <si>
    <t>Frende Skadeforsikring AS</t>
  </si>
  <si>
    <t>Gjensidige Forsikring ASA</t>
  </si>
  <si>
    <t>If Skadeforsikring nuf</t>
  </si>
  <si>
    <t>Nordea Liv Forsikring AS</t>
  </si>
  <si>
    <t>Telenor Forsikring AS</t>
  </si>
  <si>
    <t>SpareBank 1 Forsikring AS</t>
  </si>
  <si>
    <t>KLP Skadeforsikring</t>
  </si>
  <si>
    <t>WaterCircle Forsikring</t>
  </si>
  <si>
    <t>Fremtind</t>
  </si>
  <si>
    <r>
      <t xml:space="preserve">  Etter tjenestepensjonsloven - Uførepensjon (inkl.  Innskuddsfritak)</t>
    </r>
    <r>
      <rPr>
        <vertAlign val="superscript"/>
        <sz val="10"/>
        <rFont val="Times New Roman"/>
        <family val="1"/>
      </rPr>
      <t>20)</t>
    </r>
  </si>
  <si>
    <t>Posten omfatter brutto forfalt premie for uførepensjon etter tjenestepensjonsloven. Brutto forfalt premie for innskuddsfritak inngår også her.</t>
  </si>
  <si>
    <t>Figur 2  Brutto forfalt premie livprodukter  -  produkter med investeringsvalg pr. 31.03.</t>
  </si>
  <si>
    <t>Figur 3  Forsikringsforpliktelser i livsforsikring  -  produkter uten investeringsvalg pr. 31.03.</t>
  </si>
  <si>
    <t>Figur 4  Forsikringsforpliktelser i livsforsikring -  produkter med investeringsvalg pr. 31.03.</t>
  </si>
  <si>
    <t>Figur 5  Netto tilflytting livprodukter  -  produkter uten investeringsvalg pr. 31.03.</t>
  </si>
  <si>
    <t>Figur 6  Netto tilflytting livprodukter  -  produkter med investeringsvalg pr. 31.03.</t>
  </si>
  <si>
    <t>Figur 1  Brutto forfalt premie livprodukter  -  produkter uten investeringsvalg pr. 31.03.</t>
  </si>
  <si>
    <t>31.3.2025</t>
  </si>
  <si>
    <t>31.3.2026</t>
  </si>
  <si>
    <t xml:space="preserve">    Endring i tilleggsavsetninger</t>
  </si>
  <si>
    <t xml:space="preserve">    Tilleggsavsetninger</t>
  </si>
  <si>
    <t>Knif Trygghet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</si>
</sst>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_ * #,##0_ ;_ * \-#,##0_ ;_ * &quot;-&quot;??_ ;_ @_ "/>
    <numFmt numFmtId="166" formatCode="dd/mm/yy;@"/>
    <numFmt numFmtId="167" formatCode="0;\-0;;@"/>
    <numFmt numFmtId="168" formatCode="0.0"/>
    <numFmt numFmtId="169" formatCode="#,##0_ ;\-#,##0\ "/>
    <numFmt numFmtId="170" formatCode="_ * #,##0_ ;_ * \-#,##0_ ;_ * &quot;&quot;??_ ;_ @_ "/>
    <numFmt numFmtId="171" formatCode="_ * #,##0.0_ ;_ * \-#,##0.0_ ;_ * &quot;&quot;??_ ;_ @_ "/>
  </numFmts>
  <fonts count="8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Times New Roman"/>
      <family val="1"/>
    </font>
    <font>
      <sz val="12"/>
      <name val="Times New Roman"/>
      <family val="1"/>
    </font>
    <font>
      <b/>
      <sz val="10"/>
      <name val="Times New Roman"/>
      <family val="1"/>
    </font>
    <font>
      <b/>
      <sz val="9"/>
      <name val="Times New Roman"/>
      <family val="1"/>
    </font>
    <font>
      <sz val="10"/>
      <name val="Times New Roman"/>
      <family val="1"/>
    </font>
    <font>
      <sz val="10"/>
      <color rgb="FFFF0000"/>
      <name val="Times New Roman"/>
      <family val="1"/>
    </font>
    <font>
      <sz val="10"/>
      <name val="Arial"/>
      <family val="2"/>
    </font>
    <font>
      <b/>
      <vertAlign val="superscript"/>
      <sz val="10"/>
      <name val="Times New Roman"/>
      <family val="1"/>
    </font>
    <font>
      <sz val="12"/>
      <color rgb="FFFF0000"/>
      <name val="Times New Roman"/>
      <family val="1"/>
    </font>
    <font>
      <sz val="10"/>
      <color theme="1"/>
      <name val="Times New Roman"/>
      <family val="1"/>
    </font>
    <font>
      <i/>
      <sz val="10"/>
      <name val="Times New Roman"/>
      <family val="1"/>
    </font>
    <font>
      <vertAlign val="superscript"/>
      <sz val="10"/>
      <name val="Times New Roman"/>
      <family val="1"/>
    </font>
    <font>
      <sz val="10"/>
      <name val="Arial"/>
      <family val="2"/>
    </font>
    <font>
      <sz val="10"/>
      <color indexed="23"/>
      <name val="Arial"/>
      <family val="2"/>
    </font>
    <font>
      <sz val="18"/>
      <color indexed="23"/>
      <name val="Times New Roman"/>
      <family val="1"/>
    </font>
    <font>
      <b/>
      <sz val="28"/>
      <color rgb="FF3B6E8F"/>
      <name val="Cambria"/>
      <family val="1"/>
      <scheme val="major"/>
    </font>
    <font>
      <b/>
      <sz val="26"/>
      <color rgb="FF3B6E8F"/>
      <name val="Cambria"/>
      <family val="1"/>
      <scheme val="major"/>
    </font>
    <font>
      <sz val="14"/>
      <name val="Times New Roman"/>
      <family val="1"/>
    </font>
    <font>
      <sz val="12"/>
      <name val="Arial"/>
      <family val="2"/>
    </font>
    <font>
      <sz val="20"/>
      <color theme="1"/>
      <name val="Calibri"/>
      <family val="2"/>
      <scheme val="minor"/>
    </font>
    <font>
      <sz val="14"/>
      <color theme="1"/>
      <name val="Calibri"/>
      <family val="2"/>
      <scheme val="minor"/>
    </font>
    <font>
      <b/>
      <sz val="28"/>
      <color rgb="FF54758C"/>
      <name val="Arial"/>
      <family val="2"/>
    </font>
    <font>
      <sz val="26"/>
      <color rgb="FF54758C"/>
      <name val="Arial"/>
      <family val="2"/>
    </font>
    <font>
      <sz val="14"/>
      <name val="Arial"/>
      <family val="2"/>
    </font>
    <font>
      <sz val="20"/>
      <name val="Arial"/>
      <family val="2"/>
    </font>
    <font>
      <sz val="18"/>
      <name val="Times New Roman"/>
      <family val="1"/>
    </font>
    <font>
      <sz val="18"/>
      <name val="Arial"/>
      <family val="2"/>
    </font>
    <font>
      <b/>
      <sz val="16"/>
      <name val="Times New Roman"/>
      <family val="1"/>
    </font>
    <font>
      <sz val="16"/>
      <name val="Times New Roman"/>
      <family val="1"/>
    </font>
    <font>
      <u/>
      <sz val="10"/>
      <color indexed="12"/>
      <name val="Arial"/>
      <family val="2"/>
    </font>
    <font>
      <sz val="20"/>
      <name val="Times New Roman"/>
      <family val="1"/>
    </font>
    <font>
      <b/>
      <sz val="14"/>
      <name val="Times New Roman"/>
      <family val="1"/>
    </font>
    <font>
      <sz val="14"/>
      <color rgb="FFFF0000"/>
      <name val="Times New Roman"/>
      <family val="1"/>
    </font>
    <font>
      <vertAlign val="superscript"/>
      <sz val="14"/>
      <name val="Times New Roman"/>
      <family val="1"/>
    </font>
    <font>
      <b/>
      <i/>
      <sz val="12"/>
      <color indexed="63"/>
      <name val="Times New Roman"/>
      <family val="1"/>
    </font>
    <font>
      <b/>
      <sz val="10"/>
      <name val="Arial"/>
      <family val="2"/>
    </font>
    <font>
      <b/>
      <i/>
      <sz val="12"/>
      <name val="Times New Roman"/>
      <family val="1"/>
    </font>
    <font>
      <sz val="14"/>
      <color theme="1"/>
      <name val="Times New Roman"/>
      <family val="1"/>
    </font>
    <font>
      <sz val="14"/>
      <color rgb="FFFF0000"/>
      <name val="Arial"/>
      <family val="2"/>
    </font>
    <font>
      <b/>
      <sz val="14"/>
      <name val="Arial"/>
      <family val="2"/>
    </font>
    <font>
      <b/>
      <vertAlign val="superscript"/>
      <sz val="14"/>
      <name val="Times New Roman"/>
      <family val="1"/>
    </font>
    <font>
      <sz val="11"/>
      <name val="Calibri"/>
      <family val="2"/>
      <scheme val="minor"/>
    </font>
    <font>
      <b/>
      <sz val="10"/>
      <color rgb="FFFF0000"/>
      <name val="Times New Roman"/>
      <family val="1"/>
    </font>
    <font>
      <b/>
      <sz val="16"/>
      <color indexed="10"/>
      <name val="Times New Roman"/>
      <family val="1"/>
    </font>
    <font>
      <b/>
      <sz val="14"/>
      <color indexed="8"/>
      <name val="Times New Roman"/>
      <family val="1"/>
    </font>
    <font>
      <b/>
      <sz val="10"/>
      <color indexed="8"/>
      <name val="Times New Roman"/>
      <family val="1"/>
    </font>
    <font>
      <b/>
      <sz val="14"/>
      <color indexed="63"/>
      <name val="Times New Roman"/>
      <family val="1"/>
    </font>
    <font>
      <sz val="14"/>
      <color indexed="10"/>
      <name val="Times New Roman"/>
      <family val="1"/>
    </font>
    <font>
      <b/>
      <sz val="14"/>
      <color indexed="10"/>
      <name val="Times New Roman"/>
      <family val="1"/>
    </font>
    <font>
      <sz val="12"/>
      <color indexed="10"/>
      <name val="Times New Roman"/>
      <family val="1"/>
    </font>
    <font>
      <sz val="20"/>
      <color rgb="FFFF0000"/>
      <name val="Times New Roman"/>
      <family val="1"/>
    </font>
    <font>
      <sz val="20"/>
      <color rgb="FFFF0000"/>
      <name val="Arial"/>
      <family val="2"/>
    </font>
    <font>
      <sz val="16"/>
      <color theme="1"/>
      <name val="Times New Roman"/>
      <family val="1"/>
    </font>
    <font>
      <b/>
      <sz val="10"/>
      <color theme="1"/>
      <name val="Times New Roman"/>
      <family val="1"/>
    </font>
    <font>
      <sz val="12"/>
      <color theme="1"/>
      <name val="Times New Roman"/>
      <family val="1"/>
    </font>
    <font>
      <b/>
      <sz val="14"/>
      <color rgb="FFFF0000"/>
      <name val="Times New Roman"/>
      <family val="1"/>
    </font>
    <font>
      <u/>
      <sz val="12"/>
      <name val="Times New Roman"/>
      <family val="1"/>
    </font>
    <font>
      <b/>
      <sz val="12"/>
      <color rgb="FFFF0000"/>
      <name val="Times New Roman"/>
      <family val="1"/>
    </font>
    <font>
      <sz val="10"/>
      <color theme="0"/>
      <name val="Times New Roman"/>
      <family val="1"/>
    </font>
    <font>
      <b/>
      <sz val="10"/>
      <color rgb="FFFF0000"/>
      <name val="Arial"/>
      <family val="2"/>
    </font>
    <font>
      <b/>
      <sz val="15"/>
      <name val="Arial"/>
      <family val="2"/>
    </font>
    <font>
      <i/>
      <sz val="14"/>
      <name val="Times New Roman"/>
      <family val="1"/>
    </font>
    <font>
      <b/>
      <i/>
      <sz val="16"/>
      <color rgb="FFFF0000"/>
      <name val="Times New Roman"/>
      <family val="1"/>
    </font>
    <font>
      <i/>
      <vertAlign val="superscript"/>
      <sz val="14"/>
      <name val="Times New Roman"/>
      <family val="1"/>
    </font>
    <font>
      <sz val="1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rgb="FFFFFFCC"/>
      </patternFill>
    </fill>
    <fill>
      <patternFill patternType="solid">
        <fgColor theme="7" tint="0.59999389629810485"/>
        <bgColor indexed="65"/>
      </patternFill>
    </fill>
    <fill>
      <patternFill patternType="solid">
        <fgColor theme="5" tint="0.79998168889431442"/>
        <bgColor indexed="65"/>
      </patternFill>
    </fill>
    <fill>
      <patternFill patternType="solid">
        <fgColor theme="2"/>
        <bgColor indexed="64"/>
      </patternFill>
    </fill>
    <fill>
      <patternFill patternType="solid">
        <fgColor rgb="FFFFFF00"/>
        <bgColor indexed="64"/>
      </patternFill>
    </fill>
    <fill>
      <patternFill patternType="solid">
        <fgColor indexed="9"/>
        <bgColor indexed="9"/>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4193">
    <xf numFmtId="0" fontId="0" fillId="0" borderId="0"/>
    <xf numFmtId="0" fontId="22" fillId="0" borderId="0"/>
    <xf numFmtId="43" fontId="28" fillId="0" borderId="0" applyFont="0" applyFill="0" applyBorder="0" applyAlignment="0" applyProtection="0"/>
    <xf numFmtId="0" fontId="45" fillId="0" borderId="0" applyNumberFormat="0" applyFill="0" applyBorder="0" applyAlignment="0" applyProtection="0">
      <alignment vertical="top"/>
      <protection locked="0"/>
    </xf>
    <xf numFmtId="0" fontId="15" fillId="0" borderId="0"/>
    <xf numFmtId="0" fontId="22" fillId="0" borderId="0"/>
    <xf numFmtId="0" fontId="14" fillId="0" borderId="0"/>
    <xf numFmtId="0" fontId="22" fillId="0" borderId="0"/>
    <xf numFmtId="0" fontId="13" fillId="0" borderId="0"/>
    <xf numFmtId="0" fontId="22" fillId="0" borderId="0"/>
    <xf numFmtId="0" fontId="28" fillId="0" borderId="0"/>
    <xf numFmtId="0" fontId="13" fillId="0" borderId="0"/>
    <xf numFmtId="0" fontId="2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3" fillId="0" borderId="0" applyFont="0" applyFill="0" applyBorder="0" applyAlignment="0" applyProtection="0"/>
    <xf numFmtId="43" fontId="22" fillId="0" borderId="0" applyFont="0" applyFill="0" applyBorder="0" applyAlignment="0" applyProtection="0"/>
    <xf numFmtId="0" fontId="13" fillId="0" borderId="0"/>
    <xf numFmtId="0" fontId="22" fillId="0" borderId="0"/>
    <xf numFmtId="0" fontId="22" fillId="0" borderId="0"/>
    <xf numFmtId="43" fontId="22"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22"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6" borderId="0" applyNumberFormat="0" applyBorder="0" applyAlignment="0" applyProtection="0"/>
    <xf numFmtId="0" fontId="22" fillId="0" borderId="0"/>
    <xf numFmtId="43" fontId="22"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22"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22" fillId="0" borderId="0"/>
    <xf numFmtId="43" fontId="22"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6" borderId="0" applyNumberFormat="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22" fillId="5" borderId="16" applyNumberFormat="0" applyFont="0" applyAlignment="0" applyProtection="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43" fontId="28" fillId="0" borderId="0" applyFont="0" applyFill="0" applyBorder="0" applyAlignment="0" applyProtection="0"/>
    <xf numFmtId="0" fontId="13"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6" borderId="0" applyNumberFormat="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6" borderId="0" applyNumberFormat="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6" borderId="0" applyNumberFormat="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6" borderId="0" applyNumberFormat="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6" borderId="0" applyNumberFormat="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6"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6" borderId="0" applyNumberFormat="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6"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6"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5" fillId="0" borderId="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5" fillId="0" borderId="0" applyFont="0" applyFill="0" applyBorder="0" applyAlignment="0" applyProtection="0"/>
    <xf numFmtId="43" fontId="22" fillId="0" borderId="0" applyFont="0" applyFill="0" applyBorder="0" applyAlignment="0" applyProtection="0"/>
    <xf numFmtId="0" fontId="5" fillId="0" borderId="0"/>
    <xf numFmtId="43" fontId="22"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6" borderId="0" applyNumberFormat="0" applyBorder="0" applyAlignment="0" applyProtection="0"/>
    <xf numFmtId="43" fontId="22"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22"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6"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4" fillId="7" borderId="0" applyNumberFormat="0" applyBorder="0" applyAlignment="0" applyProtection="0"/>
    <xf numFmtId="0" fontId="17" fillId="0" borderId="0"/>
    <xf numFmtId="170" fontId="18" fillId="0" borderId="7" applyFont="0" applyFill="0" applyBorder="0" applyAlignment="0" applyProtection="0">
      <alignment horizontal="right"/>
    </xf>
    <xf numFmtId="43" fontId="22" fillId="0" borderId="0" applyFont="0" applyFill="0" applyBorder="0" applyAlignment="0" applyProtection="0"/>
    <xf numFmtId="0" fontId="17" fillId="0" borderId="0"/>
    <xf numFmtId="43" fontId="22" fillId="0" borderId="0" applyFont="0" applyFill="0" applyBorder="0" applyAlignment="0" applyProtection="0"/>
    <xf numFmtId="43" fontId="22" fillId="0" borderId="0" applyFont="0" applyFill="0" applyBorder="0" applyAlignment="0" applyProtection="0"/>
    <xf numFmtId="0" fontId="3" fillId="0" borderId="0"/>
    <xf numFmtId="0" fontId="22" fillId="0" borderId="0"/>
    <xf numFmtId="9" fontId="80" fillId="0" borderId="0" applyFont="0" applyFill="0" applyBorder="0" applyAlignment="0" applyProtection="0"/>
    <xf numFmtId="43" fontId="22" fillId="0" borderId="0" applyFont="0" applyFill="0" applyBorder="0" applyAlignment="0" applyProtection="0"/>
    <xf numFmtId="0" fontId="2" fillId="0" borderId="0"/>
    <xf numFmtId="0" fontId="2" fillId="0" borderId="0"/>
    <xf numFmtId="0" fontId="2" fillId="0" borderId="0"/>
    <xf numFmtId="0" fontId="22" fillId="0" borderId="0"/>
    <xf numFmtId="0" fontId="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0" fontId="2" fillId="0" borderId="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0" fontId="2" fillId="0" borderId="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7"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 fillId="0" borderId="0"/>
    <xf numFmtId="9" fontId="22" fillId="0" borderId="0" applyFont="0" applyFill="0" applyBorder="0" applyAlignment="0" applyProtection="0"/>
    <xf numFmtId="43" fontId="22" fillId="0" borderId="0" applyFont="0" applyFill="0" applyBorder="0" applyAlignment="0" applyProtection="0"/>
    <xf numFmtId="0" fontId="2" fillId="0" borderId="0"/>
    <xf numFmtId="0" fontId="2" fillId="0" borderId="0"/>
    <xf numFmtId="0" fontId="2" fillId="0" borderId="0"/>
    <xf numFmtId="0" fontId="22" fillId="0" borderId="0"/>
    <xf numFmtId="0" fontId="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0" fontId="2" fillId="0" borderId="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0" fontId="2" fillId="0" borderId="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6"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7"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 fillId="0" borderId="0"/>
    <xf numFmtId="43" fontId="22" fillId="0" borderId="0" applyFont="0" applyFill="0" applyBorder="0" applyAlignment="0" applyProtection="0"/>
    <xf numFmtId="0" fontId="1" fillId="0" borderId="0"/>
    <xf numFmtId="0" fontId="1" fillId="0" borderId="0"/>
    <xf numFmtId="0" fontId="1" fillId="0" borderId="0"/>
    <xf numFmtId="0" fontId="1"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0" fontId="1" fillId="0" borderId="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0" fontId="1" fillId="0" borderId="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7"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 fillId="0" borderId="0"/>
    <xf numFmtId="43" fontId="22" fillId="0" borderId="0" applyFont="0" applyFill="0" applyBorder="0" applyAlignment="0" applyProtection="0"/>
    <xf numFmtId="0" fontId="1" fillId="0" borderId="0"/>
    <xf numFmtId="0" fontId="1" fillId="0" borderId="0"/>
    <xf numFmtId="0" fontId="1" fillId="0" borderId="0"/>
    <xf numFmtId="0" fontId="1"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0" fontId="1" fillId="0" borderId="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0" fontId="1" fillId="0" borderId="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6"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7" borderId="0" applyNumberFormat="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 fillId="0" borderId="0"/>
  </cellStyleXfs>
  <cellXfs count="612">
    <xf numFmtId="0" fontId="0" fillId="0" borderId="0" xfId="0"/>
    <xf numFmtId="0" fontId="20" fillId="0" borderId="0" xfId="1" applyFont="1"/>
    <xf numFmtId="0" fontId="26" fillId="0" borderId="0" xfId="1" applyFont="1"/>
    <xf numFmtId="49" fontId="20" fillId="0" borderId="0" xfId="1" applyNumberFormat="1" applyFont="1" applyAlignment="1">
      <alignment horizontal="center"/>
    </xf>
    <xf numFmtId="164" fontId="20" fillId="0" borderId="0" xfId="1" applyNumberFormat="1" applyFont="1"/>
    <xf numFmtId="0" fontId="20" fillId="0" borderId="0" xfId="1" applyFont="1" applyAlignment="1">
      <alignment horizontal="left"/>
    </xf>
    <xf numFmtId="164" fontId="18" fillId="3" borderId="5" xfId="1" applyNumberFormat="1" applyFont="1" applyFill="1" applyBorder="1" applyAlignment="1">
      <alignment horizontal="right"/>
    </xf>
    <xf numFmtId="0" fontId="20" fillId="0" borderId="6" xfId="1" applyFont="1" applyBorder="1"/>
    <xf numFmtId="164" fontId="18" fillId="3" borderId="2" xfId="1" applyNumberFormat="1" applyFont="1" applyFill="1" applyBorder="1" applyAlignment="1">
      <alignment horizontal="right"/>
    </xf>
    <xf numFmtId="0" fontId="18" fillId="0" borderId="4" xfId="1" applyFont="1" applyBorder="1"/>
    <xf numFmtId="0" fontId="18" fillId="0" borderId="3" xfId="1" applyFont="1" applyBorder="1"/>
    <xf numFmtId="0" fontId="18" fillId="0" borderId="7" xfId="1" applyFont="1" applyBorder="1"/>
    <xf numFmtId="0" fontId="18" fillId="0" borderId="6" xfId="1" applyFont="1" applyBorder="1" applyAlignment="1">
      <alignment horizontal="center"/>
    </xf>
    <xf numFmtId="0" fontId="18" fillId="0" borderId="11" xfId="1" applyFont="1" applyBorder="1" applyAlignment="1">
      <alignment horizontal="center"/>
    </xf>
    <xf numFmtId="0" fontId="18" fillId="0" borderId="5" xfId="1" applyFont="1" applyBorder="1" applyAlignment="1">
      <alignment horizontal="center"/>
    </xf>
    <xf numFmtId="0" fontId="18" fillId="0" borderId="11" xfId="1" applyFont="1" applyBorder="1"/>
    <xf numFmtId="0" fontId="18" fillId="0" borderId="7" xfId="1" applyFont="1" applyBorder="1" applyAlignment="1">
      <alignment horizontal="center"/>
    </xf>
    <xf numFmtId="14" fontId="19" fillId="0" borderId="4" xfId="1" applyNumberFormat="1" applyFont="1" applyBorder="1" applyAlignment="1">
      <alignment horizontal="center"/>
    </xf>
    <xf numFmtId="0" fontId="20" fillId="0" borderId="3" xfId="1" applyFont="1" applyBorder="1"/>
    <xf numFmtId="164" fontId="20" fillId="3" borderId="6" xfId="1" applyNumberFormat="1" applyFont="1" applyFill="1" applyBorder="1" applyAlignment="1">
      <alignment horizontal="right"/>
    </xf>
    <xf numFmtId="164" fontId="20" fillId="3" borderId="3" xfId="1" applyNumberFormat="1" applyFont="1" applyFill="1" applyBorder="1" applyAlignment="1">
      <alignment horizontal="right"/>
    </xf>
    <xf numFmtId="164" fontId="18" fillId="3" borderId="3" xfId="1" applyNumberFormat="1" applyFont="1" applyFill="1" applyBorder="1" applyAlignment="1">
      <alignment horizontal="right"/>
    </xf>
    <xf numFmtId="3" fontId="20" fillId="0" borderId="0" xfId="1" applyNumberFormat="1" applyFont="1"/>
    <xf numFmtId="164" fontId="20" fillId="3" borderId="2" xfId="1" applyNumberFormat="1" applyFont="1" applyFill="1" applyBorder="1" applyAlignment="1">
      <alignment horizontal="right"/>
    </xf>
    <xf numFmtId="0" fontId="17" fillId="0" borderId="0" xfId="1" applyFont="1"/>
    <xf numFmtId="0" fontId="24" fillId="0" borderId="0" xfId="1" applyFont="1"/>
    <xf numFmtId="164" fontId="18" fillId="0" borderId="0" xfId="1" applyNumberFormat="1" applyFont="1" applyAlignment="1">
      <alignment horizontal="right"/>
    </xf>
    <xf numFmtId="3" fontId="20" fillId="0" borderId="0" xfId="1" applyNumberFormat="1" applyFont="1" applyAlignment="1">
      <alignment horizontal="center"/>
    </xf>
    <xf numFmtId="164" fontId="20" fillId="0" borderId="0" xfId="1" applyNumberFormat="1" applyFont="1" applyAlignment="1">
      <alignment horizontal="right"/>
    </xf>
    <xf numFmtId="49" fontId="20" fillId="0" borderId="0" xfId="1" applyNumberFormat="1" applyFont="1" applyAlignment="1">
      <alignment horizontal="right"/>
    </xf>
    <xf numFmtId="164" fontId="18" fillId="3" borderId="6" xfId="1" applyNumberFormat="1" applyFont="1" applyFill="1" applyBorder="1" applyAlignment="1">
      <alignment horizontal="right"/>
    </xf>
    <xf numFmtId="3" fontId="20" fillId="0" borderId="0" xfId="1" quotePrefix="1" applyNumberFormat="1" applyFont="1" applyAlignment="1">
      <alignment horizontal="center"/>
    </xf>
    <xf numFmtId="0" fontId="18" fillId="0" borderId="0" xfId="1" applyFont="1" applyAlignment="1">
      <alignment horizontal="center"/>
    </xf>
    <xf numFmtId="0" fontId="18" fillId="0" borderId="6" xfId="1" applyFont="1" applyBorder="1"/>
    <xf numFmtId="14" fontId="19" fillId="0" borderId="0" xfId="1" applyNumberFormat="1" applyFont="1" applyAlignment="1">
      <alignment horizontal="center"/>
    </xf>
    <xf numFmtId="0" fontId="18" fillId="0" borderId="0" xfId="1" applyFont="1"/>
    <xf numFmtId="3" fontId="20" fillId="0" borderId="3" xfId="1" applyNumberFormat="1" applyFont="1" applyBorder="1" applyAlignment="1">
      <alignment horizontal="right"/>
    </xf>
    <xf numFmtId="3" fontId="20" fillId="0" borderId="6" xfId="1" applyNumberFormat="1" applyFont="1" applyBorder="1" applyAlignment="1">
      <alignment horizontal="right"/>
    </xf>
    <xf numFmtId="3" fontId="21" fillId="0" borderId="0" xfId="1" applyNumberFormat="1" applyFont="1" applyAlignment="1">
      <alignment horizontal="right"/>
    </xf>
    <xf numFmtId="0" fontId="20" fillId="0" borderId="4" xfId="1" applyFont="1" applyBorder="1"/>
    <xf numFmtId="0" fontId="20" fillId="0" borderId="0" xfId="1" applyFont="1" applyAlignment="1">
      <alignment horizontal="right"/>
    </xf>
    <xf numFmtId="0" fontId="40" fillId="0" borderId="0" xfId="0" applyFont="1"/>
    <xf numFmtId="0" fontId="41" fillId="0" borderId="0" xfId="0" applyFont="1"/>
    <xf numFmtId="0" fontId="42" fillId="0" borderId="0" xfId="0" applyFont="1"/>
    <xf numFmtId="0" fontId="44" fillId="0" borderId="0" xfId="0" applyFont="1"/>
    <xf numFmtId="0" fontId="44" fillId="0" borderId="0" xfId="3" applyFont="1" applyAlignment="1" applyProtection="1"/>
    <xf numFmtId="0" fontId="46" fillId="0" borderId="0" xfId="0" applyFont="1"/>
    <xf numFmtId="0" fontId="20" fillId="0" borderId="0" xfId="3" applyFont="1" applyFill="1" applyAlignment="1" applyProtection="1"/>
    <xf numFmtId="0" fontId="33" fillId="0" borderId="0" xfId="0" applyFont="1"/>
    <xf numFmtId="0" fontId="47" fillId="0" borderId="0" xfId="0" applyFont="1"/>
    <xf numFmtId="0" fontId="48" fillId="0" borderId="0" xfId="0" applyFont="1"/>
    <xf numFmtId="3" fontId="33" fillId="0" borderId="0" xfId="0" applyNumberFormat="1" applyFont="1"/>
    <xf numFmtId="0" fontId="43" fillId="0" borderId="0" xfId="0" applyFont="1"/>
    <xf numFmtId="0" fontId="39" fillId="0" borderId="0" xfId="0" applyFont="1"/>
    <xf numFmtId="14" fontId="16" fillId="0" borderId="13" xfId="0" applyNumberFormat="1" applyFont="1" applyBorder="1" applyAlignment="1">
      <alignment horizontal="left"/>
    </xf>
    <xf numFmtId="0" fontId="33" fillId="0" borderId="10" xfId="0" applyFont="1" applyBorder="1"/>
    <xf numFmtId="0" fontId="33" fillId="0" borderId="8" xfId="0" applyFont="1" applyBorder="1"/>
    <xf numFmtId="0" fontId="33" fillId="0" borderId="9" xfId="0" applyFont="1" applyBorder="1"/>
    <xf numFmtId="0" fontId="33" fillId="0" borderId="3" xfId="0" applyFont="1" applyBorder="1"/>
    <xf numFmtId="0" fontId="20" fillId="0" borderId="0" xfId="0" applyFont="1"/>
    <xf numFmtId="3" fontId="47" fillId="0" borderId="7" xfId="0" applyNumberFormat="1" applyFont="1" applyBorder="1"/>
    <xf numFmtId="0" fontId="47" fillId="0" borderId="0" xfId="0" applyFont="1" applyAlignment="1">
      <alignment horizontal="center"/>
    </xf>
    <xf numFmtId="0" fontId="47" fillId="0" borderId="3" xfId="0" applyFont="1" applyBorder="1" applyAlignment="1">
      <alignment horizontal="center"/>
    </xf>
    <xf numFmtId="3" fontId="47" fillId="0" borderId="3" xfId="0" applyNumberFormat="1" applyFont="1" applyBorder="1"/>
    <xf numFmtId="0" fontId="18" fillId="0" borderId="4" xfId="0" applyFont="1" applyBorder="1" applyAlignment="1">
      <alignment horizontal="center"/>
    </xf>
    <xf numFmtId="0" fontId="18" fillId="0" borderId="1" xfId="0" applyFont="1" applyBorder="1" applyAlignment="1">
      <alignment horizontal="center"/>
    </xf>
    <xf numFmtId="0" fontId="18" fillId="0" borderId="7" xfId="0" applyFont="1" applyBorder="1" applyAlignment="1">
      <alignment horizontal="center"/>
    </xf>
    <xf numFmtId="0" fontId="18" fillId="0" borderId="3" xfId="0" applyFont="1" applyBorder="1" applyAlignment="1">
      <alignment horizontal="center"/>
    </xf>
    <xf numFmtId="3" fontId="50" fillId="4" borderId="6" xfId="0" applyNumberFormat="1" applyFont="1" applyFill="1" applyBorder="1"/>
    <xf numFmtId="0" fontId="16" fillId="0" borderId="11" xfId="0" applyFont="1" applyBorder="1" applyAlignment="1">
      <alignment horizontal="center"/>
    </xf>
    <xf numFmtId="0" fontId="18" fillId="0" borderId="11" xfId="0" applyFont="1" applyBorder="1" applyAlignment="1">
      <alignment horizontal="center"/>
    </xf>
    <xf numFmtId="0" fontId="18" fillId="0" borderId="6" xfId="0" applyFont="1" applyBorder="1" applyAlignment="1">
      <alignment horizontal="center"/>
    </xf>
    <xf numFmtId="0" fontId="18" fillId="0" borderId="0" xfId="0" applyFont="1" applyAlignment="1">
      <alignment horizontal="center"/>
    </xf>
    <xf numFmtId="0" fontId="47" fillId="0" borderId="3" xfId="0" applyFont="1" applyBorder="1"/>
    <xf numFmtId="0" fontId="33" fillId="0" borderId="1" xfId="0" applyFont="1" applyBorder="1"/>
    <xf numFmtId="3" fontId="33" fillId="0" borderId="4" xfId="0" applyNumberFormat="1" applyFont="1" applyBorder="1"/>
    <xf numFmtId="3" fontId="33" fillId="0" borderId="4" xfId="0" applyNumberFormat="1" applyFont="1" applyBorder="1" applyAlignment="1">
      <alignment horizontal="right"/>
    </xf>
    <xf numFmtId="0" fontId="33" fillId="0" borderId="4" xfId="0" applyFont="1" applyBorder="1"/>
    <xf numFmtId="3" fontId="47" fillId="0" borderId="4" xfId="0" applyNumberFormat="1" applyFont="1" applyBorder="1"/>
    <xf numFmtId="3" fontId="47" fillId="0" borderId="4" xfId="0" applyNumberFormat="1" applyFont="1" applyBorder="1" applyAlignment="1">
      <alignment horizontal="right"/>
    </xf>
    <xf numFmtId="0" fontId="18" fillId="0" borderId="0" xfId="0" applyFont="1"/>
    <xf numFmtId="0" fontId="47" fillId="0" borderId="6" xfId="0" applyFont="1" applyBorder="1"/>
    <xf numFmtId="3" fontId="47" fillId="0" borderId="11" xfId="0" applyNumberFormat="1" applyFont="1" applyBorder="1"/>
    <xf numFmtId="3" fontId="47" fillId="0" borderId="11" xfId="0" applyNumberFormat="1" applyFont="1" applyBorder="1" applyAlignment="1">
      <alignment horizontal="right"/>
    </xf>
    <xf numFmtId="0" fontId="33" fillId="0" borderId="0" xfId="0" applyFont="1" applyAlignment="1">
      <alignment horizontal="left"/>
    </xf>
    <xf numFmtId="0" fontId="47" fillId="0" borderId="0" xfId="0" applyFont="1" applyAlignment="1">
      <alignment horizontal="left"/>
    </xf>
    <xf numFmtId="0" fontId="33" fillId="0" borderId="14" xfId="0" applyFont="1" applyBorder="1"/>
    <xf numFmtId="0" fontId="33" fillId="0" borderId="15" xfId="0" applyFont="1" applyBorder="1"/>
    <xf numFmtId="166" fontId="47" fillId="0" borderId="7" xfId="0" applyNumberFormat="1" applyFont="1" applyBorder="1" applyAlignment="1">
      <alignment horizontal="left"/>
    </xf>
    <xf numFmtId="0" fontId="47" fillId="0" borderId="2" xfId="0" applyFont="1" applyBorder="1" applyAlignment="1">
      <alignment horizontal="center"/>
    </xf>
    <xf numFmtId="166" fontId="47" fillId="0" borderId="3" xfId="0" applyNumberFormat="1" applyFont="1" applyBorder="1" applyAlignment="1">
      <alignment horizontal="left"/>
    </xf>
    <xf numFmtId="0" fontId="47" fillId="0" borderId="4" xfId="0" applyFont="1" applyBorder="1" applyAlignment="1">
      <alignment horizontal="center"/>
    </xf>
    <xf numFmtId="0" fontId="47" fillId="0" borderId="1" xfId="0" applyFont="1" applyBorder="1" applyAlignment="1">
      <alignment horizontal="center"/>
    </xf>
    <xf numFmtId="0" fontId="18" fillId="0" borderId="2" xfId="0" applyFont="1" applyBorder="1" applyAlignment="1">
      <alignment horizontal="center"/>
    </xf>
    <xf numFmtId="166" fontId="52" fillId="0" borderId="6" xfId="0" applyNumberFormat="1" applyFont="1" applyBorder="1" applyAlignment="1">
      <alignment horizontal="left"/>
    </xf>
    <xf numFmtId="0" fontId="16" fillId="0" borderId="6" xfId="0" applyFont="1" applyBorder="1" applyAlignment="1">
      <alignment horizontal="center"/>
    </xf>
    <xf numFmtId="0" fontId="18" fillId="0" borderId="12" xfId="0" applyFont="1" applyBorder="1" applyAlignment="1">
      <alignment horizontal="center"/>
    </xf>
    <xf numFmtId="3" fontId="33" fillId="0" borderId="1" xfId="0" applyNumberFormat="1" applyFont="1" applyBorder="1"/>
    <xf numFmtId="3" fontId="33" fillId="0" borderId="2" xfId="0" applyNumberFormat="1" applyFont="1" applyBorder="1"/>
    <xf numFmtId="3" fontId="53" fillId="0" borderId="4" xfId="0" applyNumberFormat="1" applyFont="1" applyBorder="1" applyAlignment="1">
      <alignment horizontal="right"/>
    </xf>
    <xf numFmtId="0" fontId="54" fillId="0" borderId="0" xfId="0" applyFont="1"/>
    <xf numFmtId="3" fontId="55" fillId="0" borderId="0" xfId="0" applyNumberFormat="1" applyFont="1"/>
    <xf numFmtId="0" fontId="55" fillId="0" borderId="0" xfId="0" applyFont="1"/>
    <xf numFmtId="0" fontId="47" fillId="0" borderId="4" xfId="0" applyFont="1" applyBorder="1"/>
    <xf numFmtId="3" fontId="47" fillId="0" borderId="0" xfId="0" applyNumberFormat="1" applyFont="1" applyAlignment="1">
      <alignment horizontal="right"/>
    </xf>
    <xf numFmtId="3" fontId="18" fillId="0" borderId="4" xfId="1" applyNumberFormat="1" applyFont="1" applyBorder="1"/>
    <xf numFmtId="3" fontId="17" fillId="0" borderId="0" xfId="1" applyNumberFormat="1" applyFont="1"/>
    <xf numFmtId="3" fontId="18" fillId="0" borderId="0" xfId="1" applyNumberFormat="1" applyFont="1"/>
    <xf numFmtId="3" fontId="18" fillId="0" borderId="1" xfId="1" applyNumberFormat="1" applyFont="1" applyBorder="1"/>
    <xf numFmtId="3" fontId="20" fillId="0" borderId="0" xfId="1" applyNumberFormat="1" applyFont="1" applyAlignment="1">
      <alignment horizontal="right"/>
    </xf>
    <xf numFmtId="3" fontId="16" fillId="0" borderId="0" xfId="1" applyNumberFormat="1" applyFont="1"/>
    <xf numFmtId="3" fontId="18" fillId="0" borderId="5" xfId="1" applyNumberFormat="1" applyFont="1" applyBorder="1" applyAlignment="1">
      <alignment horizontal="center"/>
    </xf>
    <xf numFmtId="3" fontId="24" fillId="0" borderId="0" xfId="1" applyNumberFormat="1" applyFont="1"/>
    <xf numFmtId="3" fontId="19" fillId="0" borderId="4" xfId="1" applyNumberFormat="1" applyFont="1" applyBorder="1" applyAlignment="1">
      <alignment horizontal="center"/>
    </xf>
    <xf numFmtId="3" fontId="20" fillId="0" borderId="4" xfId="1" applyNumberFormat="1" applyFont="1" applyBorder="1"/>
    <xf numFmtId="3" fontId="20" fillId="0" borderId="0" xfId="1" applyNumberFormat="1" applyFont="1" applyAlignment="1">
      <alignment horizontal="left"/>
    </xf>
    <xf numFmtId="3" fontId="18" fillId="0" borderId="6" xfId="1" applyNumberFormat="1" applyFont="1" applyBorder="1" applyAlignment="1">
      <alignment horizontal="center"/>
    </xf>
    <xf numFmtId="3" fontId="18" fillId="0" borderId="3" xfId="1" applyNumberFormat="1" applyFont="1" applyBorder="1"/>
    <xf numFmtId="3" fontId="18" fillId="0" borderId="0" xfId="1" applyNumberFormat="1" applyFont="1" applyAlignment="1">
      <alignment horizontal="right"/>
    </xf>
    <xf numFmtId="3" fontId="18" fillId="3" borderId="2" xfId="1" applyNumberFormat="1" applyFont="1" applyFill="1" applyBorder="1" applyAlignment="1">
      <alignment horizontal="right"/>
    </xf>
    <xf numFmtId="3" fontId="18" fillId="0" borderId="11" xfId="1" applyNumberFormat="1" applyFont="1" applyBorder="1" applyAlignment="1">
      <alignment horizontal="center"/>
    </xf>
    <xf numFmtId="3" fontId="18" fillId="0" borderId="7" xfId="1" applyNumberFormat="1" applyFont="1" applyBorder="1" applyAlignment="1">
      <alignment horizontal="center"/>
    </xf>
    <xf numFmtId="3" fontId="16" fillId="0" borderId="12" xfId="1" applyNumberFormat="1" applyFont="1" applyBorder="1"/>
    <xf numFmtId="3" fontId="20" fillId="3" borderId="3" xfId="1" applyNumberFormat="1" applyFont="1" applyFill="1" applyBorder="1" applyAlignment="1">
      <alignment horizontal="right"/>
    </xf>
    <xf numFmtId="3" fontId="20" fillId="3" borderId="6" xfId="1" applyNumberFormat="1" applyFont="1" applyFill="1" applyBorder="1" applyAlignment="1">
      <alignment horizontal="right"/>
    </xf>
    <xf numFmtId="3" fontId="18" fillId="3" borderId="6" xfId="1" applyNumberFormat="1" applyFont="1" applyFill="1" applyBorder="1" applyAlignment="1">
      <alignment horizontal="right"/>
    </xf>
    <xf numFmtId="3" fontId="18" fillId="3" borderId="5" xfId="1" applyNumberFormat="1" applyFont="1" applyFill="1" applyBorder="1" applyAlignment="1">
      <alignment horizontal="right"/>
    </xf>
    <xf numFmtId="3" fontId="18" fillId="3" borderId="3" xfId="1" applyNumberFormat="1" applyFont="1" applyFill="1" applyBorder="1" applyAlignment="1">
      <alignment horizontal="right"/>
    </xf>
    <xf numFmtId="3" fontId="20" fillId="0" borderId="10" xfId="1" applyNumberFormat="1" applyFont="1" applyBorder="1" applyAlignment="1">
      <alignment horizontal="left"/>
    </xf>
    <xf numFmtId="3" fontId="19" fillId="0" borderId="7" xfId="1" applyNumberFormat="1" applyFont="1" applyBorder="1" applyAlignment="1">
      <alignment horizontal="center"/>
    </xf>
    <xf numFmtId="3" fontId="18" fillId="0" borderId="0" xfId="1" applyNumberFormat="1" applyFont="1" applyAlignment="1">
      <alignment horizontal="center"/>
    </xf>
    <xf numFmtId="3" fontId="19" fillId="0" borderId="0" xfId="1" applyNumberFormat="1" applyFont="1" applyAlignment="1">
      <alignment horizontal="center"/>
    </xf>
    <xf numFmtId="3" fontId="20" fillId="3" borderId="2" xfId="1" applyNumberFormat="1" applyFont="1" applyFill="1" applyBorder="1" applyAlignment="1">
      <alignment horizontal="right"/>
    </xf>
    <xf numFmtId="3" fontId="33" fillId="0" borderId="3" xfId="0" applyNumberFormat="1" applyFont="1" applyBorder="1"/>
    <xf numFmtId="3" fontId="47" fillId="0" borderId="0" xfId="0" applyNumberFormat="1" applyFont="1"/>
    <xf numFmtId="3" fontId="47" fillId="0" borderId="6" xfId="0" applyNumberFormat="1" applyFont="1" applyBorder="1"/>
    <xf numFmtId="3" fontId="33" fillId="0" borderId="0" xfId="0" applyNumberFormat="1" applyFont="1" applyAlignment="1">
      <alignment horizontal="right"/>
    </xf>
    <xf numFmtId="3" fontId="53" fillId="0" borderId="0" xfId="0" applyNumberFormat="1" applyFont="1" applyAlignment="1">
      <alignment horizontal="right"/>
    </xf>
    <xf numFmtId="0" fontId="16" fillId="0" borderId="4" xfId="0" applyFont="1" applyBorder="1" applyAlignment="1">
      <alignment horizontal="center"/>
    </xf>
    <xf numFmtId="0" fontId="16" fillId="0" borderId="3" xfId="0" applyFont="1" applyBorder="1" applyAlignment="1">
      <alignment horizontal="center"/>
    </xf>
    <xf numFmtId="3" fontId="20" fillId="2" borderId="3" xfId="1" applyNumberFormat="1" applyFont="1" applyFill="1" applyBorder="1" applyAlignment="1">
      <alignment horizontal="right"/>
    </xf>
    <xf numFmtId="3" fontId="25" fillId="0" borderId="4" xfId="1" applyNumberFormat="1" applyFont="1" applyBorder="1" applyAlignment="1">
      <alignment horizontal="right"/>
    </xf>
    <xf numFmtId="3" fontId="25" fillId="0" borderId="3" xfId="1" applyNumberFormat="1" applyFont="1" applyBorder="1" applyAlignment="1">
      <alignment horizontal="right"/>
    </xf>
    <xf numFmtId="3" fontId="20" fillId="0" borderId="4" xfId="1" quotePrefix="1" applyNumberFormat="1" applyFont="1" applyBorder="1" applyAlignment="1">
      <alignment horizontal="right"/>
    </xf>
    <xf numFmtId="166" fontId="47" fillId="0" borderId="4" xfId="0" applyNumberFormat="1" applyFont="1" applyBorder="1" applyAlignment="1">
      <alignment horizontal="left"/>
    </xf>
    <xf numFmtId="0" fontId="53" fillId="0" borderId="4" xfId="0" applyFont="1" applyBorder="1"/>
    <xf numFmtId="0" fontId="47" fillId="0" borderId="11" xfId="0" applyFont="1" applyBorder="1"/>
    <xf numFmtId="3" fontId="33" fillId="0" borderId="3" xfId="0" applyNumberFormat="1" applyFont="1" applyBorder="1" applyAlignment="1">
      <alignment horizontal="right"/>
    </xf>
    <xf numFmtId="3" fontId="53" fillId="0" borderId="3" xfId="0" applyNumberFormat="1" applyFont="1" applyBorder="1" applyAlignment="1">
      <alignment horizontal="right"/>
    </xf>
    <xf numFmtId="3" fontId="47" fillId="0" borderId="3" xfId="0" applyNumberFormat="1" applyFont="1" applyBorder="1" applyAlignment="1">
      <alignment horizontal="right"/>
    </xf>
    <xf numFmtId="3" fontId="47" fillId="0" borderId="6" xfId="0" applyNumberFormat="1" applyFont="1" applyBorder="1" applyAlignment="1">
      <alignment horizontal="right"/>
    </xf>
    <xf numFmtId="0" fontId="39" fillId="0" borderId="4" xfId="0" applyFont="1" applyBorder="1" applyAlignment="1">
      <alignment horizontal="right"/>
    </xf>
    <xf numFmtId="3" fontId="33" fillId="0" borderId="7" xfId="0" applyNumberFormat="1" applyFont="1" applyBorder="1" applyAlignment="1">
      <alignment horizontal="right"/>
    </xf>
    <xf numFmtId="3" fontId="33" fillId="0" borderId="14" xfId="0" applyNumberFormat="1" applyFont="1" applyBorder="1" applyAlignment="1">
      <alignment horizontal="right"/>
    </xf>
    <xf numFmtId="0" fontId="39" fillId="0" borderId="3" xfId="0" applyFont="1" applyBorder="1" applyAlignment="1">
      <alignment horizontal="right"/>
    </xf>
    <xf numFmtId="3" fontId="33" fillId="0" borderId="6" xfId="0" applyNumberFormat="1" applyFont="1" applyBorder="1" applyAlignment="1">
      <alignment horizontal="right"/>
    </xf>
    <xf numFmtId="3" fontId="18" fillId="0" borderId="0" xfId="0" applyNumberFormat="1" applyFont="1"/>
    <xf numFmtId="3" fontId="18" fillId="0" borderId="4" xfId="1" applyNumberFormat="1" applyFont="1" applyBorder="1" applyAlignment="1">
      <alignment horizontal="center"/>
    </xf>
    <xf numFmtId="3" fontId="20" fillId="0" borderId="0" xfId="0" applyNumberFormat="1" applyFont="1"/>
    <xf numFmtId="0" fontId="20" fillId="8" borderId="1" xfId="0" applyFont="1" applyFill="1" applyBorder="1"/>
    <xf numFmtId="0" fontId="20" fillId="8" borderId="15" xfId="0" applyFont="1" applyFill="1" applyBorder="1"/>
    <xf numFmtId="0" fontId="20" fillId="8" borderId="14" xfId="0" applyFont="1" applyFill="1" applyBorder="1"/>
    <xf numFmtId="0" fontId="18" fillId="8" borderId="1" xfId="0" applyFont="1" applyFill="1" applyBorder="1" applyAlignment="1">
      <alignment horizontal="center"/>
    </xf>
    <xf numFmtId="0" fontId="18" fillId="8" borderId="15" xfId="0" applyFont="1" applyFill="1" applyBorder="1" applyAlignment="1">
      <alignment horizontal="center"/>
    </xf>
    <xf numFmtId="0" fontId="18" fillId="8" borderId="14" xfId="0" applyFont="1" applyFill="1" applyBorder="1" applyAlignment="1">
      <alignment horizontal="center"/>
    </xf>
    <xf numFmtId="0" fontId="18" fillId="8" borderId="11" xfId="0" applyFont="1" applyFill="1" applyBorder="1" applyAlignment="1">
      <alignment horizontal="center"/>
    </xf>
    <xf numFmtId="0" fontId="18" fillId="8" borderId="5" xfId="0" applyFont="1" applyFill="1" applyBorder="1" applyAlignment="1">
      <alignment horizontal="center"/>
    </xf>
    <xf numFmtId="0" fontId="18" fillId="8" borderId="12" xfId="0" applyFont="1" applyFill="1" applyBorder="1" applyAlignment="1">
      <alignment horizontal="center"/>
    </xf>
    <xf numFmtId="0" fontId="18" fillId="8" borderId="3" xfId="0" applyFont="1" applyFill="1" applyBorder="1"/>
    <xf numFmtId="3" fontId="20" fillId="8" borderId="2" xfId="0" applyNumberFormat="1" applyFont="1" applyFill="1" applyBorder="1"/>
    <xf numFmtId="3" fontId="20" fillId="8" borderId="7" xfId="0" applyNumberFormat="1" applyFont="1" applyFill="1" applyBorder="1"/>
    <xf numFmtId="3" fontId="20" fillId="8" borderId="3" xfId="0" applyNumberFormat="1" applyFont="1" applyFill="1" applyBorder="1"/>
    <xf numFmtId="0" fontId="18" fillId="8" borderId="3" xfId="0" applyFont="1" applyFill="1" applyBorder="1" applyAlignment="1">
      <alignment horizontal="center"/>
    </xf>
    <xf numFmtId="0" fontId="18" fillId="8" borderId="2" xfId="0" applyFont="1" applyFill="1" applyBorder="1" applyAlignment="1">
      <alignment horizontal="center"/>
    </xf>
    <xf numFmtId="0" fontId="20" fillId="8" borderId="2" xfId="0" applyFont="1" applyFill="1" applyBorder="1"/>
    <xf numFmtId="0" fontId="20" fillId="8" borderId="3" xfId="0" applyFont="1" applyFill="1" applyBorder="1"/>
    <xf numFmtId="3" fontId="18" fillId="8" borderId="6" xfId="0" applyNumberFormat="1" applyFont="1" applyFill="1" applyBorder="1"/>
    <xf numFmtId="3" fontId="18" fillId="8" borderId="5" xfId="0" applyNumberFormat="1" applyFont="1" applyFill="1" applyBorder="1"/>
    <xf numFmtId="3" fontId="33" fillId="0" borderId="2" xfId="0" quotePrefix="1" applyNumberFormat="1" applyFont="1" applyBorder="1" applyAlignment="1">
      <alignment horizontal="right"/>
    </xf>
    <xf numFmtId="0" fontId="39" fillId="0" borderId="1" xfId="0" applyFont="1" applyBorder="1" applyAlignment="1">
      <alignment horizontal="right"/>
    </xf>
    <xf numFmtId="3" fontId="33" fillId="0" borderId="3" xfId="0" quotePrefix="1" applyNumberFormat="1" applyFont="1" applyBorder="1" applyAlignment="1">
      <alignment horizontal="right"/>
    </xf>
    <xf numFmtId="3" fontId="20" fillId="0" borderId="2" xfId="1" applyNumberFormat="1" applyFont="1" applyBorder="1" applyAlignment="1">
      <alignment horizontal="right"/>
    </xf>
    <xf numFmtId="3" fontId="20" fillId="2" borderId="2" xfId="1" applyNumberFormat="1" applyFont="1" applyFill="1" applyBorder="1" applyAlignment="1">
      <alignment horizontal="right"/>
    </xf>
    <xf numFmtId="3" fontId="18" fillId="0" borderId="3" xfId="1" applyNumberFormat="1" applyFont="1" applyBorder="1" applyAlignment="1">
      <alignment horizontal="right"/>
    </xf>
    <xf numFmtId="3" fontId="20" fillId="0" borderId="2" xfId="1" quotePrefix="1" applyNumberFormat="1" applyFont="1" applyBorder="1" applyAlignment="1">
      <alignment horizontal="right"/>
    </xf>
    <xf numFmtId="3" fontId="20" fillId="0" borderId="6" xfId="1" quotePrefix="1" applyNumberFormat="1" applyFont="1" applyBorder="1" applyAlignment="1">
      <alignment horizontal="right"/>
    </xf>
    <xf numFmtId="3" fontId="20" fillId="0" borderId="5" xfId="1" quotePrefix="1" applyNumberFormat="1" applyFont="1" applyBorder="1" applyAlignment="1">
      <alignment horizontal="right"/>
    </xf>
    <xf numFmtId="3" fontId="20" fillId="3" borderId="0" xfId="1" applyNumberFormat="1" applyFont="1" applyFill="1" applyAlignment="1">
      <alignment horizontal="right"/>
    </xf>
    <xf numFmtId="164" fontId="57" fillId="7" borderId="3" xfId="844" applyNumberFormat="1" applyFont="1" applyBorder="1" applyAlignment="1">
      <alignment horizontal="right"/>
    </xf>
    <xf numFmtId="3" fontId="47" fillId="0" borderId="2" xfId="0" applyNumberFormat="1" applyFont="1" applyBorder="1"/>
    <xf numFmtId="3" fontId="19" fillId="0" borderId="1" xfId="1" applyNumberFormat="1" applyFont="1" applyBorder="1" applyAlignment="1">
      <alignment horizontal="center"/>
    </xf>
    <xf numFmtId="3" fontId="16" fillId="0" borderId="9" xfId="1" applyNumberFormat="1" applyFont="1" applyBorder="1" applyAlignment="1">
      <alignment horizontal="center"/>
    </xf>
    <xf numFmtId="3" fontId="19" fillId="0" borderId="6" xfId="1" applyNumberFormat="1" applyFont="1" applyBorder="1" applyAlignment="1">
      <alignment horizontal="center"/>
    </xf>
    <xf numFmtId="3" fontId="18" fillId="0" borderId="3" xfId="1" applyNumberFormat="1" applyFont="1" applyBorder="1" applyAlignment="1">
      <alignment horizontal="center"/>
    </xf>
    <xf numFmtId="3" fontId="19" fillId="0" borderId="3" xfId="1" applyNumberFormat="1" applyFont="1" applyBorder="1" applyAlignment="1">
      <alignment horizontal="center"/>
    </xf>
    <xf numFmtId="3" fontId="18" fillId="0" borderId="2" xfId="1" applyNumberFormat="1" applyFont="1" applyBorder="1" applyAlignment="1">
      <alignment horizontal="center"/>
    </xf>
    <xf numFmtId="3" fontId="16" fillId="0" borderId="1" xfId="1" applyNumberFormat="1" applyFont="1" applyBorder="1"/>
    <xf numFmtId="0" fontId="20" fillId="0" borderId="6" xfId="0" applyFont="1" applyBorder="1"/>
    <xf numFmtId="0" fontId="18" fillId="0" borderId="3" xfId="1" applyFont="1" applyBorder="1" applyAlignment="1">
      <alignment horizontal="center"/>
    </xf>
    <xf numFmtId="0" fontId="18" fillId="0" borderId="15" xfId="1" applyFont="1" applyBorder="1" applyAlignment="1">
      <alignment horizontal="center"/>
    </xf>
    <xf numFmtId="14" fontId="19" fillId="0" borderId="1" xfId="1" applyNumberFormat="1" applyFont="1" applyBorder="1" applyAlignment="1">
      <alignment horizontal="center"/>
    </xf>
    <xf numFmtId="14" fontId="19" fillId="0" borderId="7" xfId="1" applyNumberFormat="1" applyFont="1" applyBorder="1" applyAlignment="1">
      <alignment horizontal="center"/>
    </xf>
    <xf numFmtId="14" fontId="19" fillId="0" borderId="15" xfId="1" applyNumberFormat="1" applyFont="1" applyBorder="1" applyAlignment="1">
      <alignment horizontal="center"/>
    </xf>
    <xf numFmtId="0" fontId="20" fillId="0" borderId="5" xfId="1" applyFont="1" applyBorder="1"/>
    <xf numFmtId="0" fontId="20" fillId="0" borderId="9" xfId="1" applyFont="1" applyBorder="1"/>
    <xf numFmtId="167" fontId="20" fillId="0" borderId="0" xfId="1" applyNumberFormat="1" applyFont="1" applyAlignment="1">
      <alignment horizontal="center"/>
    </xf>
    <xf numFmtId="167" fontId="20" fillId="3" borderId="3" xfId="1" applyNumberFormat="1" applyFont="1" applyFill="1" applyBorder="1" applyAlignment="1">
      <alignment horizontal="right"/>
    </xf>
    <xf numFmtId="167" fontId="20" fillId="3" borderId="6" xfId="1" applyNumberFormat="1" applyFont="1" applyFill="1" applyBorder="1" applyAlignment="1">
      <alignment horizontal="right"/>
    </xf>
    <xf numFmtId="0" fontId="47" fillId="0" borderId="7" xfId="0" applyFont="1" applyBorder="1"/>
    <xf numFmtId="166" fontId="18" fillId="0" borderId="4" xfId="0" applyNumberFormat="1" applyFont="1" applyBorder="1" applyAlignment="1">
      <alignment horizontal="center"/>
    </xf>
    <xf numFmtId="166" fontId="18" fillId="0" borderId="11" xfId="0" applyNumberFormat="1" applyFont="1" applyBorder="1" applyAlignment="1">
      <alignment horizontal="center"/>
    </xf>
    <xf numFmtId="0" fontId="18" fillId="0" borderId="5" xfId="0" applyFont="1" applyBorder="1" applyAlignment="1">
      <alignment horizontal="center"/>
    </xf>
    <xf numFmtId="164" fontId="47" fillId="0" borderId="4" xfId="0" applyNumberFormat="1" applyFont="1" applyBorder="1" applyAlignment="1">
      <alignment horizontal="right"/>
    </xf>
    <xf numFmtId="164" fontId="47" fillId="0" borderId="3" xfId="0" applyNumberFormat="1" applyFont="1" applyBorder="1" applyAlignment="1">
      <alignment horizontal="right"/>
    </xf>
    <xf numFmtId="164" fontId="33" fillId="0" borderId="4" xfId="0" applyNumberFormat="1" applyFont="1" applyBorder="1" applyAlignment="1">
      <alignment horizontal="right"/>
    </xf>
    <xf numFmtId="164" fontId="33" fillId="0" borderId="3" xfId="0" applyNumberFormat="1" applyFont="1" applyBorder="1" applyAlignment="1">
      <alignment horizontal="right"/>
    </xf>
    <xf numFmtId="0" fontId="33" fillId="0" borderId="11" xfId="0" applyFont="1" applyBorder="1"/>
    <xf numFmtId="3" fontId="33" fillId="0" borderId="11" xfId="0" applyNumberFormat="1" applyFont="1" applyBorder="1"/>
    <xf numFmtId="164" fontId="33" fillId="0" borderId="11" xfId="0" applyNumberFormat="1" applyFont="1" applyBorder="1" applyAlignment="1">
      <alignment horizontal="right"/>
    </xf>
    <xf numFmtId="164" fontId="33" fillId="0" borderId="6" xfId="0" applyNumberFormat="1" applyFont="1" applyBorder="1" applyAlignment="1">
      <alignment horizontal="right"/>
    </xf>
    <xf numFmtId="0" fontId="44" fillId="9" borderId="0" xfId="0" applyFont="1" applyFill="1"/>
    <xf numFmtId="0" fontId="68" fillId="0" borderId="0" xfId="3" applyFont="1" applyAlignment="1" applyProtection="1"/>
    <xf numFmtId="0" fontId="43" fillId="0" borderId="0" xfId="0" applyFont="1" applyAlignment="1">
      <alignment horizontal="center"/>
    </xf>
    <xf numFmtId="3" fontId="18" fillId="0" borderId="6" xfId="1" applyNumberFormat="1" applyFont="1" applyBorder="1" applyAlignment="1">
      <alignment horizontal="right"/>
    </xf>
    <xf numFmtId="3" fontId="69" fillId="0" borderId="4" xfId="1" applyNumberFormat="1" applyFont="1" applyBorder="1" applyAlignment="1">
      <alignment horizontal="right"/>
    </xf>
    <xf numFmtId="3" fontId="69" fillId="0" borderId="3" xfId="1" applyNumberFormat="1" applyFont="1" applyBorder="1" applyAlignment="1">
      <alignment horizontal="right"/>
    </xf>
    <xf numFmtId="3" fontId="69" fillId="0" borderId="11" xfId="1" applyNumberFormat="1" applyFont="1" applyBorder="1" applyAlignment="1">
      <alignment horizontal="right"/>
    </xf>
    <xf numFmtId="3" fontId="69" fillId="0" borderId="6" xfId="1" applyNumberFormat="1" applyFont="1" applyBorder="1" applyAlignment="1">
      <alignment horizontal="right"/>
    </xf>
    <xf numFmtId="3" fontId="20" fillId="0" borderId="3" xfId="2" applyNumberFormat="1" applyFont="1" applyFill="1" applyBorder="1" applyAlignment="1">
      <alignment horizontal="right"/>
    </xf>
    <xf numFmtId="3" fontId="20" fillId="0" borderId="4" xfId="2" applyNumberFormat="1" applyFont="1" applyFill="1" applyBorder="1" applyAlignment="1">
      <alignment horizontal="right"/>
    </xf>
    <xf numFmtId="3" fontId="20" fillId="0" borderId="6" xfId="2" applyNumberFormat="1" applyFont="1" applyFill="1" applyBorder="1" applyAlignment="1">
      <alignment horizontal="right"/>
    </xf>
    <xf numFmtId="3" fontId="20" fillId="0" borderId="11" xfId="2" applyNumberFormat="1" applyFont="1" applyFill="1" applyBorder="1" applyAlignment="1">
      <alignment horizontal="right"/>
    </xf>
    <xf numFmtId="3" fontId="20" fillId="2" borderId="3" xfId="2" applyNumberFormat="1" applyFont="1" applyFill="1" applyBorder="1" applyAlignment="1">
      <alignment horizontal="right"/>
    </xf>
    <xf numFmtId="3" fontId="20" fillId="2" borderId="4" xfId="2" applyNumberFormat="1" applyFont="1" applyFill="1" applyBorder="1" applyAlignment="1">
      <alignment horizontal="right"/>
    </xf>
    <xf numFmtId="3" fontId="20" fillId="0" borderId="4" xfId="1" applyNumberFormat="1" applyFont="1" applyBorder="1" applyAlignment="1">
      <alignment horizontal="right"/>
    </xf>
    <xf numFmtId="3" fontId="20" fillId="2" borderId="0" xfId="1" applyNumberFormat="1" applyFont="1" applyFill="1" applyAlignment="1">
      <alignment horizontal="right"/>
    </xf>
    <xf numFmtId="3" fontId="20" fillId="0" borderId="3" xfId="2" applyNumberFormat="1" applyFont="1" applyBorder="1" applyAlignment="1">
      <alignment horizontal="right"/>
    </xf>
    <xf numFmtId="3" fontId="25" fillId="0" borderId="2" xfId="1" applyNumberFormat="1" applyFont="1" applyBorder="1" applyAlignment="1">
      <alignment horizontal="right"/>
    </xf>
    <xf numFmtId="3" fontId="25" fillId="0" borderId="0" xfId="1" applyNumberFormat="1" applyFont="1" applyAlignment="1">
      <alignment horizontal="right"/>
    </xf>
    <xf numFmtId="3" fontId="21" fillId="2" borderId="2" xfId="1" applyNumberFormat="1" applyFont="1" applyFill="1" applyBorder="1" applyAlignment="1">
      <alignment horizontal="right"/>
    </xf>
    <xf numFmtId="3" fontId="20" fillId="0" borderId="3" xfId="2" applyNumberFormat="1" applyFont="1" applyBorder="1" applyAlignment="1">
      <alignment horizontal="left"/>
    </xf>
    <xf numFmtId="0" fontId="16" fillId="0" borderId="0" xfId="1" applyFont="1" applyAlignment="1">
      <alignment horizontal="center"/>
    </xf>
    <xf numFmtId="3" fontId="16" fillId="0" borderId="0" xfId="1" applyNumberFormat="1" applyFont="1" applyAlignment="1">
      <alignment horizontal="center"/>
    </xf>
    <xf numFmtId="3" fontId="18" fillId="0" borderId="10" xfId="1" applyNumberFormat="1" applyFont="1" applyBorder="1" applyAlignment="1">
      <alignment horizontal="center"/>
    </xf>
    <xf numFmtId="3" fontId="18" fillId="0" borderId="8" xfId="1" applyNumberFormat="1" applyFont="1" applyBorder="1" applyAlignment="1">
      <alignment horizontal="center"/>
    </xf>
    <xf numFmtId="3" fontId="16" fillId="0" borderId="12" xfId="1" applyNumberFormat="1" applyFont="1" applyBorder="1" applyAlignment="1">
      <alignment horizontal="center"/>
    </xf>
    <xf numFmtId="3" fontId="18" fillId="0" borderId="9" xfId="1" applyNumberFormat="1" applyFont="1" applyBorder="1" applyAlignment="1">
      <alignment horizontal="center"/>
    </xf>
    <xf numFmtId="3" fontId="18" fillId="0" borderId="1" xfId="1" applyNumberFormat="1" applyFont="1" applyBorder="1" applyAlignment="1">
      <alignment horizontal="center"/>
    </xf>
    <xf numFmtId="3" fontId="18" fillId="0" borderId="7" xfId="2" applyNumberFormat="1" applyFont="1" applyFill="1" applyBorder="1" applyAlignment="1">
      <alignment horizontal="right"/>
    </xf>
    <xf numFmtId="3" fontId="18" fillId="0" borderId="1" xfId="2" applyNumberFormat="1" applyFont="1" applyFill="1" applyBorder="1" applyAlignment="1">
      <alignment horizontal="right"/>
    </xf>
    <xf numFmtId="3" fontId="18" fillId="0" borderId="2" xfId="1" applyNumberFormat="1" applyFont="1" applyBorder="1" applyAlignment="1">
      <alignment horizontal="right"/>
    </xf>
    <xf numFmtId="3" fontId="18" fillId="0" borderId="4" xfId="1" applyNumberFormat="1" applyFont="1" applyBorder="1" applyAlignment="1">
      <alignment horizontal="right"/>
    </xf>
    <xf numFmtId="3" fontId="18" fillId="0" borderId="3" xfId="2" applyNumberFormat="1" applyFont="1" applyFill="1" applyBorder="1" applyAlignment="1">
      <alignment horizontal="right"/>
    </xf>
    <xf numFmtId="3" fontId="18" fillId="0" borderId="4" xfId="2" applyNumberFormat="1" applyFont="1" applyFill="1" applyBorder="1" applyAlignment="1">
      <alignment horizontal="right"/>
    </xf>
    <xf numFmtId="3" fontId="18" fillId="0" borderId="6" xfId="2" applyNumberFormat="1" applyFont="1" applyFill="1" applyBorder="1" applyAlignment="1">
      <alignment horizontal="right"/>
    </xf>
    <xf numFmtId="3" fontId="18" fillId="0" borderId="11" xfId="2" applyNumberFormat="1" applyFont="1" applyFill="1" applyBorder="1" applyAlignment="1">
      <alignment horizontal="right"/>
    </xf>
    <xf numFmtId="3" fontId="18" fillId="0" borderId="5" xfId="1" applyNumberFormat="1" applyFont="1" applyBorder="1" applyAlignment="1">
      <alignment horizontal="right"/>
    </xf>
    <xf numFmtId="3" fontId="18" fillId="0" borderId="11" xfId="1" applyNumberFormat="1" applyFont="1" applyBorder="1" applyAlignment="1">
      <alignment horizontal="right"/>
    </xf>
    <xf numFmtId="3" fontId="18" fillId="0" borderId="7" xfId="1" applyNumberFormat="1" applyFont="1" applyBorder="1" applyAlignment="1">
      <alignment horizontal="right"/>
    </xf>
    <xf numFmtId="3" fontId="18" fillId="0" borderId="1" xfId="1" applyNumberFormat="1" applyFont="1" applyBorder="1" applyAlignment="1">
      <alignment horizontal="right"/>
    </xf>
    <xf numFmtId="3" fontId="18" fillId="0" borderId="15" xfId="1" applyNumberFormat="1" applyFont="1" applyBorder="1" applyAlignment="1">
      <alignment horizontal="right"/>
    </xf>
    <xf numFmtId="3" fontId="18" fillId="2" borderId="2" xfId="1" applyNumberFormat="1" applyFont="1" applyFill="1" applyBorder="1" applyAlignment="1">
      <alignment horizontal="right"/>
    </xf>
    <xf numFmtId="3" fontId="18" fillId="2" borderId="0" xfId="1" applyNumberFormat="1" applyFont="1" applyFill="1" applyAlignment="1">
      <alignment horizontal="right"/>
    </xf>
    <xf numFmtId="3" fontId="18" fillId="2" borderId="4" xfId="1" applyNumberFormat="1" applyFont="1" applyFill="1" applyBorder="1" applyAlignment="1">
      <alignment horizontal="right"/>
    </xf>
    <xf numFmtId="3" fontId="18" fillId="2" borderId="5" xfId="1" applyNumberFormat="1" applyFont="1" applyFill="1" applyBorder="1" applyAlignment="1">
      <alignment horizontal="right"/>
    </xf>
    <xf numFmtId="3" fontId="18" fillId="2" borderId="11" xfId="1" applyNumberFormat="1" applyFont="1" applyFill="1" applyBorder="1" applyAlignment="1">
      <alignment horizontal="right"/>
    </xf>
    <xf numFmtId="3" fontId="18" fillId="2" borderId="3" xfId="1" applyNumberFormat="1" applyFont="1" applyFill="1" applyBorder="1" applyAlignment="1">
      <alignment horizontal="right"/>
    </xf>
    <xf numFmtId="3" fontId="18" fillId="2" borderId="6" xfId="1" applyNumberFormat="1" applyFont="1" applyFill="1" applyBorder="1" applyAlignment="1">
      <alignment horizontal="right"/>
    </xf>
    <xf numFmtId="14" fontId="19" fillId="0" borderId="10" xfId="1" applyNumberFormat="1" applyFont="1" applyBorder="1"/>
    <xf numFmtId="0" fontId="0" fillId="0" borderId="8" xfId="0" applyBorder="1"/>
    <xf numFmtId="3" fontId="18" fillId="0" borderId="2" xfId="1" quotePrefix="1" applyNumberFormat="1" applyFont="1" applyBorder="1" applyAlignment="1">
      <alignment horizontal="right"/>
    </xf>
    <xf numFmtId="0" fontId="58" fillId="0" borderId="0" xfId="1" applyFont="1"/>
    <xf numFmtId="0" fontId="17" fillId="0" borderId="0" xfId="1" applyFont="1" applyAlignment="1">
      <alignment horizontal="right" vertical="top"/>
    </xf>
    <xf numFmtId="0" fontId="17" fillId="0" borderId="0" xfId="1" applyFont="1" applyAlignment="1">
      <alignment vertical="top" wrapText="1"/>
    </xf>
    <xf numFmtId="0" fontId="17" fillId="0" borderId="0" xfId="1" applyFont="1" applyAlignment="1">
      <alignment horizontal="right"/>
    </xf>
    <xf numFmtId="0" fontId="17" fillId="0" borderId="0" xfId="1" applyFont="1" applyAlignment="1">
      <alignment wrapText="1"/>
    </xf>
    <xf numFmtId="0" fontId="16" fillId="0" borderId="0" xfId="1" applyFont="1" applyAlignment="1">
      <alignment horizontal="left"/>
    </xf>
    <xf numFmtId="3" fontId="33" fillId="4" borderId="3" xfId="0" applyNumberFormat="1" applyFont="1" applyFill="1" applyBorder="1" applyAlignment="1" applyProtection="1">
      <alignment horizontal="right"/>
      <protection locked="0"/>
    </xf>
    <xf numFmtId="0" fontId="70" fillId="0" borderId="0" xfId="0" applyFont="1" applyAlignment="1">
      <alignment horizontal="left" vertical="center" readingOrder="1"/>
    </xf>
    <xf numFmtId="0" fontId="72" fillId="0" borderId="0" xfId="1" applyFont="1" applyAlignment="1">
      <alignment horizontal="left"/>
    </xf>
    <xf numFmtId="0" fontId="21" fillId="0" borderId="0" xfId="1" applyFont="1"/>
    <xf numFmtId="0" fontId="44" fillId="9" borderId="0" xfId="3" applyFont="1" applyFill="1" applyAlignment="1" applyProtection="1"/>
    <xf numFmtId="0" fontId="66" fillId="0" borderId="0" xfId="0" applyFont="1"/>
    <xf numFmtId="0" fontId="67" fillId="0" borderId="0" xfId="0" applyFont="1"/>
    <xf numFmtId="0" fontId="44" fillId="0" borderId="0" xfId="3" applyFont="1" applyFill="1" applyAlignment="1" applyProtection="1"/>
    <xf numFmtId="3" fontId="18" fillId="3" borderId="7" xfId="1" applyNumberFormat="1" applyFont="1" applyFill="1" applyBorder="1" applyAlignment="1">
      <alignment horizontal="right"/>
    </xf>
    <xf numFmtId="0" fontId="74" fillId="0" borderId="0" xfId="1" applyFont="1" applyAlignment="1">
      <alignment horizontal="left"/>
    </xf>
    <xf numFmtId="3" fontId="69" fillId="0" borderId="2" xfId="1" applyNumberFormat="1" applyFont="1" applyBorder="1" applyAlignment="1">
      <alignment horizontal="right"/>
    </xf>
    <xf numFmtId="3" fontId="61" fillId="0" borderId="2" xfId="1" applyNumberFormat="1" applyFont="1" applyBorder="1" applyAlignment="1">
      <alignment horizontal="right"/>
    </xf>
    <xf numFmtId="3" fontId="16" fillId="0" borderId="14" xfId="1" applyNumberFormat="1" applyFont="1" applyBorder="1" applyAlignment="1">
      <alignment horizontal="center"/>
    </xf>
    <xf numFmtId="170" fontId="18" fillId="0" borderId="7" xfId="846" applyFont="1" applyFill="1" applyBorder="1" applyAlignment="1">
      <alignment horizontal="right"/>
    </xf>
    <xf numFmtId="170" fontId="18" fillId="0" borderId="1" xfId="846" applyFont="1" applyFill="1" applyBorder="1" applyAlignment="1">
      <alignment horizontal="right"/>
    </xf>
    <xf numFmtId="170" fontId="20" fillId="0" borderId="3" xfId="846" applyFont="1" applyBorder="1" applyAlignment="1">
      <alignment horizontal="right"/>
    </xf>
    <xf numFmtId="170" fontId="20" fillId="0" borderId="3" xfId="846" applyFont="1" applyFill="1" applyBorder="1" applyAlignment="1">
      <alignment horizontal="right"/>
    </xf>
    <xf numFmtId="170" fontId="20" fillId="0" borderId="4" xfId="846" applyFont="1" applyFill="1" applyBorder="1" applyAlignment="1">
      <alignment horizontal="right"/>
    </xf>
    <xf numFmtId="170" fontId="18" fillId="0" borderId="3" xfId="846" applyFont="1" applyFill="1" applyBorder="1" applyAlignment="1">
      <alignment horizontal="right"/>
    </xf>
    <xf numFmtId="170" fontId="18" fillId="0" borderId="4" xfId="846" applyFont="1" applyFill="1" applyBorder="1" applyAlignment="1">
      <alignment horizontal="right"/>
    </xf>
    <xf numFmtId="170" fontId="18" fillId="0" borderId="6" xfId="846" applyFont="1" applyFill="1" applyBorder="1" applyAlignment="1">
      <alignment horizontal="right"/>
    </xf>
    <xf numFmtId="170" fontId="18" fillId="0" borderId="11" xfId="846" applyFont="1" applyFill="1" applyBorder="1" applyAlignment="1">
      <alignment horizontal="right"/>
    </xf>
    <xf numFmtId="170" fontId="20" fillId="3" borderId="7" xfId="846" applyFont="1" applyFill="1" applyBorder="1" applyAlignment="1">
      <alignment horizontal="right"/>
    </xf>
    <xf numFmtId="170" fontId="20" fillId="3" borderId="2" xfId="846" applyFont="1" applyFill="1" applyBorder="1" applyAlignment="1">
      <alignment horizontal="right"/>
    </xf>
    <xf numFmtId="170" fontId="18" fillId="0" borderId="2" xfId="846" applyFont="1" applyFill="1" applyBorder="1" applyAlignment="1">
      <alignment horizontal="right"/>
    </xf>
    <xf numFmtId="170" fontId="20" fillId="3" borderId="3" xfId="846" applyFont="1" applyFill="1" applyBorder="1" applyAlignment="1">
      <alignment horizontal="right"/>
    </xf>
    <xf numFmtId="170" fontId="20" fillId="2" borderId="3" xfId="846" applyFont="1" applyFill="1" applyBorder="1" applyAlignment="1">
      <alignment horizontal="right"/>
    </xf>
    <xf numFmtId="170" fontId="20" fillId="2" borderId="4" xfId="846" applyFont="1" applyFill="1" applyBorder="1" applyAlignment="1">
      <alignment horizontal="right"/>
    </xf>
    <xf numFmtId="170" fontId="20" fillId="0" borderId="2" xfId="846" applyFont="1" applyFill="1" applyBorder="1" applyAlignment="1">
      <alignment horizontal="right"/>
    </xf>
    <xf numFmtId="170" fontId="20" fillId="3" borderId="6" xfId="846" applyFont="1" applyFill="1" applyBorder="1" applyAlignment="1">
      <alignment horizontal="right"/>
    </xf>
    <xf numFmtId="170" fontId="18" fillId="0" borderId="5" xfId="846" applyFont="1" applyFill="1" applyBorder="1" applyAlignment="1">
      <alignment horizontal="right"/>
    </xf>
    <xf numFmtId="170" fontId="18" fillId="0" borderId="15" xfId="846" applyFont="1" applyFill="1" applyBorder="1" applyAlignment="1">
      <alignment horizontal="right"/>
    </xf>
    <xf numFmtId="170" fontId="18" fillId="2" borderId="2" xfId="846" applyFont="1" applyFill="1" applyBorder="1" applyAlignment="1">
      <alignment horizontal="right"/>
    </xf>
    <xf numFmtId="170" fontId="18" fillId="2" borderId="0" xfId="846" applyFont="1" applyFill="1" applyBorder="1" applyAlignment="1">
      <alignment horizontal="right"/>
    </xf>
    <xf numFmtId="170" fontId="18" fillId="2" borderId="4" xfId="846" applyFont="1" applyFill="1" applyBorder="1" applyAlignment="1">
      <alignment horizontal="right"/>
    </xf>
    <xf numFmtId="170" fontId="18" fillId="2" borderId="5" xfId="846" applyFont="1" applyFill="1" applyBorder="1" applyAlignment="1">
      <alignment horizontal="right"/>
    </xf>
    <xf numFmtId="170" fontId="18" fillId="2" borderId="11" xfId="846" applyFont="1" applyFill="1" applyBorder="1" applyAlignment="1">
      <alignment horizontal="right"/>
    </xf>
    <xf numFmtId="170" fontId="20" fillId="0" borderId="6" xfId="846" applyFont="1" applyFill="1" applyBorder="1" applyAlignment="1">
      <alignment horizontal="right"/>
    </xf>
    <xf numFmtId="170" fontId="20" fillId="0" borderId="11" xfId="846" applyFont="1" applyFill="1" applyBorder="1" applyAlignment="1">
      <alignment horizontal="right"/>
    </xf>
    <xf numFmtId="170" fontId="69" fillId="0" borderId="2" xfId="846" applyFont="1" applyFill="1" applyBorder="1" applyAlignment="1">
      <alignment horizontal="right"/>
    </xf>
    <xf numFmtId="170" fontId="20" fillId="0" borderId="0" xfId="846" applyFont="1" applyFill="1" applyBorder="1" applyAlignment="1">
      <alignment horizontal="right"/>
    </xf>
    <xf numFmtId="170" fontId="25" fillId="0" borderId="2" xfId="846" applyFont="1" applyFill="1" applyBorder="1" applyAlignment="1">
      <alignment horizontal="right"/>
    </xf>
    <xf numFmtId="170" fontId="25" fillId="0" borderId="0" xfId="846" applyFont="1" applyFill="1" applyBorder="1" applyAlignment="1">
      <alignment horizontal="right"/>
    </xf>
    <xf numFmtId="170" fontId="21" fillId="2" borderId="2" xfId="846" applyFont="1" applyFill="1" applyBorder="1" applyAlignment="1">
      <alignment horizontal="right"/>
    </xf>
    <xf numFmtId="170" fontId="20" fillId="2" borderId="2" xfId="846" applyFont="1" applyFill="1" applyBorder="1" applyAlignment="1">
      <alignment horizontal="right"/>
    </xf>
    <xf numFmtId="170" fontId="20" fillId="2" borderId="0" xfId="846" applyFont="1" applyFill="1" applyBorder="1" applyAlignment="1">
      <alignment horizontal="right"/>
    </xf>
    <xf numFmtId="170" fontId="18" fillId="0" borderId="0" xfId="846" applyFont="1" applyFill="1" applyBorder="1" applyAlignment="1">
      <alignment horizontal="right"/>
    </xf>
    <xf numFmtId="170" fontId="20" fillId="3" borderId="5" xfId="846" applyFont="1" applyFill="1" applyBorder="1" applyAlignment="1">
      <alignment horizontal="right"/>
    </xf>
    <xf numFmtId="170" fontId="20" fillId="3" borderId="1" xfId="846" applyFont="1" applyFill="1" applyBorder="1" applyAlignment="1">
      <alignment horizontal="right"/>
    </xf>
    <xf numFmtId="170" fontId="20" fillId="3" borderId="4" xfId="846" applyFont="1" applyFill="1" applyBorder="1" applyAlignment="1">
      <alignment horizontal="right"/>
    </xf>
    <xf numFmtId="170" fontId="20" fillId="3" borderId="11" xfId="846" applyFont="1" applyFill="1" applyBorder="1" applyAlignment="1">
      <alignment horizontal="right"/>
    </xf>
    <xf numFmtId="164" fontId="33" fillId="0" borderId="3" xfId="0" applyNumberFormat="1" applyFont="1" applyBorder="1"/>
    <xf numFmtId="164" fontId="47" fillId="0" borderId="3" xfId="0" applyNumberFormat="1" applyFont="1" applyBorder="1"/>
    <xf numFmtId="164" fontId="47" fillId="0" borderId="6" xfId="0" applyNumberFormat="1" applyFont="1" applyBorder="1"/>
    <xf numFmtId="171" fontId="20" fillId="3" borderId="2" xfId="846" applyNumberFormat="1" applyFont="1" applyFill="1" applyBorder="1" applyAlignment="1">
      <alignment horizontal="right"/>
    </xf>
    <xf numFmtId="171" fontId="20" fillId="3" borderId="3" xfId="846" applyNumberFormat="1" applyFont="1" applyFill="1" applyBorder="1" applyAlignment="1">
      <alignment horizontal="right"/>
    </xf>
    <xf numFmtId="171" fontId="20" fillId="3" borderId="6" xfId="846" applyNumberFormat="1" applyFont="1" applyFill="1" applyBorder="1" applyAlignment="1">
      <alignment horizontal="right"/>
    </xf>
    <xf numFmtId="164" fontId="18" fillId="0" borderId="6" xfId="1" applyNumberFormat="1" applyFont="1" applyBorder="1" applyAlignment="1">
      <alignment horizontal="center"/>
    </xf>
    <xf numFmtId="164" fontId="20" fillId="3" borderId="0" xfId="1" applyNumberFormat="1" applyFont="1" applyFill="1" applyAlignment="1">
      <alignment horizontal="right"/>
    </xf>
    <xf numFmtId="49" fontId="18" fillId="0" borderId="0" xfId="1" applyNumberFormat="1" applyFont="1" applyAlignment="1">
      <alignment horizontal="right"/>
    </xf>
    <xf numFmtId="49" fontId="18" fillId="0" borderId="0" xfId="1" applyNumberFormat="1" applyFont="1" applyAlignment="1">
      <alignment horizontal="center"/>
    </xf>
    <xf numFmtId="3" fontId="18" fillId="0" borderId="0" xfId="1" quotePrefix="1" applyNumberFormat="1" applyFont="1" applyAlignment="1">
      <alignment horizontal="center"/>
    </xf>
    <xf numFmtId="170" fontId="18" fillId="3" borderId="7" xfId="846" applyFont="1" applyFill="1" applyBorder="1" applyAlignment="1">
      <alignment horizontal="right"/>
    </xf>
    <xf numFmtId="171" fontId="18" fillId="3" borderId="2" xfId="846" applyNumberFormat="1" applyFont="1" applyFill="1" applyBorder="1" applyAlignment="1">
      <alignment horizontal="right"/>
    </xf>
    <xf numFmtId="167" fontId="18" fillId="3" borderId="7" xfId="1" applyNumberFormat="1" applyFont="1" applyFill="1" applyBorder="1" applyAlignment="1">
      <alignment horizontal="right"/>
    </xf>
    <xf numFmtId="167" fontId="18" fillId="3" borderId="3" xfId="1" applyNumberFormat="1" applyFont="1" applyFill="1" applyBorder="1" applyAlignment="1">
      <alignment horizontal="right"/>
    </xf>
    <xf numFmtId="167" fontId="18" fillId="3" borderId="6" xfId="1" applyNumberFormat="1" applyFont="1" applyFill="1" applyBorder="1" applyAlignment="1">
      <alignment horizontal="right"/>
    </xf>
    <xf numFmtId="3" fontId="18" fillId="3" borderId="0" xfId="1" applyNumberFormat="1" applyFont="1" applyFill="1" applyAlignment="1">
      <alignment horizontal="right"/>
    </xf>
    <xf numFmtId="3" fontId="18" fillId="3" borderId="1" xfId="1" applyNumberFormat="1" applyFont="1" applyFill="1" applyBorder="1" applyAlignment="1">
      <alignment horizontal="right"/>
    </xf>
    <xf numFmtId="3" fontId="18" fillId="3" borderId="4" xfId="1" applyNumberFormat="1" applyFont="1" applyFill="1" applyBorder="1" applyAlignment="1">
      <alignment horizontal="right"/>
    </xf>
    <xf numFmtId="3" fontId="18" fillId="3" borderId="11" xfId="1" applyNumberFormat="1" applyFont="1" applyFill="1" applyBorder="1" applyAlignment="1">
      <alignment horizontal="right"/>
    </xf>
    <xf numFmtId="164" fontId="18" fillId="3" borderId="0" xfId="1" applyNumberFormat="1" applyFont="1" applyFill="1" applyAlignment="1">
      <alignment horizontal="right"/>
    </xf>
    <xf numFmtId="3" fontId="62" fillId="4" borderId="3" xfId="0" applyNumberFormat="1" applyFont="1" applyFill="1" applyBorder="1" applyAlignment="1" applyProtection="1">
      <alignment horizontal="right"/>
      <protection locked="0"/>
    </xf>
    <xf numFmtId="3" fontId="33" fillId="4" borderId="4" xfId="0" applyNumberFormat="1" applyFont="1" applyFill="1" applyBorder="1" applyAlignment="1" applyProtection="1">
      <alignment horizontal="right"/>
      <protection locked="0"/>
    </xf>
    <xf numFmtId="3" fontId="47" fillId="4" borderId="3" xfId="0" applyNumberFormat="1" applyFont="1" applyFill="1" applyBorder="1" applyAlignment="1" applyProtection="1">
      <alignment horizontal="right"/>
      <protection locked="0"/>
    </xf>
    <xf numFmtId="3" fontId="47" fillId="0" borderId="3" xfId="0" applyNumberFormat="1" applyFont="1" applyBorder="1" applyAlignment="1" applyProtection="1">
      <alignment horizontal="right"/>
      <protection locked="0"/>
    </xf>
    <xf numFmtId="3" fontId="33" fillId="0" borderId="3" xfId="0" applyNumberFormat="1" applyFont="1" applyBorder="1" applyAlignment="1" applyProtection="1">
      <alignment horizontal="right"/>
      <protection locked="0"/>
    </xf>
    <xf numFmtId="3" fontId="33" fillId="4" borderId="3" xfId="845" applyNumberFormat="1" applyFont="1" applyFill="1" applyBorder="1" applyAlignment="1" applyProtection="1">
      <alignment horizontal="right"/>
      <protection locked="0"/>
    </xf>
    <xf numFmtId="3" fontId="47" fillId="4" borderId="4" xfId="0" applyNumberFormat="1" applyFont="1" applyFill="1" applyBorder="1" applyAlignment="1" applyProtection="1">
      <alignment horizontal="right"/>
      <protection locked="0"/>
    </xf>
    <xf numFmtId="3" fontId="47" fillId="4" borderId="3" xfId="845" applyNumberFormat="1" applyFont="1" applyFill="1" applyBorder="1" applyAlignment="1" applyProtection="1">
      <alignment horizontal="right"/>
      <protection locked="0"/>
    </xf>
    <xf numFmtId="3" fontId="47" fillId="0" borderId="6" xfId="0" applyNumberFormat="1" applyFont="1" applyBorder="1" applyAlignment="1" applyProtection="1">
      <alignment horizontal="right"/>
      <protection locked="0"/>
    </xf>
    <xf numFmtId="3" fontId="47" fillId="4" borderId="6" xfId="0" applyNumberFormat="1" applyFont="1" applyFill="1" applyBorder="1" applyAlignment="1" applyProtection="1">
      <alignment horizontal="right"/>
      <protection locked="0"/>
    </xf>
    <xf numFmtId="3" fontId="47" fillId="4" borderId="6" xfId="845" applyNumberFormat="1" applyFont="1" applyFill="1" applyBorder="1" applyAlignment="1" applyProtection="1">
      <alignment horizontal="right"/>
      <protection locked="0"/>
    </xf>
    <xf numFmtId="3" fontId="52" fillId="4" borderId="11" xfId="0" applyNumberFormat="1" applyFont="1" applyFill="1" applyBorder="1" applyProtection="1">
      <protection locked="0"/>
    </xf>
    <xf numFmtId="3" fontId="62" fillId="4" borderId="4" xfId="0" applyNumberFormat="1" applyFont="1" applyFill="1" applyBorder="1" applyProtection="1">
      <protection locked="0"/>
    </xf>
    <xf numFmtId="3" fontId="47" fillId="4" borderId="4" xfId="0" applyNumberFormat="1" applyFont="1" applyFill="1" applyBorder="1" applyProtection="1">
      <protection locked="0"/>
    </xf>
    <xf numFmtId="0" fontId="33" fillId="0" borderId="0" xfId="0" applyFont="1" applyProtection="1">
      <protection locked="0"/>
    </xf>
    <xf numFmtId="0" fontId="0" fillId="0" borderId="0" xfId="0" applyProtection="1">
      <protection locked="0"/>
    </xf>
    <xf numFmtId="0" fontId="22" fillId="0" borderId="0" xfId="0" applyFont="1" applyProtection="1">
      <protection locked="0"/>
    </xf>
    <xf numFmtId="0" fontId="63" fillId="0" borderId="0" xfId="0" applyFont="1" applyProtection="1">
      <protection locked="0"/>
    </xf>
    <xf numFmtId="0" fontId="43" fillId="0" borderId="0" xfId="0" applyFont="1" applyProtection="1">
      <protection locked="0"/>
    </xf>
    <xf numFmtId="0" fontId="59" fillId="0" borderId="0" xfId="0" applyFont="1" applyProtection="1">
      <protection locked="0"/>
    </xf>
    <xf numFmtId="3" fontId="60" fillId="4" borderId="12" xfId="0" applyNumberFormat="1" applyFont="1" applyFill="1" applyBorder="1" applyProtection="1">
      <protection locked="0"/>
    </xf>
    <xf numFmtId="0" fontId="20" fillId="0" borderId="8" xfId="0" applyFont="1" applyBorder="1" applyProtection="1">
      <protection locked="0"/>
    </xf>
    <xf numFmtId="0" fontId="20" fillId="0" borderId="10" xfId="0" applyFont="1" applyBorder="1" applyProtection="1">
      <protection locked="0"/>
    </xf>
    <xf numFmtId="0" fontId="20" fillId="0" borderId="9" xfId="0" applyFont="1" applyBorder="1" applyProtection="1">
      <protection locked="0"/>
    </xf>
    <xf numFmtId="0" fontId="51" fillId="0" borderId="0" xfId="0" applyFont="1" applyProtection="1">
      <protection locked="0"/>
    </xf>
    <xf numFmtId="0" fontId="65" fillId="0" borderId="0" xfId="0" applyFont="1" applyProtection="1">
      <protection locked="0"/>
    </xf>
    <xf numFmtId="3" fontId="33" fillId="4" borderId="4" xfId="15" applyNumberFormat="1" applyFont="1" applyFill="1" applyBorder="1" applyAlignment="1" applyProtection="1">
      <alignment horizontal="right"/>
      <protection locked="0"/>
    </xf>
    <xf numFmtId="165" fontId="33" fillId="0" borderId="3" xfId="847" applyNumberFormat="1" applyFont="1" applyBorder="1" applyAlignment="1" applyProtection="1">
      <alignment horizontal="right"/>
      <protection locked="0"/>
    </xf>
    <xf numFmtId="169" fontId="33" fillId="0" borderId="3" xfId="847" applyNumberFormat="1" applyFont="1" applyBorder="1" applyAlignment="1" applyProtection="1">
      <alignment horizontal="right"/>
      <protection locked="0"/>
    </xf>
    <xf numFmtId="165" fontId="33" fillId="4" borderId="4" xfId="847" applyNumberFormat="1" applyFont="1" applyFill="1" applyBorder="1" applyAlignment="1" applyProtection="1">
      <alignment horizontal="right"/>
      <protection locked="0"/>
    </xf>
    <xf numFmtId="165" fontId="33" fillId="4" borderId="3" xfId="847" applyNumberFormat="1" applyFont="1" applyFill="1" applyBorder="1" applyAlignment="1" applyProtection="1">
      <alignment horizontal="right"/>
      <protection locked="0"/>
    </xf>
    <xf numFmtId="3" fontId="47" fillId="4" borderId="4" xfId="15" applyNumberFormat="1" applyFont="1" applyFill="1" applyBorder="1" applyAlignment="1" applyProtection="1">
      <alignment horizontal="right"/>
      <protection locked="0"/>
    </xf>
    <xf numFmtId="3" fontId="47" fillId="4" borderId="11" xfId="15" applyNumberFormat="1" applyFont="1" applyFill="1" applyBorder="1" applyAlignment="1" applyProtection="1">
      <alignment horizontal="right"/>
      <protection locked="0"/>
    </xf>
    <xf numFmtId="3" fontId="20" fillId="0" borderId="3" xfId="847" applyNumberFormat="1" applyFont="1" applyBorder="1" applyAlignment="1">
      <alignment horizontal="left"/>
    </xf>
    <xf numFmtId="3" fontId="20" fillId="0" borderId="3" xfId="847" applyNumberFormat="1" applyFont="1" applyFill="1" applyBorder="1" applyAlignment="1">
      <alignment horizontal="left"/>
    </xf>
    <xf numFmtId="0" fontId="47" fillId="2" borderId="3" xfId="0" applyFont="1" applyFill="1" applyBorder="1" applyProtection="1">
      <protection locked="0"/>
    </xf>
    <xf numFmtId="0" fontId="47" fillId="2" borderId="6" xfId="0" applyFont="1" applyFill="1" applyBorder="1" applyProtection="1">
      <protection locked="0"/>
    </xf>
    <xf numFmtId="3" fontId="33" fillId="4" borderId="1" xfId="0" applyNumberFormat="1" applyFont="1" applyFill="1" applyBorder="1" applyAlignment="1" applyProtection="1">
      <alignment horizontal="right"/>
      <protection locked="0"/>
    </xf>
    <xf numFmtId="0" fontId="33" fillId="0" borderId="3" xfId="0" applyFont="1" applyBorder="1" applyAlignment="1" applyProtection="1">
      <alignment horizontal="right"/>
      <protection locked="0"/>
    </xf>
    <xf numFmtId="3" fontId="33" fillId="4" borderId="7" xfId="0" applyNumberFormat="1" applyFont="1" applyFill="1" applyBorder="1" applyAlignment="1" applyProtection="1">
      <alignment horizontal="right"/>
      <protection locked="0"/>
    </xf>
    <xf numFmtId="1" fontId="33" fillId="0" borderId="3" xfId="0" applyNumberFormat="1" applyFont="1" applyBorder="1" applyAlignment="1" applyProtection="1">
      <alignment horizontal="right"/>
      <protection locked="0"/>
    </xf>
    <xf numFmtId="4" fontId="33" fillId="4" borderId="4" xfId="7" applyNumberFormat="1" applyFont="1" applyFill="1" applyBorder="1" applyAlignment="1" applyProtection="1">
      <alignment horizontal="right"/>
      <protection locked="0"/>
    </xf>
    <xf numFmtId="3" fontId="33" fillId="4" borderId="4" xfId="7" applyNumberFormat="1" applyFont="1" applyFill="1" applyBorder="1" applyAlignment="1" applyProtection="1">
      <alignment horizontal="right"/>
      <protection locked="0"/>
    </xf>
    <xf numFmtId="3" fontId="33" fillId="4" borderId="11" xfId="7" applyNumberFormat="1" applyFont="1" applyFill="1" applyBorder="1" applyAlignment="1" applyProtection="1">
      <alignment horizontal="right"/>
      <protection locked="0"/>
    </xf>
    <xf numFmtId="170" fontId="18" fillId="0" borderId="3" xfId="846" applyFont="1" applyBorder="1" applyAlignment="1">
      <alignment horizontal="right"/>
    </xf>
    <xf numFmtId="3" fontId="33" fillId="0" borderId="4" xfId="0" applyNumberFormat="1" applyFont="1" applyBorder="1" applyAlignment="1" applyProtection="1">
      <alignment horizontal="right"/>
      <protection locked="0"/>
    </xf>
    <xf numFmtId="0" fontId="43" fillId="0" borderId="0" xfId="7" applyFont="1" applyProtection="1">
      <protection locked="0"/>
    </xf>
    <xf numFmtId="0" fontId="22" fillId="0" borderId="0" xfId="7" applyProtection="1">
      <protection locked="0"/>
    </xf>
    <xf numFmtId="3" fontId="60" fillId="4" borderId="0" xfId="7" applyNumberFormat="1" applyFont="1" applyFill="1" applyProtection="1">
      <protection locked="0"/>
    </xf>
    <xf numFmtId="14" fontId="16" fillId="0" borderId="7" xfId="7" applyNumberFormat="1" applyFont="1" applyBorder="1" applyAlignment="1" applyProtection="1">
      <alignment horizontal="left"/>
      <protection locked="0"/>
    </xf>
    <xf numFmtId="0" fontId="20" fillId="0" borderId="10" xfId="7" applyFont="1" applyBorder="1" applyProtection="1">
      <protection locked="0"/>
    </xf>
    <xf numFmtId="0" fontId="20" fillId="0" borderId="8" xfId="7" applyFont="1" applyBorder="1" applyProtection="1">
      <protection locked="0"/>
    </xf>
    <xf numFmtId="0" fontId="20" fillId="0" borderId="9" xfId="7" applyFont="1" applyBorder="1" applyProtection="1">
      <protection locked="0"/>
    </xf>
    <xf numFmtId="0" fontId="71" fillId="0" borderId="8" xfId="7" applyFont="1" applyBorder="1" applyAlignment="1" applyProtection="1">
      <alignment horizontal="center"/>
      <protection locked="0"/>
    </xf>
    <xf numFmtId="0" fontId="20" fillId="4" borderId="0" xfId="7" applyFont="1" applyFill="1" applyProtection="1">
      <protection locked="0"/>
    </xf>
    <xf numFmtId="3" fontId="47" fillId="0" borderId="1" xfId="7" applyNumberFormat="1" applyFont="1" applyBorder="1" applyProtection="1">
      <protection locked="0"/>
    </xf>
    <xf numFmtId="3" fontId="47" fillId="0" borderId="4" xfId="7" applyNumberFormat="1" applyFont="1" applyBorder="1" applyProtection="1">
      <protection locked="0"/>
    </xf>
    <xf numFmtId="0" fontId="18" fillId="0" borderId="1" xfId="7" applyFont="1" applyBorder="1" applyAlignment="1" applyProtection="1">
      <alignment horizontal="center"/>
      <protection locked="0"/>
    </xf>
    <xf numFmtId="0" fontId="18" fillId="0" borderId="7" xfId="7" applyFont="1" applyBorder="1" applyAlignment="1" applyProtection="1">
      <alignment horizontal="center"/>
      <protection locked="0"/>
    </xf>
    <xf numFmtId="3" fontId="52" fillId="4" borderId="11" xfId="7" applyNumberFormat="1" applyFont="1" applyFill="1" applyBorder="1" applyProtection="1">
      <protection locked="0"/>
    </xf>
    <xf numFmtId="0" fontId="16" fillId="0" borderId="6" xfId="7" applyFont="1" applyBorder="1" applyAlignment="1" applyProtection="1">
      <alignment horizontal="center"/>
      <protection locked="0"/>
    </xf>
    <xf numFmtId="168" fontId="18" fillId="0" borderId="6" xfId="7" applyNumberFormat="1" applyFont="1" applyBorder="1" applyAlignment="1" applyProtection="1">
      <alignment horizontal="center"/>
      <protection locked="0"/>
    </xf>
    <xf numFmtId="168" fontId="16" fillId="4" borderId="0" xfId="7" applyNumberFormat="1" applyFont="1" applyFill="1" applyAlignment="1" applyProtection="1">
      <alignment horizontal="center"/>
      <protection locked="0"/>
    </xf>
    <xf numFmtId="0" fontId="16" fillId="4" borderId="0" xfId="7" applyFont="1" applyFill="1" applyAlignment="1" applyProtection="1">
      <alignment horizontal="center"/>
      <protection locked="0"/>
    </xf>
    <xf numFmtId="0" fontId="47" fillId="0" borderId="7" xfId="7" applyFont="1" applyBorder="1" applyProtection="1">
      <protection locked="0"/>
    </xf>
    <xf numFmtId="4" fontId="33" fillId="4" borderId="7" xfId="7" applyNumberFormat="1" applyFont="1" applyFill="1" applyBorder="1" applyAlignment="1" applyProtection="1">
      <alignment horizontal="right"/>
      <protection locked="0"/>
    </xf>
    <xf numFmtId="4" fontId="33" fillId="4" borderId="3" xfId="7" applyNumberFormat="1" applyFont="1" applyFill="1" applyBorder="1" applyAlignment="1">
      <alignment horizontal="right"/>
    </xf>
    <xf numFmtId="0" fontId="33" fillId="0" borderId="3" xfId="7" applyFont="1" applyBorder="1" applyProtection="1">
      <protection locked="0"/>
    </xf>
    <xf numFmtId="0" fontId="33" fillId="0" borderId="6" xfId="7" applyFont="1" applyBorder="1" applyProtection="1">
      <protection locked="0"/>
    </xf>
    <xf numFmtId="0" fontId="16" fillId="0" borderId="6" xfId="0" applyFont="1" applyBorder="1" applyAlignment="1" applyProtection="1">
      <alignment horizontal="center"/>
      <protection locked="0"/>
    </xf>
    <xf numFmtId="0" fontId="16" fillId="0" borderId="11" xfId="0" applyFont="1" applyBorder="1" applyAlignment="1" applyProtection="1">
      <alignment horizontal="center"/>
      <protection locked="0"/>
    </xf>
    <xf numFmtId="4" fontId="33" fillId="4" borderId="3" xfId="7" applyNumberFormat="1" applyFont="1" applyFill="1" applyBorder="1" applyAlignment="1" applyProtection="1">
      <alignment horizontal="right"/>
      <protection locked="0"/>
    </xf>
    <xf numFmtId="3" fontId="33" fillId="4" borderId="3" xfId="7" applyNumberFormat="1" applyFont="1" applyFill="1" applyBorder="1" applyAlignment="1" applyProtection="1">
      <alignment horizontal="right"/>
      <protection locked="0"/>
    </xf>
    <xf numFmtId="3" fontId="33" fillId="4" borderId="6" xfId="7" applyNumberFormat="1" applyFont="1" applyFill="1" applyBorder="1" applyAlignment="1" applyProtection="1">
      <alignment horizontal="right"/>
      <protection locked="0"/>
    </xf>
    <xf numFmtId="0" fontId="58" fillId="0" borderId="0" xfId="0" applyFont="1"/>
    <xf numFmtId="3" fontId="33" fillId="0" borderId="4" xfId="7" applyNumberFormat="1" applyFont="1" applyBorder="1" applyAlignment="1" applyProtection="1">
      <alignment horizontal="right"/>
      <protection locked="0"/>
    </xf>
    <xf numFmtId="0" fontId="17" fillId="0" borderId="0" xfId="7" applyFont="1" applyAlignment="1">
      <alignment horizontal="right" vertical="top"/>
    </xf>
    <xf numFmtId="0" fontId="17" fillId="0" borderId="0" xfId="7" applyFont="1" applyAlignment="1">
      <alignment horizontal="right"/>
    </xf>
    <xf numFmtId="0" fontId="33" fillId="0" borderId="4" xfId="0" applyFont="1" applyBorder="1" applyProtection="1">
      <protection locked="0"/>
    </xf>
    <xf numFmtId="3" fontId="47" fillId="0" borderId="1" xfId="0" applyNumberFormat="1" applyFont="1" applyBorder="1" applyProtection="1">
      <protection locked="0"/>
    </xf>
    <xf numFmtId="3" fontId="47" fillId="0" borderId="4" xfId="0" applyNumberFormat="1" applyFont="1" applyBorder="1" applyProtection="1">
      <protection locked="0"/>
    </xf>
    <xf numFmtId="0" fontId="18" fillId="0" borderId="7" xfId="0" applyFont="1" applyBorder="1" applyAlignment="1" applyProtection="1">
      <alignment horizontal="center"/>
      <protection locked="0"/>
    </xf>
    <xf numFmtId="3" fontId="52" fillId="4" borderId="6" xfId="0" applyNumberFormat="1" applyFont="1" applyFill="1" applyBorder="1" applyProtection="1">
      <protection locked="0"/>
    </xf>
    <xf numFmtId="168" fontId="18" fillId="0" borderId="6" xfId="0" applyNumberFormat="1" applyFont="1" applyBorder="1" applyAlignment="1" applyProtection="1">
      <alignment horizontal="center"/>
      <protection locked="0"/>
    </xf>
    <xf numFmtId="0" fontId="33" fillId="4" borderId="7" xfId="0" applyFont="1" applyFill="1" applyBorder="1" applyAlignment="1" applyProtection="1">
      <alignment horizontal="right"/>
      <protection locked="0"/>
    </xf>
    <xf numFmtId="3" fontId="33" fillId="4" borderId="4" xfId="0" applyNumberFormat="1" applyFont="1" applyFill="1" applyBorder="1" applyAlignment="1">
      <alignment horizontal="right"/>
    </xf>
    <xf numFmtId="3" fontId="33" fillId="4" borderId="3" xfId="0" applyNumberFormat="1" applyFont="1" applyFill="1" applyBorder="1" applyAlignment="1">
      <alignment horizontal="right"/>
    </xf>
    <xf numFmtId="0" fontId="33" fillId="4" borderId="3" xfId="0" applyFont="1" applyFill="1" applyBorder="1" applyAlignment="1" applyProtection="1">
      <alignment horizontal="right"/>
      <protection locked="0"/>
    </xf>
    <xf numFmtId="3" fontId="33" fillId="10" borderId="3" xfId="0" applyNumberFormat="1" applyFont="1" applyFill="1" applyBorder="1" applyAlignment="1" applyProtection="1">
      <alignment horizontal="right"/>
      <protection locked="0"/>
    </xf>
    <xf numFmtId="0" fontId="47" fillId="0" borderId="11" xfId="0" applyFont="1" applyBorder="1" applyProtection="1">
      <protection locked="0"/>
    </xf>
    <xf numFmtId="0" fontId="47" fillId="0" borderId="4" xfId="0" applyFont="1" applyBorder="1" applyProtection="1">
      <protection locked="0"/>
    </xf>
    <xf numFmtId="3" fontId="47" fillId="4" borderId="7" xfId="0" applyNumberFormat="1" applyFont="1" applyFill="1" applyBorder="1" applyAlignment="1" applyProtection="1">
      <alignment horizontal="right"/>
      <protection locked="0"/>
    </xf>
    <xf numFmtId="0" fontId="47" fillId="4" borderId="7" xfId="0" applyFont="1" applyFill="1" applyBorder="1" applyAlignment="1" applyProtection="1">
      <alignment horizontal="right"/>
      <protection locked="0"/>
    </xf>
    <xf numFmtId="0" fontId="47" fillId="4" borderId="15" xfId="0" applyFont="1" applyFill="1" applyBorder="1" applyAlignment="1" applyProtection="1">
      <alignment horizontal="right"/>
      <protection locked="0"/>
    </xf>
    <xf numFmtId="0" fontId="51" fillId="0" borderId="7" xfId="0" applyFont="1" applyBorder="1" applyAlignment="1" applyProtection="1">
      <alignment horizontal="right"/>
      <protection locked="0"/>
    </xf>
    <xf numFmtId="0" fontId="47" fillId="4" borderId="3" xfId="0" applyFont="1" applyFill="1" applyBorder="1" applyAlignment="1" applyProtection="1">
      <alignment horizontal="right"/>
      <protection locked="0"/>
    </xf>
    <xf numFmtId="0" fontId="47" fillId="4" borderId="2" xfId="0" applyFont="1" applyFill="1" applyBorder="1" applyAlignment="1" applyProtection="1">
      <alignment horizontal="right"/>
      <protection locked="0"/>
    </xf>
    <xf numFmtId="0" fontId="51" fillId="0" borderId="3" xfId="0" applyFont="1" applyBorder="1" applyAlignment="1" applyProtection="1">
      <alignment horizontal="right"/>
      <protection locked="0"/>
    </xf>
    <xf numFmtId="0" fontId="33" fillId="4" borderId="2" xfId="0" applyFont="1" applyFill="1" applyBorder="1" applyAlignment="1" applyProtection="1">
      <alignment horizontal="right"/>
      <protection locked="0"/>
    </xf>
    <xf numFmtId="3" fontId="33" fillId="4" borderId="2" xfId="0" applyNumberFormat="1" applyFont="1" applyFill="1" applyBorder="1" applyAlignment="1" applyProtection="1">
      <alignment horizontal="right"/>
      <protection locked="0"/>
    </xf>
    <xf numFmtId="3" fontId="47" fillId="4" borderId="2" xfId="0" applyNumberFormat="1" applyFont="1" applyFill="1" applyBorder="1" applyAlignment="1" applyProtection="1">
      <alignment horizontal="right"/>
      <protection locked="0"/>
    </xf>
    <xf numFmtId="0" fontId="47" fillId="0" borderId="0" xfId="0" applyFont="1" applyProtection="1">
      <protection locked="0"/>
    </xf>
    <xf numFmtId="0" fontId="47" fillId="4" borderId="6" xfId="0" applyFont="1" applyFill="1" applyBorder="1" applyAlignment="1" applyProtection="1">
      <alignment horizontal="right"/>
      <protection locked="0"/>
    </xf>
    <xf numFmtId="0" fontId="47" fillId="4" borderId="5" xfId="0" applyFont="1" applyFill="1" applyBorder="1" applyAlignment="1" applyProtection="1">
      <alignment horizontal="right"/>
      <protection locked="0"/>
    </xf>
    <xf numFmtId="0" fontId="47" fillId="0" borderId="6" xfId="0" applyFont="1" applyBorder="1" applyAlignment="1" applyProtection="1">
      <alignment horizontal="right"/>
      <protection locked="0"/>
    </xf>
    <xf numFmtId="0" fontId="47" fillId="0" borderId="7" xfId="0" applyFont="1" applyBorder="1" applyProtection="1">
      <protection locked="0"/>
    </xf>
    <xf numFmtId="3" fontId="47" fillId="4" borderId="1" xfId="15" applyNumberFormat="1" applyFont="1" applyFill="1" applyBorder="1" applyAlignment="1" applyProtection="1">
      <alignment horizontal="right"/>
      <protection locked="0"/>
    </xf>
    <xf numFmtId="3" fontId="47" fillId="4" borderId="1" xfId="0" applyNumberFormat="1" applyFont="1" applyFill="1" applyBorder="1" applyAlignment="1" applyProtection="1">
      <alignment horizontal="right"/>
      <protection locked="0"/>
    </xf>
    <xf numFmtId="0" fontId="47" fillId="4" borderId="1" xfId="0" applyFont="1" applyFill="1" applyBorder="1" applyAlignment="1" applyProtection="1">
      <alignment horizontal="right"/>
      <protection locked="0"/>
    </xf>
    <xf numFmtId="0" fontId="47" fillId="0" borderId="7" xfId="0" applyFont="1" applyBorder="1" applyAlignment="1" applyProtection="1">
      <alignment horizontal="right"/>
      <protection locked="0"/>
    </xf>
    <xf numFmtId="0" fontId="33" fillId="2" borderId="3" xfId="0" applyFont="1" applyFill="1" applyBorder="1" applyProtection="1">
      <protection locked="0"/>
    </xf>
    <xf numFmtId="0" fontId="33" fillId="2" borderId="6" xfId="0" applyFont="1" applyFill="1" applyBorder="1" applyProtection="1">
      <protection locked="0"/>
    </xf>
    <xf numFmtId="3" fontId="62" fillId="4" borderId="3" xfId="0" applyNumberFormat="1" applyFont="1" applyFill="1" applyBorder="1" applyAlignment="1">
      <alignment horizontal="right"/>
    </xf>
    <xf numFmtId="3" fontId="47" fillId="4" borderId="3" xfId="0" applyNumberFormat="1" applyFont="1" applyFill="1" applyBorder="1" applyAlignment="1">
      <alignment horizontal="right"/>
    </xf>
    <xf numFmtId="0" fontId="33" fillId="0" borderId="3" xfId="0" applyFont="1" applyBorder="1" applyProtection="1">
      <protection locked="0"/>
    </xf>
    <xf numFmtId="3" fontId="33" fillId="0" borderId="3" xfId="845" applyNumberFormat="1" applyFont="1" applyBorder="1" applyAlignment="1" applyProtection="1">
      <alignment horizontal="right"/>
      <protection locked="0"/>
    </xf>
    <xf numFmtId="0" fontId="22" fillId="0" borderId="3" xfId="0" applyFont="1" applyBorder="1" applyProtection="1">
      <protection locked="0"/>
    </xf>
    <xf numFmtId="3" fontId="47" fillId="0" borderId="4" xfId="0" applyNumberFormat="1" applyFont="1" applyBorder="1" applyAlignment="1" applyProtection="1">
      <alignment horizontal="right"/>
      <protection locked="0"/>
    </xf>
    <xf numFmtId="3" fontId="33" fillId="0" borderId="0" xfId="0" applyNumberFormat="1" applyFont="1" applyProtection="1">
      <protection locked="0"/>
    </xf>
    <xf numFmtId="3" fontId="64" fillId="0" borderId="0" xfId="0" applyNumberFormat="1" applyFont="1" applyProtection="1">
      <protection locked="0"/>
    </xf>
    <xf numFmtId="0" fontId="22" fillId="0" borderId="0" xfId="852"/>
    <xf numFmtId="0" fontId="29" fillId="0" borderId="0" xfId="852" applyFont="1"/>
    <xf numFmtId="0" fontId="0" fillId="0" borderId="0" xfId="852" applyFont="1"/>
    <xf numFmtId="0" fontId="30" fillId="0" borderId="0" xfId="852" applyFont="1" applyAlignment="1">
      <alignment horizontal="right"/>
    </xf>
    <xf numFmtId="0" fontId="22" fillId="0" borderId="0" xfId="20"/>
    <xf numFmtId="0" fontId="31" fillId="0" borderId="0" xfId="852" applyFont="1" applyAlignment="1">
      <alignment horizontal="left"/>
    </xf>
    <xf numFmtId="0" fontId="32" fillId="0" borderId="0" xfId="852" applyFont="1" applyAlignment="1">
      <alignment horizontal="left"/>
    </xf>
    <xf numFmtId="0" fontId="33" fillId="0" borderId="0" xfId="20" applyFont="1" applyAlignment="1">
      <alignment horizontal="left"/>
    </xf>
    <xf numFmtId="0" fontId="34" fillId="0" borderId="0" xfId="852" applyFont="1" applyAlignment="1">
      <alignment horizontal="right"/>
    </xf>
    <xf numFmtId="0" fontId="22" fillId="0" borderId="0" xfId="852" applyAlignment="1">
      <alignment horizontal="right"/>
    </xf>
    <xf numFmtId="0" fontId="35" fillId="0" borderId="0" xfId="852" applyFont="1" applyAlignment="1">
      <alignment horizontal="left"/>
    </xf>
    <xf numFmtId="14" fontId="36" fillId="0" borderId="0" xfId="852" applyNumberFormat="1" applyFont="1" applyAlignment="1">
      <alignment horizontal="left"/>
    </xf>
    <xf numFmtId="0" fontId="36" fillId="0" borderId="0" xfId="852" applyFont="1" applyAlignment="1">
      <alignment horizontal="left"/>
    </xf>
    <xf numFmtId="0" fontId="37" fillId="0" borderId="0" xfId="20" applyFont="1" applyAlignment="1">
      <alignment vertical="center"/>
    </xf>
    <xf numFmtId="0" fontId="38" fillId="0" borderId="0" xfId="20" applyFont="1" applyAlignment="1">
      <alignment vertical="center"/>
    </xf>
    <xf numFmtId="0" fontId="76" fillId="0" borderId="0" xfId="0" applyFont="1" applyProtection="1">
      <protection locked="0"/>
    </xf>
    <xf numFmtId="0" fontId="73" fillId="0" borderId="0" xfId="848" applyFont="1" applyProtection="1">
      <protection locked="0"/>
    </xf>
    <xf numFmtId="0" fontId="24" fillId="0" borderId="0" xfId="848" applyFont="1" applyProtection="1">
      <protection locked="0"/>
    </xf>
    <xf numFmtId="0" fontId="75" fillId="0" borderId="0" xfId="0" applyFont="1" applyProtection="1">
      <protection locked="0"/>
    </xf>
    <xf numFmtId="3" fontId="47" fillId="4" borderId="0" xfId="0" applyNumberFormat="1" applyFont="1" applyFill="1" applyProtection="1">
      <protection locked="0"/>
    </xf>
    <xf numFmtId="3" fontId="18" fillId="4" borderId="0" xfId="0" applyNumberFormat="1" applyFont="1" applyFill="1" applyProtection="1">
      <protection locked="0"/>
    </xf>
    <xf numFmtId="14" fontId="16" fillId="0" borderId="7" xfId="0" applyNumberFormat="1" applyFont="1" applyBorder="1" applyAlignment="1" applyProtection="1">
      <alignment horizontal="left"/>
      <protection locked="0"/>
    </xf>
    <xf numFmtId="3" fontId="16" fillId="0" borderId="10" xfId="0" quotePrefix="1" applyNumberFormat="1" applyFont="1" applyBorder="1" applyAlignment="1" applyProtection="1">
      <alignment horizontal="center"/>
      <protection locked="0"/>
    </xf>
    <xf numFmtId="3" fontId="16" fillId="0" borderId="8" xfId="0" quotePrefix="1" applyNumberFormat="1" applyFont="1" applyBorder="1" applyAlignment="1" applyProtection="1">
      <alignment horizontal="center"/>
      <protection locked="0"/>
    </xf>
    <xf numFmtId="3" fontId="16" fillId="0" borderId="9" xfId="0" quotePrefix="1" applyNumberFormat="1" applyFont="1" applyBorder="1" applyAlignment="1" applyProtection="1">
      <alignment horizontal="center"/>
      <protection locked="0"/>
    </xf>
    <xf numFmtId="0" fontId="20" fillId="4" borderId="10" xfId="0" applyFont="1" applyFill="1" applyBorder="1" applyProtection="1">
      <protection locked="0"/>
    </xf>
    <xf numFmtId="0" fontId="20" fillId="4" borderId="8" xfId="0" applyFont="1" applyFill="1" applyBorder="1" applyProtection="1">
      <protection locked="0"/>
    </xf>
    <xf numFmtId="0" fontId="20" fillId="4" borderId="9" xfId="0" applyFont="1" applyFill="1" applyBorder="1" applyProtection="1">
      <protection locked="0"/>
    </xf>
    <xf numFmtId="0" fontId="22" fillId="0" borderId="9" xfId="0" applyFont="1" applyBorder="1" applyProtection="1">
      <protection locked="0"/>
    </xf>
    <xf numFmtId="3" fontId="61" fillId="4" borderId="0" xfId="0" applyNumberFormat="1" applyFont="1" applyFill="1" applyProtection="1">
      <protection locked="0"/>
    </xf>
    <xf numFmtId="3" fontId="16" fillId="0" borderId="8" xfId="0" quotePrefix="1" applyNumberFormat="1" applyFont="1" applyBorder="1" applyProtection="1">
      <protection locked="0"/>
    </xf>
    <xf numFmtId="3" fontId="16" fillId="0" borderId="9" xfId="0" quotePrefix="1" applyNumberFormat="1" applyFont="1" applyBorder="1" applyProtection="1">
      <protection locked="0"/>
    </xf>
    <xf numFmtId="3" fontId="16" fillId="0" borderId="10" xfId="0" quotePrefix="1" applyNumberFormat="1" applyFont="1" applyBorder="1" applyProtection="1">
      <protection locked="0"/>
    </xf>
    <xf numFmtId="0" fontId="20" fillId="4" borderId="0" xfId="0" applyFont="1" applyFill="1" applyProtection="1">
      <protection locked="0"/>
    </xf>
    <xf numFmtId="0" fontId="18" fillId="0" borderId="1" xfId="0" applyFont="1" applyBorder="1" applyAlignment="1" applyProtection="1">
      <alignment horizontal="center"/>
      <protection locked="0"/>
    </xf>
    <xf numFmtId="0" fontId="16" fillId="4" borderId="0" xfId="0" applyFont="1" applyFill="1" applyAlignment="1" applyProtection="1">
      <alignment horizontal="center"/>
      <protection locked="0"/>
    </xf>
    <xf numFmtId="168" fontId="16" fillId="4" borderId="0" xfId="0" applyNumberFormat="1" applyFont="1" applyFill="1" applyAlignment="1" applyProtection="1">
      <alignment horizontal="center"/>
      <protection locked="0"/>
    </xf>
    <xf numFmtId="3" fontId="47" fillId="4" borderId="11" xfId="0" applyNumberFormat="1" applyFont="1" applyFill="1" applyBorder="1" applyAlignment="1" applyProtection="1">
      <alignment horizontal="right"/>
      <protection locked="0"/>
    </xf>
    <xf numFmtId="0" fontId="78" fillId="0" borderId="0" xfId="0" applyFont="1"/>
    <xf numFmtId="14" fontId="16" fillId="0" borderId="6" xfId="0" applyNumberFormat="1" applyFont="1" applyBorder="1" applyAlignment="1">
      <alignment horizontal="left"/>
    </xf>
    <xf numFmtId="14" fontId="16" fillId="0" borderId="3" xfId="0" applyNumberFormat="1" applyFont="1" applyBorder="1" applyAlignment="1">
      <alignment horizontal="center"/>
    </xf>
    <xf numFmtId="0" fontId="47" fillId="0" borderId="14" xfId="7" applyFont="1" applyBorder="1" applyAlignment="1" applyProtection="1">
      <alignment horizontal="center"/>
      <protection locked="0"/>
    </xf>
    <xf numFmtId="0" fontId="47" fillId="0" borderId="15" xfId="7" applyFont="1" applyBorder="1" applyAlignment="1" applyProtection="1">
      <alignment horizontal="center"/>
      <protection locked="0"/>
    </xf>
    <xf numFmtId="0" fontId="47" fillId="4" borderId="0" xfId="0" applyFont="1" applyFill="1" applyAlignment="1" applyProtection="1">
      <alignment horizontal="center"/>
      <protection locked="0"/>
    </xf>
    <xf numFmtId="0" fontId="47" fillId="4" borderId="0" xfId="7" applyFont="1" applyFill="1" applyAlignment="1" applyProtection="1">
      <alignment horizontal="center"/>
      <protection locked="0"/>
    </xf>
    <xf numFmtId="0" fontId="71" fillId="0" borderId="0" xfId="0" applyFont="1"/>
    <xf numFmtId="0" fontId="21" fillId="0" borderId="0" xfId="0" applyFont="1"/>
    <xf numFmtId="0" fontId="17" fillId="0" borderId="0" xfId="7" applyFont="1" applyAlignment="1">
      <alignment wrapText="1"/>
    </xf>
    <xf numFmtId="3" fontId="19" fillId="0" borderId="0" xfId="1" applyNumberFormat="1" applyFont="1" applyAlignment="1">
      <alignment horizontal="left"/>
    </xf>
    <xf numFmtId="3" fontId="18" fillId="0" borderId="0" xfId="1" applyNumberFormat="1" applyFont="1" applyAlignment="1">
      <alignment horizontal="left"/>
    </xf>
    <xf numFmtId="3" fontId="21" fillId="0" borderId="0" xfId="1" applyNumberFormat="1" applyFont="1" applyAlignment="1">
      <alignment horizontal="left"/>
    </xf>
    <xf numFmtId="0" fontId="33" fillId="0" borderId="3" xfId="7" applyFont="1" applyBorder="1" applyAlignment="1" applyProtection="1">
      <alignment wrapText="1"/>
      <protection locked="0"/>
    </xf>
    <xf numFmtId="3" fontId="73" fillId="0" borderId="0" xfId="1" applyNumberFormat="1" applyFont="1" applyAlignment="1">
      <alignment horizontal="center"/>
    </xf>
    <xf numFmtId="0" fontId="17" fillId="0" borderId="0" xfId="7" applyFont="1" applyAlignment="1">
      <alignment vertical="top" wrapText="1"/>
    </xf>
    <xf numFmtId="3" fontId="33" fillId="4" borderId="1" xfId="0" applyNumberFormat="1" applyFont="1" applyFill="1" applyBorder="1" applyAlignment="1">
      <alignment horizontal="right"/>
    </xf>
    <xf numFmtId="165" fontId="33" fillId="0" borderId="3" xfId="847" applyNumberFormat="1" applyFont="1" applyBorder="1" applyAlignment="1" applyProtection="1">
      <alignment horizontal="right"/>
    </xf>
    <xf numFmtId="165" fontId="33" fillId="4" borderId="4" xfId="847" applyNumberFormat="1" applyFont="1" applyFill="1" applyBorder="1" applyAlignment="1" applyProtection="1">
      <alignment horizontal="right"/>
    </xf>
    <xf numFmtId="165" fontId="33" fillId="4" borderId="3" xfId="847" applyNumberFormat="1" applyFont="1" applyFill="1" applyBorder="1" applyAlignment="1" applyProtection="1">
      <alignment horizontal="right"/>
    </xf>
    <xf numFmtId="0" fontId="33" fillId="0" borderId="3" xfId="0" applyFont="1" applyBorder="1" applyAlignment="1">
      <alignment horizontal="right"/>
    </xf>
    <xf numFmtId="3" fontId="47" fillId="4" borderId="4" xfId="15" applyNumberFormat="1" applyFont="1" applyFill="1" applyBorder="1" applyAlignment="1" applyProtection="1">
      <alignment horizontal="right"/>
    </xf>
    <xf numFmtId="3" fontId="33" fillId="4" borderId="4" xfId="15" applyNumberFormat="1" applyFont="1" applyFill="1" applyBorder="1" applyAlignment="1" applyProtection="1">
      <alignment horizontal="right"/>
    </xf>
    <xf numFmtId="3" fontId="47" fillId="4" borderId="11" xfId="15" applyNumberFormat="1" applyFont="1" applyFill="1" applyBorder="1" applyAlignment="1" applyProtection="1">
      <alignment horizontal="right"/>
    </xf>
    <xf numFmtId="0" fontId="25" fillId="0" borderId="6" xfId="0" applyFont="1" applyBorder="1"/>
    <xf numFmtId="3" fontId="18" fillId="0" borderId="0" xfId="0" applyNumberFormat="1" applyFont="1" applyProtection="1">
      <protection locked="0"/>
    </xf>
    <xf numFmtId="0" fontId="47" fillId="0" borderId="1" xfId="0" applyFont="1" applyBorder="1" applyAlignment="1" applyProtection="1">
      <alignment horizontal="center"/>
      <protection locked="0"/>
    </xf>
    <xf numFmtId="0" fontId="47" fillId="0" borderId="14" xfId="0" applyFont="1" applyBorder="1" applyAlignment="1" applyProtection="1">
      <alignment horizontal="center"/>
      <protection locked="0"/>
    </xf>
    <xf numFmtId="0" fontId="47" fillId="0" borderId="15" xfId="0" applyFont="1" applyBorder="1" applyAlignment="1" applyProtection="1">
      <alignment horizontal="center"/>
      <protection locked="0"/>
    </xf>
    <xf numFmtId="0" fontId="47" fillId="0" borderId="1" xfId="7" applyFont="1" applyBorder="1" applyAlignment="1" applyProtection="1">
      <alignment horizontal="center"/>
      <protection locked="0"/>
    </xf>
    <xf numFmtId="169" fontId="33" fillId="0" borderId="3" xfId="847" applyNumberFormat="1" applyFont="1" applyBorder="1" applyAlignment="1" applyProtection="1">
      <alignment horizontal="right"/>
    </xf>
    <xf numFmtId="165" fontId="33" fillId="0" borderId="3" xfId="847" applyNumberFormat="1" applyFont="1" applyFill="1" applyBorder="1" applyAlignment="1" applyProtection="1">
      <alignment horizontal="right"/>
    </xf>
    <xf numFmtId="165" fontId="33" fillId="0" borderId="3" xfId="847" applyNumberFormat="1" applyFont="1" applyFill="1" applyBorder="1" applyAlignment="1" applyProtection="1">
      <alignment horizontal="right"/>
      <protection locked="0"/>
    </xf>
    <xf numFmtId="2" fontId="33" fillId="4" borderId="4" xfId="853" applyNumberFormat="1" applyFont="1" applyFill="1" applyBorder="1" applyAlignment="1" applyProtection="1">
      <alignment horizontal="right"/>
      <protection locked="0"/>
    </xf>
    <xf numFmtId="3" fontId="33" fillId="11" borderId="3" xfId="0" applyNumberFormat="1" applyFont="1" applyFill="1" applyBorder="1" applyAlignment="1" applyProtection="1">
      <alignment horizontal="right"/>
      <protection locked="0"/>
    </xf>
    <xf numFmtId="3" fontId="33" fillId="11" borderId="4" xfId="0" applyNumberFormat="1" applyFont="1" applyFill="1" applyBorder="1" applyAlignment="1" applyProtection="1">
      <alignment horizontal="right"/>
      <protection locked="0"/>
    </xf>
    <xf numFmtId="3" fontId="33" fillId="0" borderId="3" xfId="7" applyNumberFormat="1" applyFont="1" applyBorder="1" applyAlignment="1" applyProtection="1">
      <alignment horizontal="right"/>
      <protection locked="0"/>
    </xf>
    <xf numFmtId="3" fontId="33" fillId="4" borderId="7" xfId="0" applyNumberFormat="1" applyFont="1" applyFill="1" applyBorder="1" applyAlignment="1">
      <alignment horizontal="right"/>
    </xf>
    <xf numFmtId="4" fontId="33" fillId="4" borderId="3" xfId="0" applyNumberFormat="1" applyFont="1" applyFill="1" applyBorder="1" applyAlignment="1" applyProtection="1">
      <alignment horizontal="right"/>
      <protection locked="0"/>
    </xf>
    <xf numFmtId="3" fontId="33" fillId="4" borderId="3" xfId="0" quotePrefix="1" applyNumberFormat="1" applyFont="1" applyFill="1" applyBorder="1" applyAlignment="1" applyProtection="1">
      <alignment horizontal="right"/>
      <protection locked="0"/>
    </xf>
    <xf numFmtId="3" fontId="33" fillId="4" borderId="6" xfId="0" applyNumberFormat="1" applyFont="1" applyFill="1" applyBorder="1" applyAlignment="1" applyProtection="1">
      <alignment horizontal="right"/>
      <protection locked="0"/>
    </xf>
    <xf numFmtId="1" fontId="33" fillId="0" borderId="3" xfId="0" applyNumberFormat="1" applyFont="1" applyBorder="1" applyAlignment="1">
      <alignment horizontal="right"/>
    </xf>
    <xf numFmtId="4" fontId="33" fillId="0" borderId="3" xfId="7" applyNumberFormat="1" applyFont="1" applyBorder="1" applyAlignment="1" applyProtection="1">
      <alignment horizontal="right"/>
      <protection locked="0"/>
    </xf>
    <xf numFmtId="164" fontId="33" fillId="0" borderId="6" xfId="7" applyNumberFormat="1" applyFont="1" applyBorder="1" applyAlignment="1" applyProtection="1">
      <alignment horizontal="right"/>
      <protection locked="0"/>
    </xf>
    <xf numFmtId="4" fontId="33" fillId="4" borderId="6" xfId="7" applyNumberFormat="1" applyFont="1" applyFill="1" applyBorder="1" applyAlignment="1" applyProtection="1">
      <alignment horizontal="right"/>
      <protection locked="0"/>
    </xf>
    <xf numFmtId="0" fontId="70" fillId="0" borderId="0" xfId="1694" applyFont="1" applyAlignment="1">
      <alignment horizontal="left" vertical="center" wrapText="1" readingOrder="1"/>
    </xf>
    <xf numFmtId="0" fontId="20" fillId="0" borderId="4" xfId="1" applyFont="1" applyBorder="1" applyAlignment="1">
      <alignment vertical="center"/>
    </xf>
    <xf numFmtId="0" fontId="20" fillId="0" borderId="0" xfId="1" applyFont="1" applyAlignment="1">
      <alignment vertical="center"/>
    </xf>
    <xf numFmtId="3" fontId="20" fillId="0" borderId="3" xfId="2" applyNumberFormat="1" applyFont="1" applyFill="1" applyBorder="1" applyAlignment="1">
      <alignment horizontal="left"/>
    </xf>
    <xf numFmtId="3" fontId="18" fillId="0" borderId="6" xfId="1" applyNumberFormat="1" applyFont="1" applyBorder="1"/>
    <xf numFmtId="3" fontId="18" fillId="0" borderId="11" xfId="1" applyNumberFormat="1" applyFont="1" applyBorder="1"/>
    <xf numFmtId="3" fontId="20" fillId="0" borderId="8" xfId="1" applyNumberFormat="1" applyFont="1" applyBorder="1"/>
    <xf numFmtId="164" fontId="18" fillId="3" borderId="7" xfId="1" applyNumberFormat="1" applyFont="1" applyFill="1" applyBorder="1" applyAlignment="1">
      <alignment horizontal="right"/>
    </xf>
    <xf numFmtId="3" fontId="69" fillId="0" borderId="7" xfId="1" applyNumberFormat="1" applyFont="1" applyBorder="1" applyAlignment="1">
      <alignment horizontal="right"/>
    </xf>
    <xf numFmtId="3" fontId="21" fillId="2" borderId="3" xfId="1" applyNumberFormat="1" applyFont="1" applyFill="1" applyBorder="1" applyAlignment="1">
      <alignment horizontal="right"/>
    </xf>
    <xf numFmtId="170" fontId="69" fillId="0" borderId="7" xfId="846" applyFont="1" applyFill="1" applyBorder="1" applyAlignment="1">
      <alignment horizontal="right"/>
    </xf>
    <xf numFmtId="170" fontId="25" fillId="0" borderId="3" xfId="846" applyFont="1" applyFill="1" applyBorder="1" applyAlignment="1">
      <alignment horizontal="right"/>
    </xf>
    <xf numFmtId="170" fontId="21" fillId="2" borderId="3" xfId="846" applyFont="1" applyFill="1" applyBorder="1" applyAlignment="1">
      <alignment horizontal="right"/>
    </xf>
    <xf numFmtId="170" fontId="69" fillId="0" borderId="3" xfId="846" applyFont="1" applyFill="1" applyBorder="1" applyAlignment="1">
      <alignment horizontal="right"/>
    </xf>
    <xf numFmtId="0" fontId="33" fillId="0" borderId="4" xfId="1694" applyFont="1" applyBorder="1" applyAlignment="1" applyProtection="1">
      <alignment wrapText="1"/>
      <protection locked="0"/>
    </xf>
    <xf numFmtId="0" fontId="75" fillId="0" borderId="0" xfId="7" applyFont="1" applyProtection="1">
      <protection locked="0"/>
    </xf>
    <xf numFmtId="0" fontId="77" fillId="0" borderId="4" xfId="0" applyFont="1" applyBorder="1" applyProtection="1">
      <protection locked="0"/>
    </xf>
    <xf numFmtId="0" fontId="77" fillId="0" borderId="4" xfId="1694" applyFont="1" applyBorder="1" applyProtection="1">
      <protection locked="0"/>
    </xf>
    <xf numFmtId="0" fontId="18" fillId="8" borderId="0" xfId="0" applyFont="1" applyFill="1" applyAlignment="1">
      <alignment horizontal="center"/>
    </xf>
    <xf numFmtId="0" fontId="18" fillId="8" borderId="2" xfId="0" applyFont="1" applyFill="1" applyBorder="1" applyAlignment="1">
      <alignment horizontal="center"/>
    </xf>
    <xf numFmtId="0" fontId="47" fillId="0" borderId="12" xfId="0" applyFont="1" applyBorder="1" applyAlignment="1">
      <alignment horizontal="left"/>
    </xf>
    <xf numFmtId="0" fontId="47" fillId="0" borderId="10"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18" fillId="8" borderId="4" xfId="0" applyFont="1" applyFill="1" applyBorder="1" applyAlignment="1">
      <alignment horizontal="center"/>
    </xf>
    <xf numFmtId="0" fontId="47" fillId="0" borderId="14" xfId="0" applyFont="1" applyBorder="1" applyAlignment="1">
      <alignment horizontal="center"/>
    </xf>
    <xf numFmtId="0" fontId="47" fillId="0" borderId="15" xfId="0" applyFont="1" applyBorder="1" applyAlignment="1">
      <alignment horizontal="center"/>
    </xf>
    <xf numFmtId="0" fontId="47" fillId="0" borderId="1" xfId="0" applyFont="1" applyBorder="1" applyAlignment="1">
      <alignment horizontal="center"/>
    </xf>
    <xf numFmtId="14" fontId="16" fillId="0" borderId="11" xfId="0" applyNumberFormat="1" applyFont="1" applyBorder="1" applyAlignment="1">
      <alignment horizontal="center"/>
    </xf>
    <xf numFmtId="14" fontId="16" fillId="0" borderId="12" xfId="0" applyNumberFormat="1" applyFont="1" applyBorder="1" applyAlignment="1">
      <alignment horizontal="center"/>
    </xf>
    <xf numFmtId="14" fontId="16" fillId="0" borderId="5" xfId="0" applyNumberFormat="1" applyFont="1" applyBorder="1" applyAlignment="1">
      <alignment horizontal="center"/>
    </xf>
    <xf numFmtId="3" fontId="47" fillId="0" borderId="11" xfId="0" applyNumberFormat="1" applyFont="1" applyBorder="1" applyAlignment="1">
      <alignment horizontal="center"/>
    </xf>
    <xf numFmtId="3" fontId="47" fillId="0" borderId="12" xfId="0" applyNumberFormat="1" applyFont="1" applyBorder="1" applyAlignment="1">
      <alignment horizontal="center"/>
    </xf>
    <xf numFmtId="3" fontId="47" fillId="0" borderId="5" xfId="0" applyNumberFormat="1" applyFont="1" applyBorder="1" applyAlignment="1">
      <alignment horizontal="center"/>
    </xf>
    <xf numFmtId="0" fontId="18" fillId="0" borderId="10" xfId="1" applyFont="1" applyBorder="1" applyAlignment="1">
      <alignment horizontal="center"/>
    </xf>
    <xf numFmtId="0" fontId="18" fillId="0" borderId="8" xfId="1" applyFont="1" applyBorder="1" applyAlignment="1">
      <alignment horizontal="center"/>
    </xf>
    <xf numFmtId="0" fontId="18" fillId="0" borderId="9" xfId="1" applyFont="1" applyBorder="1" applyAlignment="1">
      <alignment horizontal="center"/>
    </xf>
    <xf numFmtId="0" fontId="16" fillId="0" borderId="0" xfId="1" applyFont="1" applyAlignment="1">
      <alignment horizontal="center"/>
    </xf>
    <xf numFmtId="3" fontId="18" fillId="0" borderId="10" xfId="1" applyNumberFormat="1" applyFont="1" applyBorder="1" applyAlignment="1">
      <alignment horizontal="center"/>
    </xf>
    <xf numFmtId="3" fontId="18" fillId="0" borderId="8" xfId="1" applyNumberFormat="1" applyFont="1" applyBorder="1" applyAlignment="1">
      <alignment horizontal="center"/>
    </xf>
    <xf numFmtId="3" fontId="18" fillId="0" borderId="9" xfId="1" applyNumberFormat="1" applyFont="1" applyBorder="1" applyAlignment="1">
      <alignment horizontal="center"/>
    </xf>
    <xf numFmtId="3" fontId="16" fillId="0" borderId="12" xfId="1" applyNumberFormat="1" applyFont="1" applyBorder="1" applyAlignment="1">
      <alignment horizontal="center"/>
    </xf>
    <xf numFmtId="3" fontId="16" fillId="0" borderId="0" xfId="1" applyNumberFormat="1" applyFont="1" applyAlignment="1">
      <alignment horizontal="center"/>
    </xf>
    <xf numFmtId="3" fontId="16" fillId="0" borderId="14" xfId="1" applyNumberFormat="1" applyFont="1" applyBorder="1" applyAlignment="1">
      <alignment horizontal="center"/>
    </xf>
    <xf numFmtId="0" fontId="47" fillId="0" borderId="1" xfId="0" applyFont="1" applyBorder="1" applyAlignment="1" applyProtection="1">
      <alignment horizontal="center"/>
      <protection locked="0"/>
    </xf>
    <xf numFmtId="0" fontId="47" fillId="0" borderId="14" xfId="0" applyFont="1" applyBorder="1" applyAlignment="1" applyProtection="1">
      <alignment horizontal="center"/>
      <protection locked="0"/>
    </xf>
    <xf numFmtId="0" fontId="47" fillId="0" borderId="15" xfId="0" applyFont="1" applyBorder="1" applyAlignment="1" applyProtection="1">
      <alignment horizontal="center"/>
      <protection locked="0"/>
    </xf>
    <xf numFmtId="0" fontId="47" fillId="0" borderId="11" xfId="0" applyFont="1" applyBorder="1" applyAlignment="1" applyProtection="1">
      <alignment horizontal="center"/>
      <protection locked="0"/>
    </xf>
    <xf numFmtId="0" fontId="47" fillId="0" borderId="12" xfId="0" applyFont="1" applyBorder="1" applyAlignment="1" applyProtection="1">
      <alignment horizontal="center"/>
      <protection locked="0"/>
    </xf>
    <xf numFmtId="0" fontId="47" fillId="0" borderId="5" xfId="0" applyFont="1" applyBorder="1" applyAlignment="1" applyProtection="1">
      <alignment horizontal="center"/>
      <protection locked="0"/>
    </xf>
    <xf numFmtId="0" fontId="47" fillId="4" borderId="0" xfId="0" applyFont="1" applyFill="1" applyAlignment="1" applyProtection="1">
      <alignment horizontal="center"/>
      <protection locked="0"/>
    </xf>
    <xf numFmtId="0" fontId="47" fillId="0" borderId="1" xfId="7" applyFont="1" applyBorder="1" applyAlignment="1" applyProtection="1">
      <alignment horizontal="center"/>
      <protection locked="0"/>
    </xf>
    <xf numFmtId="0" fontId="47" fillId="0" borderId="14" xfId="7" applyFont="1" applyBorder="1" applyAlignment="1" applyProtection="1">
      <alignment horizontal="center"/>
      <protection locked="0"/>
    </xf>
    <xf numFmtId="0" fontId="47" fillId="0" borderId="15" xfId="7" applyFont="1" applyBorder="1" applyAlignment="1" applyProtection="1">
      <alignment horizontal="center"/>
      <protection locked="0"/>
    </xf>
    <xf numFmtId="0" fontId="47" fillId="4" borderId="0" xfId="7" applyFont="1" applyFill="1" applyAlignment="1" applyProtection="1">
      <alignment horizontal="center"/>
      <protection locked="0"/>
    </xf>
    <xf numFmtId="0" fontId="47" fillId="0" borderId="11" xfId="7" applyFont="1" applyBorder="1" applyAlignment="1" applyProtection="1">
      <alignment horizontal="center"/>
      <protection locked="0"/>
    </xf>
    <xf numFmtId="0" fontId="47" fillId="0" borderId="12" xfId="7" applyFont="1" applyBorder="1" applyAlignment="1" applyProtection="1">
      <alignment horizontal="center"/>
      <protection locked="0"/>
    </xf>
    <xf numFmtId="0" fontId="47" fillId="0" borderId="5" xfId="7" applyFont="1" applyBorder="1" applyAlignment="1" applyProtection="1">
      <alignment horizontal="center"/>
      <protection locked="0"/>
    </xf>
    <xf numFmtId="0" fontId="70" fillId="0" borderId="0" xfId="0" applyFont="1" applyAlignment="1">
      <alignment horizontal="left" vertical="top" wrapText="1" readingOrder="1"/>
    </xf>
    <xf numFmtId="0" fontId="33" fillId="0" borderId="0" xfId="0" applyFont="1" applyFill="1"/>
  </cellXfs>
  <cellStyles count="4193">
    <cellStyle name="20 % – uthevingsfarge 2" xfId="844" builtinId="34"/>
    <cellStyle name="20 % – uthevingsfarge 2 2" xfId="2520" xr:uid="{CC37CBE0-4929-42A4-896B-4CC8E9659CC2}"/>
    <cellStyle name="20 % – uthevingsfarge 2 2 2" xfId="4188" xr:uid="{3A5CD20D-E6C1-4C39-A531-047AE1F169CE}"/>
    <cellStyle name="20 % – uthevingsfarge 2 3" xfId="1684" xr:uid="{D95D5D27-20EC-4EE0-9B7B-28A2AC0B8086}"/>
    <cellStyle name="20 % – uthevingsfarge 2 4" xfId="3354" xr:uid="{A54C1E95-F79D-4D79-BFB2-7171F7E93507}"/>
    <cellStyle name="40% - uthevingsfarge 4 2" xfId="38" xr:uid="{00000000-0005-0000-0000-000001000000}"/>
    <cellStyle name="40% - uthevingsfarge 4 2 10" xfId="771" xr:uid="{00000000-0005-0000-0000-000002000000}"/>
    <cellStyle name="40% - uthevingsfarge 4 2 10 2" xfId="2447" xr:uid="{019DAADE-2794-4D87-BF1D-686669C4E35F}"/>
    <cellStyle name="40% - uthevingsfarge 4 2 10 2 2" xfId="4115" xr:uid="{4BA0D1D1-863F-402A-846E-F991A763704D}"/>
    <cellStyle name="40% - uthevingsfarge 4 2 10 3" xfId="1611" xr:uid="{6159DB24-559A-4198-9297-C1A45119E476}"/>
    <cellStyle name="40% - uthevingsfarge 4 2 10 4" xfId="3281" xr:uid="{1D4590FB-9225-456D-BB41-6EDB6E7AC831}"/>
    <cellStyle name="40% - uthevingsfarge 4 2 11" xfId="1718" xr:uid="{75F06EAE-337C-40DF-8827-EE1367A0BA19}"/>
    <cellStyle name="40% - uthevingsfarge 4 2 11 2" xfId="3386" xr:uid="{684481AD-E29D-49F9-9236-738747CFF48E}"/>
    <cellStyle name="40% - uthevingsfarge 4 2 12" xfId="882" xr:uid="{E5562A1F-FAF3-4A18-B1E9-A1B5622C658E}"/>
    <cellStyle name="40% - uthevingsfarge 4 2 13" xfId="2552" xr:uid="{546F08C1-83AC-4211-8EBA-1E3C7C90D24A}"/>
    <cellStyle name="40% - uthevingsfarge 4 2 2" xfId="80" xr:uid="{00000000-0005-0000-0000-000003000000}"/>
    <cellStyle name="40% - uthevingsfarge 4 2 2 10" xfId="1757" xr:uid="{F2B42AA5-7FE2-4D4B-AE47-C14387AED870}"/>
    <cellStyle name="40% - uthevingsfarge 4 2 2 10 2" xfId="3425" xr:uid="{F86C8D2E-998E-497A-B74E-66EE4B0B1AB6}"/>
    <cellStyle name="40% - uthevingsfarge 4 2 2 11" xfId="921" xr:uid="{AC191122-E778-4A22-8EEC-7ED420247B83}"/>
    <cellStyle name="40% - uthevingsfarge 4 2 2 12" xfId="2591" xr:uid="{DD4D3AC9-6955-45D7-B13D-FBF92ABAA0D7}"/>
    <cellStyle name="40% - uthevingsfarge 4 2 2 2" xfId="173" xr:uid="{00000000-0005-0000-0000-000004000000}"/>
    <cellStyle name="40% - uthevingsfarge 4 2 2 2 2" xfId="1849" xr:uid="{71F6C914-FC33-4AC8-9FF4-C1A26F7474D7}"/>
    <cellStyle name="40% - uthevingsfarge 4 2 2 2 2 2" xfId="3517" xr:uid="{28A0671D-414E-4396-BF82-4D2A60B95D48}"/>
    <cellStyle name="40% - uthevingsfarge 4 2 2 2 3" xfId="1013" xr:uid="{6B7D10A5-C82A-4B19-9B48-30BAC09F9EA3}"/>
    <cellStyle name="40% - uthevingsfarge 4 2 2 2 4" xfId="2683" xr:uid="{F5224C4E-B2FF-4E22-9210-A8D440B09585}"/>
    <cellStyle name="40% - uthevingsfarge 4 2 2 3" xfId="263" xr:uid="{00000000-0005-0000-0000-000005000000}"/>
    <cellStyle name="40% - uthevingsfarge 4 2 2 3 2" xfId="1939" xr:uid="{F39FB073-F440-4A76-96B1-DEB4A9E0D037}"/>
    <cellStyle name="40% - uthevingsfarge 4 2 2 3 2 2" xfId="3607" xr:uid="{70D962D2-FB5A-4F5F-8DAD-45873853F357}"/>
    <cellStyle name="40% - uthevingsfarge 4 2 2 3 3" xfId="1103" xr:uid="{94ECE575-DBA1-4D84-A03B-5A84012D713A}"/>
    <cellStyle name="40% - uthevingsfarge 4 2 2 3 4" xfId="2773" xr:uid="{5192F65F-BAE7-4E10-92A8-905999775979}"/>
    <cellStyle name="40% - uthevingsfarge 4 2 2 4" xfId="353" xr:uid="{00000000-0005-0000-0000-000006000000}"/>
    <cellStyle name="40% - uthevingsfarge 4 2 2 4 2" xfId="2029" xr:uid="{4F6C5AD9-BC10-49FA-8F2B-971FEC972401}"/>
    <cellStyle name="40% - uthevingsfarge 4 2 2 4 2 2" xfId="3697" xr:uid="{8947473D-E5D9-4452-B6B3-CC90BC7C2BCC}"/>
    <cellStyle name="40% - uthevingsfarge 4 2 2 4 3" xfId="1193" xr:uid="{07432EA6-617A-4AF6-8CB2-AE2446C3FC22}"/>
    <cellStyle name="40% - uthevingsfarge 4 2 2 4 4" xfId="2863" xr:uid="{0D551843-C848-46C0-B41C-1061FE3C7C6D}"/>
    <cellStyle name="40% - uthevingsfarge 4 2 2 5" xfId="443" xr:uid="{00000000-0005-0000-0000-000007000000}"/>
    <cellStyle name="40% - uthevingsfarge 4 2 2 5 2" xfId="2119" xr:uid="{3AC1B63A-E004-4550-99A1-3ABE90885A3A}"/>
    <cellStyle name="40% - uthevingsfarge 4 2 2 5 2 2" xfId="3787" xr:uid="{F3EB5B8B-BD8D-418C-8830-55025989236C}"/>
    <cellStyle name="40% - uthevingsfarge 4 2 2 5 3" xfId="1283" xr:uid="{C90FD9BD-628E-4A36-A333-58BBB11BFA87}"/>
    <cellStyle name="40% - uthevingsfarge 4 2 2 5 4" xfId="2953" xr:uid="{902F0453-D719-4FFC-B17F-2C6E8EFF5D7F}"/>
    <cellStyle name="40% - uthevingsfarge 4 2 2 6" xfId="533" xr:uid="{00000000-0005-0000-0000-000008000000}"/>
    <cellStyle name="40% - uthevingsfarge 4 2 2 6 2" xfId="2209" xr:uid="{6BAA92F1-613C-4493-B63E-4ADFA03A0739}"/>
    <cellStyle name="40% - uthevingsfarge 4 2 2 6 2 2" xfId="3877" xr:uid="{E6E77992-7A39-48ED-9F61-99A3D2591042}"/>
    <cellStyle name="40% - uthevingsfarge 4 2 2 6 3" xfId="1373" xr:uid="{522D1FD2-775F-47F0-A29A-C23D0D46AB7F}"/>
    <cellStyle name="40% - uthevingsfarge 4 2 2 6 4" xfId="3043" xr:uid="{F4DED5F0-4AE4-44AF-8E9B-3A652E51FEF5}"/>
    <cellStyle name="40% - uthevingsfarge 4 2 2 7" xfId="623" xr:uid="{00000000-0005-0000-0000-000009000000}"/>
    <cellStyle name="40% - uthevingsfarge 4 2 2 7 2" xfId="2299" xr:uid="{31CA27EF-666A-42D3-8695-E462676F1A67}"/>
    <cellStyle name="40% - uthevingsfarge 4 2 2 7 2 2" xfId="3967" xr:uid="{06BF4146-5AA3-41E8-86BF-F5EA4AA01071}"/>
    <cellStyle name="40% - uthevingsfarge 4 2 2 7 3" xfId="1463" xr:uid="{EEB129A0-6DE6-4DD8-8AF7-CA4CC7E3B0BF}"/>
    <cellStyle name="40% - uthevingsfarge 4 2 2 7 4" xfId="3133" xr:uid="{66132557-4AA0-42DC-AEEF-2FD1B8994C3F}"/>
    <cellStyle name="40% - uthevingsfarge 4 2 2 8" xfId="713" xr:uid="{00000000-0005-0000-0000-00000A000000}"/>
    <cellStyle name="40% - uthevingsfarge 4 2 2 8 2" xfId="2389" xr:uid="{E214A77D-AD41-40C1-A8FB-423012E5AD64}"/>
    <cellStyle name="40% - uthevingsfarge 4 2 2 8 2 2" xfId="4057" xr:uid="{6E5E8050-0531-4D2C-BBB4-0C5E0C69ED46}"/>
    <cellStyle name="40% - uthevingsfarge 4 2 2 8 3" xfId="1553" xr:uid="{0CB0A606-C149-470D-8514-2A7DF1632AB7}"/>
    <cellStyle name="40% - uthevingsfarge 4 2 2 8 4" xfId="3223" xr:uid="{3A830AFA-CC05-4F2B-80F7-BD142BA58512}"/>
    <cellStyle name="40% - uthevingsfarge 4 2 2 9" xfId="810" xr:uid="{00000000-0005-0000-0000-00000B000000}"/>
    <cellStyle name="40% - uthevingsfarge 4 2 2 9 2" xfId="2486" xr:uid="{4ACB2D91-38F2-4582-BBB4-11E8EAD8FCC5}"/>
    <cellStyle name="40% - uthevingsfarge 4 2 2 9 2 2" xfId="4154" xr:uid="{75BE583E-024C-49F0-9AA5-CBB64B958BA2}"/>
    <cellStyle name="40% - uthevingsfarge 4 2 2 9 3" xfId="1650" xr:uid="{343B86F6-57E0-442D-AFD2-4395FA820497}"/>
    <cellStyle name="40% - uthevingsfarge 4 2 2 9 4" xfId="3320" xr:uid="{F730064F-3FB2-4941-9925-445DC7C856CA}"/>
    <cellStyle name="40% - uthevingsfarge 4 2 3" xfId="136" xr:uid="{00000000-0005-0000-0000-00000C000000}"/>
    <cellStyle name="40% - uthevingsfarge 4 2 3 2" xfId="1812" xr:uid="{DE30C190-228A-4340-8B80-BBDA10E259A7}"/>
    <cellStyle name="40% - uthevingsfarge 4 2 3 2 2" xfId="3480" xr:uid="{2DE4E140-3CE1-4A64-8062-BA40AE476A8C}"/>
    <cellStyle name="40% - uthevingsfarge 4 2 3 3" xfId="976" xr:uid="{D7ACB880-609A-472D-8D89-F12D8651494E}"/>
    <cellStyle name="40% - uthevingsfarge 4 2 3 4" xfId="2646" xr:uid="{A1745B65-AE5E-41FB-992A-B2FB9F8A0726}"/>
    <cellStyle name="40% - uthevingsfarge 4 2 4" xfId="226" xr:uid="{00000000-0005-0000-0000-00000D000000}"/>
    <cellStyle name="40% - uthevingsfarge 4 2 4 2" xfId="1902" xr:uid="{7DD3CE45-B7BB-4066-8A38-70D7C18F9D29}"/>
    <cellStyle name="40% - uthevingsfarge 4 2 4 2 2" xfId="3570" xr:uid="{4580505B-F6CD-4BAB-8785-CE594AB6F9F9}"/>
    <cellStyle name="40% - uthevingsfarge 4 2 4 3" xfId="1066" xr:uid="{C1349843-C730-45F8-B346-C97191D5DE2C}"/>
    <cellStyle name="40% - uthevingsfarge 4 2 4 4" xfId="2736" xr:uid="{59177608-9BC9-4818-BB59-51604FEF517D}"/>
    <cellStyle name="40% - uthevingsfarge 4 2 5" xfId="316" xr:uid="{00000000-0005-0000-0000-00000E000000}"/>
    <cellStyle name="40% - uthevingsfarge 4 2 5 2" xfId="1992" xr:uid="{681568CC-B641-44BF-A87D-416672A682F6}"/>
    <cellStyle name="40% - uthevingsfarge 4 2 5 2 2" xfId="3660" xr:uid="{106F58AA-2465-4624-AB2D-0793409F10B7}"/>
    <cellStyle name="40% - uthevingsfarge 4 2 5 3" xfId="1156" xr:uid="{45A13B5A-4BEA-4814-8E7A-0B8A9634C51C}"/>
    <cellStyle name="40% - uthevingsfarge 4 2 5 4" xfId="2826" xr:uid="{11B4837E-28C8-4A44-963F-8A667F565348}"/>
    <cellStyle name="40% - uthevingsfarge 4 2 6" xfId="406" xr:uid="{00000000-0005-0000-0000-00000F000000}"/>
    <cellStyle name="40% - uthevingsfarge 4 2 6 2" xfId="2082" xr:uid="{DBD23181-D520-4087-A5BF-F4E2B162976F}"/>
    <cellStyle name="40% - uthevingsfarge 4 2 6 2 2" xfId="3750" xr:uid="{90BA3BF5-9908-4502-BF34-338797B343C2}"/>
    <cellStyle name="40% - uthevingsfarge 4 2 6 3" xfId="1246" xr:uid="{67AE5F62-A044-4D34-B173-5A69575EA7F9}"/>
    <cellStyle name="40% - uthevingsfarge 4 2 6 4" xfId="2916" xr:uid="{A1D7A1F6-F547-4EB6-B724-1EE6D8BED04E}"/>
    <cellStyle name="40% - uthevingsfarge 4 2 7" xfId="496" xr:uid="{00000000-0005-0000-0000-000010000000}"/>
    <cellStyle name="40% - uthevingsfarge 4 2 7 2" xfId="2172" xr:uid="{570894A4-C855-4203-B66B-56641D40E251}"/>
    <cellStyle name="40% - uthevingsfarge 4 2 7 2 2" xfId="3840" xr:uid="{259960C6-1406-4BDA-9272-CE66AA5D2758}"/>
    <cellStyle name="40% - uthevingsfarge 4 2 7 3" xfId="1336" xr:uid="{79C3AE76-889A-462A-99B8-77E5BEFB4C76}"/>
    <cellStyle name="40% - uthevingsfarge 4 2 7 4" xfId="3006" xr:uid="{AF95AD70-3ADC-4BDA-B22E-F6BB724C9002}"/>
    <cellStyle name="40% - uthevingsfarge 4 2 8" xfId="586" xr:uid="{00000000-0005-0000-0000-000011000000}"/>
    <cellStyle name="40% - uthevingsfarge 4 2 8 2" xfId="2262" xr:uid="{88BE8676-7E0B-4F64-881F-C1B1D4AD4131}"/>
    <cellStyle name="40% - uthevingsfarge 4 2 8 2 2" xfId="3930" xr:uid="{2C040B55-26F2-4CDD-B098-AB2685386892}"/>
    <cellStyle name="40% - uthevingsfarge 4 2 8 3" xfId="1426" xr:uid="{3FA7DD8C-7592-40DF-BB23-9BE55F19F15C}"/>
    <cellStyle name="40% - uthevingsfarge 4 2 8 4" xfId="3096" xr:uid="{E892FB0B-74AC-49DF-8B56-2835288F805F}"/>
    <cellStyle name="40% - uthevingsfarge 4 2 9" xfId="676" xr:uid="{00000000-0005-0000-0000-000012000000}"/>
    <cellStyle name="40% - uthevingsfarge 4 2 9 2" xfId="2352" xr:uid="{D11CBF15-24B5-4A54-BF45-2AD5D8C1F6BA}"/>
    <cellStyle name="40% - uthevingsfarge 4 2 9 2 2" xfId="4020" xr:uid="{3A6C192A-B1E2-465C-8F44-A4F817C25C4E}"/>
    <cellStyle name="40% - uthevingsfarge 4 2 9 3" xfId="1516" xr:uid="{6FA483F7-424C-43B1-BE45-85ACD1A441B7}"/>
    <cellStyle name="40% - uthevingsfarge 4 2 9 4" xfId="3186" xr:uid="{0622DE43-C6CB-472B-AAE7-43E0C6EDAD20}"/>
    <cellStyle name="Hyperkobling" xfId="3" builtinId="8"/>
    <cellStyle name="Komma" xfId="2" builtinId="3"/>
    <cellStyle name="Komma 2" xfId="847" xr:uid="{00000000-0005-0000-0000-000015000000}"/>
    <cellStyle name="Komma 2 2" xfId="2521" xr:uid="{F6266B88-B14A-488C-8522-8B6083653686}"/>
    <cellStyle name="Komma 2 2 2" xfId="4189" xr:uid="{1342C49F-EFDF-4CFB-8F85-F3673A63D74D}"/>
    <cellStyle name="Komma 2 3" xfId="850" xr:uid="{0D7BB789-C0BC-4F58-B366-11FD845789ED}"/>
    <cellStyle name="Komma 2 3 2" xfId="2523" xr:uid="{EC9122AC-2192-4985-BA83-38687FE1FA2B}"/>
    <cellStyle name="Komma 2 3 2 2" xfId="4191" xr:uid="{4DC255E1-8D4F-43DD-AF16-EF839A0940CA}"/>
    <cellStyle name="Komma 2 3 3" xfId="1687" xr:uid="{6DDACE2F-E24A-4762-B11E-885D2216A6EC}"/>
    <cellStyle name="Komma 2 3 4" xfId="3357" xr:uid="{D3578C70-DC0C-40E7-9ADC-238F81F164F8}"/>
    <cellStyle name="Komma 2 4" xfId="1685" xr:uid="{B47E5518-4867-4DA6-8F8A-20DD785497EA}"/>
    <cellStyle name="Komma 2 5" xfId="3355" xr:uid="{9C4FD3D6-8059-4222-A352-C4D8B63D5329}"/>
    <cellStyle name="Komma 3" xfId="1690" xr:uid="{2F4CA53D-FAD8-41BD-9BC6-8A4A0EE78612}"/>
    <cellStyle name="Komma 3 2" xfId="3359" xr:uid="{FDAD5C9B-6160-48A7-BE2B-DBD17851DE39}"/>
    <cellStyle name="Komma 4" xfId="854" xr:uid="{6D8984C6-44B6-470F-B612-A3CAACE30CAD}"/>
    <cellStyle name="Komma 5" xfId="2525" xr:uid="{53DA198A-A535-4FB6-BE16-4BB8EF7FCD9C}"/>
    <cellStyle name="Merknad 2" xfId="94" xr:uid="{00000000-0005-0000-0000-000016000000}"/>
    <cellStyle name="Normal" xfId="0" builtinId="0"/>
    <cellStyle name="Normal 10" xfId="31" xr:uid="{00000000-0005-0000-0000-000018000000}"/>
    <cellStyle name="Normal 10 10" xfId="670" xr:uid="{00000000-0005-0000-0000-000019000000}"/>
    <cellStyle name="Normal 10 10 2" xfId="2346" xr:uid="{37FC8AEF-7A67-41AB-B956-0CEE9F6ED897}"/>
    <cellStyle name="Normal 10 10 2 2" xfId="4014" xr:uid="{32EAC325-1FC3-486B-AAEB-9F2414149620}"/>
    <cellStyle name="Normal 10 10 3" xfId="1510" xr:uid="{FACF1D90-EE44-401C-AE6C-5210B26CD34F}"/>
    <cellStyle name="Normal 10 10 4" xfId="3180" xr:uid="{4E301469-EF4D-4B26-83BB-41BD25F1937F}"/>
    <cellStyle name="Normal 10 11" xfId="765" xr:uid="{00000000-0005-0000-0000-00001A000000}"/>
    <cellStyle name="Normal 10 11 2" xfId="2441" xr:uid="{4B910EA5-E8F9-4E61-A114-D589D0356ED8}"/>
    <cellStyle name="Normal 10 11 2 2" xfId="4109" xr:uid="{DB6CEF00-2A04-4EDA-AEBC-A792478333FD}"/>
    <cellStyle name="Normal 10 11 3" xfId="1605" xr:uid="{6F972398-7049-4020-A63D-A437276BE521}"/>
    <cellStyle name="Normal 10 11 4" xfId="3275" xr:uid="{4C98E017-4B34-4120-BC7F-9D2B7AB6A866}"/>
    <cellStyle name="Normal 10 12" xfId="1712" xr:uid="{516DE043-B086-4FCC-8C2C-EC9E1EAE45E7}"/>
    <cellStyle name="Normal 10 12 2" xfId="3380" xr:uid="{6FE8123E-0EC1-4B22-8506-340D29E3EAB9}"/>
    <cellStyle name="Normal 10 13" xfId="876" xr:uid="{44EA5CF8-5915-4E91-AD5D-4DC8170F0E10}"/>
    <cellStyle name="Normal 10 14" xfId="2546" xr:uid="{D2D474D7-4525-4D62-BB81-D50AF99BD011}"/>
    <cellStyle name="Normal 10 2" xfId="53" xr:uid="{00000000-0005-0000-0000-00001B000000}"/>
    <cellStyle name="Normal 10 2 10" xfId="785" xr:uid="{00000000-0005-0000-0000-00001C000000}"/>
    <cellStyle name="Normal 10 2 10 2" xfId="2461" xr:uid="{1C9A9255-C2CC-4232-889E-F4EA956F95FB}"/>
    <cellStyle name="Normal 10 2 10 2 2" xfId="4129" xr:uid="{AB2F3CB5-4B21-4E39-A23A-FCE212EC98C6}"/>
    <cellStyle name="Normal 10 2 10 3" xfId="1625" xr:uid="{A08387B3-B3DE-4CA3-8DE3-21F71610DEB2}"/>
    <cellStyle name="Normal 10 2 10 4" xfId="3295" xr:uid="{0866201D-84DF-401C-9AD2-E71CD0C58115}"/>
    <cellStyle name="Normal 10 2 11" xfId="1732" xr:uid="{40B0FF37-D94D-4554-A48A-D03A7981E459}"/>
    <cellStyle name="Normal 10 2 11 2" xfId="3400" xr:uid="{070E93BB-9633-46FA-A381-B6FA703BFEDF}"/>
    <cellStyle name="Normal 10 2 12" xfId="896" xr:uid="{73ED9B67-CBB4-4B80-9411-F6F49270D675}"/>
    <cellStyle name="Normal 10 2 13" xfId="2566" xr:uid="{02EAFF37-E3E9-4736-A85E-935028C8DA8C}"/>
    <cellStyle name="Normal 10 2 2" xfId="93" xr:uid="{00000000-0005-0000-0000-00001D000000}"/>
    <cellStyle name="Normal 10 2 2 10" xfId="823" xr:uid="{00000000-0005-0000-0000-00001E000000}"/>
    <cellStyle name="Normal 10 2 2 10 2" xfId="2499" xr:uid="{C5A8B86A-86DA-4197-AB34-1BBA46D39126}"/>
    <cellStyle name="Normal 10 2 2 10 2 2" xfId="4167" xr:uid="{FF8722C4-90ED-4386-86CB-8664147698B1}"/>
    <cellStyle name="Normal 10 2 2 10 3" xfId="1663" xr:uid="{A55833BD-05FB-4A25-B7AB-C81925041593}"/>
    <cellStyle name="Normal 10 2 2 10 4" xfId="3333" xr:uid="{98EFCFF1-B4E0-42F7-98FE-BF01549A17EF}"/>
    <cellStyle name="Normal 10 2 2 11" xfId="1770" xr:uid="{25682FA6-352A-423E-8402-3FA73DD92032}"/>
    <cellStyle name="Normal 10 2 2 11 2" xfId="3438" xr:uid="{6E27C5B6-8C81-4A79-9787-6C8D6651F8CD}"/>
    <cellStyle name="Normal 10 2 2 12" xfId="934" xr:uid="{D63817A4-71EC-4EA9-836D-99046A372DB5}"/>
    <cellStyle name="Normal 10 2 2 13" xfId="2604" xr:uid="{EAAE98C1-CDBE-4A70-B280-1EE7E3958C72}"/>
    <cellStyle name="Normal 10 2 2 2" xfId="6" xr:uid="{00000000-0005-0000-0000-00001F000000}"/>
    <cellStyle name="Normal 10 2 2 2 2" xfId="116" xr:uid="{00000000-0005-0000-0000-000020000000}"/>
    <cellStyle name="Normal 10 2 2 2 2 2" xfId="1792" xr:uid="{9671B889-0DE0-4EFC-864E-FF22A76F88A0}"/>
    <cellStyle name="Normal 10 2 2 2 2 2 2" xfId="3460" xr:uid="{8A4411C9-2ACF-449D-BEDB-7C1A7A15948B}"/>
    <cellStyle name="Normal 10 2 2 2 2 3" xfId="956" xr:uid="{BA07945F-607D-46A5-87B2-00A1B6861ABE}"/>
    <cellStyle name="Normal 10 2 2 2 2 4" xfId="2626" xr:uid="{210279A7-6911-4584-BFD4-06C68DEB84B4}"/>
    <cellStyle name="Normal 10 2 2 2 3" xfId="1692" xr:uid="{F6041435-D245-41EB-8CCB-AE74FF625F4C}"/>
    <cellStyle name="Normal 10 2 2 2 3 2" xfId="3361" xr:uid="{0F678F9E-8AB9-46C6-BD77-75A70053BD89}"/>
    <cellStyle name="Normal 10 2 2 2 4" xfId="856" xr:uid="{2BB2F7C1-3668-49C0-9BD1-BC720D581AD5}"/>
    <cellStyle name="Normal 10 2 2 2 5" xfId="2527" xr:uid="{0EA7D9AC-070C-4EE2-A6D1-E03D55D08936}"/>
    <cellStyle name="Normal 10 2 2 3" xfId="186" xr:uid="{00000000-0005-0000-0000-000021000000}"/>
    <cellStyle name="Normal 10 2 2 3 2" xfId="1862" xr:uid="{DC30E11C-18F2-4318-89C0-6C247FAC678C}"/>
    <cellStyle name="Normal 10 2 2 3 2 2" xfId="3530" xr:uid="{3E60F10E-E492-4E63-928A-77F813F07D4E}"/>
    <cellStyle name="Normal 10 2 2 3 3" xfId="1026" xr:uid="{F38A850F-4BF9-47FC-B8E7-DC48B85BA23F}"/>
    <cellStyle name="Normal 10 2 2 3 4" xfId="2696" xr:uid="{D3C4EDF1-E350-4664-BD9E-86817981AECC}"/>
    <cellStyle name="Normal 10 2 2 4" xfId="276" xr:uid="{00000000-0005-0000-0000-000022000000}"/>
    <cellStyle name="Normal 10 2 2 4 2" xfId="1952" xr:uid="{15C6939E-4992-4233-A1A4-C0E580BEFDD3}"/>
    <cellStyle name="Normal 10 2 2 4 2 2" xfId="3620" xr:uid="{790231E3-60FF-4E91-874C-37C278CE3340}"/>
    <cellStyle name="Normal 10 2 2 4 3" xfId="1116" xr:uid="{262B095C-A464-4461-A19A-E82B1F61597A}"/>
    <cellStyle name="Normal 10 2 2 4 4" xfId="2786" xr:uid="{3AC8E683-ED69-44FD-8BF0-ED35A0CDCED9}"/>
    <cellStyle name="Normal 10 2 2 5" xfId="366" xr:uid="{00000000-0005-0000-0000-000023000000}"/>
    <cellStyle name="Normal 10 2 2 5 2" xfId="2042" xr:uid="{44FA7724-D629-4D0F-82C4-9B7EA48C3957}"/>
    <cellStyle name="Normal 10 2 2 5 2 2" xfId="3710" xr:uid="{B1D7E7CD-A626-4FC0-8949-96B96CF72D78}"/>
    <cellStyle name="Normal 10 2 2 5 3" xfId="1206" xr:uid="{B17AFF55-9704-41CB-BAB6-AB0D4FEE6F09}"/>
    <cellStyle name="Normal 10 2 2 5 4" xfId="2876" xr:uid="{08B92D9B-DFD1-4C7F-A95B-9F894C5E8D50}"/>
    <cellStyle name="Normal 10 2 2 6" xfId="456" xr:uid="{00000000-0005-0000-0000-000024000000}"/>
    <cellStyle name="Normal 10 2 2 6 2" xfId="2132" xr:uid="{AB3C966C-915E-4968-B2C0-8539A407FFAC}"/>
    <cellStyle name="Normal 10 2 2 6 2 2" xfId="3800" xr:uid="{819F1A8D-CFA4-4766-965B-5C0ACD3A743D}"/>
    <cellStyle name="Normal 10 2 2 6 3" xfId="1296" xr:uid="{31D69E81-8C69-4B43-9056-8D359805927B}"/>
    <cellStyle name="Normal 10 2 2 6 4" xfId="2966" xr:uid="{7F29C62E-E902-4798-9513-4BA8BF7BDA5B}"/>
    <cellStyle name="Normal 10 2 2 7" xfId="546" xr:uid="{00000000-0005-0000-0000-000025000000}"/>
    <cellStyle name="Normal 10 2 2 7 2" xfId="2222" xr:uid="{757B00CB-B6BD-407D-BEF2-182936AF8965}"/>
    <cellStyle name="Normal 10 2 2 7 2 2" xfId="3890" xr:uid="{9AA47BA4-E393-482D-B168-5350F1EC619A}"/>
    <cellStyle name="Normal 10 2 2 7 3" xfId="1386" xr:uid="{970D282B-E9C7-4834-B814-E0A1C523C317}"/>
    <cellStyle name="Normal 10 2 2 7 4" xfId="3056" xr:uid="{91B57E29-6457-44C8-AB49-35DACDC93243}"/>
    <cellStyle name="Normal 10 2 2 8" xfId="636" xr:uid="{00000000-0005-0000-0000-000026000000}"/>
    <cellStyle name="Normal 10 2 2 8 2" xfId="2312" xr:uid="{FF5B3308-7104-4E39-8ECE-3AFE1D644C1E}"/>
    <cellStyle name="Normal 10 2 2 8 2 2" xfId="3980" xr:uid="{E22D81E6-2BE1-4D7F-B14C-CEB261E07E8E}"/>
    <cellStyle name="Normal 10 2 2 8 3" xfId="1476" xr:uid="{28DC4043-872D-469E-8214-330715CD79AB}"/>
    <cellStyle name="Normal 10 2 2 8 4" xfId="3146" xr:uid="{08270ADB-D212-4DCF-8A67-EEF52A26ED0B}"/>
    <cellStyle name="Normal 10 2 2 9" xfId="726" xr:uid="{00000000-0005-0000-0000-000027000000}"/>
    <cellStyle name="Normal 10 2 2 9 2" xfId="2402" xr:uid="{C775A222-88EA-4237-AB4F-746CD895F9F9}"/>
    <cellStyle name="Normal 10 2 2 9 2 2" xfId="4070" xr:uid="{C3D49DD4-11A7-4BEB-8D29-99B9D341B1A4}"/>
    <cellStyle name="Normal 10 2 2 9 3" xfId="1566" xr:uid="{E385E1AA-2D5D-4F21-A9CF-17F66123AD8B}"/>
    <cellStyle name="Normal 10 2 2 9 4" xfId="3236" xr:uid="{69F21BAB-0B15-4BA6-9AF3-459024ABC660}"/>
    <cellStyle name="Normal 10 2 3" xfId="149" xr:uid="{00000000-0005-0000-0000-000028000000}"/>
    <cellStyle name="Normal 10 2 3 2" xfId="1825" xr:uid="{A5DC9BD1-6A59-4489-AAE5-84037D87E475}"/>
    <cellStyle name="Normal 10 2 3 2 2" xfId="3493" xr:uid="{2A28BFC2-D6DB-46DE-AC4A-EAFA5ACC713E}"/>
    <cellStyle name="Normal 10 2 3 3" xfId="989" xr:uid="{3962657B-BAE4-4297-9023-8FD4DF20A14A}"/>
    <cellStyle name="Normal 10 2 3 4" xfId="2659" xr:uid="{CFC1AA95-DDB9-49F4-B138-B912A1351D2C}"/>
    <cellStyle name="Normal 10 2 4" xfId="239" xr:uid="{00000000-0005-0000-0000-000029000000}"/>
    <cellStyle name="Normal 10 2 4 2" xfId="1915" xr:uid="{2601553F-D3C0-4275-B6C5-AA7FD9CBA07A}"/>
    <cellStyle name="Normal 10 2 4 2 2" xfId="3583" xr:uid="{014FD6DB-F864-4F1B-8633-04E0C61859C8}"/>
    <cellStyle name="Normal 10 2 4 3" xfId="1079" xr:uid="{934A112F-8425-4E51-BEF4-28C3CBF4E2C8}"/>
    <cellStyle name="Normal 10 2 4 4" xfId="2749" xr:uid="{9815170A-34C3-4FD8-AC76-35BB87CE677D}"/>
    <cellStyle name="Normal 10 2 5" xfId="329" xr:uid="{00000000-0005-0000-0000-00002A000000}"/>
    <cellStyle name="Normal 10 2 5 2" xfId="2005" xr:uid="{719D3AB5-FFCD-4EEE-A393-54060796B2AB}"/>
    <cellStyle name="Normal 10 2 5 2 2" xfId="3673" xr:uid="{1A4D6FBF-F887-4EC9-A1DA-BA150E6CFB61}"/>
    <cellStyle name="Normal 10 2 5 3" xfId="1169" xr:uid="{11565F43-3954-4964-82BD-D418072297D1}"/>
    <cellStyle name="Normal 10 2 5 4" xfId="2839" xr:uid="{3C60A2E8-A272-4F17-8D3C-BF69FAC34080}"/>
    <cellStyle name="Normal 10 2 6" xfId="419" xr:uid="{00000000-0005-0000-0000-00002B000000}"/>
    <cellStyle name="Normal 10 2 6 2" xfId="2095" xr:uid="{ACB3AF44-AC81-4272-8B10-4BFF43995AC3}"/>
    <cellStyle name="Normal 10 2 6 2 2" xfId="3763" xr:uid="{76029F65-A8FD-46CE-B365-BAE083F33610}"/>
    <cellStyle name="Normal 10 2 6 3" xfId="1259" xr:uid="{A2B2097D-1004-428C-948A-259D6A04910A}"/>
    <cellStyle name="Normal 10 2 6 4" xfId="2929" xr:uid="{B5614637-5AC3-464F-8019-EB07912B7C44}"/>
    <cellStyle name="Normal 10 2 7" xfId="509" xr:uid="{00000000-0005-0000-0000-00002C000000}"/>
    <cellStyle name="Normal 10 2 7 2" xfId="2185" xr:uid="{07478000-A838-41D5-9DA8-12718286F07E}"/>
    <cellStyle name="Normal 10 2 7 2 2" xfId="3853" xr:uid="{7F94AE32-AA28-4FA2-A3C0-6CCD08C87CC3}"/>
    <cellStyle name="Normal 10 2 7 3" xfId="1349" xr:uid="{C8E28BDE-6EC6-4DCE-9D13-B13745AD4177}"/>
    <cellStyle name="Normal 10 2 7 4" xfId="3019" xr:uid="{EE6AFE68-ECCE-4F5B-9A0D-74D6682E88E3}"/>
    <cellStyle name="Normal 10 2 8" xfId="599" xr:uid="{00000000-0005-0000-0000-00002D000000}"/>
    <cellStyle name="Normal 10 2 8 2" xfId="2275" xr:uid="{D1F0FCCA-790E-4712-94E9-F6D7936E3D81}"/>
    <cellStyle name="Normal 10 2 8 2 2" xfId="3943" xr:uid="{9DD2B8D4-BB88-4630-88F5-3DDBBED825AF}"/>
    <cellStyle name="Normal 10 2 8 3" xfId="1439" xr:uid="{81DE2223-3267-4AFC-B80F-44D4859D70D8}"/>
    <cellStyle name="Normal 10 2 8 4" xfId="3109" xr:uid="{0DAA7837-F24F-4122-9990-FF69EF0142A5}"/>
    <cellStyle name="Normal 10 2 9" xfId="689" xr:uid="{00000000-0005-0000-0000-00002E000000}"/>
    <cellStyle name="Normal 10 2 9 2" xfId="2365" xr:uid="{9385CCF1-4BA8-41AE-974B-354AF36F5DFB}"/>
    <cellStyle name="Normal 10 2 9 2 2" xfId="4033" xr:uid="{1CE851AF-09AF-4705-BF45-E533A0927B02}"/>
    <cellStyle name="Normal 10 2 9 3" xfId="1529" xr:uid="{94B61157-1717-4A24-93C0-6D2B3517AF9F}"/>
    <cellStyle name="Normal 10 2 9 4" xfId="3199" xr:uid="{28685789-A77C-45E0-B8F4-551DA72917DE}"/>
    <cellStyle name="Normal 10 3" xfId="74" xr:uid="{00000000-0005-0000-0000-00002F000000}"/>
    <cellStyle name="Normal 10 3 10" xfId="1751" xr:uid="{A2BE3AFC-F22A-4F89-A4D3-72D3DC903854}"/>
    <cellStyle name="Normal 10 3 10 2" xfId="3419" xr:uid="{D80E717A-14D9-45E9-BD21-BC4093C7B8F0}"/>
    <cellStyle name="Normal 10 3 11" xfId="915" xr:uid="{77412FEC-BBBA-446C-90A4-11845D97FA5C}"/>
    <cellStyle name="Normal 10 3 12" xfId="2585" xr:uid="{C4CB8E8D-B13A-46C0-9C94-D4155AB5011E}"/>
    <cellStyle name="Normal 10 3 2" xfId="167" xr:uid="{00000000-0005-0000-0000-000030000000}"/>
    <cellStyle name="Normal 10 3 2 2" xfId="1843" xr:uid="{739725EE-0A15-4ED5-A939-D195722198D1}"/>
    <cellStyle name="Normal 10 3 2 2 2" xfId="3511" xr:uid="{18F470F2-A9C9-4952-BB19-E7B47424376F}"/>
    <cellStyle name="Normal 10 3 2 3" xfId="1007" xr:uid="{5674C72A-8E60-4E07-A154-E62858003B91}"/>
    <cellStyle name="Normal 10 3 2 4" xfId="2677" xr:uid="{BDA09EED-C067-4322-B074-6854A69534C6}"/>
    <cellStyle name="Normal 10 3 3" xfId="257" xr:uid="{00000000-0005-0000-0000-000031000000}"/>
    <cellStyle name="Normal 10 3 3 2" xfId="1933" xr:uid="{052D547D-4762-4659-8792-0A9C6371B4ED}"/>
    <cellStyle name="Normal 10 3 3 2 2" xfId="3601" xr:uid="{2FC7524B-10A9-494B-8923-97CCAC860B13}"/>
    <cellStyle name="Normal 10 3 3 3" xfId="1097" xr:uid="{7196858E-74E6-447D-BA43-BECFE38C8403}"/>
    <cellStyle name="Normal 10 3 3 4" xfId="2767" xr:uid="{C1DED60C-8DE4-4EEF-A094-68DA6D16C7BC}"/>
    <cellStyle name="Normal 10 3 4" xfId="347" xr:uid="{00000000-0005-0000-0000-000032000000}"/>
    <cellStyle name="Normal 10 3 4 2" xfId="2023" xr:uid="{F6588F74-1E5E-4537-8257-4483DFF00451}"/>
    <cellStyle name="Normal 10 3 4 2 2" xfId="3691" xr:uid="{7BBE6E40-2A98-41AA-A3C3-7C5249012248}"/>
    <cellStyle name="Normal 10 3 4 3" xfId="1187" xr:uid="{88D007BF-45F5-45EF-A25C-C9854B230C4E}"/>
    <cellStyle name="Normal 10 3 4 4" xfId="2857" xr:uid="{81C36A7C-0E0B-4836-9BAB-7BEC735844FD}"/>
    <cellStyle name="Normal 10 3 5" xfId="437" xr:uid="{00000000-0005-0000-0000-000033000000}"/>
    <cellStyle name="Normal 10 3 5 2" xfId="2113" xr:uid="{34629FB7-05C6-46D9-AF30-05B28CD730CB}"/>
    <cellStyle name="Normal 10 3 5 2 2" xfId="3781" xr:uid="{8551CFEA-C5CA-45EE-A177-B6C967B2D483}"/>
    <cellStyle name="Normal 10 3 5 3" xfId="1277" xr:uid="{31750885-532B-43EB-AF59-DC418B5B32DE}"/>
    <cellStyle name="Normal 10 3 5 4" xfId="2947" xr:uid="{364E5308-0715-45ED-A0AB-D6F20D6FCEB3}"/>
    <cellStyle name="Normal 10 3 6" xfId="527" xr:uid="{00000000-0005-0000-0000-000034000000}"/>
    <cellStyle name="Normal 10 3 6 2" xfId="2203" xr:uid="{DB5A3271-CC83-4360-BB62-8B716B85F02F}"/>
    <cellStyle name="Normal 10 3 6 2 2" xfId="3871" xr:uid="{46D490FD-A2A6-4F2E-A44C-DF018619F13A}"/>
    <cellStyle name="Normal 10 3 6 3" xfId="1367" xr:uid="{C124BA2E-29C3-4BDD-81F2-0D64A71552D6}"/>
    <cellStyle name="Normal 10 3 6 4" xfId="3037" xr:uid="{4DE94831-2AB7-4578-BE46-DD50A36B501E}"/>
    <cellStyle name="Normal 10 3 7" xfId="617" xr:uid="{00000000-0005-0000-0000-000035000000}"/>
    <cellStyle name="Normal 10 3 7 2" xfId="2293" xr:uid="{4ED23F18-1FE9-435B-8EEF-1F41B6C6DE41}"/>
    <cellStyle name="Normal 10 3 7 2 2" xfId="3961" xr:uid="{410A9BD3-8280-4E11-810C-94BB1FFA1428}"/>
    <cellStyle name="Normal 10 3 7 3" xfId="1457" xr:uid="{20894FBC-8666-43B5-BF32-6A26C294E9CE}"/>
    <cellStyle name="Normal 10 3 7 4" xfId="3127" xr:uid="{9F63579B-3F2C-49F4-9AAD-D9C10DE94EC9}"/>
    <cellStyle name="Normal 10 3 8" xfId="707" xr:uid="{00000000-0005-0000-0000-000036000000}"/>
    <cellStyle name="Normal 10 3 8 2" xfId="2383" xr:uid="{4A71A649-EF88-4939-997A-B956C0929D82}"/>
    <cellStyle name="Normal 10 3 8 2 2" xfId="4051" xr:uid="{04C24E23-A6AD-43E7-93D1-47E7F966EB21}"/>
    <cellStyle name="Normal 10 3 8 3" xfId="1547" xr:uid="{FDEF93CB-91AE-443B-8CC6-04045DB77E16}"/>
    <cellStyle name="Normal 10 3 8 4" xfId="3217" xr:uid="{D9D27BBE-4573-4C30-8EE9-116B902F4A41}"/>
    <cellStyle name="Normal 10 3 9" xfId="804" xr:uid="{00000000-0005-0000-0000-000037000000}"/>
    <cellStyle name="Normal 10 3 9 2" xfId="2480" xr:uid="{9941E8DB-DC89-4143-9AD3-474432B80692}"/>
    <cellStyle name="Normal 10 3 9 2 2" xfId="4148" xr:uid="{8FD90F2A-C2AC-4CD8-94E0-93E5B944A7A2}"/>
    <cellStyle name="Normal 10 3 9 3" xfId="1644" xr:uid="{426FE3C2-5064-48D7-90BA-363AFA1A0E1C}"/>
    <cellStyle name="Normal 10 3 9 4" xfId="3314" xr:uid="{FD68D18F-5A1B-4856-B7D3-E7FB13CC5E94}"/>
    <cellStyle name="Normal 10 4" xfId="130" xr:uid="{00000000-0005-0000-0000-000038000000}"/>
    <cellStyle name="Normal 10 4 2" xfId="1806" xr:uid="{B5D4ED3F-E100-43EA-9FE9-44EEEE88A508}"/>
    <cellStyle name="Normal 10 4 2 2" xfId="3474" xr:uid="{82C864EA-80F0-424B-ADAE-82A335C702DF}"/>
    <cellStyle name="Normal 10 4 3" xfId="970" xr:uid="{D916DEEE-5860-4A3C-BE4E-08A5524B9F30}"/>
    <cellStyle name="Normal 10 4 4" xfId="2640" xr:uid="{71C90C3B-3826-4658-8432-F9084D1239AD}"/>
    <cellStyle name="Normal 10 5" xfId="220" xr:uid="{00000000-0005-0000-0000-000039000000}"/>
    <cellStyle name="Normal 10 5 2" xfId="1896" xr:uid="{42C37792-0A0A-4D29-82BC-60E329B68F10}"/>
    <cellStyle name="Normal 10 5 2 2" xfId="3564" xr:uid="{E71C2B2A-2635-4D7F-A200-E6FB14843012}"/>
    <cellStyle name="Normal 10 5 3" xfId="1060" xr:uid="{0ED7FAA4-4860-4B91-94A8-CC503B08C603}"/>
    <cellStyle name="Normal 10 5 4" xfId="2730" xr:uid="{9B62D4B3-438E-4AC0-B294-AC47D0B1B23F}"/>
    <cellStyle name="Normal 10 6" xfId="310" xr:uid="{00000000-0005-0000-0000-00003A000000}"/>
    <cellStyle name="Normal 10 6 2" xfId="1986" xr:uid="{8115A1D3-D936-4627-89A1-BFB5FBBBF4B4}"/>
    <cellStyle name="Normal 10 6 2 2" xfId="3654" xr:uid="{8D4007AB-4CD5-49FB-8BB7-6A64AF8461F3}"/>
    <cellStyle name="Normal 10 6 3" xfId="1150" xr:uid="{6A5ACA6C-BAFE-449B-A8FA-D5112F8082F3}"/>
    <cellStyle name="Normal 10 6 4" xfId="2820" xr:uid="{BC2CF2B6-A3F2-49FF-AA38-EB5ABC6C1725}"/>
    <cellStyle name="Normal 10 7" xfId="400" xr:uid="{00000000-0005-0000-0000-00003B000000}"/>
    <cellStyle name="Normal 10 7 2" xfId="2076" xr:uid="{2BED5B19-36BF-4DAC-8017-882A253E625B}"/>
    <cellStyle name="Normal 10 7 2 2" xfId="3744" xr:uid="{7883AA5E-275D-43D7-B40B-4AE4AC204FAC}"/>
    <cellStyle name="Normal 10 7 3" xfId="1240" xr:uid="{C0E4B0A5-B826-4B7A-B330-6E08421FBBD1}"/>
    <cellStyle name="Normal 10 7 4" xfId="2910" xr:uid="{AED07807-5FF4-443C-ACF3-06C709EEE9FB}"/>
    <cellStyle name="Normal 10 8" xfId="490" xr:uid="{00000000-0005-0000-0000-00003C000000}"/>
    <cellStyle name="Normal 10 8 2" xfId="2166" xr:uid="{6FA0FDEA-59CA-454F-ADC3-17A25906DC68}"/>
    <cellStyle name="Normal 10 8 2 2" xfId="3834" xr:uid="{3B4CF22A-42A7-4407-884E-0047910198D1}"/>
    <cellStyle name="Normal 10 8 3" xfId="1330" xr:uid="{5D09643F-D27D-4F3A-9BFD-5D7AF4D2ADBE}"/>
    <cellStyle name="Normal 10 8 4" xfId="3000" xr:uid="{65E4FBE0-9995-4353-BA93-4C4AF211C424}"/>
    <cellStyle name="Normal 10 9" xfId="580" xr:uid="{00000000-0005-0000-0000-00003D000000}"/>
    <cellStyle name="Normal 10 9 2" xfId="2256" xr:uid="{C5EBEC4B-DF58-47FA-B209-5531A6D930A1}"/>
    <cellStyle name="Normal 10 9 2 2" xfId="3924" xr:uid="{2953CAB3-D141-4634-A401-7BAAECFB4A2B}"/>
    <cellStyle name="Normal 10 9 3" xfId="1420" xr:uid="{4AC55703-12D3-44EC-B5C5-9D37BC46F0C0}"/>
    <cellStyle name="Normal 10 9 4" xfId="3090" xr:uid="{60F53AB5-4707-41EE-999A-FF666A40A37B}"/>
    <cellStyle name="Normal 11" xfId="35" xr:uid="{00000000-0005-0000-0000-00003E000000}"/>
    <cellStyle name="Normal 11 10" xfId="673" xr:uid="{00000000-0005-0000-0000-00003F000000}"/>
    <cellStyle name="Normal 11 10 2" xfId="2349" xr:uid="{76F42DEC-2998-4089-8062-13C000F3504E}"/>
    <cellStyle name="Normal 11 10 2 2" xfId="4017" xr:uid="{59BA5B0A-2EDC-4FE6-8509-B4B85D9EA87D}"/>
    <cellStyle name="Normal 11 10 3" xfId="1513" xr:uid="{AE53641A-E58B-4F68-A499-5CCEAD5C1121}"/>
    <cellStyle name="Normal 11 10 4" xfId="3183" xr:uid="{A4DE2182-EB7B-423D-A9FE-DC6F9CFE3169}"/>
    <cellStyle name="Normal 11 11" xfId="768" xr:uid="{00000000-0005-0000-0000-000040000000}"/>
    <cellStyle name="Normal 11 11 2" xfId="2444" xr:uid="{FAB5EB5D-C8F1-4629-A4D0-6DA9489B2411}"/>
    <cellStyle name="Normal 11 11 2 2" xfId="4112" xr:uid="{7C576CF3-D6B9-48E3-AB2D-EF3B67FC6244}"/>
    <cellStyle name="Normal 11 11 3" xfId="1608" xr:uid="{5C1FC9E3-CA0F-422A-96E5-AFAD6FB68165}"/>
    <cellStyle name="Normal 11 11 4" xfId="3278" xr:uid="{183356F1-5EBF-4369-9FB8-5064F758FB7E}"/>
    <cellStyle name="Normal 11 12" xfId="1715" xr:uid="{19DDF265-E403-4B81-A754-26425F3168B2}"/>
    <cellStyle name="Normal 11 12 2" xfId="3383" xr:uid="{C734B7EB-2386-4D97-BF4B-E73C74D29D14}"/>
    <cellStyle name="Normal 11 13" xfId="879" xr:uid="{1F2B0F8A-D55E-4959-943D-4DB794707185}"/>
    <cellStyle name="Normal 11 14" xfId="2549" xr:uid="{EA2AA282-B07E-446E-BF51-76EF5D10BD07}"/>
    <cellStyle name="Normal 11 2" xfId="57" xr:uid="{00000000-0005-0000-0000-000041000000}"/>
    <cellStyle name="Normal 11 2 10" xfId="788" xr:uid="{00000000-0005-0000-0000-000042000000}"/>
    <cellStyle name="Normal 11 2 10 2" xfId="2464" xr:uid="{48119D07-591C-4D89-BC09-CD4093BB6918}"/>
    <cellStyle name="Normal 11 2 10 2 2" xfId="4132" xr:uid="{1F258AD2-7E32-46B6-8515-3DBDD820EDB8}"/>
    <cellStyle name="Normal 11 2 10 3" xfId="1628" xr:uid="{A3072905-5CCD-4B02-ACCE-C5F76E969E3A}"/>
    <cellStyle name="Normal 11 2 10 4" xfId="3298" xr:uid="{FD091881-4A75-4214-A273-62528BDEBD83}"/>
    <cellStyle name="Normal 11 2 11" xfId="1735" xr:uid="{818CDE7E-CDAE-41C7-9C31-FC395E83314D}"/>
    <cellStyle name="Normal 11 2 11 2" xfId="3403" xr:uid="{82B42008-58E7-497C-9CF8-AB3D84A64E18}"/>
    <cellStyle name="Normal 11 2 12" xfId="899" xr:uid="{C62B7EE5-0D36-449D-9B6A-501DF62AF90B}"/>
    <cellStyle name="Normal 11 2 13" xfId="2569" xr:uid="{986DF5B7-127A-4695-A8D1-BCA8FB5AF516}"/>
    <cellStyle name="Normal 11 2 2" xfId="97" xr:uid="{00000000-0005-0000-0000-000043000000}"/>
    <cellStyle name="Normal 11 2 2 10" xfId="1773" xr:uid="{2A805EC3-E073-426A-B573-71B1E632D187}"/>
    <cellStyle name="Normal 11 2 2 10 2" xfId="3441" xr:uid="{03AAD4C8-8085-40E6-8CC9-E39E9C6793B6}"/>
    <cellStyle name="Normal 11 2 2 11" xfId="937" xr:uid="{7B49C69D-CEB0-435C-AA45-029CA5954E29}"/>
    <cellStyle name="Normal 11 2 2 12" xfId="2607" xr:uid="{241CFCA2-0762-4CCD-93B0-A7DA35DB63BD}"/>
    <cellStyle name="Normal 11 2 2 2" xfId="189" xr:uid="{00000000-0005-0000-0000-000044000000}"/>
    <cellStyle name="Normal 11 2 2 2 2" xfId="1865" xr:uid="{D451FD22-CDCE-4D85-8BA7-259C673D29B7}"/>
    <cellStyle name="Normal 11 2 2 2 2 2" xfId="3533" xr:uid="{72B4C485-ED7E-49AC-B249-3F8F77544EC0}"/>
    <cellStyle name="Normal 11 2 2 2 3" xfId="1029" xr:uid="{15E08F44-3880-467D-8509-8ACBA3120F53}"/>
    <cellStyle name="Normal 11 2 2 2 4" xfId="2699" xr:uid="{F63BFECC-1E59-46F7-ADC2-1FC079598BC8}"/>
    <cellStyle name="Normal 11 2 2 3" xfId="279" xr:uid="{00000000-0005-0000-0000-000045000000}"/>
    <cellStyle name="Normal 11 2 2 3 2" xfId="1955" xr:uid="{33E390A3-4D5C-4DF5-9334-68397A65A6D1}"/>
    <cellStyle name="Normal 11 2 2 3 2 2" xfId="3623" xr:uid="{FFB45FFE-5234-44EB-AC39-4CD3ADCDEA10}"/>
    <cellStyle name="Normal 11 2 2 3 3" xfId="1119" xr:uid="{D50E0980-3538-4179-89ED-AA363699BCF9}"/>
    <cellStyle name="Normal 11 2 2 3 4" xfId="2789" xr:uid="{F8BC6025-99D2-4072-87C6-0EFA741B6393}"/>
    <cellStyle name="Normal 11 2 2 4" xfId="369" xr:uid="{00000000-0005-0000-0000-000046000000}"/>
    <cellStyle name="Normal 11 2 2 4 2" xfId="2045" xr:uid="{999BD285-2F57-443C-9C6B-AACACC7A14AA}"/>
    <cellStyle name="Normal 11 2 2 4 2 2" xfId="3713" xr:uid="{BFA0C38D-B175-4984-BB33-EBE9799745BC}"/>
    <cellStyle name="Normal 11 2 2 4 3" xfId="1209" xr:uid="{99E9886B-B22A-48A4-B713-7E19EAB9AF7A}"/>
    <cellStyle name="Normal 11 2 2 4 4" xfId="2879" xr:uid="{1C64A6D9-6A95-4C62-9782-1EFB2421EC82}"/>
    <cellStyle name="Normal 11 2 2 5" xfId="459" xr:uid="{00000000-0005-0000-0000-000047000000}"/>
    <cellStyle name="Normal 11 2 2 5 2" xfId="2135" xr:uid="{B090ABF0-6071-4E5F-A660-27704DA0334A}"/>
    <cellStyle name="Normal 11 2 2 5 2 2" xfId="3803" xr:uid="{19FF1538-B158-433A-A66F-76AB738314CA}"/>
    <cellStyle name="Normal 11 2 2 5 3" xfId="1299" xr:uid="{CBBF5075-473A-4189-BE3C-E1F56E22224A}"/>
    <cellStyle name="Normal 11 2 2 5 4" xfId="2969" xr:uid="{BD8D7706-C4D1-4A2B-85D8-A134C4D4636F}"/>
    <cellStyle name="Normal 11 2 2 6" xfId="549" xr:uid="{00000000-0005-0000-0000-000048000000}"/>
    <cellStyle name="Normal 11 2 2 6 2" xfId="2225" xr:uid="{EEEB3B9E-90B0-4425-8288-923C21EC00EF}"/>
    <cellStyle name="Normal 11 2 2 6 2 2" xfId="3893" xr:uid="{38986806-83AD-4D47-ACBE-688A8142A18D}"/>
    <cellStyle name="Normal 11 2 2 6 3" xfId="1389" xr:uid="{25141F30-23C7-47CC-948E-55CC7AB14201}"/>
    <cellStyle name="Normal 11 2 2 6 4" xfId="3059" xr:uid="{C4A40531-5A96-41EC-9166-0D1E87877DBD}"/>
    <cellStyle name="Normal 11 2 2 7" xfId="639" xr:uid="{00000000-0005-0000-0000-000049000000}"/>
    <cellStyle name="Normal 11 2 2 7 2" xfId="2315" xr:uid="{CE11BDCA-5FEF-4DB2-A35C-B321CAE390E6}"/>
    <cellStyle name="Normal 11 2 2 7 2 2" xfId="3983" xr:uid="{098D465B-1640-41D4-8A45-8213E1F33654}"/>
    <cellStyle name="Normal 11 2 2 7 3" xfId="1479" xr:uid="{FECB1926-C512-4BCC-ADC5-E71A029B7BA1}"/>
    <cellStyle name="Normal 11 2 2 7 4" xfId="3149" xr:uid="{0F42723D-8521-4629-A55F-083A80E42BF3}"/>
    <cellStyle name="Normal 11 2 2 8" xfId="729" xr:uid="{00000000-0005-0000-0000-00004A000000}"/>
    <cellStyle name="Normal 11 2 2 8 2" xfId="2405" xr:uid="{928AB46E-A35B-42B1-87D7-1E01632506F2}"/>
    <cellStyle name="Normal 11 2 2 8 2 2" xfId="4073" xr:uid="{B643E0A5-6995-4576-AD2D-BA489DC66B58}"/>
    <cellStyle name="Normal 11 2 2 8 3" xfId="1569" xr:uid="{9C0AFF44-4C74-4A7D-8715-6B37D750295D}"/>
    <cellStyle name="Normal 11 2 2 8 4" xfId="3239" xr:uid="{6572DEC4-01BF-4BC0-9C7A-9ABCF4BB5EE2}"/>
    <cellStyle name="Normal 11 2 2 9" xfId="826" xr:uid="{00000000-0005-0000-0000-00004B000000}"/>
    <cellStyle name="Normal 11 2 2 9 2" xfId="2502" xr:uid="{5FBD43C3-10CE-452E-9BD1-8D835DAD8E3F}"/>
    <cellStyle name="Normal 11 2 2 9 2 2" xfId="4170" xr:uid="{D91118F9-9063-4F86-8391-392C6045D393}"/>
    <cellStyle name="Normal 11 2 2 9 3" xfId="1666" xr:uid="{E0FAA7EB-B587-4A72-99BD-61EFC8DC699E}"/>
    <cellStyle name="Normal 11 2 2 9 4" xfId="3336" xr:uid="{A06AEC90-6FBD-4E6D-AE93-C572E9D433DB}"/>
    <cellStyle name="Normal 11 2 3" xfId="152" xr:uid="{00000000-0005-0000-0000-00004C000000}"/>
    <cellStyle name="Normal 11 2 3 2" xfId="1828" xr:uid="{56A8E807-FD32-4E22-A981-5A214C593C05}"/>
    <cellStyle name="Normal 11 2 3 2 2" xfId="3496" xr:uid="{58184FB5-A245-4AC3-84F0-3ABCEE5D1DDA}"/>
    <cellStyle name="Normal 11 2 3 3" xfId="992" xr:uid="{CB88165A-529E-42B1-BE6D-FDCFED7A8C64}"/>
    <cellStyle name="Normal 11 2 3 4" xfId="2662" xr:uid="{A0C676BA-EA50-46E4-864C-CA3AA550471A}"/>
    <cellStyle name="Normal 11 2 4" xfId="242" xr:uid="{00000000-0005-0000-0000-00004D000000}"/>
    <cellStyle name="Normal 11 2 4 2" xfId="1918" xr:uid="{2801E564-01A2-47A6-8CAB-700A2741A6D7}"/>
    <cellStyle name="Normal 11 2 4 2 2" xfId="3586" xr:uid="{19EFD93D-4EE1-4EDB-8615-813103F0602E}"/>
    <cellStyle name="Normal 11 2 4 3" xfId="1082" xr:uid="{7B1F3AAD-85DC-4A16-89FF-13C58370EFE8}"/>
    <cellStyle name="Normal 11 2 4 4" xfId="2752" xr:uid="{14EDA9C8-F530-4A60-AB67-BE0C9F0C5C4F}"/>
    <cellStyle name="Normal 11 2 5" xfId="332" xr:uid="{00000000-0005-0000-0000-00004E000000}"/>
    <cellStyle name="Normal 11 2 5 2" xfId="2008" xr:uid="{12437CC0-B9DC-4AB4-ABAB-196EE5567001}"/>
    <cellStyle name="Normal 11 2 5 2 2" xfId="3676" xr:uid="{08093B87-08B3-4FD8-9377-F3CB65DF03B7}"/>
    <cellStyle name="Normal 11 2 5 3" xfId="1172" xr:uid="{6F3385E0-D39C-4D13-BE74-6D5CA094F05C}"/>
    <cellStyle name="Normal 11 2 5 4" xfId="2842" xr:uid="{14871258-AC9B-4EEB-87B7-9C89A06C4C9C}"/>
    <cellStyle name="Normal 11 2 6" xfId="422" xr:uid="{00000000-0005-0000-0000-00004F000000}"/>
    <cellStyle name="Normal 11 2 6 2" xfId="2098" xr:uid="{8A8CE147-8F6F-4CA3-B7F3-69DF6688CE9C}"/>
    <cellStyle name="Normal 11 2 6 2 2" xfId="3766" xr:uid="{A3E2927B-B24C-4C2F-9806-1E51149762F5}"/>
    <cellStyle name="Normal 11 2 6 3" xfId="1262" xr:uid="{5D623CC3-261E-4D18-AC52-C9C33740A788}"/>
    <cellStyle name="Normal 11 2 6 4" xfId="2932" xr:uid="{A2BE0FD5-10EE-4FAF-8DC6-FC03B8843195}"/>
    <cellStyle name="Normal 11 2 7" xfId="512" xr:uid="{00000000-0005-0000-0000-000050000000}"/>
    <cellStyle name="Normal 11 2 7 2" xfId="2188" xr:uid="{0860BBF2-113E-4814-A985-A1C04A6F8CFD}"/>
    <cellStyle name="Normal 11 2 7 2 2" xfId="3856" xr:uid="{C941DC4A-E409-4251-AA1D-5C154E55190F}"/>
    <cellStyle name="Normal 11 2 7 3" xfId="1352" xr:uid="{8284DACF-64C0-434D-8786-8A636600D80B}"/>
    <cellStyle name="Normal 11 2 7 4" xfId="3022" xr:uid="{8097A656-4381-4BBE-95BB-D633C24BD757}"/>
    <cellStyle name="Normal 11 2 8" xfId="602" xr:uid="{00000000-0005-0000-0000-000051000000}"/>
    <cellStyle name="Normal 11 2 8 2" xfId="2278" xr:uid="{FF40FE60-020B-4522-A3DE-5977F7F35BC0}"/>
    <cellStyle name="Normal 11 2 8 2 2" xfId="3946" xr:uid="{BD8FFC78-5407-44A8-A4A5-7B448BBE9961}"/>
    <cellStyle name="Normal 11 2 8 3" xfId="1442" xr:uid="{F3C8CF28-22DA-4D85-A886-56D66CFDEBB8}"/>
    <cellStyle name="Normal 11 2 8 4" xfId="3112" xr:uid="{8115E78A-051D-476E-8D7C-E96AD8978A74}"/>
    <cellStyle name="Normal 11 2 9" xfId="692" xr:uid="{00000000-0005-0000-0000-000052000000}"/>
    <cellStyle name="Normal 11 2 9 2" xfId="2368" xr:uid="{F67DA984-6528-49D7-8343-F08D5F1E2CA4}"/>
    <cellStyle name="Normal 11 2 9 2 2" xfId="4036" xr:uid="{C9742676-C2CD-46AF-9312-B97FCBCD4905}"/>
    <cellStyle name="Normal 11 2 9 3" xfId="1532" xr:uid="{1FDB572F-39E2-462B-9B95-47DB315072F9}"/>
    <cellStyle name="Normal 11 2 9 4" xfId="3202" xr:uid="{E1A9EC68-FAE9-484F-B30F-78FC005A9867}"/>
    <cellStyle name="Normal 11 3" xfId="77" xr:uid="{00000000-0005-0000-0000-000053000000}"/>
    <cellStyle name="Normal 11 3 10" xfId="1754" xr:uid="{A399EFCB-49DA-4FBB-B0E4-97F4D8C23EDF}"/>
    <cellStyle name="Normal 11 3 10 2" xfId="3422" xr:uid="{2321E506-D627-4AE5-9EB8-E8A8E6375DFA}"/>
    <cellStyle name="Normal 11 3 11" xfId="918" xr:uid="{3770E38F-985A-4011-9871-872E6E618E79}"/>
    <cellStyle name="Normal 11 3 12" xfId="2588" xr:uid="{9E3EACEA-BDC8-4100-B735-82085C8B0E74}"/>
    <cellStyle name="Normal 11 3 2" xfId="170" xr:uid="{00000000-0005-0000-0000-000054000000}"/>
    <cellStyle name="Normal 11 3 2 2" xfId="1846" xr:uid="{151F0529-7C06-4194-B0C1-6D2489AE0BB9}"/>
    <cellStyle name="Normal 11 3 2 2 2" xfId="3514" xr:uid="{41D6A6EA-414A-488B-85D6-959112178229}"/>
    <cellStyle name="Normal 11 3 2 3" xfId="1010" xr:uid="{31F41D91-76CF-49EC-BFAC-96B1F499D1EE}"/>
    <cellStyle name="Normal 11 3 2 4" xfId="2680" xr:uid="{1F6A7D78-1AC7-45B8-BDAB-AC08AA4513F7}"/>
    <cellStyle name="Normal 11 3 3" xfId="260" xr:uid="{00000000-0005-0000-0000-000055000000}"/>
    <cellStyle name="Normal 11 3 3 2" xfId="1936" xr:uid="{C061D279-F22E-41A5-976D-25B4D4CB7E9D}"/>
    <cellStyle name="Normal 11 3 3 2 2" xfId="3604" xr:uid="{FE4DF423-EB4F-4DDB-95E6-C437CBDC2EB8}"/>
    <cellStyle name="Normal 11 3 3 3" xfId="1100" xr:uid="{C0D7E8C6-A92B-4317-9BD0-10023438BC87}"/>
    <cellStyle name="Normal 11 3 3 4" xfId="2770" xr:uid="{C0D5C3A2-48C6-4562-AC08-D8BB87060EBC}"/>
    <cellStyle name="Normal 11 3 4" xfId="350" xr:uid="{00000000-0005-0000-0000-000056000000}"/>
    <cellStyle name="Normal 11 3 4 2" xfId="2026" xr:uid="{CB1C6700-6C44-4AB8-B751-B56845DA36B8}"/>
    <cellStyle name="Normal 11 3 4 2 2" xfId="3694" xr:uid="{431D3082-F09E-4F5F-BF81-69B9EB8A3544}"/>
    <cellStyle name="Normal 11 3 4 3" xfId="1190" xr:uid="{8F9BECE4-6A09-4FAD-9E66-6C5F0E92963C}"/>
    <cellStyle name="Normal 11 3 4 4" xfId="2860" xr:uid="{2A9868FD-5083-4BFF-BD9B-10458B6A0A9A}"/>
    <cellStyle name="Normal 11 3 5" xfId="440" xr:uid="{00000000-0005-0000-0000-000057000000}"/>
    <cellStyle name="Normal 11 3 5 2" xfId="2116" xr:uid="{16758C6D-D486-4D81-8A5E-1186CE347A4F}"/>
    <cellStyle name="Normal 11 3 5 2 2" xfId="3784" xr:uid="{3578FDC8-A6C5-402C-9DEA-6000852E031D}"/>
    <cellStyle name="Normal 11 3 5 3" xfId="1280" xr:uid="{3AA4A175-F95D-4ADD-9C1D-33BB3E559DD1}"/>
    <cellStyle name="Normal 11 3 5 4" xfId="2950" xr:uid="{C4A2AB47-0EFF-4761-8CDA-74227C721D70}"/>
    <cellStyle name="Normal 11 3 6" xfId="530" xr:uid="{00000000-0005-0000-0000-000058000000}"/>
    <cellStyle name="Normal 11 3 6 2" xfId="2206" xr:uid="{DA44549E-4A28-4AB1-9DE7-6F80E8BB9FB0}"/>
    <cellStyle name="Normal 11 3 6 2 2" xfId="3874" xr:uid="{FF32E578-4405-428D-8ECF-5334857FC804}"/>
    <cellStyle name="Normal 11 3 6 3" xfId="1370" xr:uid="{3FD56F6A-947B-423D-9B1E-54E43E82E603}"/>
    <cellStyle name="Normal 11 3 6 4" xfId="3040" xr:uid="{1C39C790-1AD8-49AC-91B1-418D08E5C0A0}"/>
    <cellStyle name="Normal 11 3 7" xfId="620" xr:uid="{00000000-0005-0000-0000-000059000000}"/>
    <cellStyle name="Normal 11 3 7 2" xfId="2296" xr:uid="{5BC9FC07-F1A5-47D7-990D-EF25AD91E78C}"/>
    <cellStyle name="Normal 11 3 7 2 2" xfId="3964" xr:uid="{F2C49768-7AD0-4627-BDC3-00F00F7B6618}"/>
    <cellStyle name="Normal 11 3 7 3" xfId="1460" xr:uid="{4598FD69-6AD4-4709-8AA2-D99AA63DC2AF}"/>
    <cellStyle name="Normal 11 3 7 4" xfId="3130" xr:uid="{D0D8954E-8854-4F5D-B00B-5E4C622B5945}"/>
    <cellStyle name="Normal 11 3 8" xfId="710" xr:uid="{00000000-0005-0000-0000-00005A000000}"/>
    <cellStyle name="Normal 11 3 8 2" xfId="2386" xr:uid="{BEF71F14-BCA4-46AD-8D5A-61CB4F2F8B32}"/>
    <cellStyle name="Normal 11 3 8 2 2" xfId="4054" xr:uid="{6933B9DF-E577-4017-8251-DC5414D78AEB}"/>
    <cellStyle name="Normal 11 3 8 3" xfId="1550" xr:uid="{DE97BB8B-E562-487D-B79D-A16F633FD7EF}"/>
    <cellStyle name="Normal 11 3 8 4" xfId="3220" xr:uid="{53362B16-06E3-4B22-AE07-84E6D67F075C}"/>
    <cellStyle name="Normal 11 3 9" xfId="807" xr:uid="{00000000-0005-0000-0000-00005B000000}"/>
    <cellStyle name="Normal 11 3 9 2" xfId="2483" xr:uid="{22321D26-13A0-46D4-98C2-728F5A7305DD}"/>
    <cellStyle name="Normal 11 3 9 2 2" xfId="4151" xr:uid="{BF25AA4E-BA3B-4E0B-898A-047E069AC03E}"/>
    <cellStyle name="Normal 11 3 9 3" xfId="1647" xr:uid="{9FB0FE74-7321-4372-9B8D-C4A1E78BBBFD}"/>
    <cellStyle name="Normal 11 3 9 4" xfId="3317" xr:uid="{25A52DD7-025D-4B06-9AC7-33E86362A323}"/>
    <cellStyle name="Normal 11 4" xfId="133" xr:uid="{00000000-0005-0000-0000-00005C000000}"/>
    <cellStyle name="Normal 11 4 2" xfId="1809" xr:uid="{9514677A-526B-4681-AA4D-CC95F90A2A40}"/>
    <cellStyle name="Normal 11 4 2 2" xfId="3477" xr:uid="{93F04CCC-4A43-4830-BAF0-022EB1ECFAD0}"/>
    <cellStyle name="Normal 11 4 3" xfId="973" xr:uid="{9F4D41B7-B17B-42B2-A09D-B8F9D931FEDD}"/>
    <cellStyle name="Normal 11 4 4" xfId="2643" xr:uid="{FDE32117-80DA-4977-A2D4-391DA4D4F1DB}"/>
    <cellStyle name="Normal 11 5" xfId="223" xr:uid="{00000000-0005-0000-0000-00005D000000}"/>
    <cellStyle name="Normal 11 5 2" xfId="1899" xr:uid="{569F97DA-BCF1-4ADC-BDAF-E6418570C902}"/>
    <cellStyle name="Normal 11 5 2 2" xfId="3567" xr:uid="{A14E1C3B-60EF-402E-8880-A11005AEE7A0}"/>
    <cellStyle name="Normal 11 5 3" xfId="1063" xr:uid="{3D5EBF5B-0056-432E-988B-146EB891554C}"/>
    <cellStyle name="Normal 11 5 4" xfId="2733" xr:uid="{E21114DC-435B-492E-9B63-3BF6F2295CF4}"/>
    <cellStyle name="Normal 11 6" xfId="313" xr:uid="{00000000-0005-0000-0000-00005E000000}"/>
    <cellStyle name="Normal 11 6 2" xfId="1989" xr:uid="{09AE4AAA-DD6A-4B18-9AEE-C3F61D0F165A}"/>
    <cellStyle name="Normal 11 6 2 2" xfId="3657" xr:uid="{344807BB-6E29-47B6-9869-314EFBFB5222}"/>
    <cellStyle name="Normal 11 6 3" xfId="1153" xr:uid="{DF1234AA-EAEA-4B86-8DD3-CDEFFB53BF25}"/>
    <cellStyle name="Normal 11 6 4" xfId="2823" xr:uid="{426E640E-015E-47BC-BF5E-E3D2FBF8F47C}"/>
    <cellStyle name="Normal 11 7" xfId="403" xr:uid="{00000000-0005-0000-0000-00005F000000}"/>
    <cellStyle name="Normal 11 7 2" xfId="2079" xr:uid="{16098AB0-FBA7-4155-9939-4E7C61C3EA51}"/>
    <cellStyle name="Normal 11 7 2 2" xfId="3747" xr:uid="{68BA7B99-3139-4147-A45A-1E849E07F853}"/>
    <cellStyle name="Normal 11 7 3" xfId="1243" xr:uid="{6FA69B96-457E-4F29-A224-77ABF300C252}"/>
    <cellStyle name="Normal 11 7 4" xfId="2913" xr:uid="{2BA9FE98-7EA4-4A2A-9845-57CEDFB5B458}"/>
    <cellStyle name="Normal 11 8" xfId="493" xr:uid="{00000000-0005-0000-0000-000060000000}"/>
    <cellStyle name="Normal 11 8 2" xfId="2169" xr:uid="{58B631FB-D17A-43C3-8EFD-4F58774464A2}"/>
    <cellStyle name="Normal 11 8 2 2" xfId="3837" xr:uid="{F6A4EA86-68FB-4D4C-81D3-1B3401F83228}"/>
    <cellStyle name="Normal 11 8 3" xfId="1333" xr:uid="{0E0258E4-AE1D-40DE-B46D-AE447E0C00A8}"/>
    <cellStyle name="Normal 11 8 4" xfId="3003" xr:uid="{2076A2F6-8704-4A1A-B34E-A5A3CB2DE9E0}"/>
    <cellStyle name="Normal 11 9" xfId="583" xr:uid="{00000000-0005-0000-0000-000061000000}"/>
    <cellStyle name="Normal 11 9 2" xfId="2259" xr:uid="{D5BC01D5-CB86-4D3B-B3B3-B1E99A90E645}"/>
    <cellStyle name="Normal 11 9 2 2" xfId="3927" xr:uid="{34C7C758-1A82-4A5A-816F-99BBAC87DDFA}"/>
    <cellStyle name="Normal 11 9 3" xfId="1423" xr:uid="{6618E30D-C2A1-473B-BED5-01FA2FD097BC}"/>
    <cellStyle name="Normal 11 9 4" xfId="3093" xr:uid="{6BA4BF4A-E279-4054-9C84-E847F0BA580B}"/>
    <cellStyle name="Normal 12" xfId="100" xr:uid="{00000000-0005-0000-0000-000062000000}"/>
    <cellStyle name="Normal 12 10" xfId="1776" xr:uid="{E13A9392-4854-45D6-A8A1-147F4F26270B}"/>
    <cellStyle name="Normal 12 10 2" xfId="3444" xr:uid="{1762504B-6EAE-4C2C-8786-8BF2326EDBD6}"/>
    <cellStyle name="Normal 12 11" xfId="940" xr:uid="{EAD93AD4-BC03-4DB0-BF8A-8BB9CF36209D}"/>
    <cellStyle name="Normal 12 12" xfId="2610" xr:uid="{98A474EF-0A61-4421-A23D-639B81484EA8}"/>
    <cellStyle name="Normal 12 2" xfId="192" xr:uid="{00000000-0005-0000-0000-000063000000}"/>
    <cellStyle name="Normal 12 2 2" xfId="1868" xr:uid="{235D5B0F-16A5-42B8-B6F6-BFA404175E59}"/>
    <cellStyle name="Normal 12 2 2 2" xfId="3536" xr:uid="{6ED9E15D-255C-493F-91AC-498AAA4A7482}"/>
    <cellStyle name="Normal 12 2 3" xfId="1032" xr:uid="{11E10221-B9A1-4C7D-BA9E-9F77D67C6191}"/>
    <cellStyle name="Normal 12 2 4" xfId="2702" xr:uid="{EB10660F-FF1E-442F-BA4E-E7ABF25FC48E}"/>
    <cellStyle name="Normal 12 3" xfId="282" xr:uid="{00000000-0005-0000-0000-000064000000}"/>
    <cellStyle name="Normal 12 3 2" xfId="1958" xr:uid="{0AD46CC0-72DF-4CB8-A2E4-8C0FE9307D77}"/>
    <cellStyle name="Normal 12 3 2 2" xfId="3626" xr:uid="{6199091C-7449-4CAD-85ED-C69F0BEC486D}"/>
    <cellStyle name="Normal 12 3 3" xfId="1122" xr:uid="{EE6E5DFA-6BBD-46D1-957C-02B6936AEC43}"/>
    <cellStyle name="Normal 12 3 4" xfId="2792" xr:uid="{28F0D639-D4FC-40A8-966C-08E901986653}"/>
    <cellStyle name="Normal 12 4" xfId="372" xr:uid="{00000000-0005-0000-0000-000065000000}"/>
    <cellStyle name="Normal 12 4 2" xfId="2048" xr:uid="{FC14AFBD-EE7B-4021-A9B5-E0E82933BF33}"/>
    <cellStyle name="Normal 12 4 2 2" xfId="3716" xr:uid="{D90FB607-CD4B-48DE-B98C-A9BA9DCD60CE}"/>
    <cellStyle name="Normal 12 4 3" xfId="1212" xr:uid="{8AB4CBE8-019E-4B28-A4FC-0BEF4215C528}"/>
    <cellStyle name="Normal 12 4 4" xfId="2882" xr:uid="{CC89DCB0-2EC8-41DF-9799-F5FC4A30C654}"/>
    <cellStyle name="Normal 12 5" xfId="462" xr:uid="{00000000-0005-0000-0000-000066000000}"/>
    <cellStyle name="Normal 12 5 2" xfId="2138" xr:uid="{FC8C8CDA-F54F-4975-BDC8-ED0822673F46}"/>
    <cellStyle name="Normal 12 5 2 2" xfId="3806" xr:uid="{B3D2CEF3-D28E-4DFD-B0EE-277CFE0B6429}"/>
    <cellStyle name="Normal 12 5 3" xfId="1302" xr:uid="{595151CF-A766-4480-A0F1-46A79AEB3D7A}"/>
    <cellStyle name="Normal 12 5 4" xfId="2972" xr:uid="{F2DC82ED-99B5-47CA-A029-C1E4A839A416}"/>
    <cellStyle name="Normal 12 6" xfId="552" xr:uid="{00000000-0005-0000-0000-000067000000}"/>
    <cellStyle name="Normal 12 6 2" xfId="2228" xr:uid="{08C604AC-88E5-4FD9-8392-3BCA996B37F5}"/>
    <cellStyle name="Normal 12 6 2 2" xfId="3896" xr:uid="{090D66D2-5E0A-47E9-9820-86BADDB468E9}"/>
    <cellStyle name="Normal 12 6 3" xfId="1392" xr:uid="{485AACEF-6DF7-43C3-851E-917C5DEA4176}"/>
    <cellStyle name="Normal 12 6 4" xfId="3062" xr:uid="{7B3C278A-49E8-4342-9A52-9C92BD297FB6}"/>
    <cellStyle name="Normal 12 7" xfId="642" xr:uid="{00000000-0005-0000-0000-000068000000}"/>
    <cellStyle name="Normal 12 7 2" xfId="2318" xr:uid="{733BC917-E86E-4046-9D26-F151290200C8}"/>
    <cellStyle name="Normal 12 7 2 2" xfId="3986" xr:uid="{82CE6BEF-3886-45A2-98BD-1F569EC10D63}"/>
    <cellStyle name="Normal 12 7 3" xfId="1482" xr:uid="{276DB0ED-2853-4563-82F7-D26AA8E7D2FE}"/>
    <cellStyle name="Normal 12 7 4" xfId="3152" xr:uid="{031E4616-BB45-452D-A9FF-4F6CDE7C200B}"/>
    <cellStyle name="Normal 12 8" xfId="732" xr:uid="{00000000-0005-0000-0000-000069000000}"/>
    <cellStyle name="Normal 12 8 2" xfId="2408" xr:uid="{47B8D348-C05E-4A27-A76E-F582FF431640}"/>
    <cellStyle name="Normal 12 8 2 2" xfId="4076" xr:uid="{757CC0F8-0FFD-4FBF-8A4C-0EBB39456C7B}"/>
    <cellStyle name="Normal 12 8 3" xfId="1572" xr:uid="{4A301E23-3D05-421B-8B0B-99DEE7968ABD}"/>
    <cellStyle name="Normal 12 8 4" xfId="3242" xr:uid="{1276933E-C2D3-444B-8EF8-2C23B9418DD6}"/>
    <cellStyle name="Normal 12 9" xfId="829" xr:uid="{00000000-0005-0000-0000-00006A000000}"/>
    <cellStyle name="Normal 12 9 2" xfId="2505" xr:uid="{4534766D-1C35-4238-84FE-83CF4BEA2992}"/>
    <cellStyle name="Normal 12 9 2 2" xfId="4173" xr:uid="{A20A56DD-AEC0-448A-B527-433CFC79BA94}"/>
    <cellStyle name="Normal 12 9 3" xfId="1669" xr:uid="{2B3FF8B6-52AF-406D-934C-0721013F9E6E}"/>
    <cellStyle name="Normal 12 9 4" xfId="3339" xr:uid="{6EC4227D-DD4A-4C9D-97E4-D613CFA9B592}"/>
    <cellStyle name="Normal 13" xfId="103" xr:uid="{00000000-0005-0000-0000-00006B000000}"/>
    <cellStyle name="Normal 13 10" xfId="1779" xr:uid="{1A69C1FF-855F-41A0-8EC5-7D4A32C55769}"/>
    <cellStyle name="Normal 13 10 2" xfId="3447" xr:uid="{3B9FF09E-EC41-4DE7-B166-97D4B093A40B}"/>
    <cellStyle name="Normal 13 11" xfId="943" xr:uid="{4BE39938-23CC-4BB8-B5C7-D90AC2148EC4}"/>
    <cellStyle name="Normal 13 12" xfId="2613" xr:uid="{7AB601C1-2252-4CFD-8440-FE2091152EB4}"/>
    <cellStyle name="Normal 13 2" xfId="195" xr:uid="{00000000-0005-0000-0000-00006C000000}"/>
    <cellStyle name="Normal 13 2 2" xfId="1871" xr:uid="{8A44465C-FF30-430B-98F3-DDDA40C9B648}"/>
    <cellStyle name="Normal 13 2 2 2" xfId="3539" xr:uid="{D64D1D7F-04A3-4011-B46E-C95554146979}"/>
    <cellStyle name="Normal 13 2 3" xfId="1035" xr:uid="{0B5B3383-70E5-4478-8B6A-7639B29831D3}"/>
    <cellStyle name="Normal 13 2 4" xfId="2705" xr:uid="{715A3597-2960-4DB0-83E7-1148026E7B91}"/>
    <cellStyle name="Normal 13 3" xfId="285" xr:uid="{00000000-0005-0000-0000-00006D000000}"/>
    <cellStyle name="Normal 13 3 2" xfId="1961" xr:uid="{3360BC91-58E3-4EE4-AE6C-9DD5B91479FF}"/>
    <cellStyle name="Normal 13 3 2 2" xfId="3629" xr:uid="{658A3F8C-D43B-4D8C-8066-9F8C5FFB2CAC}"/>
    <cellStyle name="Normal 13 3 3" xfId="1125" xr:uid="{44F372CE-4037-4389-9D56-C1EF07278DAF}"/>
    <cellStyle name="Normal 13 3 4" xfId="2795" xr:uid="{2B0B0A78-84A7-4709-BB87-A2CD73BC5546}"/>
    <cellStyle name="Normal 13 4" xfId="375" xr:uid="{00000000-0005-0000-0000-00006E000000}"/>
    <cellStyle name="Normal 13 4 2" xfId="2051" xr:uid="{BED51AFD-25CE-4462-85BA-8D6CBC803680}"/>
    <cellStyle name="Normal 13 4 2 2" xfId="3719" xr:uid="{DE7C6EFA-00DF-46D1-9AB6-1A2F538374BA}"/>
    <cellStyle name="Normal 13 4 3" xfId="1215" xr:uid="{627A5BD1-3CF0-4F66-99BB-9B3DCCA7C895}"/>
    <cellStyle name="Normal 13 4 4" xfId="2885" xr:uid="{919774F4-A00B-46B0-937C-9DBF7A403210}"/>
    <cellStyle name="Normal 13 5" xfId="465" xr:uid="{00000000-0005-0000-0000-00006F000000}"/>
    <cellStyle name="Normal 13 5 2" xfId="2141" xr:uid="{527A61D3-AF50-41D4-BC3E-60E6ED490C24}"/>
    <cellStyle name="Normal 13 5 2 2" xfId="3809" xr:uid="{9A20D1FF-D466-439D-A182-223E48B786C1}"/>
    <cellStyle name="Normal 13 5 3" xfId="1305" xr:uid="{345F1CC9-D640-4A21-A52A-2F18397DEBE0}"/>
    <cellStyle name="Normal 13 5 4" xfId="2975" xr:uid="{96F8484B-02B4-4B0B-B025-862C2C406DE1}"/>
    <cellStyle name="Normal 13 6" xfId="555" xr:uid="{00000000-0005-0000-0000-000070000000}"/>
    <cellStyle name="Normal 13 6 2" xfId="2231" xr:uid="{A21EAE1A-F5DD-4A84-BC2C-957B88091F26}"/>
    <cellStyle name="Normal 13 6 2 2" xfId="3899" xr:uid="{1D8AC43C-DF30-4B26-8560-78CE6591443C}"/>
    <cellStyle name="Normal 13 6 3" xfId="1395" xr:uid="{E7E49097-CADD-492C-B8C6-A124DBD57769}"/>
    <cellStyle name="Normal 13 6 4" xfId="3065" xr:uid="{987B37AF-5BFD-4628-8863-EF4BD02DC29E}"/>
    <cellStyle name="Normal 13 7" xfId="645" xr:uid="{00000000-0005-0000-0000-000071000000}"/>
    <cellStyle name="Normal 13 7 2" xfId="2321" xr:uid="{A5627F2D-C3E2-4731-A661-5F5ECC44E0D6}"/>
    <cellStyle name="Normal 13 7 2 2" xfId="3989" xr:uid="{5AA0E9C5-27D1-452A-84FF-4B4BDD995C50}"/>
    <cellStyle name="Normal 13 7 3" xfId="1485" xr:uid="{4264553B-C157-4A92-AFE1-E8E8078035B9}"/>
    <cellStyle name="Normal 13 7 4" xfId="3155" xr:uid="{4AFBBF4B-381F-4809-B5C2-6B590DBBB400}"/>
    <cellStyle name="Normal 13 8" xfId="735" xr:uid="{00000000-0005-0000-0000-000072000000}"/>
    <cellStyle name="Normal 13 8 2" xfId="2411" xr:uid="{BC35EA53-CDF8-4AF7-8805-2BDDEA007E6F}"/>
    <cellStyle name="Normal 13 8 2 2" xfId="4079" xr:uid="{86860CBE-2455-4AFF-B6F2-BB2212C04076}"/>
    <cellStyle name="Normal 13 8 3" xfId="1575" xr:uid="{6A48BFC0-1396-452A-B98B-D864EE2A8A14}"/>
    <cellStyle name="Normal 13 8 4" xfId="3245" xr:uid="{A15042D0-34D1-4C56-A260-907391C787C8}"/>
    <cellStyle name="Normal 13 9" xfId="832" xr:uid="{00000000-0005-0000-0000-000073000000}"/>
    <cellStyle name="Normal 13 9 2" xfId="2508" xr:uid="{02EE0E89-C3AE-4096-92DF-28F203F33B2F}"/>
    <cellStyle name="Normal 13 9 2 2" xfId="4176" xr:uid="{B3845B22-4F8D-496E-878B-0EEE657EE3DA}"/>
    <cellStyle name="Normal 13 9 3" xfId="1672" xr:uid="{A1059523-8C88-4A9E-A770-557E1BA52FD6}"/>
    <cellStyle name="Normal 13 9 4" xfId="3342" xr:uid="{B4193E67-E793-476D-A3C6-3781E7DD857F}"/>
    <cellStyle name="Normal 14" xfId="106" xr:uid="{00000000-0005-0000-0000-000074000000}"/>
    <cellStyle name="Normal 14 10" xfId="1782" xr:uid="{572AF341-8B62-48FE-BF9A-FE638B9EE9CC}"/>
    <cellStyle name="Normal 14 10 2" xfId="3450" xr:uid="{DE87F40E-E6A4-485A-B978-47885D3E1655}"/>
    <cellStyle name="Normal 14 11" xfId="946" xr:uid="{546FE999-B481-4C43-B4D0-FCAB810C7F48}"/>
    <cellStyle name="Normal 14 12" xfId="2616" xr:uid="{40357F1A-C4DD-40EE-8754-EC62B68731BF}"/>
    <cellStyle name="Normal 14 2" xfId="198" xr:uid="{00000000-0005-0000-0000-000075000000}"/>
    <cellStyle name="Normal 14 2 2" xfId="1874" xr:uid="{DC38DDFB-A3F1-479B-9708-4124851E9252}"/>
    <cellStyle name="Normal 14 2 2 2" xfId="3542" xr:uid="{6A3E46B5-4CFA-4CE2-B936-E61DB38EB484}"/>
    <cellStyle name="Normal 14 2 3" xfId="1038" xr:uid="{9E88CC83-0F70-4A15-9F1F-7F5E39AD71C9}"/>
    <cellStyle name="Normal 14 2 4" xfId="2708" xr:uid="{547DB4EF-E57D-419B-8EA9-3E9B72A29759}"/>
    <cellStyle name="Normal 14 3" xfId="288" xr:uid="{00000000-0005-0000-0000-000076000000}"/>
    <cellStyle name="Normal 14 3 2" xfId="1964" xr:uid="{C00196C8-9FE8-44F9-8D19-ADFE072B57B4}"/>
    <cellStyle name="Normal 14 3 2 2" xfId="3632" xr:uid="{5B52652C-40BF-43B9-A0B3-878847CA5722}"/>
    <cellStyle name="Normal 14 3 3" xfId="1128" xr:uid="{F26DA5A8-A110-4EE0-A12F-6D61C9C9AA68}"/>
    <cellStyle name="Normal 14 3 4" xfId="2798" xr:uid="{EFFF4CE4-D566-4B1B-AB90-1BED0285F7A7}"/>
    <cellStyle name="Normal 14 4" xfId="378" xr:uid="{00000000-0005-0000-0000-000077000000}"/>
    <cellStyle name="Normal 14 4 2" xfId="2054" xr:uid="{06297FDD-2818-42F7-9C37-B922D25BB196}"/>
    <cellStyle name="Normal 14 4 2 2" xfId="3722" xr:uid="{5017283D-9F99-4185-8E47-C66DA0EBAE02}"/>
    <cellStyle name="Normal 14 4 3" xfId="1218" xr:uid="{5D1C9AB5-1E57-4878-B477-0BA8E7CF230B}"/>
    <cellStyle name="Normal 14 4 4" xfId="2888" xr:uid="{1FE8C8E4-A228-4F91-BF31-4C5511ACCD55}"/>
    <cellStyle name="Normal 14 5" xfId="468" xr:uid="{00000000-0005-0000-0000-000078000000}"/>
    <cellStyle name="Normal 14 5 2" xfId="2144" xr:uid="{0B267FB7-51F3-4B76-8089-835DBEEC5390}"/>
    <cellStyle name="Normal 14 5 2 2" xfId="3812" xr:uid="{EF2F5EB5-B661-4C81-8FB7-E1E32133D919}"/>
    <cellStyle name="Normal 14 5 3" xfId="1308" xr:uid="{DCA05DD8-EC45-4476-A9F5-FA8E067EEC06}"/>
    <cellStyle name="Normal 14 5 4" xfId="2978" xr:uid="{722D8EBF-2D10-477B-813E-2FA2324F7D7B}"/>
    <cellStyle name="Normal 14 6" xfId="558" xr:uid="{00000000-0005-0000-0000-000079000000}"/>
    <cellStyle name="Normal 14 6 2" xfId="2234" xr:uid="{9E5D530C-9285-404F-AEF1-943415719934}"/>
    <cellStyle name="Normal 14 6 2 2" xfId="3902" xr:uid="{A2A53AA2-7977-4379-B4B5-86F079A86E87}"/>
    <cellStyle name="Normal 14 6 3" xfId="1398" xr:uid="{76A65925-1B33-4ED0-A595-9CD62DF52778}"/>
    <cellStyle name="Normal 14 6 4" xfId="3068" xr:uid="{F037C497-8D5D-4E9A-8C48-2C0CF9870DB7}"/>
    <cellStyle name="Normal 14 7" xfId="648" xr:uid="{00000000-0005-0000-0000-00007A000000}"/>
    <cellStyle name="Normal 14 7 2" xfId="2324" xr:uid="{09419AA7-5DCD-4F38-973B-1EBD8481F37B}"/>
    <cellStyle name="Normal 14 7 2 2" xfId="3992" xr:uid="{57443E9E-C980-465D-A2B6-C26473B7708B}"/>
    <cellStyle name="Normal 14 7 3" xfId="1488" xr:uid="{89B56D18-F6CF-44AA-B21D-D18A4AFE4CC2}"/>
    <cellStyle name="Normal 14 7 4" xfId="3158" xr:uid="{91D1D530-C412-4CFB-84D0-A2DCFED0F164}"/>
    <cellStyle name="Normal 14 8" xfId="738" xr:uid="{00000000-0005-0000-0000-00007B000000}"/>
    <cellStyle name="Normal 14 8 2" xfId="2414" xr:uid="{245F2767-9488-4760-9A73-FCC5EC2362A0}"/>
    <cellStyle name="Normal 14 8 2 2" xfId="4082" xr:uid="{685CF3BD-A87E-4533-9FD4-B52928E0C4ED}"/>
    <cellStyle name="Normal 14 8 3" xfId="1578" xr:uid="{3597A6E6-1176-4A56-A704-BA302E770459}"/>
    <cellStyle name="Normal 14 8 4" xfId="3248" xr:uid="{0300CAFD-4B5A-42CE-98D6-BF8805996AA0}"/>
    <cellStyle name="Normal 14 9" xfId="835" xr:uid="{00000000-0005-0000-0000-00007C000000}"/>
    <cellStyle name="Normal 14 9 2" xfId="2511" xr:uid="{590A3B62-21ED-49D8-BCB5-534301A3BE89}"/>
    <cellStyle name="Normal 14 9 2 2" xfId="4179" xr:uid="{38118B48-4519-415D-B030-E15DC4894B69}"/>
    <cellStyle name="Normal 14 9 3" xfId="1675" xr:uid="{5479A617-51BF-472B-B858-FCDCE5B85313}"/>
    <cellStyle name="Normal 14 9 4" xfId="3345" xr:uid="{7D2040B7-87BB-4B6F-8762-514EE47E6DBB}"/>
    <cellStyle name="Normal 15" xfId="109" xr:uid="{00000000-0005-0000-0000-00007D000000}"/>
    <cellStyle name="Normal 15 10" xfId="1785" xr:uid="{EDC4BCB0-8FBB-4830-8F70-2E9550BA1130}"/>
    <cellStyle name="Normal 15 10 2" xfId="3453" xr:uid="{DFEC62E2-380F-4A0E-82FF-B506C61AACAF}"/>
    <cellStyle name="Normal 15 11" xfId="949" xr:uid="{3F2E7615-A357-47C1-9D19-4665DCE5F457}"/>
    <cellStyle name="Normal 15 12" xfId="2619" xr:uid="{2E3D3E0F-C6F7-4FCB-81A2-215FEECB7326}"/>
    <cellStyle name="Normal 15 2" xfId="201" xr:uid="{00000000-0005-0000-0000-00007E000000}"/>
    <cellStyle name="Normal 15 2 2" xfId="1877" xr:uid="{79D11970-710C-4896-9716-354494F1F434}"/>
    <cellStyle name="Normal 15 2 2 2" xfId="3545" xr:uid="{99378CC0-5E1E-46F7-802C-A453ADCED7C7}"/>
    <cellStyle name="Normal 15 2 3" xfId="1041" xr:uid="{D07093F6-E5E0-4471-B56E-A54D7495023F}"/>
    <cellStyle name="Normal 15 2 4" xfId="2711" xr:uid="{9300560F-B4A9-4051-8074-C832459480E9}"/>
    <cellStyle name="Normal 15 3" xfId="291" xr:uid="{00000000-0005-0000-0000-00007F000000}"/>
    <cellStyle name="Normal 15 3 2" xfId="1967" xr:uid="{6823259D-0B06-43E7-BFAB-83783F0305D7}"/>
    <cellStyle name="Normal 15 3 2 2" xfId="3635" xr:uid="{0C362858-C4F2-4784-9D6F-F1DCF61CC5C0}"/>
    <cellStyle name="Normal 15 3 3" xfId="1131" xr:uid="{D94B9962-6129-46BC-BCCE-11B0F9B2C5FD}"/>
    <cellStyle name="Normal 15 3 4" xfId="2801" xr:uid="{6E80AD99-64C1-4CF3-85E7-54553835BD56}"/>
    <cellStyle name="Normal 15 4" xfId="381" xr:uid="{00000000-0005-0000-0000-000080000000}"/>
    <cellStyle name="Normal 15 4 2" xfId="2057" xr:uid="{F31E7133-060E-48FD-A770-098ECBDEFEA7}"/>
    <cellStyle name="Normal 15 4 2 2" xfId="3725" xr:uid="{9D99BD64-085A-4B4B-9D9E-1A0FE9C7FEDB}"/>
    <cellStyle name="Normal 15 4 3" xfId="1221" xr:uid="{C7D6CF2E-00B0-4379-B0A5-26750A7C5865}"/>
    <cellStyle name="Normal 15 4 4" xfId="2891" xr:uid="{EE36BDE0-4279-4F57-950E-7AA858B4A484}"/>
    <cellStyle name="Normal 15 5" xfId="471" xr:uid="{00000000-0005-0000-0000-000081000000}"/>
    <cellStyle name="Normal 15 5 2" xfId="2147" xr:uid="{1158E458-704E-4081-B33B-4F86C45F7220}"/>
    <cellStyle name="Normal 15 5 2 2" xfId="3815" xr:uid="{5694A92D-29C0-491E-A0F8-CC27696A1D7A}"/>
    <cellStyle name="Normal 15 5 3" xfId="1311" xr:uid="{9C4DFBFB-CBB9-40F0-89DE-B1862EA89B09}"/>
    <cellStyle name="Normal 15 5 4" xfId="2981" xr:uid="{4B22D00E-17AA-48D2-9FA7-89BFEAC8FA1D}"/>
    <cellStyle name="Normal 15 6" xfId="561" xr:uid="{00000000-0005-0000-0000-000082000000}"/>
    <cellStyle name="Normal 15 6 2" xfId="2237" xr:uid="{D1930606-F750-490B-A6A0-3F45C110A087}"/>
    <cellStyle name="Normal 15 6 2 2" xfId="3905" xr:uid="{938C67F0-B19B-4C12-81E3-5AC65FAE48E4}"/>
    <cellStyle name="Normal 15 6 3" xfId="1401" xr:uid="{17A65920-CF38-463F-81C7-DC839455C069}"/>
    <cellStyle name="Normal 15 6 4" xfId="3071" xr:uid="{3AEC3984-38E1-4125-9CB2-778DF767FFE0}"/>
    <cellStyle name="Normal 15 7" xfId="651" xr:uid="{00000000-0005-0000-0000-000083000000}"/>
    <cellStyle name="Normal 15 7 2" xfId="2327" xr:uid="{D920D00D-BB1A-43DC-A761-AF667064ED44}"/>
    <cellStyle name="Normal 15 7 2 2" xfId="3995" xr:uid="{6E2FF502-2A3A-46CD-A279-0E0EA24842DC}"/>
    <cellStyle name="Normal 15 7 3" xfId="1491" xr:uid="{59596FB5-A4C7-4223-8180-DA6B7794170C}"/>
    <cellStyle name="Normal 15 7 4" xfId="3161" xr:uid="{9375529A-D12E-475B-80DD-17DB8919BF74}"/>
    <cellStyle name="Normal 15 8" xfId="741" xr:uid="{00000000-0005-0000-0000-000084000000}"/>
    <cellStyle name="Normal 15 8 2" xfId="2417" xr:uid="{0A7BE08E-477F-4694-B3E1-0267144FB6B3}"/>
    <cellStyle name="Normal 15 8 2 2" xfId="4085" xr:uid="{F72AFBA3-98D3-435D-883E-01170D27D273}"/>
    <cellStyle name="Normal 15 8 3" xfId="1581" xr:uid="{0F861CB5-07FF-4EAC-87EC-A307AB9D9771}"/>
    <cellStyle name="Normal 15 8 4" xfId="3251" xr:uid="{B57B4FE6-AEA4-4D6D-A061-1FBA8BFCB1EF}"/>
    <cellStyle name="Normal 15 9" xfId="838" xr:uid="{00000000-0005-0000-0000-000085000000}"/>
    <cellStyle name="Normal 15 9 2" xfId="2514" xr:uid="{93C333A5-D6B8-452F-BBA7-C9F8F3C8D8EA}"/>
    <cellStyle name="Normal 15 9 2 2" xfId="4182" xr:uid="{826154E4-D5C1-409F-824E-8056617FC7FD}"/>
    <cellStyle name="Normal 15 9 3" xfId="1678" xr:uid="{53D420FF-37B4-4CF2-8F5A-5C8402ACFA57}"/>
    <cellStyle name="Normal 15 9 4" xfId="3348" xr:uid="{4505E0B9-EF09-45FE-99A1-B5C73AFA5ED4}"/>
    <cellStyle name="Normal 16" xfId="112" xr:uid="{00000000-0005-0000-0000-000086000000}"/>
    <cellStyle name="Normal 16 10" xfId="1788" xr:uid="{32905E31-9940-4ABD-96A0-93C8006E83D1}"/>
    <cellStyle name="Normal 16 10 2" xfId="3456" xr:uid="{C7B12601-3559-4F1D-84FB-7E232C39CA7A}"/>
    <cellStyle name="Normal 16 11" xfId="952" xr:uid="{EB2E1AAE-8974-402F-BE9B-FF3BAC2EC2FB}"/>
    <cellStyle name="Normal 16 12" xfId="2622" xr:uid="{503E2885-412B-4A0F-B30A-6AEA30FDE047}"/>
    <cellStyle name="Normal 16 2" xfId="204" xr:uid="{00000000-0005-0000-0000-000087000000}"/>
    <cellStyle name="Normal 16 2 2" xfId="1880" xr:uid="{0D17F9C8-47AC-4A6C-B151-4F44A7B576D8}"/>
    <cellStyle name="Normal 16 2 2 2" xfId="3548" xr:uid="{D4BDC6C7-BE76-49F0-912C-D208A4663411}"/>
    <cellStyle name="Normal 16 2 3" xfId="1044" xr:uid="{49917D5F-44C2-4E6E-AFCC-393A9087F097}"/>
    <cellStyle name="Normal 16 2 4" xfId="2714" xr:uid="{2EC6366D-5C63-46ED-94BB-8B4F8DD7A299}"/>
    <cellStyle name="Normal 16 3" xfId="294" xr:uid="{00000000-0005-0000-0000-000088000000}"/>
    <cellStyle name="Normal 16 3 2" xfId="1970" xr:uid="{C76B49FC-845A-4222-8517-C6A9E1FA9371}"/>
    <cellStyle name="Normal 16 3 2 2" xfId="3638" xr:uid="{A773ED06-9FDA-4573-B9E4-2675EAB59ABE}"/>
    <cellStyle name="Normal 16 3 3" xfId="1134" xr:uid="{9DC57341-05BB-496E-BFC9-2EB484CC76B9}"/>
    <cellStyle name="Normal 16 3 4" xfId="2804" xr:uid="{1B7B7D76-D0A0-426C-811E-FD06C058C5C7}"/>
    <cellStyle name="Normal 16 4" xfId="384" xr:uid="{00000000-0005-0000-0000-000089000000}"/>
    <cellStyle name="Normal 16 4 2" xfId="2060" xr:uid="{FD8D08C4-EB9F-49A0-BCED-2FA8A2D47E23}"/>
    <cellStyle name="Normal 16 4 2 2" xfId="3728" xr:uid="{A15FE0BC-EC97-4FB9-AEB4-7DD61979B099}"/>
    <cellStyle name="Normal 16 4 3" xfId="1224" xr:uid="{56BBCD7A-3CF4-488D-A0DC-6E46F104FFB8}"/>
    <cellStyle name="Normal 16 4 4" xfId="2894" xr:uid="{8FA56CD3-8E24-4F93-B6A8-12406FE9B2A1}"/>
    <cellStyle name="Normal 16 5" xfId="474" xr:uid="{00000000-0005-0000-0000-00008A000000}"/>
    <cellStyle name="Normal 16 5 2" xfId="2150" xr:uid="{D754B0A1-F05D-4001-9DA5-F74DE980CB3B}"/>
    <cellStyle name="Normal 16 5 2 2" xfId="3818" xr:uid="{D3BCE4B0-7E1D-4A7F-A684-A782F01D1358}"/>
    <cellStyle name="Normal 16 5 3" xfId="1314" xr:uid="{B5D29DA3-CD83-4D22-9A53-687E87069F73}"/>
    <cellStyle name="Normal 16 5 4" xfId="2984" xr:uid="{3E311881-19F8-4F93-B21B-5B924D435F1A}"/>
    <cellStyle name="Normal 16 6" xfId="564" xr:uid="{00000000-0005-0000-0000-00008B000000}"/>
    <cellStyle name="Normal 16 6 2" xfId="2240" xr:uid="{C4FA269E-B17F-46A5-ADF4-3B19B7DC49BB}"/>
    <cellStyle name="Normal 16 6 2 2" xfId="3908" xr:uid="{A611887B-7E18-4BF2-A5AA-9EAC225172D1}"/>
    <cellStyle name="Normal 16 6 3" xfId="1404" xr:uid="{034E5DDA-221E-40EE-8435-0D40B17A1A96}"/>
    <cellStyle name="Normal 16 6 4" xfId="3074" xr:uid="{9CB1E35E-52F9-4DD6-8C86-5EB7A64F4419}"/>
    <cellStyle name="Normal 16 7" xfId="654" xr:uid="{00000000-0005-0000-0000-00008C000000}"/>
    <cellStyle name="Normal 16 7 2" xfId="2330" xr:uid="{65E6C14A-576E-4AEE-A04A-A4AF04FA5F09}"/>
    <cellStyle name="Normal 16 7 2 2" xfId="3998" xr:uid="{0D217A25-FC5A-4272-BFD9-9AD83E841E6C}"/>
    <cellStyle name="Normal 16 7 3" xfId="1494" xr:uid="{B4547FC2-3021-45B5-9A3E-77482C4BADFC}"/>
    <cellStyle name="Normal 16 7 4" xfId="3164" xr:uid="{8E641920-B8CE-466A-8B57-340EC24179D3}"/>
    <cellStyle name="Normal 16 8" xfId="744" xr:uid="{00000000-0005-0000-0000-00008D000000}"/>
    <cellStyle name="Normal 16 8 2" xfId="2420" xr:uid="{AF92547C-2049-4C44-834A-EF5A99C41FE2}"/>
    <cellStyle name="Normal 16 8 2 2" xfId="4088" xr:uid="{2D42BE3F-C979-47E8-A742-1D3B9D84B3FE}"/>
    <cellStyle name="Normal 16 8 3" xfId="1584" xr:uid="{9BAF1CCF-6417-4305-9103-601D0E36A047}"/>
    <cellStyle name="Normal 16 8 4" xfId="3254" xr:uid="{F3637C5C-88B9-474A-945F-33AFFDFD0588}"/>
    <cellStyle name="Normal 16 9" xfId="841" xr:uid="{00000000-0005-0000-0000-00008E000000}"/>
    <cellStyle name="Normal 16 9 2" xfId="2517" xr:uid="{B57BF8AC-13D3-45C0-9752-42E8102B990D}"/>
    <cellStyle name="Normal 16 9 2 2" xfId="4185" xr:uid="{C9279932-ECEA-4544-A236-B1CE0533AEEF}"/>
    <cellStyle name="Normal 16 9 3" xfId="1681" xr:uid="{EF297BD8-6C50-4A8C-AD94-D27EC4BEE5CB}"/>
    <cellStyle name="Normal 16 9 4" xfId="3351" xr:uid="{F8B7F1EB-297E-4F18-ABB6-2599F4CF8DBD}"/>
    <cellStyle name="Normal 17" xfId="8" xr:uid="{00000000-0005-0000-0000-00008F000000}"/>
    <cellStyle name="Normal 17 2" xfId="1693" xr:uid="{1C7CFDB3-E77B-4A70-9DE1-95034F4D82C2}"/>
    <cellStyle name="Normal 17 2 2" xfId="3362" xr:uid="{EA8E8E87-232E-49BD-BC95-EED0AF9C1CBC}"/>
    <cellStyle name="Normal 17 3" xfId="857" xr:uid="{16596520-E55A-4059-9CC6-1CF2C4DE89DF}"/>
    <cellStyle name="Normal 17 4" xfId="2528" xr:uid="{4BA6E2B3-0E70-4FC6-886B-4FA697E56A5C}"/>
    <cellStyle name="Normal 18" xfId="10" xr:uid="{00000000-0005-0000-0000-000090000000}"/>
    <cellStyle name="Normal 18 2" xfId="1694" xr:uid="{3AC3339D-7FF3-4CCE-B487-145CEB56E5F6}"/>
    <cellStyle name="Normal 18 3" xfId="858" xr:uid="{428A7227-8647-4A74-903E-3804256024CA}"/>
    <cellStyle name="Normal 19" xfId="117" xr:uid="{00000000-0005-0000-0000-000091000000}"/>
    <cellStyle name="Normal 19 2" xfId="1793" xr:uid="{EBAF69C2-4CEF-4B77-8493-EB6C7156493B}"/>
    <cellStyle name="Normal 19 2 2" xfId="3461" xr:uid="{BA690FF3-943E-453D-AD1A-AD16BDB0AC47}"/>
    <cellStyle name="Normal 19 3" xfId="957" xr:uid="{C4CFE9BA-4D1E-40DD-9C61-117A832A3E6F}"/>
    <cellStyle name="Normal 19 4" xfId="2627" xr:uid="{01EDC3EF-5638-4033-9339-E8B51B1278F9}"/>
    <cellStyle name="Normal 2" xfId="1" xr:uid="{00000000-0005-0000-0000-000092000000}"/>
    <cellStyle name="Normal 2 2" xfId="7" xr:uid="{00000000-0005-0000-0000-000093000000}"/>
    <cellStyle name="Normal 2 2 2" xfId="852" xr:uid="{1C7488BD-D0A7-4BD6-89BE-682016A3202E}"/>
    <cellStyle name="Normal 2 3" xfId="20" xr:uid="{00000000-0005-0000-0000-000094000000}"/>
    <cellStyle name="Normal 2 4" xfId="39" xr:uid="{00000000-0005-0000-0000-000095000000}"/>
    <cellStyle name="Normal 2 5" xfId="60" xr:uid="{00000000-0005-0000-0000-000096000000}"/>
    <cellStyle name="Normal 20" xfId="207" xr:uid="{00000000-0005-0000-0000-000097000000}"/>
    <cellStyle name="Normal 20 2" xfId="1883" xr:uid="{19AD40AA-CBA6-4495-A60E-955C83D7A178}"/>
    <cellStyle name="Normal 20 2 2" xfId="3551" xr:uid="{60A96C50-3991-4A37-8CA2-B92F4DB397C1}"/>
    <cellStyle name="Normal 20 3" xfId="1047" xr:uid="{6D8AFE77-8E55-4EC5-9122-083516DD44CC}"/>
    <cellStyle name="Normal 20 4" xfId="2717" xr:uid="{A4C09621-2CB0-4BBA-95B6-52BEA7970871}"/>
    <cellStyle name="Normal 21" xfId="297" xr:uid="{00000000-0005-0000-0000-000098000000}"/>
    <cellStyle name="Normal 21 2" xfId="1973" xr:uid="{2391312B-CECD-4FF3-A42E-8AEB99D0F962}"/>
    <cellStyle name="Normal 21 2 2" xfId="3641" xr:uid="{9691A663-BCC8-4846-BD02-8BE454E46C46}"/>
    <cellStyle name="Normal 21 3" xfId="1137" xr:uid="{5444B16B-E887-4A2B-9492-8ED3BD148B2F}"/>
    <cellStyle name="Normal 21 4" xfId="2807" xr:uid="{A3F67B01-994D-4AD1-8E01-EF5FF7E398E6}"/>
    <cellStyle name="Normal 22" xfId="387" xr:uid="{00000000-0005-0000-0000-000099000000}"/>
    <cellStyle name="Normal 22 2" xfId="2063" xr:uid="{9DC32965-0B5E-4CC0-813A-B0D726A0CE4D}"/>
    <cellStyle name="Normal 22 2 2" xfId="3731" xr:uid="{B2BFA10E-BD51-4D47-85B2-FCB375E191CF}"/>
    <cellStyle name="Normal 22 3" xfId="1227" xr:uid="{CC57B772-016E-4D51-ACFF-F6DC0AE339A4}"/>
    <cellStyle name="Normal 22 4" xfId="2897" xr:uid="{4D5D9B8F-53F4-4A7C-B42F-EF9019EBAC6F}"/>
    <cellStyle name="Normal 23" xfId="477" xr:uid="{00000000-0005-0000-0000-00009A000000}"/>
    <cellStyle name="Normal 23 2" xfId="2153" xr:uid="{72EAF528-AA1B-4EE9-8ADB-FC67888F593E}"/>
    <cellStyle name="Normal 23 2 2" xfId="3821" xr:uid="{140B361A-2205-43A7-98F3-2A2CC2BFA27F}"/>
    <cellStyle name="Normal 23 3" xfId="1317" xr:uid="{459DDF39-C87A-44A0-A3DF-C8D63624264E}"/>
    <cellStyle name="Normal 23 4" xfId="2987" xr:uid="{A5AE60FF-90B6-44D0-86B2-C4D15CDA68E4}"/>
    <cellStyle name="Normal 24" xfId="567" xr:uid="{00000000-0005-0000-0000-00009B000000}"/>
    <cellStyle name="Normal 24 2" xfId="2243" xr:uid="{FA34A5CF-47BD-4973-A2AE-17F1FE0024E0}"/>
    <cellStyle name="Normal 24 2 2" xfId="3911" xr:uid="{8D5BC120-EEA8-4652-9174-799873528FA4}"/>
    <cellStyle name="Normal 24 3" xfId="1407" xr:uid="{343C6B5A-9E12-4AF0-BF21-A854FE1136E8}"/>
    <cellStyle name="Normal 24 4" xfId="3077" xr:uid="{2A9CDB8B-650B-40BF-911B-34CEBCA8B0A5}"/>
    <cellStyle name="Normal 25" xfId="657" xr:uid="{00000000-0005-0000-0000-00009C000000}"/>
    <cellStyle name="Normal 25 2" xfId="2333" xr:uid="{88FF089F-04B1-4FD6-B50C-B694CB9DAD67}"/>
    <cellStyle name="Normal 25 2 2" xfId="4001" xr:uid="{3010904F-42A6-4E79-BD9B-AD6EAFAF8076}"/>
    <cellStyle name="Normal 25 3" xfId="1497" xr:uid="{6471B66C-A9EF-4488-8A3A-CFAE6E4312ED}"/>
    <cellStyle name="Normal 25 4" xfId="3167" xr:uid="{D29062D5-D4B2-4A07-B912-65612C542562}"/>
    <cellStyle name="Normal 26" xfId="747" xr:uid="{00000000-0005-0000-0000-00009D000000}"/>
    <cellStyle name="Normal 26 2" xfId="2423" xr:uid="{17464379-6734-4544-9444-D084D0D63B94}"/>
    <cellStyle name="Normal 26 2 2" xfId="4091" xr:uid="{9EE103A2-DFFD-4E65-A585-38514AC55AA2}"/>
    <cellStyle name="Normal 26 3" xfId="1587" xr:uid="{454760F9-5A17-4F9B-AD49-A58265AB85AF}"/>
    <cellStyle name="Normal 26 4" xfId="3257" xr:uid="{444BEFE9-A331-4D90-B85D-A07738690671}"/>
    <cellStyle name="Normal 27" xfId="851" xr:uid="{ED50C316-25E5-4ED7-8355-A3104735F1B2}"/>
    <cellStyle name="Normal 27 2" xfId="2524" xr:uid="{839025B2-217D-4F10-8C8A-176093AAE8DD}"/>
    <cellStyle name="Normal 27 2 2" xfId="4192" xr:uid="{9CC50D17-AB0C-4918-8E97-6E950E8DE342}"/>
    <cellStyle name="Normal 27 3" xfId="1688" xr:uid="{97777047-B31A-46CB-968E-11F12E8C843E}"/>
    <cellStyle name="Normal 27 4" xfId="3358" xr:uid="{9B5D5391-2AD1-49D6-91E8-F4A3D58E3EEB}"/>
    <cellStyle name="Normal 3" xfId="4" xr:uid="{00000000-0005-0000-0000-00009E000000}"/>
    <cellStyle name="Normal 3 10" xfId="104" xr:uid="{00000000-0005-0000-0000-00009F000000}"/>
    <cellStyle name="Normal 3 10 10" xfId="1780" xr:uid="{901B818F-2C36-4ADB-9119-ABDA1BB6CA10}"/>
    <cellStyle name="Normal 3 10 10 2" xfId="3448" xr:uid="{C597E1E1-52BB-448B-B9CA-1ADC120C4874}"/>
    <cellStyle name="Normal 3 10 11" xfId="944" xr:uid="{1DEB7E05-0484-4A88-AB83-D12A97225C84}"/>
    <cellStyle name="Normal 3 10 12" xfId="2614" xr:uid="{2EF2AE4E-3246-40A3-92BC-14D520E1AB47}"/>
    <cellStyle name="Normal 3 10 2" xfId="196" xr:uid="{00000000-0005-0000-0000-0000A0000000}"/>
    <cellStyle name="Normal 3 10 2 2" xfId="1872" xr:uid="{08D987C5-62C2-488D-8649-94E85120D111}"/>
    <cellStyle name="Normal 3 10 2 2 2" xfId="3540" xr:uid="{2F78A71F-2B19-41CC-9686-31F91D7FC2F1}"/>
    <cellStyle name="Normal 3 10 2 3" xfId="1036" xr:uid="{ADE74A6B-D112-4836-8AC3-FFBA01C129F6}"/>
    <cellStyle name="Normal 3 10 2 4" xfId="2706" xr:uid="{E1BAA199-5891-498D-9B1C-84350AA24DB0}"/>
    <cellStyle name="Normal 3 10 3" xfId="286" xr:uid="{00000000-0005-0000-0000-0000A1000000}"/>
    <cellStyle name="Normal 3 10 3 2" xfId="1962" xr:uid="{F26C56DC-EC51-4AD7-9B0A-9D19CE25796C}"/>
    <cellStyle name="Normal 3 10 3 2 2" xfId="3630" xr:uid="{D362A15C-83E8-4ED8-A384-839104825D84}"/>
    <cellStyle name="Normal 3 10 3 3" xfId="1126" xr:uid="{7FF3DD97-9946-4B93-9BD5-74E25B0414C1}"/>
    <cellStyle name="Normal 3 10 3 4" xfId="2796" xr:uid="{14F875E9-6C73-4A76-823B-0DC80160891E}"/>
    <cellStyle name="Normal 3 10 4" xfId="376" xr:uid="{00000000-0005-0000-0000-0000A2000000}"/>
    <cellStyle name="Normal 3 10 4 2" xfId="2052" xr:uid="{65F40802-63A7-4398-9026-3782B9137031}"/>
    <cellStyle name="Normal 3 10 4 2 2" xfId="3720" xr:uid="{9613D2A9-D25B-41A3-8E77-5540D7022770}"/>
    <cellStyle name="Normal 3 10 4 3" xfId="1216" xr:uid="{F1AE06D3-B896-469F-8D0F-B1400503FEB8}"/>
    <cellStyle name="Normal 3 10 4 4" xfId="2886" xr:uid="{CD518227-9110-4E89-858B-0326D3A625A8}"/>
    <cellStyle name="Normal 3 10 5" xfId="466" xr:uid="{00000000-0005-0000-0000-0000A3000000}"/>
    <cellStyle name="Normal 3 10 5 2" xfId="2142" xr:uid="{891EFD62-1C67-434E-9AC8-B217A56BC159}"/>
    <cellStyle name="Normal 3 10 5 2 2" xfId="3810" xr:uid="{D2A46B54-DDC2-4F22-9CE6-C3196CD3C25A}"/>
    <cellStyle name="Normal 3 10 5 3" xfId="1306" xr:uid="{441C5665-16CE-4E37-83A3-E746E8301EE7}"/>
    <cellStyle name="Normal 3 10 5 4" xfId="2976" xr:uid="{E9620315-801E-4FA4-95CB-AD1FE8031897}"/>
    <cellStyle name="Normal 3 10 6" xfId="556" xr:uid="{00000000-0005-0000-0000-0000A4000000}"/>
    <cellStyle name="Normal 3 10 6 2" xfId="2232" xr:uid="{DD2CBA45-DC14-4CE2-AB51-ABF8E6713E6B}"/>
    <cellStyle name="Normal 3 10 6 2 2" xfId="3900" xr:uid="{027CACDA-CED4-433E-9DA7-0AD279554B7F}"/>
    <cellStyle name="Normal 3 10 6 3" xfId="1396" xr:uid="{F8DD8613-90A9-462A-BA29-AD7526F56D15}"/>
    <cellStyle name="Normal 3 10 6 4" xfId="3066" xr:uid="{CD986232-FDBC-4C81-BB0C-7FA8D6252065}"/>
    <cellStyle name="Normal 3 10 7" xfId="646" xr:uid="{00000000-0005-0000-0000-0000A5000000}"/>
    <cellStyle name="Normal 3 10 7 2" xfId="2322" xr:uid="{4F3FF594-2915-4F67-9225-10E96B368380}"/>
    <cellStyle name="Normal 3 10 7 2 2" xfId="3990" xr:uid="{C96DA32A-5981-4057-A765-BE375A7F4069}"/>
    <cellStyle name="Normal 3 10 7 3" xfId="1486" xr:uid="{1460E349-4ACA-46DD-BC78-B94D23B48982}"/>
    <cellStyle name="Normal 3 10 7 4" xfId="3156" xr:uid="{68E45D99-5123-466B-9BCE-7187EB674AC0}"/>
    <cellStyle name="Normal 3 10 8" xfId="736" xr:uid="{00000000-0005-0000-0000-0000A6000000}"/>
    <cellStyle name="Normal 3 10 8 2" xfId="2412" xr:uid="{E441254D-B103-4594-B6AE-485663E8ED16}"/>
    <cellStyle name="Normal 3 10 8 2 2" xfId="4080" xr:uid="{2620E8FB-6053-4417-9E0A-60950A633881}"/>
    <cellStyle name="Normal 3 10 8 3" xfId="1576" xr:uid="{2BDED288-4517-4E3D-A93D-699B5AE96BBF}"/>
    <cellStyle name="Normal 3 10 8 4" xfId="3246" xr:uid="{41158290-8731-4A80-A33E-E848493557D4}"/>
    <cellStyle name="Normal 3 10 9" xfId="833" xr:uid="{00000000-0005-0000-0000-0000A7000000}"/>
    <cellStyle name="Normal 3 10 9 2" xfId="2509" xr:uid="{0E4C3A79-1AB8-48B1-8241-0F007C05138C}"/>
    <cellStyle name="Normal 3 10 9 2 2" xfId="4177" xr:uid="{DD3C14A1-3E93-4578-A1D4-54E878A69267}"/>
    <cellStyle name="Normal 3 10 9 3" xfId="1673" xr:uid="{D72E79B6-054B-4A6F-8479-D7898040D37E}"/>
    <cellStyle name="Normal 3 10 9 4" xfId="3343" xr:uid="{28F39387-75D0-40B8-92D7-F82CE5DDF0E8}"/>
    <cellStyle name="Normal 3 11" xfId="107" xr:uid="{00000000-0005-0000-0000-0000A8000000}"/>
    <cellStyle name="Normal 3 11 10" xfId="1783" xr:uid="{F40044E6-DCB8-4130-89CC-FD37B4BA0B73}"/>
    <cellStyle name="Normal 3 11 10 2" xfId="3451" xr:uid="{8045DDC7-A3E0-4D63-9C81-FCDB76B25AF1}"/>
    <cellStyle name="Normal 3 11 11" xfId="947" xr:uid="{62BFF7D2-7E2C-4EAA-9966-F29EE73E0708}"/>
    <cellStyle name="Normal 3 11 12" xfId="2617" xr:uid="{022B0DAC-33E5-4212-AF7F-30102EF76F85}"/>
    <cellStyle name="Normal 3 11 2" xfId="199" xr:uid="{00000000-0005-0000-0000-0000A9000000}"/>
    <cellStyle name="Normal 3 11 2 2" xfId="1875" xr:uid="{BDB6F500-8C9B-471B-BB2B-95990EDC0C15}"/>
    <cellStyle name="Normal 3 11 2 2 2" xfId="3543" xr:uid="{00AE6B2A-E03D-49AB-9FDB-B6190A6E436E}"/>
    <cellStyle name="Normal 3 11 2 3" xfId="1039" xr:uid="{240AA27D-51AE-4FA1-A3D3-6C5E03AD88C6}"/>
    <cellStyle name="Normal 3 11 2 4" xfId="2709" xr:uid="{D72FE79A-4A7E-443D-BAF2-E423ABE978C8}"/>
    <cellStyle name="Normal 3 11 3" xfId="289" xr:uid="{00000000-0005-0000-0000-0000AA000000}"/>
    <cellStyle name="Normal 3 11 3 2" xfId="1965" xr:uid="{37CAAB6A-E322-472D-AF76-3CC8B2314F18}"/>
    <cellStyle name="Normal 3 11 3 2 2" xfId="3633" xr:uid="{379D573E-6976-4E3D-B605-BFA31A47FB00}"/>
    <cellStyle name="Normal 3 11 3 3" xfId="1129" xr:uid="{30B274C1-AEC2-4BFC-A0F5-7BEF1EE70873}"/>
    <cellStyle name="Normal 3 11 3 4" xfId="2799" xr:uid="{95A9BA3C-5A65-44F6-948B-CF98458926C6}"/>
    <cellStyle name="Normal 3 11 4" xfId="379" xr:uid="{00000000-0005-0000-0000-0000AB000000}"/>
    <cellStyle name="Normal 3 11 4 2" xfId="2055" xr:uid="{BBA694DB-B463-487E-8774-6A6F3E80AEC0}"/>
    <cellStyle name="Normal 3 11 4 2 2" xfId="3723" xr:uid="{A4A0BA7A-F11F-4494-BC26-81026B8FA4C9}"/>
    <cellStyle name="Normal 3 11 4 3" xfId="1219" xr:uid="{5A566736-B902-4C1D-9170-DB8C7E375A15}"/>
    <cellStyle name="Normal 3 11 4 4" xfId="2889" xr:uid="{9FD84CDA-4362-4059-99C8-D2CA8FB07BB3}"/>
    <cellStyle name="Normal 3 11 5" xfId="469" xr:uid="{00000000-0005-0000-0000-0000AC000000}"/>
    <cellStyle name="Normal 3 11 5 2" xfId="2145" xr:uid="{4161B145-EECF-437F-9F5C-E16C4D702728}"/>
    <cellStyle name="Normal 3 11 5 2 2" xfId="3813" xr:uid="{69BE499A-D36B-478E-8E1A-66BCDCD8E9FC}"/>
    <cellStyle name="Normal 3 11 5 3" xfId="1309" xr:uid="{E850EA8E-E489-4F0D-AB86-1A7395F3548C}"/>
    <cellStyle name="Normal 3 11 5 4" xfId="2979" xr:uid="{16CA9B9D-A484-4C2B-990F-15EAF5A80E43}"/>
    <cellStyle name="Normal 3 11 6" xfId="559" xr:uid="{00000000-0005-0000-0000-0000AD000000}"/>
    <cellStyle name="Normal 3 11 6 2" xfId="2235" xr:uid="{7EC28EBA-5E77-4036-BBC5-F7CC7E841A80}"/>
    <cellStyle name="Normal 3 11 6 2 2" xfId="3903" xr:uid="{9F4179ED-6DC5-4A4A-ACB6-660CEF6F9CDF}"/>
    <cellStyle name="Normal 3 11 6 3" xfId="1399" xr:uid="{DD98D823-7A6D-4734-BA99-3DBD9385E693}"/>
    <cellStyle name="Normal 3 11 6 4" xfId="3069" xr:uid="{29431CEB-A13D-421D-AD13-38530A5D1B38}"/>
    <cellStyle name="Normal 3 11 7" xfId="649" xr:uid="{00000000-0005-0000-0000-0000AE000000}"/>
    <cellStyle name="Normal 3 11 7 2" xfId="2325" xr:uid="{B39202AF-4D68-4A2C-81B6-EA7D3C1379FE}"/>
    <cellStyle name="Normal 3 11 7 2 2" xfId="3993" xr:uid="{9CFDFFFC-BB11-4A83-A7AF-037EB9D4304B}"/>
    <cellStyle name="Normal 3 11 7 3" xfId="1489" xr:uid="{252E6C95-40CE-4DC1-9882-A57F89CF45A1}"/>
    <cellStyle name="Normal 3 11 7 4" xfId="3159" xr:uid="{7F412877-C74F-495B-B2D5-107CE1E53ABB}"/>
    <cellStyle name="Normal 3 11 8" xfId="739" xr:uid="{00000000-0005-0000-0000-0000AF000000}"/>
    <cellStyle name="Normal 3 11 8 2" xfId="2415" xr:uid="{652C6779-E50E-4C9A-8DDF-23C257B77D34}"/>
    <cellStyle name="Normal 3 11 8 2 2" xfId="4083" xr:uid="{E93647CC-F697-4DE2-8F8E-7E233632D06F}"/>
    <cellStyle name="Normal 3 11 8 3" xfId="1579" xr:uid="{AF200D67-3D92-45EE-AE2C-A0AAA19915E1}"/>
    <cellStyle name="Normal 3 11 8 4" xfId="3249" xr:uid="{3108B349-6D1F-46B9-89E0-7AE4F43C93DF}"/>
    <cellStyle name="Normal 3 11 9" xfId="836" xr:uid="{00000000-0005-0000-0000-0000B0000000}"/>
    <cellStyle name="Normal 3 11 9 2" xfId="2512" xr:uid="{D2A85DCE-6631-40E8-B4A2-B8CFC6F1A514}"/>
    <cellStyle name="Normal 3 11 9 2 2" xfId="4180" xr:uid="{9CE0C0D8-09CC-4867-B78D-F75468636368}"/>
    <cellStyle name="Normal 3 11 9 3" xfId="1676" xr:uid="{0643C3A3-CDE3-4EA0-9255-CE6E0BB40AF1}"/>
    <cellStyle name="Normal 3 11 9 4" xfId="3346" xr:uid="{D22E29D3-A2FE-42AE-9F8E-27ACDE36BE8D}"/>
    <cellStyle name="Normal 3 12" xfId="110" xr:uid="{00000000-0005-0000-0000-0000B1000000}"/>
    <cellStyle name="Normal 3 12 10" xfId="1786" xr:uid="{CDED2E18-7BDB-4F81-8547-2F87FA35D266}"/>
    <cellStyle name="Normal 3 12 10 2" xfId="3454" xr:uid="{6E14A7C7-8486-4F10-B5D4-170DD4869203}"/>
    <cellStyle name="Normal 3 12 11" xfId="950" xr:uid="{E6DDEDAF-1302-434F-A2E8-014E2D71C30A}"/>
    <cellStyle name="Normal 3 12 12" xfId="2620" xr:uid="{510A5D4D-F076-432C-8FB8-74BC80E3A6E7}"/>
    <cellStyle name="Normal 3 12 2" xfId="202" xr:uid="{00000000-0005-0000-0000-0000B2000000}"/>
    <cellStyle name="Normal 3 12 2 2" xfId="1878" xr:uid="{7FCB0C5B-BDBD-4A1A-93D3-3DF80FC5836A}"/>
    <cellStyle name="Normal 3 12 2 2 2" xfId="3546" xr:uid="{1524F824-289C-487C-8910-D5C104E76C04}"/>
    <cellStyle name="Normal 3 12 2 3" xfId="1042" xr:uid="{6570AC77-D3F9-4159-BD99-4BEC92AABAF4}"/>
    <cellStyle name="Normal 3 12 2 4" xfId="2712" xr:uid="{67219C33-1A65-4A45-936E-1B0456563052}"/>
    <cellStyle name="Normal 3 12 3" xfId="292" xr:uid="{00000000-0005-0000-0000-0000B3000000}"/>
    <cellStyle name="Normal 3 12 3 2" xfId="1968" xr:uid="{0590105A-C77F-49CD-8492-2A4A7FDE93E6}"/>
    <cellStyle name="Normal 3 12 3 2 2" xfId="3636" xr:uid="{F01AAF9C-F997-4D74-97E8-18FB46EE5DD1}"/>
    <cellStyle name="Normal 3 12 3 3" xfId="1132" xr:uid="{ED16FDCB-9414-4B1E-BF61-5B9969CD0E63}"/>
    <cellStyle name="Normal 3 12 3 4" xfId="2802" xr:uid="{E60FE788-FA16-4B9E-8197-57F76C38E513}"/>
    <cellStyle name="Normal 3 12 4" xfId="382" xr:uid="{00000000-0005-0000-0000-0000B4000000}"/>
    <cellStyle name="Normal 3 12 4 2" xfId="2058" xr:uid="{0E487A1D-3F7C-4F9F-AE6E-C687C3F4E683}"/>
    <cellStyle name="Normal 3 12 4 2 2" xfId="3726" xr:uid="{D543AF05-5782-4884-A9CD-82F2C241DAB3}"/>
    <cellStyle name="Normal 3 12 4 3" xfId="1222" xr:uid="{9FD2AE89-258D-49AE-9063-28E28D5DD592}"/>
    <cellStyle name="Normal 3 12 4 4" xfId="2892" xr:uid="{3864851F-D0DA-478E-AFB8-5FB4237F79EE}"/>
    <cellStyle name="Normal 3 12 5" xfId="472" xr:uid="{00000000-0005-0000-0000-0000B5000000}"/>
    <cellStyle name="Normal 3 12 5 2" xfId="2148" xr:uid="{7A80FF37-3AD3-4BCF-92AA-35CEF2AE9078}"/>
    <cellStyle name="Normal 3 12 5 2 2" xfId="3816" xr:uid="{BC47FFBE-5058-449B-A7AA-681965A6CC19}"/>
    <cellStyle name="Normal 3 12 5 3" xfId="1312" xr:uid="{4A25BF23-85C9-457A-8018-73D85151DFFD}"/>
    <cellStyle name="Normal 3 12 5 4" xfId="2982" xr:uid="{4A0EDAFD-F6EA-4064-9AD3-192C9D8016A0}"/>
    <cellStyle name="Normal 3 12 6" xfId="562" xr:uid="{00000000-0005-0000-0000-0000B6000000}"/>
    <cellStyle name="Normal 3 12 6 2" xfId="2238" xr:uid="{7622AA2E-5F01-4EF1-A058-2A1B52CE887A}"/>
    <cellStyle name="Normal 3 12 6 2 2" xfId="3906" xr:uid="{F937366E-CA93-42FF-BBA0-00043963B592}"/>
    <cellStyle name="Normal 3 12 6 3" xfId="1402" xr:uid="{6B325A6F-0562-4EC2-87BE-13AAA3051D8D}"/>
    <cellStyle name="Normal 3 12 6 4" xfId="3072" xr:uid="{6475D64A-54BC-40B7-8944-8ED85A098E9C}"/>
    <cellStyle name="Normal 3 12 7" xfId="652" xr:uid="{00000000-0005-0000-0000-0000B7000000}"/>
    <cellStyle name="Normal 3 12 7 2" xfId="2328" xr:uid="{12168F64-0EF1-4B67-AE4E-B6289CA57930}"/>
    <cellStyle name="Normal 3 12 7 2 2" xfId="3996" xr:uid="{03DCAA6B-6216-4ED9-A20F-D18FE7B183B1}"/>
    <cellStyle name="Normal 3 12 7 3" xfId="1492" xr:uid="{6DD515D6-A64F-40D8-8C55-55CE0914799C}"/>
    <cellStyle name="Normal 3 12 7 4" xfId="3162" xr:uid="{93C0BCD8-33C9-4B32-A773-160F04726EF2}"/>
    <cellStyle name="Normal 3 12 8" xfId="742" xr:uid="{00000000-0005-0000-0000-0000B8000000}"/>
    <cellStyle name="Normal 3 12 8 2" xfId="2418" xr:uid="{5DEE25B7-BC85-4248-97E5-881D240775C3}"/>
    <cellStyle name="Normal 3 12 8 2 2" xfId="4086" xr:uid="{00F8311C-685D-4642-ABC5-0F2B567D5574}"/>
    <cellStyle name="Normal 3 12 8 3" xfId="1582" xr:uid="{97D0430C-7DA7-49F5-BF64-482913F23B66}"/>
    <cellStyle name="Normal 3 12 8 4" xfId="3252" xr:uid="{14C71205-66E2-43C4-B5EE-EDCCB4525CB8}"/>
    <cellStyle name="Normal 3 12 9" xfId="839" xr:uid="{00000000-0005-0000-0000-0000B9000000}"/>
    <cellStyle name="Normal 3 12 9 2" xfId="2515" xr:uid="{9028B712-14E3-4CD5-8C98-98B4B5EAE703}"/>
    <cellStyle name="Normal 3 12 9 2 2" xfId="4183" xr:uid="{8AF58802-0D2D-46DC-86C8-EE822C1F869E}"/>
    <cellStyle name="Normal 3 12 9 3" xfId="1679" xr:uid="{65D90B5E-F2FB-4ECC-ACB1-DA18A046F876}"/>
    <cellStyle name="Normal 3 12 9 4" xfId="3349" xr:uid="{2BD91ECF-CD1F-4217-A948-56FEF053FCAA}"/>
    <cellStyle name="Normal 3 13" xfId="113" xr:uid="{00000000-0005-0000-0000-0000BA000000}"/>
    <cellStyle name="Normal 3 13 10" xfId="1789" xr:uid="{E026E9E7-E44C-43BA-BDF7-1A7D6F90E04C}"/>
    <cellStyle name="Normal 3 13 10 2" xfId="3457" xr:uid="{86BBDD6F-C051-4984-82FF-93F04996AE35}"/>
    <cellStyle name="Normal 3 13 11" xfId="953" xr:uid="{CDE5C9F7-BED2-4212-BE23-A76FA7912BBD}"/>
    <cellStyle name="Normal 3 13 12" xfId="2623" xr:uid="{59C5899B-F163-47AA-9D3C-71C4C0BA3D72}"/>
    <cellStyle name="Normal 3 13 2" xfId="205" xr:uid="{00000000-0005-0000-0000-0000BB000000}"/>
    <cellStyle name="Normal 3 13 2 2" xfId="1881" xr:uid="{922E9A81-9079-408F-B120-4A25D659BE00}"/>
    <cellStyle name="Normal 3 13 2 2 2" xfId="3549" xr:uid="{32311B1D-9D43-4699-8B07-B055379AF6FE}"/>
    <cellStyle name="Normal 3 13 2 3" xfId="1045" xr:uid="{2F1D5DB4-D8B3-48C2-8960-641D6D0C99BD}"/>
    <cellStyle name="Normal 3 13 2 4" xfId="2715" xr:uid="{F28E5F9A-52EE-4CF1-A99C-90C0E5F5FAC4}"/>
    <cellStyle name="Normal 3 13 3" xfId="295" xr:uid="{00000000-0005-0000-0000-0000BC000000}"/>
    <cellStyle name="Normal 3 13 3 2" xfId="1971" xr:uid="{23691953-01E8-491F-941F-65E08E8EF076}"/>
    <cellStyle name="Normal 3 13 3 2 2" xfId="3639" xr:uid="{7AAD66C5-A09B-49C2-AF56-FD4CBDDCA0A2}"/>
    <cellStyle name="Normal 3 13 3 3" xfId="1135" xr:uid="{99772267-83BA-42E8-9CC3-353A4CEF6358}"/>
    <cellStyle name="Normal 3 13 3 4" xfId="2805" xr:uid="{60E9DBF9-EB74-439B-9833-F6F4AEF941F6}"/>
    <cellStyle name="Normal 3 13 4" xfId="385" xr:uid="{00000000-0005-0000-0000-0000BD000000}"/>
    <cellStyle name="Normal 3 13 4 2" xfId="2061" xr:uid="{323A7FA6-14EA-4967-AED5-88F16CF289F4}"/>
    <cellStyle name="Normal 3 13 4 2 2" xfId="3729" xr:uid="{CB1E6435-0508-4127-AC13-8796BC63272A}"/>
    <cellStyle name="Normal 3 13 4 3" xfId="1225" xr:uid="{8E7036A2-B84F-45F9-94BB-AF274E72B8DA}"/>
    <cellStyle name="Normal 3 13 4 4" xfId="2895" xr:uid="{523C0DEC-5B69-41C2-944E-D486F7D5BF9A}"/>
    <cellStyle name="Normal 3 13 5" xfId="475" xr:uid="{00000000-0005-0000-0000-0000BE000000}"/>
    <cellStyle name="Normal 3 13 5 2" xfId="2151" xr:uid="{71F9FF28-4BBE-4BB3-A4B6-54392887DA76}"/>
    <cellStyle name="Normal 3 13 5 2 2" xfId="3819" xr:uid="{DA1B3707-BD38-4F26-8B63-C361AF0B7B4F}"/>
    <cellStyle name="Normal 3 13 5 3" xfId="1315" xr:uid="{B1D459BF-D633-470A-A26F-CAA355273E7A}"/>
    <cellStyle name="Normal 3 13 5 4" xfId="2985" xr:uid="{A8B0A8D8-3FCC-421B-BDCC-4E3F40D6ED1C}"/>
    <cellStyle name="Normal 3 13 6" xfId="565" xr:uid="{00000000-0005-0000-0000-0000BF000000}"/>
    <cellStyle name="Normal 3 13 6 2" xfId="2241" xr:uid="{A4EA5C4B-CC87-4325-9B4B-7CD83F285F81}"/>
    <cellStyle name="Normal 3 13 6 2 2" xfId="3909" xr:uid="{078E6018-5E90-4BA8-8B8B-C1625FEC3FC9}"/>
    <cellStyle name="Normal 3 13 6 3" xfId="1405" xr:uid="{19811BEB-1D59-4043-862C-F5BF20859A60}"/>
    <cellStyle name="Normal 3 13 6 4" xfId="3075" xr:uid="{5ED89752-13BE-41DC-95E0-366BD64F1F9F}"/>
    <cellStyle name="Normal 3 13 7" xfId="655" xr:uid="{00000000-0005-0000-0000-0000C0000000}"/>
    <cellStyle name="Normal 3 13 7 2" xfId="2331" xr:uid="{FF976193-A779-4637-A084-864605F961B0}"/>
    <cellStyle name="Normal 3 13 7 2 2" xfId="3999" xr:uid="{AD4BB154-9AD0-460B-87F8-495E79361310}"/>
    <cellStyle name="Normal 3 13 7 3" xfId="1495" xr:uid="{45D59E9A-2382-40C7-905E-6469E3BDC638}"/>
    <cellStyle name="Normal 3 13 7 4" xfId="3165" xr:uid="{1F92F3CA-76FD-4FAC-927D-E9D889980BCD}"/>
    <cellStyle name="Normal 3 13 8" xfId="745" xr:uid="{00000000-0005-0000-0000-0000C1000000}"/>
    <cellStyle name="Normal 3 13 8 2" xfId="2421" xr:uid="{6CFF37AD-2D44-44A0-A471-A74917456E00}"/>
    <cellStyle name="Normal 3 13 8 2 2" xfId="4089" xr:uid="{728C423A-0BCC-4521-9412-6A5C21645DA4}"/>
    <cellStyle name="Normal 3 13 8 3" xfId="1585" xr:uid="{FFDF6ABC-B1AF-4DEF-9678-42E27E5EF0AA}"/>
    <cellStyle name="Normal 3 13 8 4" xfId="3255" xr:uid="{66975DCA-B3B2-4087-A49E-27E0A75FBD91}"/>
    <cellStyle name="Normal 3 13 9" xfId="842" xr:uid="{00000000-0005-0000-0000-0000C2000000}"/>
    <cellStyle name="Normal 3 13 9 2" xfId="2518" xr:uid="{1AF73EE8-85D4-45B2-8CBD-B49BD5EC780D}"/>
    <cellStyle name="Normal 3 13 9 2 2" xfId="4186" xr:uid="{F2C45195-FFB4-439B-9609-8F03DE8E3445}"/>
    <cellStyle name="Normal 3 13 9 3" xfId="1682" xr:uid="{66008D5E-49CC-4EDF-8D1F-E1B7175D92B4}"/>
    <cellStyle name="Normal 3 13 9 4" xfId="3352" xr:uid="{425CC7E5-11E6-4650-BBC2-C23822B762A0}"/>
    <cellStyle name="Normal 3 14" xfId="11" xr:uid="{00000000-0005-0000-0000-0000C3000000}"/>
    <cellStyle name="Normal 3 14 2" xfId="1695" xr:uid="{DC7316BF-F209-4076-AE66-7A900D166369}"/>
    <cellStyle name="Normal 3 14 2 2" xfId="3363" xr:uid="{071C3772-C33B-464C-B960-0AE54580B968}"/>
    <cellStyle name="Normal 3 14 3" xfId="859" xr:uid="{AD963832-16D6-4381-9518-8B6CEC8BAFFF}"/>
    <cellStyle name="Normal 3 14 4" xfId="2529" xr:uid="{467CDB6C-8F5F-48BD-BB95-232F807B8189}"/>
    <cellStyle name="Normal 3 15" xfId="118" xr:uid="{00000000-0005-0000-0000-0000C4000000}"/>
    <cellStyle name="Normal 3 15 2" xfId="1794" xr:uid="{B5CB47BB-B2BD-4C93-910F-1A155A67E95F}"/>
    <cellStyle name="Normal 3 15 2 2" xfId="3462" xr:uid="{24B66232-7C6A-432B-A501-4E4F78A77917}"/>
    <cellStyle name="Normal 3 15 3" xfId="958" xr:uid="{E9773A83-DF7C-4CEA-AA62-6E1B9E8DAC1C}"/>
    <cellStyle name="Normal 3 15 4" xfId="2628" xr:uid="{97444E33-853D-4C32-8A48-5DA80AFAC9DA}"/>
    <cellStyle name="Normal 3 16" xfId="208" xr:uid="{00000000-0005-0000-0000-0000C5000000}"/>
    <cellStyle name="Normal 3 16 2" xfId="1884" xr:uid="{1C410A76-56A9-4B47-ACC1-C923C11DDD42}"/>
    <cellStyle name="Normal 3 16 2 2" xfId="3552" xr:uid="{DE9AF112-3A9D-4863-A477-77B5FF27B440}"/>
    <cellStyle name="Normal 3 16 3" xfId="1048" xr:uid="{4DF59A62-C877-4764-A642-B86E9301F493}"/>
    <cellStyle name="Normal 3 16 4" xfId="2718" xr:uid="{4CD6A3A5-06C7-4D38-915B-C344706F6E06}"/>
    <cellStyle name="Normal 3 17" xfId="298" xr:uid="{00000000-0005-0000-0000-0000C6000000}"/>
    <cellStyle name="Normal 3 17 2" xfId="1974" xr:uid="{3ACF4BC4-7416-43EE-B1B9-D59F3477832C}"/>
    <cellStyle name="Normal 3 17 2 2" xfId="3642" xr:uid="{BF20E7A7-4AE9-4E6D-A0BD-01B96F9EE6FC}"/>
    <cellStyle name="Normal 3 17 3" xfId="1138" xr:uid="{E38AE619-E4BF-446C-8E58-33DFB6010A9A}"/>
    <cellStyle name="Normal 3 17 4" xfId="2808" xr:uid="{5342D945-16E6-45E5-8209-CB89F9E15FA8}"/>
    <cellStyle name="Normal 3 18" xfId="388" xr:uid="{00000000-0005-0000-0000-0000C7000000}"/>
    <cellStyle name="Normal 3 18 2" xfId="2064" xr:uid="{F2D15B7A-37C9-4A58-A894-8A14B3A81BDC}"/>
    <cellStyle name="Normal 3 18 2 2" xfId="3732" xr:uid="{1B892A52-8BA9-401A-95E6-06AF36503E1C}"/>
    <cellStyle name="Normal 3 18 3" xfId="1228" xr:uid="{263352E5-511C-44B2-B6A5-2182125B5153}"/>
    <cellStyle name="Normal 3 18 4" xfId="2898" xr:uid="{8B354B70-CA98-4BD9-9574-FE6CBB91F68C}"/>
    <cellStyle name="Normal 3 19" xfId="478" xr:uid="{00000000-0005-0000-0000-0000C8000000}"/>
    <cellStyle name="Normal 3 19 2" xfId="2154" xr:uid="{33695AC7-BE76-4B13-BF44-E0BC8120D32B}"/>
    <cellStyle name="Normal 3 19 2 2" xfId="3822" xr:uid="{C13A0AB3-0DFC-4731-B106-D207E0618959}"/>
    <cellStyle name="Normal 3 19 3" xfId="1318" xr:uid="{B89D1208-5E79-42D7-8AC4-504DAA7114AF}"/>
    <cellStyle name="Normal 3 19 4" xfId="2988" xr:uid="{BC0B72ED-36E9-4806-9F6E-95566D8DEE6E}"/>
    <cellStyle name="Normal 3 2" xfId="23" xr:uid="{00000000-0005-0000-0000-0000C9000000}"/>
    <cellStyle name="Normal 3 2 10" xfId="662" xr:uid="{00000000-0005-0000-0000-0000CA000000}"/>
    <cellStyle name="Normal 3 2 10 2" xfId="2338" xr:uid="{F4D1031D-263C-40FC-BE28-AD98139B9FB9}"/>
    <cellStyle name="Normal 3 2 10 2 2" xfId="4006" xr:uid="{38B76C1C-C82B-4204-89D9-2769D8626955}"/>
    <cellStyle name="Normal 3 2 10 3" xfId="1502" xr:uid="{C496775B-14D3-468D-AFD5-B34912677084}"/>
    <cellStyle name="Normal 3 2 10 4" xfId="3172" xr:uid="{63E8CBD0-4965-4CD4-A0FF-94E49D68E2C2}"/>
    <cellStyle name="Normal 3 2 11" xfId="757" xr:uid="{00000000-0005-0000-0000-0000CB000000}"/>
    <cellStyle name="Normal 3 2 11 2" xfId="2433" xr:uid="{A209496D-BEC9-4350-B585-1DC220F22DAE}"/>
    <cellStyle name="Normal 3 2 11 2 2" xfId="4101" xr:uid="{4F70F717-BE92-4D63-A2D4-050B42FBC178}"/>
    <cellStyle name="Normal 3 2 11 3" xfId="1597" xr:uid="{A4C89B72-995B-4645-8D8B-35A148A21FF0}"/>
    <cellStyle name="Normal 3 2 11 4" xfId="3267" xr:uid="{6C3E09E0-5EF8-4751-857A-730A447E25CD}"/>
    <cellStyle name="Normal 3 2 12" xfId="1704" xr:uid="{4A631DBA-878A-4CA3-BF78-842E5931FEB4}"/>
    <cellStyle name="Normal 3 2 12 2" xfId="3372" xr:uid="{10CC1BBF-4B17-4D86-B249-42EE9E801DCC}"/>
    <cellStyle name="Normal 3 2 13" xfId="868" xr:uid="{4004738F-E12B-49AF-8365-A241BEC70BD3}"/>
    <cellStyle name="Normal 3 2 14" xfId="2538" xr:uid="{8D6FFF13-EF97-4CCA-9797-178579D48732}"/>
    <cellStyle name="Normal 3 2 2" xfId="45" xr:uid="{00000000-0005-0000-0000-0000CC000000}"/>
    <cellStyle name="Normal 3 2 2 10" xfId="777" xr:uid="{00000000-0005-0000-0000-0000CD000000}"/>
    <cellStyle name="Normal 3 2 2 10 2" xfId="2453" xr:uid="{42CA2358-F2B4-4197-9DB8-F56BD0F11C3F}"/>
    <cellStyle name="Normal 3 2 2 10 2 2" xfId="4121" xr:uid="{5BDD78EB-36D0-45E2-91E9-71E4C7D184E8}"/>
    <cellStyle name="Normal 3 2 2 10 3" xfId="1617" xr:uid="{4BE9957C-57AD-43C9-97BB-6A860FD6DF03}"/>
    <cellStyle name="Normal 3 2 2 10 4" xfId="3287" xr:uid="{66F27839-85D3-45EB-B0B6-8AD23E9CED62}"/>
    <cellStyle name="Normal 3 2 2 11" xfId="1724" xr:uid="{810E5A85-89A0-4664-B585-146C562E6C02}"/>
    <cellStyle name="Normal 3 2 2 11 2" xfId="3392" xr:uid="{08EDD7FE-DC84-4495-9FDA-B5F6C9AC5628}"/>
    <cellStyle name="Normal 3 2 2 12" xfId="888" xr:uid="{AA5CFED4-B7F8-495C-A265-C76E47EA1155}"/>
    <cellStyle name="Normal 3 2 2 13" xfId="2558" xr:uid="{09C9C679-F7A5-4052-B4D8-A8E1660DE644}"/>
    <cellStyle name="Normal 3 2 2 2" xfId="85" xr:uid="{00000000-0005-0000-0000-0000CE000000}"/>
    <cellStyle name="Normal 3 2 2 2 10" xfId="1762" xr:uid="{74C7DE71-BD35-4B69-99E3-A85E62F7D271}"/>
    <cellStyle name="Normal 3 2 2 2 10 2" xfId="3430" xr:uid="{0C0AECA2-8E23-43EA-8929-5620A783B113}"/>
    <cellStyle name="Normal 3 2 2 2 11" xfId="926" xr:uid="{B2D0DE47-04CC-40C6-93EC-9A112090991A}"/>
    <cellStyle name="Normal 3 2 2 2 12" xfId="2596" xr:uid="{2475C5E5-6F8D-4C51-896A-7C5D3BF26917}"/>
    <cellStyle name="Normal 3 2 2 2 2" xfId="178" xr:uid="{00000000-0005-0000-0000-0000CF000000}"/>
    <cellStyle name="Normal 3 2 2 2 2 2" xfId="1854" xr:uid="{E3353230-3C28-4A4F-B611-A1019F5FC8A5}"/>
    <cellStyle name="Normal 3 2 2 2 2 2 2" xfId="3522" xr:uid="{2FC2D4E8-3D32-4789-96B4-4CF99836767B}"/>
    <cellStyle name="Normal 3 2 2 2 2 3" xfId="1018" xr:uid="{4D560E31-09F9-4042-BFBC-D0FC020E5CE2}"/>
    <cellStyle name="Normal 3 2 2 2 2 4" xfId="2688" xr:uid="{2C6AB265-596E-4035-B74A-C94979E38104}"/>
    <cellStyle name="Normal 3 2 2 2 3" xfId="268" xr:uid="{00000000-0005-0000-0000-0000D0000000}"/>
    <cellStyle name="Normal 3 2 2 2 3 2" xfId="1944" xr:uid="{7C1726A2-C469-420D-BA46-C3B833995136}"/>
    <cellStyle name="Normal 3 2 2 2 3 2 2" xfId="3612" xr:uid="{558000FF-A16D-41E6-91E9-A5D7ED25B909}"/>
    <cellStyle name="Normal 3 2 2 2 3 3" xfId="1108" xr:uid="{1F032EC3-1237-4294-AD6F-396A970035A3}"/>
    <cellStyle name="Normal 3 2 2 2 3 4" xfId="2778" xr:uid="{3A1C3F76-01DC-4A3B-A5B3-8020FE0F75FC}"/>
    <cellStyle name="Normal 3 2 2 2 4" xfId="358" xr:uid="{00000000-0005-0000-0000-0000D1000000}"/>
    <cellStyle name="Normal 3 2 2 2 4 2" xfId="2034" xr:uid="{0213473E-5448-4453-AD75-151074E69A12}"/>
    <cellStyle name="Normal 3 2 2 2 4 2 2" xfId="3702" xr:uid="{09D2157D-3F38-4ED7-A79C-AD8E8ADBEE76}"/>
    <cellStyle name="Normal 3 2 2 2 4 3" xfId="1198" xr:uid="{D75C19CA-25D4-420E-B4D1-982CDB13B69F}"/>
    <cellStyle name="Normal 3 2 2 2 4 4" xfId="2868" xr:uid="{33A3CD81-89DF-4620-A2FC-A7382105571B}"/>
    <cellStyle name="Normal 3 2 2 2 5" xfId="448" xr:uid="{00000000-0005-0000-0000-0000D2000000}"/>
    <cellStyle name="Normal 3 2 2 2 5 2" xfId="2124" xr:uid="{88A8AC5E-11C0-4B38-BA5D-ECBC5EF1EDE3}"/>
    <cellStyle name="Normal 3 2 2 2 5 2 2" xfId="3792" xr:uid="{C903E491-9394-4683-87F7-C6DEF4B54D9A}"/>
    <cellStyle name="Normal 3 2 2 2 5 3" xfId="1288" xr:uid="{164ECEBF-6FFF-476D-93DD-1A9EB8D6E913}"/>
    <cellStyle name="Normal 3 2 2 2 5 4" xfId="2958" xr:uid="{B6DB81D0-A351-4B27-9650-9D326A10EF03}"/>
    <cellStyle name="Normal 3 2 2 2 6" xfId="538" xr:uid="{00000000-0005-0000-0000-0000D3000000}"/>
    <cellStyle name="Normal 3 2 2 2 6 2" xfId="2214" xr:uid="{291645BD-1595-44C5-8CF9-C50428E9E789}"/>
    <cellStyle name="Normal 3 2 2 2 6 2 2" xfId="3882" xr:uid="{20036AA7-21F6-48DD-8FB2-4A6C4D06F8C5}"/>
    <cellStyle name="Normal 3 2 2 2 6 3" xfId="1378" xr:uid="{A0B350B5-ECA4-4584-B3DC-CA5EC16846DE}"/>
    <cellStyle name="Normal 3 2 2 2 6 4" xfId="3048" xr:uid="{57D6DB5D-CA17-4162-A5A5-E935CC0B06D1}"/>
    <cellStyle name="Normal 3 2 2 2 7" xfId="628" xr:uid="{00000000-0005-0000-0000-0000D4000000}"/>
    <cellStyle name="Normal 3 2 2 2 7 2" xfId="2304" xr:uid="{C5F258D6-44C5-48AE-9601-3F78D4959A1F}"/>
    <cellStyle name="Normal 3 2 2 2 7 2 2" xfId="3972" xr:uid="{52F4450B-AC96-4B3C-A4AC-41B6B9CF0CAF}"/>
    <cellStyle name="Normal 3 2 2 2 7 3" xfId="1468" xr:uid="{DEDA64A3-C419-4978-9387-352C118A9FFE}"/>
    <cellStyle name="Normal 3 2 2 2 7 4" xfId="3138" xr:uid="{DDD1EB02-897F-49D7-A0EE-0A1856FD81F2}"/>
    <cellStyle name="Normal 3 2 2 2 8" xfId="718" xr:uid="{00000000-0005-0000-0000-0000D5000000}"/>
    <cellStyle name="Normal 3 2 2 2 8 2" xfId="2394" xr:uid="{F9D8458F-9A49-4115-8417-B49C36967E33}"/>
    <cellStyle name="Normal 3 2 2 2 8 2 2" xfId="4062" xr:uid="{05101D43-84F8-4653-A435-41F95D85F445}"/>
    <cellStyle name="Normal 3 2 2 2 8 3" xfId="1558" xr:uid="{046ECF15-D336-4317-BF32-8267F41E4E98}"/>
    <cellStyle name="Normal 3 2 2 2 8 4" xfId="3228" xr:uid="{C09E084F-A6A3-442E-94AC-8D3526E7450E}"/>
    <cellStyle name="Normal 3 2 2 2 9" xfId="815" xr:uid="{00000000-0005-0000-0000-0000D6000000}"/>
    <cellStyle name="Normal 3 2 2 2 9 2" xfId="2491" xr:uid="{8008F642-7EF2-496B-B556-DCA1078A7A8A}"/>
    <cellStyle name="Normal 3 2 2 2 9 2 2" xfId="4159" xr:uid="{8DC6C364-4443-4306-ACF9-4B5EDC5AFD86}"/>
    <cellStyle name="Normal 3 2 2 2 9 3" xfId="1655" xr:uid="{A40B4AC5-264C-4E7F-B868-5C8314F1D226}"/>
    <cellStyle name="Normal 3 2 2 2 9 4" xfId="3325" xr:uid="{90479730-8984-460C-8D00-FE392C837228}"/>
    <cellStyle name="Normal 3 2 2 3" xfId="141" xr:uid="{00000000-0005-0000-0000-0000D7000000}"/>
    <cellStyle name="Normal 3 2 2 3 2" xfId="1817" xr:uid="{EDB3408D-B319-442A-8286-8193E994BFCF}"/>
    <cellStyle name="Normal 3 2 2 3 2 2" xfId="3485" xr:uid="{851619CA-3932-401F-8CDE-C05D6D136088}"/>
    <cellStyle name="Normal 3 2 2 3 3" xfId="981" xr:uid="{EBA82542-CD03-4AFA-8F27-9491BEE4D2C8}"/>
    <cellStyle name="Normal 3 2 2 3 4" xfId="2651" xr:uid="{9F989491-A2A4-4638-8B6E-FFB1D0F6087F}"/>
    <cellStyle name="Normal 3 2 2 4" xfId="231" xr:uid="{00000000-0005-0000-0000-0000D8000000}"/>
    <cellStyle name="Normal 3 2 2 4 2" xfId="1907" xr:uid="{16E8EB3B-E14A-411A-AF0B-966323FB0774}"/>
    <cellStyle name="Normal 3 2 2 4 2 2" xfId="3575" xr:uid="{1169EA30-5350-4EAF-B2BF-F0D97E376A07}"/>
    <cellStyle name="Normal 3 2 2 4 3" xfId="1071" xr:uid="{89D6259D-6C54-4B2A-8730-AAF83D17F071}"/>
    <cellStyle name="Normal 3 2 2 4 4" xfId="2741" xr:uid="{562FE422-00C6-43B2-9ACF-6449B1439E7A}"/>
    <cellStyle name="Normal 3 2 2 5" xfId="321" xr:uid="{00000000-0005-0000-0000-0000D9000000}"/>
    <cellStyle name="Normal 3 2 2 5 2" xfId="1997" xr:uid="{EF065727-B573-4862-89B1-DE38B2CD8EEE}"/>
    <cellStyle name="Normal 3 2 2 5 2 2" xfId="3665" xr:uid="{9DF2D5B6-EE28-4CA2-BAA9-25BBB58AA689}"/>
    <cellStyle name="Normal 3 2 2 5 3" xfId="1161" xr:uid="{6EBC4415-59E9-4B7E-A53A-C76A5FED94A0}"/>
    <cellStyle name="Normal 3 2 2 5 4" xfId="2831" xr:uid="{49039B01-6903-48FF-BD84-6C88984FBEBC}"/>
    <cellStyle name="Normal 3 2 2 6" xfId="411" xr:uid="{00000000-0005-0000-0000-0000DA000000}"/>
    <cellStyle name="Normal 3 2 2 6 2" xfId="2087" xr:uid="{7E5CDE48-907C-4BB9-883F-1623C4A6B63F}"/>
    <cellStyle name="Normal 3 2 2 6 2 2" xfId="3755" xr:uid="{8A3A7D8E-BE8C-4329-B3C6-F0CCF13827F0}"/>
    <cellStyle name="Normal 3 2 2 6 3" xfId="1251" xr:uid="{1820EF27-48C4-4CDC-AC21-8D81EC9E5FDB}"/>
    <cellStyle name="Normal 3 2 2 6 4" xfId="2921" xr:uid="{BD95722C-E4CC-4E7F-BBE1-EC62E7F827E5}"/>
    <cellStyle name="Normal 3 2 2 7" xfId="501" xr:uid="{00000000-0005-0000-0000-0000DB000000}"/>
    <cellStyle name="Normal 3 2 2 7 2" xfId="2177" xr:uid="{E69BAE34-4C2E-48A9-AB00-8751476F406D}"/>
    <cellStyle name="Normal 3 2 2 7 2 2" xfId="3845" xr:uid="{04F63C4B-13F7-49E4-93BD-017435168DA0}"/>
    <cellStyle name="Normal 3 2 2 7 3" xfId="1341" xr:uid="{DBDC2BBB-05B8-4E9E-A77D-F2DCC1827D82}"/>
    <cellStyle name="Normal 3 2 2 7 4" xfId="3011" xr:uid="{C62B0A12-02ED-4041-BC32-1B4D633B2D1B}"/>
    <cellStyle name="Normal 3 2 2 8" xfId="591" xr:uid="{00000000-0005-0000-0000-0000DC000000}"/>
    <cellStyle name="Normal 3 2 2 8 2" xfId="2267" xr:uid="{766F5AE8-1DC0-4EB5-8C90-471A7D73F352}"/>
    <cellStyle name="Normal 3 2 2 8 2 2" xfId="3935" xr:uid="{4AEAE403-CDBC-4C67-8CB4-7D3434E0FEC0}"/>
    <cellStyle name="Normal 3 2 2 8 3" xfId="1431" xr:uid="{19879B87-9B80-48E0-A4A4-AF31F0E30186}"/>
    <cellStyle name="Normal 3 2 2 8 4" xfId="3101" xr:uid="{0A9C33BA-8AA3-4AD7-90AB-C4ACB3DF0D23}"/>
    <cellStyle name="Normal 3 2 2 9" xfId="681" xr:uid="{00000000-0005-0000-0000-0000DD000000}"/>
    <cellStyle name="Normal 3 2 2 9 2" xfId="2357" xr:uid="{D74FB094-6D47-4BE7-B490-E27BA355B6A4}"/>
    <cellStyle name="Normal 3 2 2 9 2 2" xfId="4025" xr:uid="{F02A14FA-1688-4C30-B5AC-0F9BCFDA598C}"/>
    <cellStyle name="Normal 3 2 2 9 3" xfId="1521" xr:uid="{07C6561F-0C92-439D-B340-B4014B7F20F3}"/>
    <cellStyle name="Normal 3 2 2 9 4" xfId="3191" xr:uid="{C2770197-179F-4F9F-88A3-DAFEECE8B37C}"/>
    <cellStyle name="Normal 3 2 3" xfId="66" xr:uid="{00000000-0005-0000-0000-0000DE000000}"/>
    <cellStyle name="Normal 3 2 3 10" xfId="1743" xr:uid="{9EE04BDE-814B-431F-A1EC-76667762C271}"/>
    <cellStyle name="Normal 3 2 3 10 2" xfId="3411" xr:uid="{70C0371D-B786-48C7-9E8C-AD6B1522663F}"/>
    <cellStyle name="Normal 3 2 3 11" xfId="907" xr:uid="{3A07983B-FFFD-400E-8FDD-414343E7611E}"/>
    <cellStyle name="Normal 3 2 3 12" xfId="2577" xr:uid="{409D01E6-0A9B-4278-B4EF-16C1945FB664}"/>
    <cellStyle name="Normal 3 2 3 2" xfId="159" xr:uid="{00000000-0005-0000-0000-0000DF000000}"/>
    <cellStyle name="Normal 3 2 3 2 2" xfId="1835" xr:uid="{E28B1DE7-9E4F-4BC7-8555-201F1EBEC911}"/>
    <cellStyle name="Normal 3 2 3 2 2 2" xfId="3503" xr:uid="{B582C6C5-7CF2-4779-A4CC-129E14E0FBEB}"/>
    <cellStyle name="Normal 3 2 3 2 3" xfId="999" xr:uid="{A14ABA77-EEA9-4CCB-A57D-FA52EC3A3B07}"/>
    <cellStyle name="Normal 3 2 3 2 4" xfId="2669" xr:uid="{36C92387-EE32-4A16-B7A8-5842CF9FAC56}"/>
    <cellStyle name="Normal 3 2 3 3" xfId="249" xr:uid="{00000000-0005-0000-0000-0000E0000000}"/>
    <cellStyle name="Normal 3 2 3 3 2" xfId="1925" xr:uid="{F7C86769-F960-4C11-8772-373E9794AC34}"/>
    <cellStyle name="Normal 3 2 3 3 2 2" xfId="3593" xr:uid="{FA827E19-A330-45D2-A0BF-073388FF2B50}"/>
    <cellStyle name="Normal 3 2 3 3 3" xfId="1089" xr:uid="{E06EA35E-D351-4B49-BBED-0CA7413A79E3}"/>
    <cellStyle name="Normal 3 2 3 3 4" xfId="2759" xr:uid="{F2D576FF-7FBB-49FE-AC6F-AB2FC32515A7}"/>
    <cellStyle name="Normal 3 2 3 4" xfId="339" xr:uid="{00000000-0005-0000-0000-0000E1000000}"/>
    <cellStyle name="Normal 3 2 3 4 2" xfId="2015" xr:uid="{E50CB36E-14F9-4211-835F-64FB6F34B525}"/>
    <cellStyle name="Normal 3 2 3 4 2 2" xfId="3683" xr:uid="{87C1B258-7903-4B63-8623-09C860694C2D}"/>
    <cellStyle name="Normal 3 2 3 4 3" xfId="1179" xr:uid="{EBEA645C-6B07-4B0A-ADC2-441DF7279191}"/>
    <cellStyle name="Normal 3 2 3 4 4" xfId="2849" xr:uid="{C6B313AC-3D8C-4AAA-B36C-CAFFC8048C39}"/>
    <cellStyle name="Normal 3 2 3 5" xfId="429" xr:uid="{00000000-0005-0000-0000-0000E2000000}"/>
    <cellStyle name="Normal 3 2 3 5 2" xfId="2105" xr:uid="{47581287-37A6-4CDE-A383-6B93BAC9A23D}"/>
    <cellStyle name="Normal 3 2 3 5 2 2" xfId="3773" xr:uid="{13470C12-B22D-439A-B86D-8E84B3CD240C}"/>
    <cellStyle name="Normal 3 2 3 5 3" xfId="1269" xr:uid="{37EE973E-EE6E-47BE-A69E-7B00D44C971A}"/>
    <cellStyle name="Normal 3 2 3 5 4" xfId="2939" xr:uid="{81417723-4560-4C6F-AF49-56E864AAEC0E}"/>
    <cellStyle name="Normal 3 2 3 6" xfId="519" xr:uid="{00000000-0005-0000-0000-0000E3000000}"/>
    <cellStyle name="Normal 3 2 3 6 2" xfId="2195" xr:uid="{58A39003-DB47-451C-A713-12D99AF81EB3}"/>
    <cellStyle name="Normal 3 2 3 6 2 2" xfId="3863" xr:uid="{DDCA7108-05AC-4E4A-8588-4FC12A6193AB}"/>
    <cellStyle name="Normal 3 2 3 6 3" xfId="1359" xr:uid="{731D7E24-5248-460C-807B-E124E318960D}"/>
    <cellStyle name="Normal 3 2 3 6 4" xfId="3029" xr:uid="{F152F895-6136-4EBD-8426-E0FB2DB22823}"/>
    <cellStyle name="Normal 3 2 3 7" xfId="609" xr:uid="{00000000-0005-0000-0000-0000E4000000}"/>
    <cellStyle name="Normal 3 2 3 7 2" xfId="2285" xr:uid="{39EA9BAA-FBB0-4725-B4C2-537005ADDA46}"/>
    <cellStyle name="Normal 3 2 3 7 2 2" xfId="3953" xr:uid="{E7899BD0-B57D-4276-B534-3121AED4BD69}"/>
    <cellStyle name="Normal 3 2 3 7 3" xfId="1449" xr:uid="{DDEE0612-8DA8-49FE-B839-06871D758D29}"/>
    <cellStyle name="Normal 3 2 3 7 4" xfId="3119" xr:uid="{D762BDFE-7D5F-4EDC-B15D-564640F934C1}"/>
    <cellStyle name="Normal 3 2 3 8" xfId="699" xr:uid="{00000000-0005-0000-0000-0000E5000000}"/>
    <cellStyle name="Normal 3 2 3 8 2" xfId="2375" xr:uid="{9546F81E-330A-4782-92EB-62569F3C7F38}"/>
    <cellStyle name="Normal 3 2 3 8 2 2" xfId="4043" xr:uid="{85B76184-9251-43E9-A057-7DB853F480A4}"/>
    <cellStyle name="Normal 3 2 3 8 3" xfId="1539" xr:uid="{CF60AFCC-0895-4A5E-AE2E-B9E1055870A5}"/>
    <cellStyle name="Normal 3 2 3 8 4" xfId="3209" xr:uid="{F1CF9A9E-A677-4B7B-80BF-207875FF05A8}"/>
    <cellStyle name="Normal 3 2 3 9" xfId="796" xr:uid="{00000000-0005-0000-0000-0000E6000000}"/>
    <cellStyle name="Normal 3 2 3 9 2" xfId="2472" xr:uid="{B4F2375E-540B-4A1E-BD9B-1B0558E4E79B}"/>
    <cellStyle name="Normal 3 2 3 9 2 2" xfId="4140" xr:uid="{6D56C8C7-1CA2-4301-9B7D-7E83D3DE6176}"/>
    <cellStyle name="Normal 3 2 3 9 3" xfId="1636" xr:uid="{A6ED4520-DB55-4A96-B092-DBF414E11F26}"/>
    <cellStyle name="Normal 3 2 3 9 4" xfId="3306" xr:uid="{E9DA20DE-5CD7-456F-96B7-2CEBCC77F89A}"/>
    <cellStyle name="Normal 3 2 4" xfId="122" xr:uid="{00000000-0005-0000-0000-0000E7000000}"/>
    <cellStyle name="Normal 3 2 4 2" xfId="1798" xr:uid="{C0BD54DA-B491-4799-BCA2-706AEFE40C99}"/>
    <cellStyle name="Normal 3 2 4 2 2" xfId="3466" xr:uid="{4E8D0B3C-4EBA-48D8-B74F-3092489DA592}"/>
    <cellStyle name="Normal 3 2 4 3" xfId="962" xr:uid="{F2D67B61-79D2-470D-ACD8-984567871EB7}"/>
    <cellStyle name="Normal 3 2 4 4" xfId="2632" xr:uid="{338662AE-0CCE-40E1-8796-F4C750F7E356}"/>
    <cellStyle name="Normal 3 2 5" xfId="212" xr:uid="{00000000-0005-0000-0000-0000E8000000}"/>
    <cellStyle name="Normal 3 2 5 2" xfId="1888" xr:uid="{57F2D2DA-80AE-41E2-8A2D-EC7831312FAC}"/>
    <cellStyle name="Normal 3 2 5 2 2" xfId="3556" xr:uid="{13B4DB39-96A8-4171-A2E6-62A974848997}"/>
    <cellStyle name="Normal 3 2 5 3" xfId="1052" xr:uid="{7A368802-19B5-409F-8FBD-A852F7BF766D}"/>
    <cellStyle name="Normal 3 2 5 4" xfId="2722" xr:uid="{97FF96FC-98BC-4E22-B01B-E4525C7573A5}"/>
    <cellStyle name="Normal 3 2 6" xfId="302" xr:uid="{00000000-0005-0000-0000-0000E9000000}"/>
    <cellStyle name="Normal 3 2 6 2" xfId="1978" xr:uid="{DAE05EAE-B7A5-4E5C-8923-0E9840702680}"/>
    <cellStyle name="Normal 3 2 6 2 2" xfId="3646" xr:uid="{A42002BC-A2B9-4B91-B9C2-6C9B439999E8}"/>
    <cellStyle name="Normal 3 2 6 3" xfId="1142" xr:uid="{A259A8D6-2817-456F-8D8B-387DCDE99FF4}"/>
    <cellStyle name="Normal 3 2 6 4" xfId="2812" xr:uid="{39391032-4A93-4A26-962A-C3CAFF5734FC}"/>
    <cellStyle name="Normal 3 2 7" xfId="392" xr:uid="{00000000-0005-0000-0000-0000EA000000}"/>
    <cellStyle name="Normal 3 2 7 2" xfId="2068" xr:uid="{6BF7A93A-2400-4F1B-B042-EB199BAB2BAB}"/>
    <cellStyle name="Normal 3 2 7 2 2" xfId="3736" xr:uid="{2C2235AA-2214-48EE-9ADF-23E93722598F}"/>
    <cellStyle name="Normal 3 2 7 3" xfId="1232" xr:uid="{CCE9B5D1-338E-4B50-A011-36D0B4BFB7C8}"/>
    <cellStyle name="Normal 3 2 7 4" xfId="2902" xr:uid="{4CE598A9-9022-40B1-8F45-3C902DB8433E}"/>
    <cellStyle name="Normal 3 2 8" xfId="482" xr:uid="{00000000-0005-0000-0000-0000EB000000}"/>
    <cellStyle name="Normal 3 2 8 2" xfId="2158" xr:uid="{7E85717B-8F71-496E-A669-D7F52738C0D2}"/>
    <cellStyle name="Normal 3 2 8 2 2" xfId="3826" xr:uid="{9A91AD9F-2F40-4A99-97BF-538F9FFD9F0F}"/>
    <cellStyle name="Normal 3 2 8 3" xfId="1322" xr:uid="{26EB3FEF-276C-4FB0-A719-A2D55AB5E0B5}"/>
    <cellStyle name="Normal 3 2 8 4" xfId="2992" xr:uid="{E68BDDCE-A8E4-420A-9CF3-66AFAD72A335}"/>
    <cellStyle name="Normal 3 2 9" xfId="572" xr:uid="{00000000-0005-0000-0000-0000EC000000}"/>
    <cellStyle name="Normal 3 2 9 2" xfId="2248" xr:uid="{889BD4ED-0024-46B4-A097-8E0E1D0CD81C}"/>
    <cellStyle name="Normal 3 2 9 2 2" xfId="3916" xr:uid="{BB9106A6-3D12-4CE1-AA7D-9C1BC8EDC715}"/>
    <cellStyle name="Normal 3 2 9 3" xfId="1412" xr:uid="{D23F02A3-D9A1-43DB-B38A-763FC1F969DB}"/>
    <cellStyle name="Normal 3 2 9 4" xfId="3082" xr:uid="{32B73C95-A898-4F11-8AFD-62AD8FF69C5F}"/>
    <cellStyle name="Normal 3 20" xfId="568" xr:uid="{00000000-0005-0000-0000-0000ED000000}"/>
    <cellStyle name="Normal 3 20 2" xfId="2244" xr:uid="{5789FCE5-51B8-46B8-BA8F-1E52149EF0E2}"/>
    <cellStyle name="Normal 3 20 2 2" xfId="3912" xr:uid="{B3C7D7FA-D673-4E52-97C0-DE4BE50C5BEA}"/>
    <cellStyle name="Normal 3 20 3" xfId="1408" xr:uid="{C7416E4F-4532-47BC-A6B9-55345BCF546D}"/>
    <cellStyle name="Normal 3 20 4" xfId="3078" xr:uid="{69CF6935-057C-4917-B74C-E7D71FAB1AE9}"/>
    <cellStyle name="Normal 3 21" xfId="658" xr:uid="{00000000-0005-0000-0000-0000EE000000}"/>
    <cellStyle name="Normal 3 21 2" xfId="2334" xr:uid="{2246B8C8-4261-4273-82E6-2189BA40FA61}"/>
    <cellStyle name="Normal 3 21 2 2" xfId="4002" xr:uid="{4AC98910-A3B1-4005-B11C-B5FE0E0587E6}"/>
    <cellStyle name="Normal 3 21 3" xfId="1498" xr:uid="{89D3DCB0-B241-4983-912A-9B0F6B5C39FE}"/>
    <cellStyle name="Normal 3 21 4" xfId="3168" xr:uid="{A5FB3771-B923-46F0-AF50-E613ABDDC591}"/>
    <cellStyle name="Normal 3 22" xfId="748" xr:uid="{00000000-0005-0000-0000-0000EF000000}"/>
    <cellStyle name="Normal 3 22 2" xfId="2424" xr:uid="{5BD8839B-83C9-4671-B2A3-2FDB295DF053}"/>
    <cellStyle name="Normal 3 22 2 2" xfId="4092" xr:uid="{36EC6FE2-4460-42C3-B5F0-9BC6FCC75BE7}"/>
    <cellStyle name="Normal 3 22 3" xfId="1588" xr:uid="{95937BDF-9729-4A30-824B-53E165A07DD4}"/>
    <cellStyle name="Normal 3 22 4" xfId="3258" xr:uid="{1DE037E0-AEE0-4709-9B50-B57B442FBB5B}"/>
    <cellStyle name="Normal 3 23" xfId="1691" xr:uid="{BAAD0A79-327A-4B85-ADBC-1758B5AD35DF}"/>
    <cellStyle name="Normal 3 23 2" xfId="3360" xr:uid="{2075050A-D6B0-48B5-A332-1A65B1B427C3}"/>
    <cellStyle name="Normal 3 24" xfId="855" xr:uid="{2CC2D7B5-A5D0-4426-94FA-FC2EED932078}"/>
    <cellStyle name="Normal 3 25" xfId="2526" xr:uid="{BC4DF45F-2796-40C2-A159-AE501340C025}"/>
    <cellStyle name="Normal 3 3" xfId="26" xr:uid="{00000000-0005-0000-0000-0000F0000000}"/>
    <cellStyle name="Normal 3 3 10" xfId="665" xr:uid="{00000000-0005-0000-0000-0000F1000000}"/>
    <cellStyle name="Normal 3 3 10 2" xfId="2341" xr:uid="{A3756F6B-F625-4B44-BD10-469397B9CDC2}"/>
    <cellStyle name="Normal 3 3 10 2 2" xfId="4009" xr:uid="{BF03B2F5-7266-49E1-B72A-01A2125FA964}"/>
    <cellStyle name="Normal 3 3 10 3" xfId="1505" xr:uid="{D602E87F-42D1-4901-9932-8F7568DEE627}"/>
    <cellStyle name="Normal 3 3 10 4" xfId="3175" xr:uid="{F26E9136-4D58-45D8-9374-050643B32CA8}"/>
    <cellStyle name="Normal 3 3 11" xfId="760" xr:uid="{00000000-0005-0000-0000-0000F2000000}"/>
    <cellStyle name="Normal 3 3 11 2" xfId="2436" xr:uid="{07D5FD4D-3845-454C-9EE9-61CC86878DD7}"/>
    <cellStyle name="Normal 3 3 11 2 2" xfId="4104" xr:uid="{2142F72E-0548-4BB7-830C-9E0FD9ABE28B}"/>
    <cellStyle name="Normal 3 3 11 3" xfId="1600" xr:uid="{BA685171-EF43-4141-BF18-CFECB3CA03DE}"/>
    <cellStyle name="Normal 3 3 11 4" xfId="3270" xr:uid="{3C7D3E1D-EB41-4553-9A77-9C39811D3014}"/>
    <cellStyle name="Normal 3 3 12" xfId="1707" xr:uid="{C79D45C6-2550-4EDF-B452-611D01C41D01}"/>
    <cellStyle name="Normal 3 3 12 2" xfId="3375" xr:uid="{9A6E903D-7623-4191-AF4F-4358E93E8AB5}"/>
    <cellStyle name="Normal 3 3 13" xfId="871" xr:uid="{6649238B-DA58-4853-973E-64AD8F34B137}"/>
    <cellStyle name="Normal 3 3 14" xfId="2541" xr:uid="{1EAD4F67-A797-404F-8E80-CD59DD99C157}"/>
    <cellStyle name="Normal 3 3 2" xfId="48" xr:uid="{00000000-0005-0000-0000-0000F3000000}"/>
    <cellStyle name="Normal 3 3 2 10" xfId="780" xr:uid="{00000000-0005-0000-0000-0000F4000000}"/>
    <cellStyle name="Normal 3 3 2 10 2" xfId="2456" xr:uid="{1C812599-15EC-449A-A3E8-2A918E929481}"/>
    <cellStyle name="Normal 3 3 2 10 2 2" xfId="4124" xr:uid="{81B52F23-F9A7-43D5-9C9F-6D06493CF72C}"/>
    <cellStyle name="Normal 3 3 2 10 3" xfId="1620" xr:uid="{9D4B7708-6DC2-4468-94F1-592125F60B5E}"/>
    <cellStyle name="Normal 3 3 2 10 4" xfId="3290" xr:uid="{DC185CFC-8E82-4B2C-969A-DC8641921D25}"/>
    <cellStyle name="Normal 3 3 2 11" xfId="1727" xr:uid="{8E0A4A5C-5D67-4D31-8750-1D15E9F67637}"/>
    <cellStyle name="Normal 3 3 2 11 2" xfId="3395" xr:uid="{FBFF417E-6BE4-4F9B-972B-58ED25CF6E1F}"/>
    <cellStyle name="Normal 3 3 2 12" xfId="891" xr:uid="{ED0C8956-7426-4547-B697-5323D565BFC7}"/>
    <cellStyle name="Normal 3 3 2 13" xfId="2561" xr:uid="{8943FF3E-47F7-4252-A919-4085FD91C4C2}"/>
    <cellStyle name="Normal 3 3 2 2" xfId="88" xr:uid="{00000000-0005-0000-0000-0000F5000000}"/>
    <cellStyle name="Normal 3 3 2 2 10" xfId="1765" xr:uid="{46EF4559-A19C-4354-9BDF-766DC722D3C6}"/>
    <cellStyle name="Normal 3 3 2 2 10 2" xfId="3433" xr:uid="{AD80C9F4-44E0-4780-A0AB-C29CD91C007D}"/>
    <cellStyle name="Normal 3 3 2 2 11" xfId="929" xr:uid="{92C1F104-72C3-410E-97BF-8665C2AB35E6}"/>
    <cellStyle name="Normal 3 3 2 2 12" xfId="2599" xr:uid="{7051229E-4CEF-4B56-B393-53BB314BFC80}"/>
    <cellStyle name="Normal 3 3 2 2 2" xfId="181" xr:uid="{00000000-0005-0000-0000-0000F6000000}"/>
    <cellStyle name="Normal 3 3 2 2 2 2" xfId="1857" xr:uid="{7D3848BE-BE3A-475C-9187-76FE3A3C8B91}"/>
    <cellStyle name="Normal 3 3 2 2 2 2 2" xfId="3525" xr:uid="{931676F8-40D8-4F21-ABA4-D41CB38733AB}"/>
    <cellStyle name="Normal 3 3 2 2 2 3" xfId="1021" xr:uid="{D65D83A9-0D9A-444A-849D-4DE50E65DF8F}"/>
    <cellStyle name="Normal 3 3 2 2 2 4" xfId="2691" xr:uid="{4BB1F060-F988-4D00-8925-7AC6034CC4A3}"/>
    <cellStyle name="Normal 3 3 2 2 3" xfId="271" xr:uid="{00000000-0005-0000-0000-0000F7000000}"/>
    <cellStyle name="Normal 3 3 2 2 3 2" xfId="1947" xr:uid="{F8F6621C-0B0E-44A6-96BB-544A92D91E85}"/>
    <cellStyle name="Normal 3 3 2 2 3 2 2" xfId="3615" xr:uid="{033F8856-84FC-43EE-B9C3-D620C7F7D402}"/>
    <cellStyle name="Normal 3 3 2 2 3 3" xfId="1111" xr:uid="{6A09415C-3662-4592-9324-C7F9EFE0AD2A}"/>
    <cellStyle name="Normal 3 3 2 2 3 4" xfId="2781" xr:uid="{B40DEF8A-DD45-4B01-9766-9D2AD8646DC0}"/>
    <cellStyle name="Normal 3 3 2 2 4" xfId="361" xr:uid="{00000000-0005-0000-0000-0000F8000000}"/>
    <cellStyle name="Normal 3 3 2 2 4 2" xfId="2037" xr:uid="{BBC0B810-04CC-4B5A-9924-B1B35A3E4D85}"/>
    <cellStyle name="Normal 3 3 2 2 4 2 2" xfId="3705" xr:uid="{1083C60D-5E70-4A27-BE75-AEF92199F29C}"/>
    <cellStyle name="Normal 3 3 2 2 4 3" xfId="1201" xr:uid="{99FC7940-C066-4374-B5D0-E2C462F35429}"/>
    <cellStyle name="Normal 3 3 2 2 4 4" xfId="2871" xr:uid="{014F46C0-A07D-4C7C-97CA-67ACB6370108}"/>
    <cellStyle name="Normal 3 3 2 2 5" xfId="451" xr:uid="{00000000-0005-0000-0000-0000F9000000}"/>
    <cellStyle name="Normal 3 3 2 2 5 2" xfId="2127" xr:uid="{91F06817-0DF3-4730-9A45-F33CF887D545}"/>
    <cellStyle name="Normal 3 3 2 2 5 2 2" xfId="3795" xr:uid="{D4FDCE23-D041-4ED9-8BEE-03E133CB3648}"/>
    <cellStyle name="Normal 3 3 2 2 5 3" xfId="1291" xr:uid="{6D6D144A-A475-4D1E-A40C-8E42572549D3}"/>
    <cellStyle name="Normal 3 3 2 2 5 4" xfId="2961" xr:uid="{77D86F3D-3F93-41BF-8340-0A580643E41E}"/>
    <cellStyle name="Normal 3 3 2 2 6" xfId="541" xr:uid="{00000000-0005-0000-0000-0000FA000000}"/>
    <cellStyle name="Normal 3 3 2 2 6 2" xfId="2217" xr:uid="{2DB6CBDC-83E9-4634-8722-215452366B9C}"/>
    <cellStyle name="Normal 3 3 2 2 6 2 2" xfId="3885" xr:uid="{32006B7A-35DD-4A12-8310-87FAE5297718}"/>
    <cellStyle name="Normal 3 3 2 2 6 3" xfId="1381" xr:uid="{871705AA-60A2-4293-9443-2F7F18AC2CFC}"/>
    <cellStyle name="Normal 3 3 2 2 6 4" xfId="3051" xr:uid="{0D114354-B40E-4DE1-BE79-DC5E17B72111}"/>
    <cellStyle name="Normal 3 3 2 2 7" xfId="631" xr:uid="{00000000-0005-0000-0000-0000FB000000}"/>
    <cellStyle name="Normal 3 3 2 2 7 2" xfId="2307" xr:uid="{35B3186F-6A69-4F13-B625-9AC9E43B07D9}"/>
    <cellStyle name="Normal 3 3 2 2 7 2 2" xfId="3975" xr:uid="{C0E9A360-3E81-45BB-9C73-A789F2766B00}"/>
    <cellStyle name="Normal 3 3 2 2 7 3" xfId="1471" xr:uid="{59969097-8AFF-4E58-9E9D-4102EC574058}"/>
    <cellStyle name="Normal 3 3 2 2 7 4" xfId="3141" xr:uid="{48014318-2418-464A-8622-C4A499DCF326}"/>
    <cellStyle name="Normal 3 3 2 2 8" xfId="721" xr:uid="{00000000-0005-0000-0000-0000FC000000}"/>
    <cellStyle name="Normal 3 3 2 2 8 2" xfId="2397" xr:uid="{D04EFDCC-A316-4142-8BDF-655171C41707}"/>
    <cellStyle name="Normal 3 3 2 2 8 2 2" xfId="4065" xr:uid="{A113CD80-FD04-418B-8DDC-F2E23472884C}"/>
    <cellStyle name="Normal 3 3 2 2 8 3" xfId="1561" xr:uid="{9BF9FB15-E1D9-482F-B258-E66C7DB2C386}"/>
    <cellStyle name="Normal 3 3 2 2 8 4" xfId="3231" xr:uid="{093A85A1-11F4-41D9-9840-2CC41D2D5B49}"/>
    <cellStyle name="Normal 3 3 2 2 9" xfId="818" xr:uid="{00000000-0005-0000-0000-0000FD000000}"/>
    <cellStyle name="Normal 3 3 2 2 9 2" xfId="2494" xr:uid="{974B80C2-355F-4962-9B20-B1323F5BADCE}"/>
    <cellStyle name="Normal 3 3 2 2 9 2 2" xfId="4162" xr:uid="{D4BE3173-2D39-4890-82D4-50891C399D99}"/>
    <cellStyle name="Normal 3 3 2 2 9 3" xfId="1658" xr:uid="{E83BE126-3784-4227-83EE-914D67465450}"/>
    <cellStyle name="Normal 3 3 2 2 9 4" xfId="3328" xr:uid="{B20F670E-6422-4303-888C-D7588AA48BD5}"/>
    <cellStyle name="Normal 3 3 2 3" xfId="144" xr:uid="{00000000-0005-0000-0000-0000FE000000}"/>
    <cellStyle name="Normal 3 3 2 3 2" xfId="1820" xr:uid="{ED17CB7C-079C-4EA9-9945-A4219C6DE95D}"/>
    <cellStyle name="Normal 3 3 2 3 2 2" xfId="3488" xr:uid="{7EF9CF5E-7897-43CF-AA34-B8CBDD9A072E}"/>
    <cellStyle name="Normal 3 3 2 3 3" xfId="984" xr:uid="{20B25AE4-1A2D-4104-B4F4-6E6B9A3328A5}"/>
    <cellStyle name="Normal 3 3 2 3 4" xfId="2654" xr:uid="{725A6DB2-CE45-454D-8EAE-9BC7303F3198}"/>
    <cellStyle name="Normal 3 3 2 4" xfId="234" xr:uid="{00000000-0005-0000-0000-0000FF000000}"/>
    <cellStyle name="Normal 3 3 2 4 2" xfId="1910" xr:uid="{11F3F281-A260-49B1-8A17-7066D7AC3A81}"/>
    <cellStyle name="Normal 3 3 2 4 2 2" xfId="3578" xr:uid="{8D2B242F-AABD-4D7F-980A-053B9B9F2901}"/>
    <cellStyle name="Normal 3 3 2 4 3" xfId="1074" xr:uid="{AA3E5AE1-12A8-44A1-93D1-2F3FCCECFC73}"/>
    <cellStyle name="Normal 3 3 2 4 4" xfId="2744" xr:uid="{E3D8B954-FE90-41B1-B3EB-1CC9F6630FDE}"/>
    <cellStyle name="Normal 3 3 2 5" xfId="324" xr:uid="{00000000-0005-0000-0000-000000010000}"/>
    <cellStyle name="Normal 3 3 2 5 2" xfId="2000" xr:uid="{0F388944-74C9-42AC-A692-70C78B3451C9}"/>
    <cellStyle name="Normal 3 3 2 5 2 2" xfId="3668" xr:uid="{880BBD9F-1C49-4DAD-835C-77619515E8DB}"/>
    <cellStyle name="Normal 3 3 2 5 3" xfId="1164" xr:uid="{C48DDFCC-4852-4CF7-AE58-6D8AC5475F2C}"/>
    <cellStyle name="Normal 3 3 2 5 4" xfId="2834" xr:uid="{27B9E735-5F19-4DEB-B9FF-B258C67DC0D9}"/>
    <cellStyle name="Normal 3 3 2 6" xfId="414" xr:uid="{00000000-0005-0000-0000-000001010000}"/>
    <cellStyle name="Normal 3 3 2 6 2" xfId="2090" xr:uid="{8C4BAC62-981C-4552-9BF2-67041F0E4288}"/>
    <cellStyle name="Normal 3 3 2 6 2 2" xfId="3758" xr:uid="{86CB1074-CFE6-4B92-80C3-5B665A806826}"/>
    <cellStyle name="Normal 3 3 2 6 3" xfId="1254" xr:uid="{6E16EA22-8B15-47A4-8110-82C06E44436E}"/>
    <cellStyle name="Normal 3 3 2 6 4" xfId="2924" xr:uid="{45C55530-9988-4E09-A804-E6DA27246AB8}"/>
    <cellStyle name="Normal 3 3 2 7" xfId="504" xr:uid="{00000000-0005-0000-0000-000002010000}"/>
    <cellStyle name="Normal 3 3 2 7 2" xfId="2180" xr:uid="{CA8D77F3-0735-4C3B-ADD4-ED2836B57EAC}"/>
    <cellStyle name="Normal 3 3 2 7 2 2" xfId="3848" xr:uid="{ED101818-71FE-4FFE-BF9C-A91853C1BE2E}"/>
    <cellStyle name="Normal 3 3 2 7 3" xfId="1344" xr:uid="{64DED870-1621-47E5-9E6B-DE6C71E1312C}"/>
    <cellStyle name="Normal 3 3 2 7 4" xfId="3014" xr:uid="{5F12ECB7-FEB2-4BC4-9A25-200B68F306B8}"/>
    <cellStyle name="Normal 3 3 2 8" xfId="594" xr:uid="{00000000-0005-0000-0000-000003010000}"/>
    <cellStyle name="Normal 3 3 2 8 2" xfId="2270" xr:uid="{9B1184BC-1309-4ED5-B80C-FAB30CFCAAF1}"/>
    <cellStyle name="Normal 3 3 2 8 2 2" xfId="3938" xr:uid="{CD925A2B-D0BA-4536-BC86-E09735771662}"/>
    <cellStyle name="Normal 3 3 2 8 3" xfId="1434" xr:uid="{AA41F1FC-608D-4DBF-871F-D9842CA92462}"/>
    <cellStyle name="Normal 3 3 2 8 4" xfId="3104" xr:uid="{DD56BEBE-15D8-46E7-BDFF-ADD1FADB9F28}"/>
    <cellStyle name="Normal 3 3 2 9" xfId="684" xr:uid="{00000000-0005-0000-0000-000004010000}"/>
    <cellStyle name="Normal 3 3 2 9 2" xfId="2360" xr:uid="{5A141D50-D354-4CDB-87CD-1042611B2FB4}"/>
    <cellStyle name="Normal 3 3 2 9 2 2" xfId="4028" xr:uid="{52CAA066-D356-4AC1-BEEB-CFB6A3141CA3}"/>
    <cellStyle name="Normal 3 3 2 9 3" xfId="1524" xr:uid="{5BEBE9D0-682E-4027-996E-0BF5818D3EFF}"/>
    <cellStyle name="Normal 3 3 2 9 4" xfId="3194" xr:uid="{A896C91D-1389-41F0-B6E6-0D283B363014}"/>
    <cellStyle name="Normal 3 3 3" xfId="69" xr:uid="{00000000-0005-0000-0000-000005010000}"/>
    <cellStyle name="Normal 3 3 3 10" xfId="1746" xr:uid="{9A442400-6B89-43A6-8554-9F5949EA25EC}"/>
    <cellStyle name="Normal 3 3 3 10 2" xfId="3414" xr:uid="{A31DD802-7D44-4C09-8BD4-84E89A116E8F}"/>
    <cellStyle name="Normal 3 3 3 11" xfId="910" xr:uid="{A8C16B14-2286-4042-8B55-F77C76B1CB2E}"/>
    <cellStyle name="Normal 3 3 3 12" xfId="2580" xr:uid="{4188A9EF-23CB-49B8-A73F-39EF480BDBDE}"/>
    <cellStyle name="Normal 3 3 3 2" xfId="162" xr:uid="{00000000-0005-0000-0000-000006010000}"/>
    <cellStyle name="Normal 3 3 3 2 2" xfId="1838" xr:uid="{D8FDDBBB-CEAF-463C-9179-7633FA561E0C}"/>
    <cellStyle name="Normal 3 3 3 2 2 2" xfId="3506" xr:uid="{3C689F2E-7D21-4AE5-AE23-2C8558C2BBA7}"/>
    <cellStyle name="Normal 3 3 3 2 3" xfId="1002" xr:uid="{7540CD64-2053-4E19-B2F7-7A9534F74F01}"/>
    <cellStyle name="Normal 3 3 3 2 4" xfId="2672" xr:uid="{1D7F4343-CD5E-45EE-BAE2-E9679103E415}"/>
    <cellStyle name="Normal 3 3 3 3" xfId="252" xr:uid="{00000000-0005-0000-0000-000007010000}"/>
    <cellStyle name="Normal 3 3 3 3 2" xfId="1928" xr:uid="{E0C0B6A7-191F-4053-8DD8-47DEA58DA630}"/>
    <cellStyle name="Normal 3 3 3 3 2 2" xfId="3596" xr:uid="{47A071AC-F00B-4DDD-A83E-779769A0B97E}"/>
    <cellStyle name="Normal 3 3 3 3 3" xfId="1092" xr:uid="{E9C34143-FD2B-4B43-AF6E-673F4497BC0F}"/>
    <cellStyle name="Normal 3 3 3 3 4" xfId="2762" xr:uid="{F19B9C27-035D-4C8F-9C3D-67A877750C9E}"/>
    <cellStyle name="Normal 3 3 3 4" xfId="342" xr:uid="{00000000-0005-0000-0000-000008010000}"/>
    <cellStyle name="Normal 3 3 3 4 2" xfId="2018" xr:uid="{B0FEA2E4-00C2-46D6-9E21-155074A99F0E}"/>
    <cellStyle name="Normal 3 3 3 4 2 2" xfId="3686" xr:uid="{5101BD03-248C-466B-92B4-B03646027EC8}"/>
    <cellStyle name="Normal 3 3 3 4 3" xfId="1182" xr:uid="{71A7C66F-E260-4C13-AB51-E462D00A97E6}"/>
    <cellStyle name="Normal 3 3 3 4 4" xfId="2852" xr:uid="{611A8F4F-4414-4172-BF92-133D827CD325}"/>
    <cellStyle name="Normal 3 3 3 5" xfId="432" xr:uid="{00000000-0005-0000-0000-000009010000}"/>
    <cellStyle name="Normal 3 3 3 5 2" xfId="2108" xr:uid="{CE019754-D33C-44F9-9B8F-B86E7E76A399}"/>
    <cellStyle name="Normal 3 3 3 5 2 2" xfId="3776" xr:uid="{B7C557CE-4C89-4500-A89E-703ECE114B57}"/>
    <cellStyle name="Normal 3 3 3 5 3" xfId="1272" xr:uid="{1E68EF03-07EA-4AB9-93C3-57308B88D6EA}"/>
    <cellStyle name="Normal 3 3 3 5 4" xfId="2942" xr:uid="{D47E30FE-1E62-46B0-88CA-E6C60617D2E4}"/>
    <cellStyle name="Normal 3 3 3 6" xfId="522" xr:uid="{00000000-0005-0000-0000-00000A010000}"/>
    <cellStyle name="Normal 3 3 3 6 2" xfId="2198" xr:uid="{C5FFC6DF-EE21-44F4-9B5C-54843C355981}"/>
    <cellStyle name="Normal 3 3 3 6 2 2" xfId="3866" xr:uid="{4CF8CA65-0CCA-4E8F-95A0-F8928EA2D54C}"/>
    <cellStyle name="Normal 3 3 3 6 3" xfId="1362" xr:uid="{31BA6287-42D4-4B19-83D1-FDB53EDA0B7B}"/>
    <cellStyle name="Normal 3 3 3 6 4" xfId="3032" xr:uid="{5879E9F4-0279-4B22-B6BE-EC39E64560A3}"/>
    <cellStyle name="Normal 3 3 3 7" xfId="612" xr:uid="{00000000-0005-0000-0000-00000B010000}"/>
    <cellStyle name="Normal 3 3 3 7 2" xfId="2288" xr:uid="{180531D6-4CE6-4FE2-B446-F354AABC0735}"/>
    <cellStyle name="Normal 3 3 3 7 2 2" xfId="3956" xr:uid="{A28E5F1F-5DA7-4483-A2B6-7F81C8720278}"/>
    <cellStyle name="Normal 3 3 3 7 3" xfId="1452" xr:uid="{68A86A45-E494-40EA-9F33-102B793B7844}"/>
    <cellStyle name="Normal 3 3 3 7 4" xfId="3122" xr:uid="{A63D5CB8-FC3E-41EF-9EE0-7E3D2EBD44A7}"/>
    <cellStyle name="Normal 3 3 3 8" xfId="702" xr:uid="{00000000-0005-0000-0000-00000C010000}"/>
    <cellStyle name="Normal 3 3 3 8 2" xfId="2378" xr:uid="{52C46F0D-12F4-4A34-88A8-988EC238DAB0}"/>
    <cellStyle name="Normal 3 3 3 8 2 2" xfId="4046" xr:uid="{EB79FF60-7B51-4E5F-A8DB-75F6914AE1C3}"/>
    <cellStyle name="Normal 3 3 3 8 3" xfId="1542" xr:uid="{06F1F3DA-8556-47EF-A6AA-2F917FDD9287}"/>
    <cellStyle name="Normal 3 3 3 8 4" xfId="3212" xr:uid="{EA46E7B7-C445-40B9-B0F4-11BB36BD6146}"/>
    <cellStyle name="Normal 3 3 3 9" xfId="799" xr:uid="{00000000-0005-0000-0000-00000D010000}"/>
    <cellStyle name="Normal 3 3 3 9 2" xfId="2475" xr:uid="{F21E0287-197B-46CD-B27B-B852C2C03E07}"/>
    <cellStyle name="Normal 3 3 3 9 2 2" xfId="4143" xr:uid="{BC34609D-D5D9-4A4D-B225-961A88FE32FF}"/>
    <cellStyle name="Normal 3 3 3 9 3" xfId="1639" xr:uid="{7649BCB5-E4E4-4DC8-95EA-BA3EE15B9597}"/>
    <cellStyle name="Normal 3 3 3 9 4" xfId="3309" xr:uid="{0BB50A98-BAA9-4D6B-A7B5-AB8B46021506}"/>
    <cellStyle name="Normal 3 3 4" xfId="125" xr:uid="{00000000-0005-0000-0000-00000E010000}"/>
    <cellStyle name="Normal 3 3 4 2" xfId="1801" xr:uid="{4FB2F05B-B827-457E-88E3-48AD8098AD57}"/>
    <cellStyle name="Normal 3 3 4 2 2" xfId="3469" xr:uid="{D7AEE23B-DE4E-4E43-B243-E788797AFD07}"/>
    <cellStyle name="Normal 3 3 4 3" xfId="965" xr:uid="{EA250E77-3D38-4231-AA37-61F75EDD6D04}"/>
    <cellStyle name="Normal 3 3 4 4" xfId="2635" xr:uid="{90EDBF71-B1E4-4314-B9DC-7BAC61C5A767}"/>
    <cellStyle name="Normal 3 3 5" xfId="215" xr:uid="{00000000-0005-0000-0000-00000F010000}"/>
    <cellStyle name="Normal 3 3 5 2" xfId="1891" xr:uid="{38E60609-DEA5-47B9-B6B8-2FA0C4AF86CC}"/>
    <cellStyle name="Normal 3 3 5 2 2" xfId="3559" xr:uid="{CCB4B50B-1353-4411-855E-ED7FCBFFBE27}"/>
    <cellStyle name="Normal 3 3 5 3" xfId="1055" xr:uid="{6996012D-EEF3-4FBE-A10C-B815ECE0D1D5}"/>
    <cellStyle name="Normal 3 3 5 4" xfId="2725" xr:uid="{65153965-BC21-40EA-87C9-3C430E34C6F9}"/>
    <cellStyle name="Normal 3 3 6" xfId="305" xr:uid="{00000000-0005-0000-0000-000010010000}"/>
    <cellStyle name="Normal 3 3 6 2" xfId="1981" xr:uid="{17A66DA1-2CA3-42F2-A95C-6149A49A16CF}"/>
    <cellStyle name="Normal 3 3 6 2 2" xfId="3649" xr:uid="{ECE012CE-0A7D-4392-B9A3-6FFB4E368D37}"/>
    <cellStyle name="Normal 3 3 6 3" xfId="1145" xr:uid="{BF0297DF-1E48-4455-9132-BD71AB604BD9}"/>
    <cellStyle name="Normal 3 3 6 4" xfId="2815" xr:uid="{2BED4D05-E5B0-4709-9D67-84CB8481016C}"/>
    <cellStyle name="Normal 3 3 7" xfId="395" xr:uid="{00000000-0005-0000-0000-000011010000}"/>
    <cellStyle name="Normal 3 3 7 2" xfId="2071" xr:uid="{6318D358-23A6-4ED5-899B-9D853A98267F}"/>
    <cellStyle name="Normal 3 3 7 2 2" xfId="3739" xr:uid="{F1BC6877-1BFB-4C54-A886-2BB6ACBDA210}"/>
    <cellStyle name="Normal 3 3 7 3" xfId="1235" xr:uid="{CC6DB02F-B573-4F3C-8608-91461E71CA06}"/>
    <cellStyle name="Normal 3 3 7 4" xfId="2905" xr:uid="{7BC43FC8-2AFB-4FE0-B463-E2A56CA3D100}"/>
    <cellStyle name="Normal 3 3 8" xfId="485" xr:uid="{00000000-0005-0000-0000-000012010000}"/>
    <cellStyle name="Normal 3 3 8 2" xfId="2161" xr:uid="{D2267F7D-9CE7-43F1-A1C0-3D8872228969}"/>
    <cellStyle name="Normal 3 3 8 2 2" xfId="3829" xr:uid="{526A2DC9-80BC-4EEF-9DBC-4E7549233E07}"/>
    <cellStyle name="Normal 3 3 8 3" xfId="1325" xr:uid="{6EEB0A86-221A-4160-BC4C-3419490538B4}"/>
    <cellStyle name="Normal 3 3 8 4" xfId="2995" xr:uid="{0307B229-18B0-4F21-8BFD-4B8C4A771C2E}"/>
    <cellStyle name="Normal 3 3 9" xfId="575" xr:uid="{00000000-0005-0000-0000-000013010000}"/>
    <cellStyle name="Normal 3 3 9 2" xfId="2251" xr:uid="{8CE7501D-22D9-4175-A5EB-43D9943716E8}"/>
    <cellStyle name="Normal 3 3 9 2 2" xfId="3919" xr:uid="{31189EE8-4F40-4AF5-9DAB-797D36B6F787}"/>
    <cellStyle name="Normal 3 3 9 3" xfId="1415" xr:uid="{CE135FD0-2B8C-4E76-9FDB-3D6C7C9F515E}"/>
    <cellStyle name="Normal 3 3 9 4" xfId="3085" xr:uid="{51926658-6145-48C9-AB3B-C94F625A96E1}"/>
    <cellStyle name="Normal 3 4" xfId="29" xr:uid="{00000000-0005-0000-0000-000014010000}"/>
    <cellStyle name="Normal 3 4 10" xfId="668" xr:uid="{00000000-0005-0000-0000-000015010000}"/>
    <cellStyle name="Normal 3 4 10 2" xfId="2344" xr:uid="{78C72814-8D36-4FD2-8CC3-1828AAFB56E0}"/>
    <cellStyle name="Normal 3 4 10 2 2" xfId="4012" xr:uid="{B1B0A7FB-209C-49F6-A1F2-E1AF536F48AF}"/>
    <cellStyle name="Normal 3 4 10 3" xfId="1508" xr:uid="{51F9426B-7190-487E-B3E8-1E18B59C22DD}"/>
    <cellStyle name="Normal 3 4 10 4" xfId="3178" xr:uid="{E4B3BD6C-5356-4B6E-B7EF-D21A25402681}"/>
    <cellStyle name="Normal 3 4 11" xfId="763" xr:uid="{00000000-0005-0000-0000-000016010000}"/>
    <cellStyle name="Normal 3 4 11 2" xfId="2439" xr:uid="{F1414470-93A6-4F55-8080-A1CB61B6E1FB}"/>
    <cellStyle name="Normal 3 4 11 2 2" xfId="4107" xr:uid="{8D0B14B0-86CA-421D-9306-EEF04E446F16}"/>
    <cellStyle name="Normal 3 4 11 3" xfId="1603" xr:uid="{DD23BEA5-7718-45E1-BA33-D8DFDBDA7C4D}"/>
    <cellStyle name="Normal 3 4 11 4" xfId="3273" xr:uid="{757AED8E-BB73-4E75-8EC8-0214D9315F4A}"/>
    <cellStyle name="Normal 3 4 12" xfId="1710" xr:uid="{C102FF31-411B-41A5-83EA-9B3306FBC647}"/>
    <cellStyle name="Normal 3 4 12 2" xfId="3378" xr:uid="{4CE59BC2-2D63-4C73-8BA7-8CE50891E732}"/>
    <cellStyle name="Normal 3 4 13" xfId="874" xr:uid="{4544B71E-3646-45E0-B865-64EC793E6CF8}"/>
    <cellStyle name="Normal 3 4 14" xfId="2544" xr:uid="{84F6CD51-CC74-455B-AD52-3A2255A07C32}"/>
    <cellStyle name="Normal 3 4 2" xfId="51" xr:uid="{00000000-0005-0000-0000-000017010000}"/>
    <cellStyle name="Normal 3 4 2 10" xfId="783" xr:uid="{00000000-0005-0000-0000-000018010000}"/>
    <cellStyle name="Normal 3 4 2 10 2" xfId="2459" xr:uid="{22D7B894-E70D-4264-A239-F3D7C90B7FD3}"/>
    <cellStyle name="Normal 3 4 2 10 2 2" xfId="4127" xr:uid="{C862C63B-5043-4C24-9E4B-2EC95EA42E7C}"/>
    <cellStyle name="Normal 3 4 2 10 3" xfId="1623" xr:uid="{2BDD8989-339F-4D58-8641-3BB432B09F9C}"/>
    <cellStyle name="Normal 3 4 2 10 4" xfId="3293" xr:uid="{DB74733E-4DB8-46AA-BB88-878D81366C0C}"/>
    <cellStyle name="Normal 3 4 2 11" xfId="1730" xr:uid="{A1D74F7B-C652-4B38-B034-94B2DA8CBD34}"/>
    <cellStyle name="Normal 3 4 2 11 2" xfId="3398" xr:uid="{38AFD54C-B146-4AAC-B39B-66A25500D9F1}"/>
    <cellStyle name="Normal 3 4 2 12" xfId="894" xr:uid="{886BD63A-778B-473C-86D0-4E166B3665EA}"/>
    <cellStyle name="Normal 3 4 2 13" xfId="2564" xr:uid="{1A65739A-1F4C-41FB-BA5F-A7D6682CA68E}"/>
    <cellStyle name="Normal 3 4 2 2" xfId="91" xr:uid="{00000000-0005-0000-0000-000019010000}"/>
    <cellStyle name="Normal 3 4 2 2 10" xfId="1768" xr:uid="{24B411BF-E984-4709-B1EE-85D6C2E8FE7B}"/>
    <cellStyle name="Normal 3 4 2 2 10 2" xfId="3436" xr:uid="{6E01EECA-5E30-4257-B81F-DFCC2BB5A7B1}"/>
    <cellStyle name="Normal 3 4 2 2 11" xfId="932" xr:uid="{462048BA-91D5-40CB-A42F-85B9499F3684}"/>
    <cellStyle name="Normal 3 4 2 2 12" xfId="2602" xr:uid="{BD5F7732-19DF-4606-819C-ED12C50F8FE3}"/>
    <cellStyle name="Normal 3 4 2 2 2" xfId="184" xr:uid="{00000000-0005-0000-0000-00001A010000}"/>
    <cellStyle name="Normal 3 4 2 2 2 2" xfId="1860" xr:uid="{91657955-62B8-4DD6-845D-433580F3F143}"/>
    <cellStyle name="Normal 3 4 2 2 2 2 2" xfId="3528" xr:uid="{7010F5B6-6D9E-42BA-AE7B-4117BF9C7A46}"/>
    <cellStyle name="Normal 3 4 2 2 2 3" xfId="1024" xr:uid="{7EBD5CC0-2D12-49CE-B22B-3E83E88907DB}"/>
    <cellStyle name="Normal 3 4 2 2 2 4" xfId="2694" xr:uid="{F17738FF-B119-42FC-9A07-D23B858082C7}"/>
    <cellStyle name="Normal 3 4 2 2 3" xfId="274" xr:uid="{00000000-0005-0000-0000-00001B010000}"/>
    <cellStyle name="Normal 3 4 2 2 3 2" xfId="1950" xr:uid="{9CA19F86-2521-4A42-9315-A4494BCBA487}"/>
    <cellStyle name="Normal 3 4 2 2 3 2 2" xfId="3618" xr:uid="{9EA68902-6306-4060-94B9-7049D159912B}"/>
    <cellStyle name="Normal 3 4 2 2 3 3" xfId="1114" xr:uid="{CC978CDC-DF1A-4D42-9A9F-BC83AE5D4CF6}"/>
    <cellStyle name="Normal 3 4 2 2 3 4" xfId="2784" xr:uid="{7329D47A-E2F0-4C2B-9DF1-DE458AF04EBD}"/>
    <cellStyle name="Normal 3 4 2 2 4" xfId="364" xr:uid="{00000000-0005-0000-0000-00001C010000}"/>
    <cellStyle name="Normal 3 4 2 2 4 2" xfId="2040" xr:uid="{54EFDF61-0FB5-443D-A1D2-284B27E5F4DC}"/>
    <cellStyle name="Normal 3 4 2 2 4 2 2" xfId="3708" xr:uid="{A2124A67-A03F-45CF-9BB3-6FAC344D0A72}"/>
    <cellStyle name="Normal 3 4 2 2 4 3" xfId="1204" xr:uid="{95CA9452-C7F8-4D79-BEDB-1367CF8801BD}"/>
    <cellStyle name="Normal 3 4 2 2 4 4" xfId="2874" xr:uid="{2D836F3B-AA55-4A86-802B-11A9AEA8B3D6}"/>
    <cellStyle name="Normal 3 4 2 2 5" xfId="454" xr:uid="{00000000-0005-0000-0000-00001D010000}"/>
    <cellStyle name="Normal 3 4 2 2 5 2" xfId="2130" xr:uid="{5685E377-59A1-474D-A2D4-64151B4CFE2C}"/>
    <cellStyle name="Normal 3 4 2 2 5 2 2" xfId="3798" xr:uid="{1CE63792-373D-4026-B25D-8CCB750EACC9}"/>
    <cellStyle name="Normal 3 4 2 2 5 3" xfId="1294" xr:uid="{30BF3156-C15D-4DCF-92D5-DDD4373B2C39}"/>
    <cellStyle name="Normal 3 4 2 2 5 4" xfId="2964" xr:uid="{BE0264B0-6AEE-4E03-B9F0-DBC0F7007A8F}"/>
    <cellStyle name="Normal 3 4 2 2 6" xfId="544" xr:uid="{00000000-0005-0000-0000-00001E010000}"/>
    <cellStyle name="Normal 3 4 2 2 6 2" xfId="2220" xr:uid="{3042B109-5172-48E0-8EC2-37CF0AC75A4E}"/>
    <cellStyle name="Normal 3 4 2 2 6 2 2" xfId="3888" xr:uid="{59D168ED-6174-4103-8D00-01A2668386B1}"/>
    <cellStyle name="Normal 3 4 2 2 6 3" xfId="1384" xr:uid="{D08CADD1-F5E4-46D6-9C76-B2B00C8CB97C}"/>
    <cellStyle name="Normal 3 4 2 2 6 4" xfId="3054" xr:uid="{354B5437-7FF1-43C4-A835-1F630002D1BE}"/>
    <cellStyle name="Normal 3 4 2 2 7" xfId="634" xr:uid="{00000000-0005-0000-0000-00001F010000}"/>
    <cellStyle name="Normal 3 4 2 2 7 2" xfId="2310" xr:uid="{8EC90591-63F0-41B9-9E2E-AB1783EF5050}"/>
    <cellStyle name="Normal 3 4 2 2 7 2 2" xfId="3978" xr:uid="{B4E92950-447F-4C29-88A8-2EDD47311D49}"/>
    <cellStyle name="Normal 3 4 2 2 7 3" xfId="1474" xr:uid="{13CE33BB-270D-4E4B-BD04-FC2F7B2C879A}"/>
    <cellStyle name="Normal 3 4 2 2 7 4" xfId="3144" xr:uid="{FFFB4557-4FFA-4F2E-9094-5A09BAF5CE43}"/>
    <cellStyle name="Normal 3 4 2 2 8" xfId="724" xr:uid="{00000000-0005-0000-0000-000020010000}"/>
    <cellStyle name="Normal 3 4 2 2 8 2" xfId="2400" xr:uid="{2DD151C6-5005-4537-9252-CC5BEF8B27E3}"/>
    <cellStyle name="Normal 3 4 2 2 8 2 2" xfId="4068" xr:uid="{A2EB0154-51BA-4101-8246-4977BFE0A3F5}"/>
    <cellStyle name="Normal 3 4 2 2 8 3" xfId="1564" xr:uid="{73AE718F-5C12-4452-A8E9-A6A3021A582E}"/>
    <cellStyle name="Normal 3 4 2 2 8 4" xfId="3234" xr:uid="{F728F292-6B97-4773-9479-F45C2C9CE5B2}"/>
    <cellStyle name="Normal 3 4 2 2 9" xfId="821" xr:uid="{00000000-0005-0000-0000-000021010000}"/>
    <cellStyle name="Normal 3 4 2 2 9 2" xfId="2497" xr:uid="{CF5C1957-42CB-4915-B37A-DC55793B6756}"/>
    <cellStyle name="Normal 3 4 2 2 9 2 2" xfId="4165" xr:uid="{6CBEAF68-3A6F-47BB-A241-B6A71EF5DA23}"/>
    <cellStyle name="Normal 3 4 2 2 9 3" xfId="1661" xr:uid="{3C2199E8-9B85-4B65-8208-F4EDF4AAFAFF}"/>
    <cellStyle name="Normal 3 4 2 2 9 4" xfId="3331" xr:uid="{89BFBC26-0B9C-4E90-ABD1-894C4A56D55E}"/>
    <cellStyle name="Normal 3 4 2 3" xfId="147" xr:uid="{00000000-0005-0000-0000-000022010000}"/>
    <cellStyle name="Normal 3 4 2 3 2" xfId="1823" xr:uid="{29628F1D-D491-4572-818E-91891FCF302A}"/>
    <cellStyle name="Normal 3 4 2 3 2 2" xfId="3491" xr:uid="{F2FFA1D8-EE47-485E-9BD1-F5D0C5766620}"/>
    <cellStyle name="Normal 3 4 2 3 3" xfId="987" xr:uid="{E5193E65-7731-4356-BE83-FC8D89AA3642}"/>
    <cellStyle name="Normal 3 4 2 3 4" xfId="2657" xr:uid="{0A0D6653-6B49-49B5-9983-751A30508812}"/>
    <cellStyle name="Normal 3 4 2 4" xfId="237" xr:uid="{00000000-0005-0000-0000-000023010000}"/>
    <cellStyle name="Normal 3 4 2 4 2" xfId="1913" xr:uid="{5CDEDF42-C4D5-4451-9870-11C758B510F7}"/>
    <cellStyle name="Normal 3 4 2 4 2 2" xfId="3581" xr:uid="{C8B24304-92CC-437C-8CA8-862D831CE180}"/>
    <cellStyle name="Normal 3 4 2 4 3" xfId="1077" xr:uid="{1ED5B3FE-A9CB-4732-A105-C1DA9C865EF1}"/>
    <cellStyle name="Normal 3 4 2 4 4" xfId="2747" xr:uid="{E94C4C8F-B92C-4305-A102-6B29966935FA}"/>
    <cellStyle name="Normal 3 4 2 5" xfId="327" xr:uid="{00000000-0005-0000-0000-000024010000}"/>
    <cellStyle name="Normal 3 4 2 5 2" xfId="2003" xr:uid="{D48E434C-CD9F-4908-9245-6A09F510A90B}"/>
    <cellStyle name="Normal 3 4 2 5 2 2" xfId="3671" xr:uid="{EB6E0531-AEED-47C6-93A3-CB6A4AA566D7}"/>
    <cellStyle name="Normal 3 4 2 5 3" xfId="1167" xr:uid="{72531BB9-0AC6-4797-B571-605DFF9FE8CD}"/>
    <cellStyle name="Normal 3 4 2 5 4" xfId="2837" xr:uid="{5DF1EFDF-153B-4C78-BDFF-AE81F6B306FD}"/>
    <cellStyle name="Normal 3 4 2 6" xfId="417" xr:uid="{00000000-0005-0000-0000-000025010000}"/>
    <cellStyle name="Normal 3 4 2 6 2" xfId="2093" xr:uid="{34B05786-A441-447C-9890-EDB2DF64AF76}"/>
    <cellStyle name="Normal 3 4 2 6 2 2" xfId="3761" xr:uid="{2A3C0DED-CE5A-4799-AA43-3921B4FAEF9E}"/>
    <cellStyle name="Normal 3 4 2 6 3" xfId="1257" xr:uid="{D85715A9-69E5-4266-9398-423113B458C9}"/>
    <cellStyle name="Normal 3 4 2 6 4" xfId="2927" xr:uid="{9CCF04AC-76C4-44F9-9E3F-3088043D5FD4}"/>
    <cellStyle name="Normal 3 4 2 7" xfId="507" xr:uid="{00000000-0005-0000-0000-000026010000}"/>
    <cellStyle name="Normal 3 4 2 7 2" xfId="2183" xr:uid="{EFA25874-1B0E-4AF9-87CE-345FABAF04FB}"/>
    <cellStyle name="Normal 3 4 2 7 2 2" xfId="3851" xr:uid="{30C362A0-A030-464F-9CEA-FC2916B74054}"/>
    <cellStyle name="Normal 3 4 2 7 3" xfId="1347" xr:uid="{E424D070-B158-479F-98EC-E2B0B976DA68}"/>
    <cellStyle name="Normal 3 4 2 7 4" xfId="3017" xr:uid="{1FAC986B-1C70-41FD-AB5B-EEAC67D81256}"/>
    <cellStyle name="Normal 3 4 2 8" xfId="597" xr:uid="{00000000-0005-0000-0000-000027010000}"/>
    <cellStyle name="Normal 3 4 2 8 2" xfId="2273" xr:uid="{635655E5-4A91-4DCF-AD4C-C2B046C861FB}"/>
    <cellStyle name="Normal 3 4 2 8 2 2" xfId="3941" xr:uid="{C79E1C26-F23C-4A59-849C-465B141B060D}"/>
    <cellStyle name="Normal 3 4 2 8 3" xfId="1437" xr:uid="{762709E7-BBE3-414A-BBB7-283AEB2C0E5E}"/>
    <cellStyle name="Normal 3 4 2 8 4" xfId="3107" xr:uid="{5B5812E2-D39D-49FE-BE69-F3C31B4D0DE3}"/>
    <cellStyle name="Normal 3 4 2 9" xfId="687" xr:uid="{00000000-0005-0000-0000-000028010000}"/>
    <cellStyle name="Normal 3 4 2 9 2" xfId="2363" xr:uid="{55865985-9B64-4F20-AB9E-FD54A78AE53A}"/>
    <cellStyle name="Normal 3 4 2 9 2 2" xfId="4031" xr:uid="{30B8B83E-E077-4CC6-99D7-39AEE9A46A1C}"/>
    <cellStyle name="Normal 3 4 2 9 3" xfId="1527" xr:uid="{FF15299D-E419-4278-A882-103C3FA0F0C4}"/>
    <cellStyle name="Normal 3 4 2 9 4" xfId="3197" xr:uid="{762AB5B6-20BA-4292-BDB9-AA1A843615D1}"/>
    <cellStyle name="Normal 3 4 3" xfId="72" xr:uid="{00000000-0005-0000-0000-000029010000}"/>
    <cellStyle name="Normal 3 4 3 10" xfId="1749" xr:uid="{FB3C603C-E132-4B71-866B-B14295070B40}"/>
    <cellStyle name="Normal 3 4 3 10 2" xfId="3417" xr:uid="{F3594BAE-81F6-4B7C-9C1A-D21F1CA31286}"/>
    <cellStyle name="Normal 3 4 3 11" xfId="913" xr:uid="{3C22A609-5AF0-402F-A206-34C6B242FFCA}"/>
    <cellStyle name="Normal 3 4 3 12" xfId="2583" xr:uid="{9B7B0B98-AEFF-4946-81FD-866BC4433FCD}"/>
    <cellStyle name="Normal 3 4 3 2" xfId="165" xr:uid="{00000000-0005-0000-0000-00002A010000}"/>
    <cellStyle name="Normal 3 4 3 2 2" xfId="1841" xr:uid="{C436F063-1921-4415-A410-A5E3A84BFBBF}"/>
    <cellStyle name="Normal 3 4 3 2 2 2" xfId="3509" xr:uid="{A4028B04-6E41-45BC-8C45-6CEF69298F04}"/>
    <cellStyle name="Normal 3 4 3 2 3" xfId="1005" xr:uid="{6376BFAA-39E1-4F52-8466-F65CEE65AE80}"/>
    <cellStyle name="Normal 3 4 3 2 4" xfId="2675" xr:uid="{CC9CBBE4-7927-4805-B0DF-89858912D695}"/>
    <cellStyle name="Normal 3 4 3 3" xfId="255" xr:uid="{00000000-0005-0000-0000-00002B010000}"/>
    <cellStyle name="Normal 3 4 3 3 2" xfId="1931" xr:uid="{5FFFE603-F36B-45B9-88B5-D3FB794D8CAD}"/>
    <cellStyle name="Normal 3 4 3 3 2 2" xfId="3599" xr:uid="{D3F97E03-4391-45FF-8ED2-040EB9DEA64D}"/>
    <cellStyle name="Normal 3 4 3 3 3" xfId="1095" xr:uid="{5F5E21C8-506D-45E5-BD8D-AF2666416023}"/>
    <cellStyle name="Normal 3 4 3 3 4" xfId="2765" xr:uid="{F0856A3D-7201-440A-B707-F3DA21730757}"/>
    <cellStyle name="Normal 3 4 3 4" xfId="345" xr:uid="{00000000-0005-0000-0000-00002C010000}"/>
    <cellStyle name="Normal 3 4 3 4 2" xfId="2021" xr:uid="{420F371F-6A4C-46F3-8A5C-16188445AD0E}"/>
    <cellStyle name="Normal 3 4 3 4 2 2" xfId="3689" xr:uid="{9A961E04-7AC5-4809-8316-CD2E4819CDCB}"/>
    <cellStyle name="Normal 3 4 3 4 3" xfId="1185" xr:uid="{6DAB577F-EF2C-4FF8-B234-8D0F573F55D8}"/>
    <cellStyle name="Normal 3 4 3 4 4" xfId="2855" xr:uid="{589E4690-963F-4E6F-872C-C544AF1C14A9}"/>
    <cellStyle name="Normal 3 4 3 5" xfId="435" xr:uid="{00000000-0005-0000-0000-00002D010000}"/>
    <cellStyle name="Normal 3 4 3 5 2" xfId="2111" xr:uid="{B32D8CB8-BCCD-4BFC-8843-0FE654F1080B}"/>
    <cellStyle name="Normal 3 4 3 5 2 2" xfId="3779" xr:uid="{58B8A25E-0F24-4055-9F0F-BF296B8FA73F}"/>
    <cellStyle name="Normal 3 4 3 5 3" xfId="1275" xr:uid="{A10AF0E0-A864-4D1A-AB49-9E133D794A98}"/>
    <cellStyle name="Normal 3 4 3 5 4" xfId="2945" xr:uid="{55E8DF7B-FE68-49CF-B4E2-B759FC4F7181}"/>
    <cellStyle name="Normal 3 4 3 6" xfId="525" xr:uid="{00000000-0005-0000-0000-00002E010000}"/>
    <cellStyle name="Normal 3 4 3 6 2" xfId="2201" xr:uid="{A9CC4202-6228-43A5-BDFA-B29DD9BE9AB7}"/>
    <cellStyle name="Normal 3 4 3 6 2 2" xfId="3869" xr:uid="{A562E377-A9BD-498C-91B6-EAF4E409EB67}"/>
    <cellStyle name="Normal 3 4 3 6 3" xfId="1365" xr:uid="{103BE579-817F-4B33-B2C5-310B74B7A75F}"/>
    <cellStyle name="Normal 3 4 3 6 4" xfId="3035" xr:uid="{B29827AA-7A06-40A0-A43B-412FE7245B1A}"/>
    <cellStyle name="Normal 3 4 3 7" xfId="615" xr:uid="{00000000-0005-0000-0000-00002F010000}"/>
    <cellStyle name="Normal 3 4 3 7 2" xfId="2291" xr:uid="{A3117C3E-3F49-4122-8416-277186BED286}"/>
    <cellStyle name="Normal 3 4 3 7 2 2" xfId="3959" xr:uid="{1322BDD6-5684-4054-BAE9-B6A44A4156DA}"/>
    <cellStyle name="Normal 3 4 3 7 3" xfId="1455" xr:uid="{3F1FC5AA-8666-4C94-B8AC-5C07BDED0EF0}"/>
    <cellStyle name="Normal 3 4 3 7 4" xfId="3125" xr:uid="{37EFDBE4-D316-40C2-90BD-D979C2DAD674}"/>
    <cellStyle name="Normal 3 4 3 8" xfId="705" xr:uid="{00000000-0005-0000-0000-000030010000}"/>
    <cellStyle name="Normal 3 4 3 8 2" xfId="2381" xr:uid="{D82ADF5D-E460-442C-8B1A-F8014CCCFCD6}"/>
    <cellStyle name="Normal 3 4 3 8 2 2" xfId="4049" xr:uid="{006D3D96-46C4-40E5-99ED-793E76476160}"/>
    <cellStyle name="Normal 3 4 3 8 3" xfId="1545" xr:uid="{95E2B38A-9330-437C-B83F-E49B175F6C87}"/>
    <cellStyle name="Normal 3 4 3 8 4" xfId="3215" xr:uid="{FCB38F3B-89CE-4310-B2AC-D932E5DEE1A9}"/>
    <cellStyle name="Normal 3 4 3 9" xfId="802" xr:uid="{00000000-0005-0000-0000-000031010000}"/>
    <cellStyle name="Normal 3 4 3 9 2" xfId="2478" xr:uid="{98E4EA9F-54A0-4931-B409-3BC0A1200B7E}"/>
    <cellStyle name="Normal 3 4 3 9 2 2" xfId="4146" xr:uid="{9D30B914-9898-4C0C-984C-C50A1B7D5D7D}"/>
    <cellStyle name="Normal 3 4 3 9 3" xfId="1642" xr:uid="{9F7DFE22-2BC0-4452-81C8-2591069C58FE}"/>
    <cellStyle name="Normal 3 4 3 9 4" xfId="3312" xr:uid="{B163DFB4-0834-4D0F-A122-9485A65BDE45}"/>
    <cellStyle name="Normal 3 4 4" xfId="128" xr:uid="{00000000-0005-0000-0000-000032010000}"/>
    <cellStyle name="Normal 3 4 4 2" xfId="1804" xr:uid="{FFD9DF34-C398-4383-AA49-41DD99B7B8B7}"/>
    <cellStyle name="Normal 3 4 4 2 2" xfId="3472" xr:uid="{77683F00-72BB-4A19-9FCB-B5605A596ED5}"/>
    <cellStyle name="Normal 3 4 4 3" xfId="968" xr:uid="{3EAC60C8-721D-46F8-BE6E-3E4836260FAA}"/>
    <cellStyle name="Normal 3 4 4 4" xfId="2638" xr:uid="{2F65FA14-2DB5-4A8E-A761-3F4CB7521B9F}"/>
    <cellStyle name="Normal 3 4 5" xfId="218" xr:uid="{00000000-0005-0000-0000-000033010000}"/>
    <cellStyle name="Normal 3 4 5 2" xfId="1894" xr:uid="{F7184062-ABF2-4095-AEFD-067BB0F3C093}"/>
    <cellStyle name="Normal 3 4 5 2 2" xfId="3562" xr:uid="{982E4BB9-D8D2-42C8-A820-32842E6E6C7D}"/>
    <cellStyle name="Normal 3 4 5 3" xfId="1058" xr:uid="{49E1CDE2-970C-40FB-B5C6-F5B2AF66F202}"/>
    <cellStyle name="Normal 3 4 5 4" xfId="2728" xr:uid="{6EA902EA-15B0-47C2-AFDC-DAE07BCE8F4F}"/>
    <cellStyle name="Normal 3 4 6" xfId="308" xr:uid="{00000000-0005-0000-0000-000034010000}"/>
    <cellStyle name="Normal 3 4 6 2" xfId="1984" xr:uid="{8C46BF73-C71E-4A7A-8D14-36773FB3F8D3}"/>
    <cellStyle name="Normal 3 4 6 2 2" xfId="3652" xr:uid="{6837F6BE-A16D-4AE0-81A7-A94363074BF0}"/>
    <cellStyle name="Normal 3 4 6 3" xfId="1148" xr:uid="{27FE3B2F-DC06-4D8F-85BC-79024C338B02}"/>
    <cellStyle name="Normal 3 4 6 4" xfId="2818" xr:uid="{99C64F1E-EBB7-4F74-8DCC-9A8637D98F67}"/>
    <cellStyle name="Normal 3 4 7" xfId="398" xr:uid="{00000000-0005-0000-0000-000035010000}"/>
    <cellStyle name="Normal 3 4 7 2" xfId="2074" xr:uid="{E07ADEFF-3D64-4C16-9CC6-9867A439B640}"/>
    <cellStyle name="Normal 3 4 7 2 2" xfId="3742" xr:uid="{849E55E3-1ACE-4D5B-9B89-EBB3E48EC271}"/>
    <cellStyle name="Normal 3 4 7 3" xfId="1238" xr:uid="{370EA6C9-F080-4705-99D7-C63D5E64AB36}"/>
    <cellStyle name="Normal 3 4 7 4" xfId="2908" xr:uid="{8E707590-FC32-419F-AE17-9339EE4C77BC}"/>
    <cellStyle name="Normal 3 4 8" xfId="488" xr:uid="{00000000-0005-0000-0000-000036010000}"/>
    <cellStyle name="Normal 3 4 8 2" xfId="2164" xr:uid="{8CEF6E2F-D7D3-40CC-B6BC-D8F2E31410B1}"/>
    <cellStyle name="Normal 3 4 8 2 2" xfId="3832" xr:uid="{3468E206-143E-405C-8BA0-72212F579B68}"/>
    <cellStyle name="Normal 3 4 8 3" xfId="1328" xr:uid="{13E6212E-3F54-4DA3-A176-DA4D8C3375F9}"/>
    <cellStyle name="Normal 3 4 8 4" xfId="2998" xr:uid="{19519E6A-5757-4DDE-A996-5FFA2502E33B}"/>
    <cellStyle name="Normal 3 4 9" xfId="578" xr:uid="{00000000-0005-0000-0000-000037010000}"/>
    <cellStyle name="Normal 3 4 9 2" xfId="2254" xr:uid="{DA688FAD-36EB-44F7-8BB9-0BC61B4D860D}"/>
    <cellStyle name="Normal 3 4 9 2 2" xfId="3922" xr:uid="{133EA0DF-1AE9-4F1E-A5C6-E7B65E960B70}"/>
    <cellStyle name="Normal 3 4 9 3" xfId="1418" xr:uid="{BC339470-66CE-40C3-B629-174D1ED4FBF8}"/>
    <cellStyle name="Normal 3 4 9 4" xfId="3088" xr:uid="{CB839F77-4563-4062-B64A-77EA75EA69EA}"/>
    <cellStyle name="Normal 3 5" xfId="33" xr:uid="{00000000-0005-0000-0000-000038010000}"/>
    <cellStyle name="Normal 3 5 10" xfId="671" xr:uid="{00000000-0005-0000-0000-000039010000}"/>
    <cellStyle name="Normal 3 5 10 2" xfId="2347" xr:uid="{666E509E-1055-49ED-9AFC-3FBA33BC983D}"/>
    <cellStyle name="Normal 3 5 10 2 2" xfId="4015" xr:uid="{EABD9D3A-5685-471E-A880-488C280E6460}"/>
    <cellStyle name="Normal 3 5 10 3" xfId="1511" xr:uid="{69E44813-62C0-4692-956F-F11E0ABA21D6}"/>
    <cellStyle name="Normal 3 5 10 4" xfId="3181" xr:uid="{B9163E89-2378-4EEE-BDA2-C67DD3EBA6D2}"/>
    <cellStyle name="Normal 3 5 11" xfId="766" xr:uid="{00000000-0005-0000-0000-00003A010000}"/>
    <cellStyle name="Normal 3 5 11 2" xfId="2442" xr:uid="{06046C6E-0EA7-45C6-A27D-E3578EE904B1}"/>
    <cellStyle name="Normal 3 5 11 2 2" xfId="4110" xr:uid="{A803A05C-A3E5-44B7-AA98-54710010567F}"/>
    <cellStyle name="Normal 3 5 11 3" xfId="1606" xr:uid="{269596A4-DC58-4E3D-A17C-2ED698539670}"/>
    <cellStyle name="Normal 3 5 11 4" xfId="3276" xr:uid="{F6BE7196-0A8B-435A-B32B-1C9187DFD083}"/>
    <cellStyle name="Normal 3 5 12" xfId="1713" xr:uid="{6B8CD659-BF43-40D0-A24E-8858FFC6FE1E}"/>
    <cellStyle name="Normal 3 5 12 2" xfId="3381" xr:uid="{8E1A2EF9-3664-47CB-B881-39B65E2B9234}"/>
    <cellStyle name="Normal 3 5 13" xfId="877" xr:uid="{EEC26381-7804-4B37-A390-3594B77AA87F}"/>
    <cellStyle name="Normal 3 5 14" xfId="2547" xr:uid="{AD71328F-31B8-47FC-93C4-605A694D35A6}"/>
    <cellStyle name="Normal 3 5 2" xfId="55" xr:uid="{00000000-0005-0000-0000-00003B010000}"/>
    <cellStyle name="Normal 3 5 2 10" xfId="786" xr:uid="{00000000-0005-0000-0000-00003C010000}"/>
    <cellStyle name="Normal 3 5 2 10 2" xfId="2462" xr:uid="{05DCB9BC-D055-490F-A988-E9DEBF0FBA7C}"/>
    <cellStyle name="Normal 3 5 2 10 2 2" xfId="4130" xr:uid="{691E775B-5DC2-40A2-B230-08FA3063CAA8}"/>
    <cellStyle name="Normal 3 5 2 10 3" xfId="1626" xr:uid="{522E5AA6-451A-4235-8607-0C556A02A705}"/>
    <cellStyle name="Normal 3 5 2 10 4" xfId="3296" xr:uid="{7ED9D64E-C408-4638-B709-D93E9425EE8E}"/>
    <cellStyle name="Normal 3 5 2 11" xfId="1733" xr:uid="{5F705628-240D-45B0-A000-8D0DF5C89A6E}"/>
    <cellStyle name="Normal 3 5 2 11 2" xfId="3401" xr:uid="{7C1FB632-0998-4B5B-B045-4B6DA45CD72A}"/>
    <cellStyle name="Normal 3 5 2 12" xfId="897" xr:uid="{C64A1D46-47EE-4AE1-81AC-D75993F944D5}"/>
    <cellStyle name="Normal 3 5 2 13" xfId="2567" xr:uid="{9C89EB99-6094-47B8-A011-8BAA3647AB50}"/>
    <cellStyle name="Normal 3 5 2 2" xfId="95" xr:uid="{00000000-0005-0000-0000-00003D010000}"/>
    <cellStyle name="Normal 3 5 2 2 10" xfId="1771" xr:uid="{208C92C4-53BD-4841-869B-368DD3D36F92}"/>
    <cellStyle name="Normal 3 5 2 2 10 2" xfId="3439" xr:uid="{FD7F52EA-FA5B-4402-A5CD-056BE4F1A63B}"/>
    <cellStyle name="Normal 3 5 2 2 11" xfId="935" xr:uid="{311073A0-8C9F-4D27-96E1-E6CA6C551E47}"/>
    <cellStyle name="Normal 3 5 2 2 12" xfId="2605" xr:uid="{A5BF2800-965B-4F15-B9EC-F65966368374}"/>
    <cellStyle name="Normal 3 5 2 2 2" xfId="187" xr:uid="{00000000-0005-0000-0000-00003E010000}"/>
    <cellStyle name="Normal 3 5 2 2 2 2" xfId="1863" xr:uid="{7B6BAC8A-79D1-44C7-B715-CC57FC86EC85}"/>
    <cellStyle name="Normal 3 5 2 2 2 2 2" xfId="3531" xr:uid="{4C0EA777-EFF9-4CBA-8732-FC7DF9FB9EA5}"/>
    <cellStyle name="Normal 3 5 2 2 2 3" xfId="1027" xr:uid="{AA708F5A-1E09-4D74-9E41-ADDC448F70E8}"/>
    <cellStyle name="Normal 3 5 2 2 2 4" xfId="2697" xr:uid="{2D604093-E6C8-4850-8468-A5C82D5B0514}"/>
    <cellStyle name="Normal 3 5 2 2 3" xfId="277" xr:uid="{00000000-0005-0000-0000-00003F010000}"/>
    <cellStyle name="Normal 3 5 2 2 3 2" xfId="1953" xr:uid="{3AE7376E-AFAE-47FA-B8F2-B53C41CA0FF4}"/>
    <cellStyle name="Normal 3 5 2 2 3 2 2" xfId="3621" xr:uid="{D669CC3D-31FC-4B74-AFEF-A9458EB906F7}"/>
    <cellStyle name="Normal 3 5 2 2 3 3" xfId="1117" xr:uid="{6706DEB5-05F8-4CBC-9A62-32869B2FB69E}"/>
    <cellStyle name="Normal 3 5 2 2 3 4" xfId="2787" xr:uid="{47C67453-BD44-43CB-B620-C60A919FAF8A}"/>
    <cellStyle name="Normal 3 5 2 2 4" xfId="367" xr:uid="{00000000-0005-0000-0000-000040010000}"/>
    <cellStyle name="Normal 3 5 2 2 4 2" xfId="2043" xr:uid="{46BD7D99-7941-4888-B8C4-65B941B3D995}"/>
    <cellStyle name="Normal 3 5 2 2 4 2 2" xfId="3711" xr:uid="{D175F189-3C0F-49A1-98BD-62A03AEB7294}"/>
    <cellStyle name="Normal 3 5 2 2 4 3" xfId="1207" xr:uid="{8F35F69E-F7DB-4366-8CE2-B70EB3774A9F}"/>
    <cellStyle name="Normal 3 5 2 2 4 4" xfId="2877" xr:uid="{9A413EA6-D0B4-43E7-BC53-4104FB52701E}"/>
    <cellStyle name="Normal 3 5 2 2 5" xfId="457" xr:uid="{00000000-0005-0000-0000-000041010000}"/>
    <cellStyle name="Normal 3 5 2 2 5 2" xfId="2133" xr:uid="{5C7C2110-DDD9-4640-9297-61C05A3F9699}"/>
    <cellStyle name="Normal 3 5 2 2 5 2 2" xfId="3801" xr:uid="{FD363BA8-779C-4B82-B919-5FDE11BB3912}"/>
    <cellStyle name="Normal 3 5 2 2 5 3" xfId="1297" xr:uid="{E5A2E2E3-BBA3-46A8-AD66-EE4ACCF14D2C}"/>
    <cellStyle name="Normal 3 5 2 2 5 4" xfId="2967" xr:uid="{6A8E5C63-523C-4DBF-BAE6-D7700043B807}"/>
    <cellStyle name="Normal 3 5 2 2 6" xfId="547" xr:uid="{00000000-0005-0000-0000-000042010000}"/>
    <cellStyle name="Normal 3 5 2 2 6 2" xfId="2223" xr:uid="{E5E0D658-61EC-445E-B36D-9924F702E268}"/>
    <cellStyle name="Normal 3 5 2 2 6 2 2" xfId="3891" xr:uid="{52C72DF6-3B0F-4289-9ACA-BB815E0E53BD}"/>
    <cellStyle name="Normal 3 5 2 2 6 3" xfId="1387" xr:uid="{58DB78E9-7658-4BF5-99EB-76E3E5341C0F}"/>
    <cellStyle name="Normal 3 5 2 2 6 4" xfId="3057" xr:uid="{913A02B8-A85A-4913-BBCD-AEEEE9CC81B9}"/>
    <cellStyle name="Normal 3 5 2 2 7" xfId="637" xr:uid="{00000000-0005-0000-0000-000043010000}"/>
    <cellStyle name="Normal 3 5 2 2 7 2" xfId="2313" xr:uid="{51822749-0EAB-4CE0-89B2-62994F40A818}"/>
    <cellStyle name="Normal 3 5 2 2 7 2 2" xfId="3981" xr:uid="{95C302CB-8D70-4210-917A-0F3B1293739D}"/>
    <cellStyle name="Normal 3 5 2 2 7 3" xfId="1477" xr:uid="{7BBE1D58-5CB3-43F6-AC77-E39EC2F1383A}"/>
    <cellStyle name="Normal 3 5 2 2 7 4" xfId="3147" xr:uid="{EEDE0856-5EB6-42E9-8226-D7AED11B3C42}"/>
    <cellStyle name="Normal 3 5 2 2 8" xfId="727" xr:uid="{00000000-0005-0000-0000-000044010000}"/>
    <cellStyle name="Normal 3 5 2 2 8 2" xfId="2403" xr:uid="{36A201E8-71AA-4CC6-9AEC-E6B2B9DE3519}"/>
    <cellStyle name="Normal 3 5 2 2 8 2 2" xfId="4071" xr:uid="{2A476DFD-8FED-4FB0-B0BD-A48542C56A0B}"/>
    <cellStyle name="Normal 3 5 2 2 8 3" xfId="1567" xr:uid="{35F74AAD-C49C-4908-A4F9-EAD557B9B969}"/>
    <cellStyle name="Normal 3 5 2 2 8 4" xfId="3237" xr:uid="{AF86F452-4A6D-4992-9672-3AAB17B5B3A8}"/>
    <cellStyle name="Normal 3 5 2 2 9" xfId="824" xr:uid="{00000000-0005-0000-0000-000045010000}"/>
    <cellStyle name="Normal 3 5 2 2 9 2" xfId="2500" xr:uid="{7130C753-DBF9-452D-8CEF-3B8004959B17}"/>
    <cellStyle name="Normal 3 5 2 2 9 2 2" xfId="4168" xr:uid="{65043AD1-C8E4-4EDB-A9FC-4BCF19219E2A}"/>
    <cellStyle name="Normal 3 5 2 2 9 3" xfId="1664" xr:uid="{378BEDCB-B0FB-46A8-AADB-A812A655CF49}"/>
    <cellStyle name="Normal 3 5 2 2 9 4" xfId="3334" xr:uid="{F15A059E-238F-4C78-A89C-0D92B84F6893}"/>
    <cellStyle name="Normal 3 5 2 3" xfId="150" xr:uid="{00000000-0005-0000-0000-000046010000}"/>
    <cellStyle name="Normal 3 5 2 3 2" xfId="1826" xr:uid="{831D6BA1-E8FB-44A3-8146-43204715DCBE}"/>
    <cellStyle name="Normal 3 5 2 3 2 2" xfId="3494" xr:uid="{12DEEE0B-0CEC-40E6-9CF3-50ED1DFFE848}"/>
    <cellStyle name="Normal 3 5 2 3 3" xfId="990" xr:uid="{8022B7F6-3D7A-4E1F-86F7-29FE3958CBA8}"/>
    <cellStyle name="Normal 3 5 2 3 4" xfId="2660" xr:uid="{85004AAD-B468-4849-994B-0313CDF36FF9}"/>
    <cellStyle name="Normal 3 5 2 4" xfId="240" xr:uid="{00000000-0005-0000-0000-000047010000}"/>
    <cellStyle name="Normal 3 5 2 4 2" xfId="1916" xr:uid="{C435933C-945F-4B1B-AA62-ADAB89140FE7}"/>
    <cellStyle name="Normal 3 5 2 4 2 2" xfId="3584" xr:uid="{95462170-7D55-4BFC-A822-44B20157BCCF}"/>
    <cellStyle name="Normal 3 5 2 4 3" xfId="1080" xr:uid="{430DF8D2-9DAE-48FE-A3E0-33707116E312}"/>
    <cellStyle name="Normal 3 5 2 4 4" xfId="2750" xr:uid="{A27436AA-F555-4506-8718-732B4ABF95C1}"/>
    <cellStyle name="Normal 3 5 2 5" xfId="330" xr:uid="{00000000-0005-0000-0000-000048010000}"/>
    <cellStyle name="Normal 3 5 2 5 2" xfId="2006" xr:uid="{25CE4225-710A-4BB4-B24C-61C98D0EEDC1}"/>
    <cellStyle name="Normal 3 5 2 5 2 2" xfId="3674" xr:uid="{F8A0D690-83FF-431D-86B3-18A4D89D1331}"/>
    <cellStyle name="Normal 3 5 2 5 3" xfId="1170" xr:uid="{396CA01D-3ECD-4361-9816-8457893AAE5C}"/>
    <cellStyle name="Normal 3 5 2 5 4" xfId="2840" xr:uid="{45C1FB09-8996-44AE-89C0-9F134CFB73D0}"/>
    <cellStyle name="Normal 3 5 2 6" xfId="420" xr:uid="{00000000-0005-0000-0000-000049010000}"/>
    <cellStyle name="Normal 3 5 2 6 2" xfId="2096" xr:uid="{9FC71356-E704-4C34-B12E-6CB40AC05233}"/>
    <cellStyle name="Normal 3 5 2 6 2 2" xfId="3764" xr:uid="{30F2B7D1-7900-45C2-B090-B9B2C0DF2C40}"/>
    <cellStyle name="Normal 3 5 2 6 3" xfId="1260" xr:uid="{6338F038-FB05-4D1D-A0FA-F690ACEFD319}"/>
    <cellStyle name="Normal 3 5 2 6 4" xfId="2930" xr:uid="{8411CEF1-2313-4D41-A9CD-12820CE6D6EA}"/>
    <cellStyle name="Normal 3 5 2 7" xfId="510" xr:uid="{00000000-0005-0000-0000-00004A010000}"/>
    <cellStyle name="Normal 3 5 2 7 2" xfId="2186" xr:uid="{E8DE63D4-6246-47FF-AA33-1B59BCD003ED}"/>
    <cellStyle name="Normal 3 5 2 7 2 2" xfId="3854" xr:uid="{9BDC66EE-6E35-46FB-8364-85A0A2708749}"/>
    <cellStyle name="Normal 3 5 2 7 3" xfId="1350" xr:uid="{F6B171A8-5B09-4F6F-9151-BECB4D4E58D4}"/>
    <cellStyle name="Normal 3 5 2 7 4" xfId="3020" xr:uid="{7801AF9C-C70F-4DF0-A011-DF64AA6DBB56}"/>
    <cellStyle name="Normal 3 5 2 8" xfId="600" xr:uid="{00000000-0005-0000-0000-00004B010000}"/>
    <cellStyle name="Normal 3 5 2 8 2" xfId="2276" xr:uid="{71846536-8384-455E-AC10-4852353B7FE6}"/>
    <cellStyle name="Normal 3 5 2 8 2 2" xfId="3944" xr:uid="{6F6A03FF-113F-4AF5-8D37-26AC8F014F74}"/>
    <cellStyle name="Normal 3 5 2 8 3" xfId="1440" xr:uid="{8C88DFE9-65FC-4446-9D1D-D7C56648B2F4}"/>
    <cellStyle name="Normal 3 5 2 8 4" xfId="3110" xr:uid="{E194694D-BF93-482B-A800-746432272450}"/>
    <cellStyle name="Normal 3 5 2 9" xfId="690" xr:uid="{00000000-0005-0000-0000-00004C010000}"/>
    <cellStyle name="Normal 3 5 2 9 2" xfId="2366" xr:uid="{F1E6BA87-6773-44C0-83A4-26C111CB8F0D}"/>
    <cellStyle name="Normal 3 5 2 9 2 2" xfId="4034" xr:uid="{3654343D-3AD1-4D21-ADC5-885D2B3DF546}"/>
    <cellStyle name="Normal 3 5 2 9 3" xfId="1530" xr:uid="{31AA0D20-D6DD-4055-AF27-682E586044C5}"/>
    <cellStyle name="Normal 3 5 2 9 4" xfId="3200" xr:uid="{A2A9F08D-E50D-46DE-B44D-A1AF1BC08347}"/>
    <cellStyle name="Normal 3 5 3" xfId="75" xr:uid="{00000000-0005-0000-0000-00004D010000}"/>
    <cellStyle name="Normal 3 5 3 10" xfId="1752" xr:uid="{984F073A-317A-4895-9CCF-278D8EE69F29}"/>
    <cellStyle name="Normal 3 5 3 10 2" xfId="3420" xr:uid="{0D8819AE-6B00-472E-80C9-9733591728DF}"/>
    <cellStyle name="Normal 3 5 3 11" xfId="916" xr:uid="{FB7512E0-1B4A-4FD7-858E-53DE001A9CC8}"/>
    <cellStyle name="Normal 3 5 3 12" xfId="2586" xr:uid="{2ACF43FA-27BF-4F05-BEC5-2E709747B524}"/>
    <cellStyle name="Normal 3 5 3 2" xfId="168" xr:uid="{00000000-0005-0000-0000-00004E010000}"/>
    <cellStyle name="Normal 3 5 3 2 2" xfId="1844" xr:uid="{C082A5FA-AD50-4919-97F4-EE0D6BF2F073}"/>
    <cellStyle name="Normal 3 5 3 2 2 2" xfId="3512" xr:uid="{94FAC9BC-CF40-4B16-AC15-AA2CDB8E1C72}"/>
    <cellStyle name="Normal 3 5 3 2 3" xfId="1008" xr:uid="{30BA1FB4-14E7-4037-BE20-146ADFC405BF}"/>
    <cellStyle name="Normal 3 5 3 2 4" xfId="2678" xr:uid="{65DB9F50-50DB-4E63-B7F8-68AA02A5D8C8}"/>
    <cellStyle name="Normal 3 5 3 3" xfId="258" xr:uid="{00000000-0005-0000-0000-00004F010000}"/>
    <cellStyle name="Normal 3 5 3 3 2" xfId="1934" xr:uid="{8106635F-1936-49A0-AD30-6CC2DA2018A7}"/>
    <cellStyle name="Normal 3 5 3 3 2 2" xfId="3602" xr:uid="{5E496BAE-AF75-44A6-A543-C980FCC5A44F}"/>
    <cellStyle name="Normal 3 5 3 3 3" xfId="1098" xr:uid="{25DE0508-F1CC-4712-B708-A7A523E7B0A4}"/>
    <cellStyle name="Normal 3 5 3 3 4" xfId="2768" xr:uid="{7AF51B04-D30C-49C4-85EC-BA5DB0C5986B}"/>
    <cellStyle name="Normal 3 5 3 4" xfId="348" xr:uid="{00000000-0005-0000-0000-000050010000}"/>
    <cellStyle name="Normal 3 5 3 4 2" xfId="2024" xr:uid="{20FF5CFB-8AB1-4C87-B10F-9DE878F3303B}"/>
    <cellStyle name="Normal 3 5 3 4 2 2" xfId="3692" xr:uid="{321E8EB0-BCBD-42AB-99A8-F27F1C367511}"/>
    <cellStyle name="Normal 3 5 3 4 3" xfId="1188" xr:uid="{5179EC62-75EC-4E94-BFB0-4B1288CE95A8}"/>
    <cellStyle name="Normal 3 5 3 4 4" xfId="2858" xr:uid="{DEC1C348-E5D2-4F46-90D9-84E5902AB4C9}"/>
    <cellStyle name="Normal 3 5 3 5" xfId="438" xr:uid="{00000000-0005-0000-0000-000051010000}"/>
    <cellStyle name="Normal 3 5 3 5 2" xfId="2114" xr:uid="{95F99CC5-DE90-4A19-A61E-82E7AF7980E7}"/>
    <cellStyle name="Normal 3 5 3 5 2 2" xfId="3782" xr:uid="{33FA40B1-C13B-467A-B6D4-842BF270094D}"/>
    <cellStyle name="Normal 3 5 3 5 3" xfId="1278" xr:uid="{B8E231FB-0BB9-4FAE-974D-43DF60B12357}"/>
    <cellStyle name="Normal 3 5 3 5 4" xfId="2948" xr:uid="{22770DA2-1464-4B65-8E29-688F2BCC2FB0}"/>
    <cellStyle name="Normal 3 5 3 6" xfId="528" xr:uid="{00000000-0005-0000-0000-000052010000}"/>
    <cellStyle name="Normal 3 5 3 6 2" xfId="2204" xr:uid="{DB5D4D3D-98BA-44C0-8344-063D6B70E19A}"/>
    <cellStyle name="Normal 3 5 3 6 2 2" xfId="3872" xr:uid="{B8D47AE2-ABEC-4BD8-A66B-583EA8267C74}"/>
    <cellStyle name="Normal 3 5 3 6 3" xfId="1368" xr:uid="{A99E8027-A04F-4A68-888E-A55400CB658A}"/>
    <cellStyle name="Normal 3 5 3 6 4" xfId="3038" xr:uid="{55FF5AF2-B671-4FCD-BC79-F4A0902B5ECE}"/>
    <cellStyle name="Normal 3 5 3 7" xfId="618" xr:uid="{00000000-0005-0000-0000-000053010000}"/>
    <cellStyle name="Normal 3 5 3 7 2" xfId="2294" xr:uid="{0D7688C9-84EF-4B0E-8179-5E39BCEAE0B1}"/>
    <cellStyle name="Normal 3 5 3 7 2 2" xfId="3962" xr:uid="{44355F19-797A-4C2C-8386-00285651255E}"/>
    <cellStyle name="Normal 3 5 3 7 3" xfId="1458" xr:uid="{831ED6B1-2591-4AE1-9A93-1370F0E75A79}"/>
    <cellStyle name="Normal 3 5 3 7 4" xfId="3128" xr:uid="{CDDF6BBB-9113-4010-8BA6-CED34A184EE9}"/>
    <cellStyle name="Normal 3 5 3 8" xfId="708" xr:uid="{00000000-0005-0000-0000-000054010000}"/>
    <cellStyle name="Normal 3 5 3 8 2" xfId="2384" xr:uid="{13532034-FA89-4DB8-8BB8-D3AE7D25CB57}"/>
    <cellStyle name="Normal 3 5 3 8 2 2" xfId="4052" xr:uid="{BB06149B-9132-452A-854C-3DF6EB51B02A}"/>
    <cellStyle name="Normal 3 5 3 8 3" xfId="1548" xr:uid="{28072B0E-CCEF-4B55-8B87-74624A16182D}"/>
    <cellStyle name="Normal 3 5 3 8 4" xfId="3218" xr:uid="{CDA0C36E-D472-46DB-9758-59F99E7D0E11}"/>
    <cellStyle name="Normal 3 5 3 9" xfId="805" xr:uid="{00000000-0005-0000-0000-000055010000}"/>
    <cellStyle name="Normal 3 5 3 9 2" xfId="2481" xr:uid="{FAD3308B-0E0E-4E46-95AD-65625A397758}"/>
    <cellStyle name="Normal 3 5 3 9 2 2" xfId="4149" xr:uid="{BF398BC2-44A0-43A0-8C73-4131A2566A14}"/>
    <cellStyle name="Normal 3 5 3 9 3" xfId="1645" xr:uid="{8F19CF3E-BB0A-4025-BF83-99B1BE6E6D91}"/>
    <cellStyle name="Normal 3 5 3 9 4" xfId="3315" xr:uid="{3E4CE8A4-F8FC-494E-8FE2-B6DD39300E76}"/>
    <cellStyle name="Normal 3 5 4" xfId="131" xr:uid="{00000000-0005-0000-0000-000056010000}"/>
    <cellStyle name="Normal 3 5 4 2" xfId="1807" xr:uid="{269A79ED-5B87-452E-B28E-3CF0B04F3D1F}"/>
    <cellStyle name="Normal 3 5 4 2 2" xfId="3475" xr:uid="{03758ED9-119C-4688-A281-693D24CC06C5}"/>
    <cellStyle name="Normal 3 5 4 3" xfId="971" xr:uid="{A6967C34-EA3B-48B2-9ECA-7BCA6EAEA9F8}"/>
    <cellStyle name="Normal 3 5 4 4" xfId="2641" xr:uid="{06BB84E6-DCB9-4C00-8664-6253DC7AB514}"/>
    <cellStyle name="Normal 3 5 5" xfId="221" xr:uid="{00000000-0005-0000-0000-000057010000}"/>
    <cellStyle name="Normal 3 5 5 2" xfId="1897" xr:uid="{537139A5-765A-4404-A5D5-D7C24E22D91C}"/>
    <cellStyle name="Normal 3 5 5 2 2" xfId="3565" xr:uid="{2249AC37-80ED-4CEF-9B1A-47F982E20EC4}"/>
    <cellStyle name="Normal 3 5 5 3" xfId="1061" xr:uid="{ED61D68A-BAE5-4129-9AF9-48611C09DFA3}"/>
    <cellStyle name="Normal 3 5 5 4" xfId="2731" xr:uid="{6467173F-0A1F-401E-8F59-6946F0038718}"/>
    <cellStyle name="Normal 3 5 6" xfId="311" xr:uid="{00000000-0005-0000-0000-000058010000}"/>
    <cellStyle name="Normal 3 5 6 2" xfId="1987" xr:uid="{041F55B6-8D8E-448A-9258-4C5320DD473C}"/>
    <cellStyle name="Normal 3 5 6 2 2" xfId="3655" xr:uid="{313F5E42-A069-4657-8FA6-13F06BA6B9FF}"/>
    <cellStyle name="Normal 3 5 6 3" xfId="1151" xr:uid="{DBC64B2C-B9E0-4A2B-9CC1-08E4EEAD880F}"/>
    <cellStyle name="Normal 3 5 6 4" xfId="2821" xr:uid="{D124B9F7-10B1-47EC-AE58-EDBE74DE10BB}"/>
    <cellStyle name="Normal 3 5 7" xfId="401" xr:uid="{00000000-0005-0000-0000-000059010000}"/>
    <cellStyle name="Normal 3 5 7 2" xfId="2077" xr:uid="{F24C50C0-2A01-4809-BC1B-67AD77312DC4}"/>
    <cellStyle name="Normal 3 5 7 2 2" xfId="3745" xr:uid="{36E1315C-F8B0-4BDB-9B25-139D9AD4B53B}"/>
    <cellStyle name="Normal 3 5 7 3" xfId="1241" xr:uid="{38AA8124-9235-4D5D-A300-66FD0496F2FD}"/>
    <cellStyle name="Normal 3 5 7 4" xfId="2911" xr:uid="{30BD0B06-670E-458C-98B7-8F286B60EA91}"/>
    <cellStyle name="Normal 3 5 8" xfId="491" xr:uid="{00000000-0005-0000-0000-00005A010000}"/>
    <cellStyle name="Normal 3 5 8 2" xfId="2167" xr:uid="{80280E84-BE71-4283-B348-A14EDE310676}"/>
    <cellStyle name="Normal 3 5 8 2 2" xfId="3835" xr:uid="{12431BB8-D245-4EE6-B7D8-B8A84D0C79B2}"/>
    <cellStyle name="Normal 3 5 8 3" xfId="1331" xr:uid="{34E3E657-D6B4-4C02-9FBA-BFC4E5A24781}"/>
    <cellStyle name="Normal 3 5 8 4" xfId="3001" xr:uid="{C24636C1-A1E8-444D-9461-E90DA37701FB}"/>
    <cellStyle name="Normal 3 5 9" xfId="581" xr:uid="{00000000-0005-0000-0000-00005B010000}"/>
    <cellStyle name="Normal 3 5 9 2" xfId="2257" xr:uid="{6D859455-DEFE-470C-BCFB-56AE72D2FBF6}"/>
    <cellStyle name="Normal 3 5 9 2 2" xfId="3925" xr:uid="{28B70807-388C-4208-965E-EBA2F1832BE9}"/>
    <cellStyle name="Normal 3 5 9 3" xfId="1421" xr:uid="{3D04507D-B064-4317-9EF4-616BC4B4E950}"/>
    <cellStyle name="Normal 3 5 9 4" xfId="3091" xr:uid="{7ED3F18A-FC10-42A6-9A82-C5604721C58A}"/>
    <cellStyle name="Normal 3 6" xfId="36" xr:uid="{00000000-0005-0000-0000-00005C010000}"/>
    <cellStyle name="Normal 3 6 10" xfId="674" xr:uid="{00000000-0005-0000-0000-00005D010000}"/>
    <cellStyle name="Normal 3 6 10 2" xfId="2350" xr:uid="{3435B8BA-6D64-4D07-B508-EE896093D8ED}"/>
    <cellStyle name="Normal 3 6 10 2 2" xfId="4018" xr:uid="{0EA27F76-1519-4C9C-BC4D-3D22CC8B7577}"/>
    <cellStyle name="Normal 3 6 10 3" xfId="1514" xr:uid="{7775F080-65F2-46D4-9AA5-DCD7A7FC1D45}"/>
    <cellStyle name="Normal 3 6 10 4" xfId="3184" xr:uid="{86C1F8FF-7E41-480D-8A94-ADEDAF6B766B}"/>
    <cellStyle name="Normal 3 6 11" xfId="769" xr:uid="{00000000-0005-0000-0000-00005E010000}"/>
    <cellStyle name="Normal 3 6 11 2" xfId="2445" xr:uid="{CFDD8027-2917-413C-9778-AA126BC6436C}"/>
    <cellStyle name="Normal 3 6 11 2 2" xfId="4113" xr:uid="{552BB346-BA67-48A7-AF47-9CDF06603CC8}"/>
    <cellStyle name="Normal 3 6 11 3" xfId="1609" xr:uid="{8F375D41-A519-4112-BBE1-5FAA9F2C4800}"/>
    <cellStyle name="Normal 3 6 11 4" xfId="3279" xr:uid="{FB319402-C325-4A75-80CF-A98A1B44B1DC}"/>
    <cellStyle name="Normal 3 6 12" xfId="1716" xr:uid="{C53B48B8-6C4E-40A6-A5E2-BA729FDA6DA7}"/>
    <cellStyle name="Normal 3 6 12 2" xfId="3384" xr:uid="{51AECEB7-B1E2-4E8F-A876-AB41E5467741}"/>
    <cellStyle name="Normal 3 6 13" xfId="880" xr:uid="{9DDDDDC0-5596-45FD-A326-EB1F256896D7}"/>
    <cellStyle name="Normal 3 6 14" xfId="2550" xr:uid="{7E897AC8-57A4-49A1-9C39-EE9DF8CA8CF3}"/>
    <cellStyle name="Normal 3 6 2" xfId="58" xr:uid="{00000000-0005-0000-0000-00005F010000}"/>
    <cellStyle name="Normal 3 6 2 10" xfId="789" xr:uid="{00000000-0005-0000-0000-000060010000}"/>
    <cellStyle name="Normal 3 6 2 10 2" xfId="2465" xr:uid="{1B92C1AD-4238-41D8-A303-C4979A5D3BCE}"/>
    <cellStyle name="Normal 3 6 2 10 2 2" xfId="4133" xr:uid="{498825FE-2DAB-46BC-8BE9-4EBE2E4DFDE2}"/>
    <cellStyle name="Normal 3 6 2 10 3" xfId="1629" xr:uid="{AD254930-C1F2-4C19-8DF9-0CF9BDCA2D28}"/>
    <cellStyle name="Normal 3 6 2 10 4" xfId="3299" xr:uid="{14AE64BE-D6DF-4606-A9E4-5AE7B1434EFD}"/>
    <cellStyle name="Normal 3 6 2 11" xfId="1736" xr:uid="{D29E48C9-7C08-4793-80BC-8ED5A843CA36}"/>
    <cellStyle name="Normal 3 6 2 11 2" xfId="3404" xr:uid="{1CB7ADD9-D496-4A59-94FC-723F9696E150}"/>
    <cellStyle name="Normal 3 6 2 12" xfId="900" xr:uid="{2C72275C-BF15-47FA-907D-E93BD8BA9DAC}"/>
    <cellStyle name="Normal 3 6 2 13" xfId="2570" xr:uid="{17052932-C5C1-4570-A245-B0A2DBB0B260}"/>
    <cellStyle name="Normal 3 6 2 2" xfId="98" xr:uid="{00000000-0005-0000-0000-000061010000}"/>
    <cellStyle name="Normal 3 6 2 2 10" xfId="1774" xr:uid="{5BC87357-D89E-4EDB-95B7-EB6AB76CFA77}"/>
    <cellStyle name="Normal 3 6 2 2 10 2" xfId="3442" xr:uid="{AFB0DB68-42FA-4450-B799-3979F7F902EB}"/>
    <cellStyle name="Normal 3 6 2 2 11" xfId="938" xr:uid="{8339F180-59F3-44EA-8608-F2E77B937785}"/>
    <cellStyle name="Normal 3 6 2 2 12" xfId="2608" xr:uid="{0F92E02F-B410-4C82-8412-DACA9C7E4B99}"/>
    <cellStyle name="Normal 3 6 2 2 2" xfId="190" xr:uid="{00000000-0005-0000-0000-000062010000}"/>
    <cellStyle name="Normal 3 6 2 2 2 2" xfId="1866" xr:uid="{6E185CE1-3975-4F8A-98A1-EF2AAACD48DA}"/>
    <cellStyle name="Normal 3 6 2 2 2 2 2" xfId="3534" xr:uid="{AEFD8495-58A6-408F-A897-D20F60021017}"/>
    <cellStyle name="Normal 3 6 2 2 2 3" xfId="1030" xr:uid="{F82A6F33-0793-43EC-BC97-DE6E0E5C6E0A}"/>
    <cellStyle name="Normal 3 6 2 2 2 4" xfId="2700" xr:uid="{37B45C9B-24B8-4F1E-A8DD-E6BBEB65E9E2}"/>
    <cellStyle name="Normal 3 6 2 2 3" xfId="280" xr:uid="{00000000-0005-0000-0000-000063010000}"/>
    <cellStyle name="Normal 3 6 2 2 3 2" xfId="1956" xr:uid="{3D27DDF0-DFA5-4104-ABB7-DA295050E558}"/>
    <cellStyle name="Normal 3 6 2 2 3 2 2" xfId="3624" xr:uid="{1135EBBC-38A3-4B89-8846-FD93D0DFFD24}"/>
    <cellStyle name="Normal 3 6 2 2 3 3" xfId="1120" xr:uid="{E11D3364-9E06-46BD-8CA7-215FB25DC65A}"/>
    <cellStyle name="Normal 3 6 2 2 3 4" xfId="2790" xr:uid="{6C0AB155-7D8A-4AE4-8021-783D676AFEE1}"/>
    <cellStyle name="Normal 3 6 2 2 4" xfId="370" xr:uid="{00000000-0005-0000-0000-000064010000}"/>
    <cellStyle name="Normal 3 6 2 2 4 2" xfId="2046" xr:uid="{20653EB1-9A11-418A-A1C3-939E70B26BA9}"/>
    <cellStyle name="Normal 3 6 2 2 4 2 2" xfId="3714" xr:uid="{BB8DA28D-3126-4417-9BD6-CCA72065F11E}"/>
    <cellStyle name="Normal 3 6 2 2 4 3" xfId="1210" xr:uid="{A16CE0F5-C64A-4DDC-92DB-F51226D6D465}"/>
    <cellStyle name="Normal 3 6 2 2 4 4" xfId="2880" xr:uid="{09277310-4855-498B-82F9-2C628AEA33C4}"/>
    <cellStyle name="Normal 3 6 2 2 5" xfId="460" xr:uid="{00000000-0005-0000-0000-000065010000}"/>
    <cellStyle name="Normal 3 6 2 2 5 2" xfId="2136" xr:uid="{774FE3A8-47F9-4540-98F8-07D1E2CC9B54}"/>
    <cellStyle name="Normal 3 6 2 2 5 2 2" xfId="3804" xr:uid="{27634D73-3299-4802-9163-5986F104AF97}"/>
    <cellStyle name="Normal 3 6 2 2 5 3" xfId="1300" xr:uid="{723B9E7C-BD5C-4E0D-95A0-0F092181623C}"/>
    <cellStyle name="Normal 3 6 2 2 5 4" xfId="2970" xr:uid="{2B0A8055-C351-466F-8F08-DAFC9B50B422}"/>
    <cellStyle name="Normal 3 6 2 2 6" xfId="550" xr:uid="{00000000-0005-0000-0000-000066010000}"/>
    <cellStyle name="Normal 3 6 2 2 6 2" xfId="2226" xr:uid="{E9E8494D-F170-41F5-8E1A-373DC6B276B7}"/>
    <cellStyle name="Normal 3 6 2 2 6 2 2" xfId="3894" xr:uid="{3DDD29E0-574A-42D6-9EF6-22A464A9E365}"/>
    <cellStyle name="Normal 3 6 2 2 6 3" xfId="1390" xr:uid="{FCB48FFC-D586-4CC0-8516-D98FC0C03CE8}"/>
    <cellStyle name="Normal 3 6 2 2 6 4" xfId="3060" xr:uid="{66C5A33D-8A58-489D-ADAF-BF7E85DD8803}"/>
    <cellStyle name="Normal 3 6 2 2 7" xfId="640" xr:uid="{00000000-0005-0000-0000-000067010000}"/>
    <cellStyle name="Normal 3 6 2 2 7 2" xfId="2316" xr:uid="{09FA1C02-4E96-4FB4-9731-A110BDCEB96C}"/>
    <cellStyle name="Normal 3 6 2 2 7 2 2" xfId="3984" xr:uid="{D0BCF3AC-DAB2-4349-B43B-ADA12C42479E}"/>
    <cellStyle name="Normal 3 6 2 2 7 3" xfId="1480" xr:uid="{0E7747F8-3439-482E-BC0F-C5D9F16BD098}"/>
    <cellStyle name="Normal 3 6 2 2 7 4" xfId="3150" xr:uid="{7F9DF324-7BE9-4795-A167-F2F78EC82842}"/>
    <cellStyle name="Normal 3 6 2 2 8" xfId="730" xr:uid="{00000000-0005-0000-0000-000068010000}"/>
    <cellStyle name="Normal 3 6 2 2 8 2" xfId="2406" xr:uid="{06D8290B-4D1A-4725-8AAC-D158D6B82295}"/>
    <cellStyle name="Normal 3 6 2 2 8 2 2" xfId="4074" xr:uid="{3251956E-4491-4F5E-8F49-90182298A4AA}"/>
    <cellStyle name="Normal 3 6 2 2 8 3" xfId="1570" xr:uid="{7FC530E6-0571-47EA-9637-90BA73C9B09F}"/>
    <cellStyle name="Normal 3 6 2 2 8 4" xfId="3240" xr:uid="{61036960-7D42-472B-AA5B-EF3685F72B57}"/>
    <cellStyle name="Normal 3 6 2 2 9" xfId="827" xr:uid="{00000000-0005-0000-0000-000069010000}"/>
    <cellStyle name="Normal 3 6 2 2 9 2" xfId="2503" xr:uid="{51BC1CE6-9D03-4F58-BE16-B2879E06F007}"/>
    <cellStyle name="Normal 3 6 2 2 9 2 2" xfId="4171" xr:uid="{1EA8BAA7-A521-4F20-BA22-CD897083F2A0}"/>
    <cellStyle name="Normal 3 6 2 2 9 3" xfId="1667" xr:uid="{E8CA8B7D-55F7-4A35-AFC9-D47611742700}"/>
    <cellStyle name="Normal 3 6 2 2 9 4" xfId="3337" xr:uid="{7AC14B40-FC19-4D0A-BE0D-22BC80BE09E6}"/>
    <cellStyle name="Normal 3 6 2 3" xfId="153" xr:uid="{00000000-0005-0000-0000-00006A010000}"/>
    <cellStyle name="Normal 3 6 2 3 2" xfId="1829" xr:uid="{938B7269-CADA-489C-9E15-D677ED88CE48}"/>
    <cellStyle name="Normal 3 6 2 3 2 2" xfId="3497" xr:uid="{54B8BB17-D6C3-416C-9008-9593923181F3}"/>
    <cellStyle name="Normal 3 6 2 3 3" xfId="993" xr:uid="{444FB030-3537-42E6-AA0F-FF6CA9295852}"/>
    <cellStyle name="Normal 3 6 2 3 4" xfId="2663" xr:uid="{8CD1083A-7323-4327-BF2F-9AE9D9B1F760}"/>
    <cellStyle name="Normal 3 6 2 4" xfId="243" xr:uid="{00000000-0005-0000-0000-00006B010000}"/>
    <cellStyle name="Normal 3 6 2 4 2" xfId="1919" xr:uid="{90C91F54-E84A-49F9-843A-2AC918564763}"/>
    <cellStyle name="Normal 3 6 2 4 2 2" xfId="3587" xr:uid="{92239722-A703-42A0-A75E-D1C96A6D3BFA}"/>
    <cellStyle name="Normal 3 6 2 4 3" xfId="1083" xr:uid="{9F9EC649-ADD2-4E57-9398-D94B7C0C3166}"/>
    <cellStyle name="Normal 3 6 2 4 4" xfId="2753" xr:uid="{3353C018-C78F-4CD1-B9C2-F7F460B45C86}"/>
    <cellStyle name="Normal 3 6 2 5" xfId="333" xr:uid="{00000000-0005-0000-0000-00006C010000}"/>
    <cellStyle name="Normal 3 6 2 5 2" xfId="2009" xr:uid="{BA2DC8F4-8688-43AE-9E02-39C801E6B715}"/>
    <cellStyle name="Normal 3 6 2 5 2 2" xfId="3677" xr:uid="{6D5F8F14-4B65-42E5-B7B7-4AAA569CC01B}"/>
    <cellStyle name="Normal 3 6 2 5 3" xfId="1173" xr:uid="{BACFDE86-490E-4BDE-B99F-4BAE52DC5EB0}"/>
    <cellStyle name="Normal 3 6 2 5 4" xfId="2843" xr:uid="{8BCCB031-F43F-4EC0-B484-6D0FDF4E591C}"/>
    <cellStyle name="Normal 3 6 2 6" xfId="423" xr:uid="{00000000-0005-0000-0000-00006D010000}"/>
    <cellStyle name="Normal 3 6 2 6 2" xfId="2099" xr:uid="{5C5667CD-4311-406B-B5C2-167B49A2C397}"/>
    <cellStyle name="Normal 3 6 2 6 2 2" xfId="3767" xr:uid="{15505E12-964F-48C4-98C0-AECE8B7FE0E4}"/>
    <cellStyle name="Normal 3 6 2 6 3" xfId="1263" xr:uid="{4A489BA2-09C3-4461-AB1E-DFC9C1905D65}"/>
    <cellStyle name="Normal 3 6 2 6 4" xfId="2933" xr:uid="{91EAB0FA-5AB9-4050-A98B-A06E1FABCEB0}"/>
    <cellStyle name="Normal 3 6 2 7" xfId="513" xr:uid="{00000000-0005-0000-0000-00006E010000}"/>
    <cellStyle name="Normal 3 6 2 7 2" xfId="2189" xr:uid="{E14DF360-1145-458E-9E85-CADE297369B2}"/>
    <cellStyle name="Normal 3 6 2 7 2 2" xfId="3857" xr:uid="{9C92BD2A-DF58-40B9-81AA-775A8101C0AC}"/>
    <cellStyle name="Normal 3 6 2 7 3" xfId="1353" xr:uid="{C209DDC0-8240-4AA4-B233-C4059CDE5023}"/>
    <cellStyle name="Normal 3 6 2 7 4" xfId="3023" xr:uid="{7D2B58F9-4CF5-4B1D-AD75-149A7B8D3759}"/>
    <cellStyle name="Normal 3 6 2 8" xfId="603" xr:uid="{00000000-0005-0000-0000-00006F010000}"/>
    <cellStyle name="Normal 3 6 2 8 2" xfId="2279" xr:uid="{BFDFC820-2FAB-49CF-A81E-1F5B6BFCB01D}"/>
    <cellStyle name="Normal 3 6 2 8 2 2" xfId="3947" xr:uid="{E22C1D47-95D5-4917-A9F8-8B903FBEF648}"/>
    <cellStyle name="Normal 3 6 2 8 3" xfId="1443" xr:uid="{144E3EDD-31B3-4D45-B781-C80AD4C5EB62}"/>
    <cellStyle name="Normal 3 6 2 8 4" xfId="3113" xr:uid="{E8753766-381D-465B-8A45-669150E6F402}"/>
    <cellStyle name="Normal 3 6 2 9" xfId="693" xr:uid="{00000000-0005-0000-0000-000070010000}"/>
    <cellStyle name="Normal 3 6 2 9 2" xfId="2369" xr:uid="{3E7C3467-9108-4CDB-A83F-B6ECB6C5BAE8}"/>
    <cellStyle name="Normal 3 6 2 9 2 2" xfId="4037" xr:uid="{782D0413-B3D7-4FDA-AED2-79F5F664EE18}"/>
    <cellStyle name="Normal 3 6 2 9 3" xfId="1533" xr:uid="{FE5DA843-061C-4137-8A01-C39AD3DEF3C9}"/>
    <cellStyle name="Normal 3 6 2 9 4" xfId="3203" xr:uid="{F3F89709-C370-491E-BBB4-DB26E3F2B89C}"/>
    <cellStyle name="Normal 3 6 3" xfId="78" xr:uid="{00000000-0005-0000-0000-000071010000}"/>
    <cellStyle name="Normal 3 6 3 10" xfId="1755" xr:uid="{03FB5171-D86C-4758-B86C-02053593CBDB}"/>
    <cellStyle name="Normal 3 6 3 10 2" xfId="3423" xr:uid="{E5E49A07-CA1E-4A27-8C4E-977E3E46B7E3}"/>
    <cellStyle name="Normal 3 6 3 11" xfId="919" xr:uid="{E36D43E6-9D5F-4881-A345-0142FCE72C0A}"/>
    <cellStyle name="Normal 3 6 3 12" xfId="2589" xr:uid="{051D0DEE-7649-470C-B1E0-DAE0500A8713}"/>
    <cellStyle name="Normal 3 6 3 2" xfId="171" xr:uid="{00000000-0005-0000-0000-000072010000}"/>
    <cellStyle name="Normal 3 6 3 2 2" xfId="1847" xr:uid="{B7F31B12-0C2D-4467-8041-76D0281C0448}"/>
    <cellStyle name="Normal 3 6 3 2 2 2" xfId="3515" xr:uid="{9FB7D849-F3DE-4DBA-B592-40C86584A44D}"/>
    <cellStyle name="Normal 3 6 3 2 3" xfId="1011" xr:uid="{D062D5C2-AC9F-4085-8890-3DCBF915C82D}"/>
    <cellStyle name="Normal 3 6 3 2 4" xfId="2681" xr:uid="{1F88D6A4-143D-493E-A301-DC63714983F6}"/>
    <cellStyle name="Normal 3 6 3 3" xfId="261" xr:uid="{00000000-0005-0000-0000-000073010000}"/>
    <cellStyle name="Normal 3 6 3 3 2" xfId="1937" xr:uid="{D190150B-283F-4B43-9461-2BB29BFCF9CE}"/>
    <cellStyle name="Normal 3 6 3 3 2 2" xfId="3605" xr:uid="{23A7BD14-53AE-4F1A-A947-95C11FE1FFBD}"/>
    <cellStyle name="Normal 3 6 3 3 3" xfId="1101" xr:uid="{43285EAF-5390-4898-84A4-E06B013401CA}"/>
    <cellStyle name="Normal 3 6 3 3 4" xfId="2771" xr:uid="{3D96612B-45C2-43C1-98D9-87F9417A8463}"/>
    <cellStyle name="Normal 3 6 3 4" xfId="351" xr:uid="{00000000-0005-0000-0000-000074010000}"/>
    <cellStyle name="Normal 3 6 3 4 2" xfId="2027" xr:uid="{99CB9EAA-F283-4C81-99F1-60F6B0A42F5B}"/>
    <cellStyle name="Normal 3 6 3 4 2 2" xfId="3695" xr:uid="{4649D765-3F86-4E2D-B2F9-3AC903844590}"/>
    <cellStyle name="Normal 3 6 3 4 3" xfId="1191" xr:uid="{2190205B-F1EF-4671-ADC7-395925EE369F}"/>
    <cellStyle name="Normal 3 6 3 4 4" xfId="2861" xr:uid="{31D62F41-97A4-40F2-A6AE-4A6476D59A50}"/>
    <cellStyle name="Normal 3 6 3 5" xfId="441" xr:uid="{00000000-0005-0000-0000-000075010000}"/>
    <cellStyle name="Normal 3 6 3 5 2" xfId="2117" xr:uid="{CBF9FE87-7FB6-48AE-9A56-88BFA320395A}"/>
    <cellStyle name="Normal 3 6 3 5 2 2" xfId="3785" xr:uid="{CCF78F19-596E-462B-AD55-66B76530F137}"/>
    <cellStyle name="Normal 3 6 3 5 3" xfId="1281" xr:uid="{156E8507-871C-4992-AE5F-AA5FD1E016C0}"/>
    <cellStyle name="Normal 3 6 3 5 4" xfId="2951" xr:uid="{A5FA9B9B-6914-4285-9378-9A333ADBA208}"/>
    <cellStyle name="Normal 3 6 3 6" xfId="531" xr:uid="{00000000-0005-0000-0000-000076010000}"/>
    <cellStyle name="Normal 3 6 3 6 2" xfId="2207" xr:uid="{2165B1D1-916B-472B-BF87-BCD2C2F4DB1E}"/>
    <cellStyle name="Normal 3 6 3 6 2 2" xfId="3875" xr:uid="{8585CA87-EA0E-4879-8FA1-7A805BC54DD2}"/>
    <cellStyle name="Normal 3 6 3 6 3" xfId="1371" xr:uid="{5AB0FF3F-7DDD-42EF-8A2F-18562C2E072C}"/>
    <cellStyle name="Normal 3 6 3 6 4" xfId="3041" xr:uid="{D141B213-243F-441B-9ECF-3A01E4DF0826}"/>
    <cellStyle name="Normal 3 6 3 7" xfId="621" xr:uid="{00000000-0005-0000-0000-000077010000}"/>
    <cellStyle name="Normal 3 6 3 7 2" xfId="2297" xr:uid="{E446CBFC-6FAC-4552-8B44-3DED1F7FB5D1}"/>
    <cellStyle name="Normal 3 6 3 7 2 2" xfId="3965" xr:uid="{208DB5A8-881C-4453-886C-3291F1FC52D0}"/>
    <cellStyle name="Normal 3 6 3 7 3" xfId="1461" xr:uid="{08DE5BE9-F3B6-4D61-AFD4-B5976C6BEAE0}"/>
    <cellStyle name="Normal 3 6 3 7 4" xfId="3131" xr:uid="{D4F9AEAA-2471-4486-A14E-3EC03E01FD00}"/>
    <cellStyle name="Normal 3 6 3 8" xfId="711" xr:uid="{00000000-0005-0000-0000-000078010000}"/>
    <cellStyle name="Normal 3 6 3 8 2" xfId="2387" xr:uid="{8C531C1E-8928-4C96-88C4-D8831504A22F}"/>
    <cellStyle name="Normal 3 6 3 8 2 2" xfId="4055" xr:uid="{23EFAEE4-6C55-4D5F-A578-6205B092A160}"/>
    <cellStyle name="Normal 3 6 3 8 3" xfId="1551" xr:uid="{5C324A4C-1D41-475E-A0B6-FE1C236E9B9C}"/>
    <cellStyle name="Normal 3 6 3 8 4" xfId="3221" xr:uid="{D5C9DFEF-E377-4407-BA69-87ED9AB8162C}"/>
    <cellStyle name="Normal 3 6 3 9" xfId="808" xr:uid="{00000000-0005-0000-0000-000079010000}"/>
    <cellStyle name="Normal 3 6 3 9 2" xfId="2484" xr:uid="{A076C23F-3ED6-4E83-B52D-7C3AF69125B8}"/>
    <cellStyle name="Normal 3 6 3 9 2 2" xfId="4152" xr:uid="{BBF00BE2-ED83-4FE3-A369-CB605609B0DB}"/>
    <cellStyle name="Normal 3 6 3 9 3" xfId="1648" xr:uid="{67B9B9E7-C7AF-4175-8847-085A57D22ACD}"/>
    <cellStyle name="Normal 3 6 3 9 4" xfId="3318" xr:uid="{D69F0204-0469-4A27-AE94-7122BA7754CE}"/>
    <cellStyle name="Normal 3 6 4" xfId="134" xr:uid="{00000000-0005-0000-0000-00007A010000}"/>
    <cellStyle name="Normal 3 6 4 2" xfId="1810" xr:uid="{5C078B5C-FEC4-4DCC-A023-4F615337C5E3}"/>
    <cellStyle name="Normal 3 6 4 2 2" xfId="3478" xr:uid="{3F435320-202A-45F1-8970-B1501822A31D}"/>
    <cellStyle name="Normal 3 6 4 3" xfId="974" xr:uid="{C636ACB6-B23B-4C2E-BCA0-25389C2A9AAD}"/>
    <cellStyle name="Normal 3 6 4 4" xfId="2644" xr:uid="{DFE5FB60-9089-4001-8986-A5F54324C9B2}"/>
    <cellStyle name="Normal 3 6 5" xfId="224" xr:uid="{00000000-0005-0000-0000-00007B010000}"/>
    <cellStyle name="Normal 3 6 5 2" xfId="1900" xr:uid="{006DDF89-A561-40DF-9C3E-444B2B793CC1}"/>
    <cellStyle name="Normal 3 6 5 2 2" xfId="3568" xr:uid="{5AF9DC15-4BF1-41BD-9B61-E5C33BDCA712}"/>
    <cellStyle name="Normal 3 6 5 3" xfId="1064" xr:uid="{DAA52FA8-4753-49FB-A0FF-BD455872B6A9}"/>
    <cellStyle name="Normal 3 6 5 4" xfId="2734" xr:uid="{10137804-08DA-47E5-9E33-E738BC928E92}"/>
    <cellStyle name="Normal 3 6 6" xfId="314" xr:uid="{00000000-0005-0000-0000-00007C010000}"/>
    <cellStyle name="Normal 3 6 6 2" xfId="1990" xr:uid="{C5D99718-BA99-43B2-A783-AC951F8B22E0}"/>
    <cellStyle name="Normal 3 6 6 2 2" xfId="3658" xr:uid="{0CFD26B7-216F-4C4F-BC2F-57B86A91D8A4}"/>
    <cellStyle name="Normal 3 6 6 3" xfId="1154" xr:uid="{0602B13B-DB79-46E1-B1C6-E2955FE55F0A}"/>
    <cellStyle name="Normal 3 6 6 4" xfId="2824" xr:uid="{8BA35C68-C4F6-4A44-A00B-D07340364FB3}"/>
    <cellStyle name="Normal 3 6 7" xfId="404" xr:uid="{00000000-0005-0000-0000-00007D010000}"/>
    <cellStyle name="Normal 3 6 7 2" xfId="2080" xr:uid="{3E3CC2F5-64A3-4A7C-9E29-E729D263A1B0}"/>
    <cellStyle name="Normal 3 6 7 2 2" xfId="3748" xr:uid="{90C7002A-41A0-41D1-88C3-255F1F798227}"/>
    <cellStyle name="Normal 3 6 7 3" xfId="1244" xr:uid="{00586433-4416-4E9D-BDD7-4F4F9B523F07}"/>
    <cellStyle name="Normal 3 6 7 4" xfId="2914" xr:uid="{559C429B-9433-4B8D-8720-1CD7D79D0DC4}"/>
    <cellStyle name="Normal 3 6 8" xfId="494" xr:uid="{00000000-0005-0000-0000-00007E010000}"/>
    <cellStyle name="Normal 3 6 8 2" xfId="2170" xr:uid="{82771EF9-C101-4930-B336-2DA0BD5647BF}"/>
    <cellStyle name="Normal 3 6 8 2 2" xfId="3838" xr:uid="{A15A44D9-8271-4C8F-BB2D-5499696CF593}"/>
    <cellStyle name="Normal 3 6 8 3" xfId="1334" xr:uid="{60FD793D-E4B7-4B6E-9AEE-18DE4CC5DEF4}"/>
    <cellStyle name="Normal 3 6 8 4" xfId="3004" xr:uid="{2797ED04-6849-4EAC-B8B8-E3D138A758CD}"/>
    <cellStyle name="Normal 3 6 9" xfId="584" xr:uid="{00000000-0005-0000-0000-00007F010000}"/>
    <cellStyle name="Normal 3 6 9 2" xfId="2260" xr:uid="{E6278F0A-D4D0-436F-A147-E8C551EACA25}"/>
    <cellStyle name="Normal 3 6 9 2 2" xfId="3928" xr:uid="{D7728E80-9EAA-42FE-87D2-8D5DD8C5F81E}"/>
    <cellStyle name="Normal 3 6 9 3" xfId="1424" xr:uid="{AAB20257-C6CA-4BBE-9D5D-0F8F8A360509}"/>
    <cellStyle name="Normal 3 6 9 4" xfId="3094" xr:uid="{1FDECCC1-A018-4D61-9A51-E2C073476CF6}"/>
    <cellStyle name="Normal 3 7" xfId="42" xr:uid="{00000000-0005-0000-0000-000080010000}"/>
    <cellStyle name="Normal 3 7 10" xfId="774" xr:uid="{00000000-0005-0000-0000-000081010000}"/>
    <cellStyle name="Normal 3 7 10 2" xfId="2450" xr:uid="{0B513164-551D-4DAA-94B8-4981D31A2B02}"/>
    <cellStyle name="Normal 3 7 10 2 2" xfId="4118" xr:uid="{A1068AB7-6EF4-4129-B99D-532AAEDA2D44}"/>
    <cellStyle name="Normal 3 7 10 3" xfId="1614" xr:uid="{9A56F493-FFB2-492F-99E6-32ED9D5B04C4}"/>
    <cellStyle name="Normal 3 7 10 4" xfId="3284" xr:uid="{06C21EF1-CA68-439B-B35B-00E3866E8811}"/>
    <cellStyle name="Normal 3 7 11" xfId="1721" xr:uid="{972A0770-DEB2-48E6-8BE5-33AC27CB9ABE}"/>
    <cellStyle name="Normal 3 7 11 2" xfId="3389" xr:uid="{FF2321C3-3A80-4F77-A524-A54C95E214E2}"/>
    <cellStyle name="Normal 3 7 12" xfId="885" xr:uid="{1371ADE0-EEC0-4BB3-946D-0881FBD96BAB}"/>
    <cellStyle name="Normal 3 7 13" xfId="2555" xr:uid="{24E45726-03FD-4099-AF6B-C26D7E0487CE}"/>
    <cellStyle name="Normal 3 7 2" xfId="82" xr:uid="{00000000-0005-0000-0000-000082010000}"/>
    <cellStyle name="Normal 3 7 2 10" xfId="1759" xr:uid="{DB115606-0867-47BA-BCB8-5309B6E12298}"/>
    <cellStyle name="Normal 3 7 2 10 2" xfId="3427" xr:uid="{00EF6BD2-5E83-4214-86A2-8E0AF5D2350F}"/>
    <cellStyle name="Normal 3 7 2 11" xfId="923" xr:uid="{EA5FD156-C320-4E7C-A337-546A50EA5C98}"/>
    <cellStyle name="Normal 3 7 2 12" xfId="2593" xr:uid="{845C5E2D-74AC-4568-9A68-6F46C5748F1F}"/>
    <cellStyle name="Normal 3 7 2 2" xfId="175" xr:uid="{00000000-0005-0000-0000-000083010000}"/>
    <cellStyle name="Normal 3 7 2 2 2" xfId="1851" xr:uid="{20C9A95F-7F7B-4C47-A299-D46AF185A692}"/>
    <cellStyle name="Normal 3 7 2 2 2 2" xfId="3519" xr:uid="{4D677A18-80F8-41C9-B9CF-28B937DB14E0}"/>
    <cellStyle name="Normal 3 7 2 2 3" xfId="1015" xr:uid="{59B89853-BD01-442D-9B39-3727D5699699}"/>
    <cellStyle name="Normal 3 7 2 2 4" xfId="2685" xr:uid="{CC73D547-0A47-4AB1-ABCC-6608754278CB}"/>
    <cellStyle name="Normal 3 7 2 3" xfId="265" xr:uid="{00000000-0005-0000-0000-000084010000}"/>
    <cellStyle name="Normal 3 7 2 3 2" xfId="1941" xr:uid="{8A54AA7C-D4DD-4B44-8798-AAA09C7A8C30}"/>
    <cellStyle name="Normal 3 7 2 3 2 2" xfId="3609" xr:uid="{6B612AEC-73A9-47AC-A5F6-3EB8E74A7152}"/>
    <cellStyle name="Normal 3 7 2 3 3" xfId="1105" xr:uid="{0B686FB5-91C4-4ECF-8B78-027FFD1B0593}"/>
    <cellStyle name="Normal 3 7 2 3 4" xfId="2775" xr:uid="{0093685D-CCD8-4C24-BA8E-BB850E9A6C83}"/>
    <cellStyle name="Normal 3 7 2 4" xfId="355" xr:uid="{00000000-0005-0000-0000-000085010000}"/>
    <cellStyle name="Normal 3 7 2 4 2" xfId="2031" xr:uid="{D48B5D65-321F-41F9-85E0-54C8D2A04B42}"/>
    <cellStyle name="Normal 3 7 2 4 2 2" xfId="3699" xr:uid="{8FBE8BA2-5AB6-4E88-96A2-B9924F6C06EC}"/>
    <cellStyle name="Normal 3 7 2 4 3" xfId="1195" xr:uid="{11A36C10-DAEC-454B-8C42-B1DE4BEA361E}"/>
    <cellStyle name="Normal 3 7 2 4 4" xfId="2865" xr:uid="{EAC859BC-3B98-4780-BE66-3E3F78DA6040}"/>
    <cellStyle name="Normal 3 7 2 5" xfId="445" xr:uid="{00000000-0005-0000-0000-000086010000}"/>
    <cellStyle name="Normal 3 7 2 5 2" xfId="2121" xr:uid="{085A0E3A-8F04-42FD-AF04-5BC0FC613452}"/>
    <cellStyle name="Normal 3 7 2 5 2 2" xfId="3789" xr:uid="{CB15F5B7-20BE-4C24-BA5D-587176214874}"/>
    <cellStyle name="Normal 3 7 2 5 3" xfId="1285" xr:uid="{1391876C-315E-44F6-8AD2-3D33302895C1}"/>
    <cellStyle name="Normal 3 7 2 5 4" xfId="2955" xr:uid="{63078582-0B25-4E1F-8A6D-14DE2017E6F4}"/>
    <cellStyle name="Normal 3 7 2 6" xfId="535" xr:uid="{00000000-0005-0000-0000-000087010000}"/>
    <cellStyle name="Normal 3 7 2 6 2" xfId="2211" xr:uid="{A13943F4-7D99-43F4-A23F-E883DCD07189}"/>
    <cellStyle name="Normal 3 7 2 6 2 2" xfId="3879" xr:uid="{38196976-7A8B-4949-A88E-003D59D4F4B1}"/>
    <cellStyle name="Normal 3 7 2 6 3" xfId="1375" xr:uid="{D60CCA88-187A-47C5-8DD6-4C7D816E98A3}"/>
    <cellStyle name="Normal 3 7 2 6 4" xfId="3045" xr:uid="{35408D83-4336-4A4E-BE6B-8CC464E94D47}"/>
    <cellStyle name="Normal 3 7 2 7" xfId="625" xr:uid="{00000000-0005-0000-0000-000088010000}"/>
    <cellStyle name="Normal 3 7 2 7 2" xfId="2301" xr:uid="{850F48F7-C9AA-4627-A95F-0859511474B1}"/>
    <cellStyle name="Normal 3 7 2 7 2 2" xfId="3969" xr:uid="{6F85C0BF-FC37-4045-8337-17DE3B76853D}"/>
    <cellStyle name="Normal 3 7 2 7 3" xfId="1465" xr:uid="{B144BC24-6F4F-4AB0-95CE-6CF2381506BE}"/>
    <cellStyle name="Normal 3 7 2 7 4" xfId="3135" xr:uid="{696B0412-EBD2-4A8B-AE13-B4BF31F2201D}"/>
    <cellStyle name="Normal 3 7 2 8" xfId="715" xr:uid="{00000000-0005-0000-0000-000089010000}"/>
    <cellStyle name="Normal 3 7 2 8 2" xfId="2391" xr:uid="{BE5BE588-4F9F-4BEF-BA69-1773664B3929}"/>
    <cellStyle name="Normal 3 7 2 8 2 2" xfId="4059" xr:uid="{8E930902-55F4-40F4-956D-4FFBA01CEB13}"/>
    <cellStyle name="Normal 3 7 2 8 3" xfId="1555" xr:uid="{20F37CC2-B838-403E-A347-AEEDB58723AB}"/>
    <cellStyle name="Normal 3 7 2 8 4" xfId="3225" xr:uid="{4DE7F576-C336-4BE0-A5FB-3F43A7AFD65C}"/>
    <cellStyle name="Normal 3 7 2 9" xfId="812" xr:uid="{00000000-0005-0000-0000-00008A010000}"/>
    <cellStyle name="Normal 3 7 2 9 2" xfId="2488" xr:uid="{A45BF1B1-6BFB-435A-BB7C-A7C69D8356B0}"/>
    <cellStyle name="Normal 3 7 2 9 2 2" xfId="4156" xr:uid="{4BB0511F-DA4E-492F-812B-84D66B3A5A84}"/>
    <cellStyle name="Normal 3 7 2 9 3" xfId="1652" xr:uid="{F1C3C7B8-ABE4-4856-A9F7-9C441E0A6951}"/>
    <cellStyle name="Normal 3 7 2 9 4" xfId="3322" xr:uid="{2BBC542F-7BA0-4472-8B58-A1CC6B6F7EC0}"/>
    <cellStyle name="Normal 3 7 3" xfId="138" xr:uid="{00000000-0005-0000-0000-00008B010000}"/>
    <cellStyle name="Normal 3 7 3 2" xfId="1814" xr:uid="{5D84EE0D-9798-413E-B4AF-A4F846B902B8}"/>
    <cellStyle name="Normal 3 7 3 2 2" xfId="3482" xr:uid="{6AFAE9C0-E9A4-4FFB-A831-37D33F66B5E4}"/>
    <cellStyle name="Normal 3 7 3 3" xfId="978" xr:uid="{DEF265EA-B611-414E-B493-642F40C404A5}"/>
    <cellStyle name="Normal 3 7 3 4" xfId="2648" xr:uid="{7BDD2A7E-867F-417B-A3A8-8989443EA6FE}"/>
    <cellStyle name="Normal 3 7 4" xfId="228" xr:uid="{00000000-0005-0000-0000-00008C010000}"/>
    <cellStyle name="Normal 3 7 4 2" xfId="1904" xr:uid="{29FC9525-008F-486E-B84A-B7DF166B8EE0}"/>
    <cellStyle name="Normal 3 7 4 2 2" xfId="3572" xr:uid="{979EFD69-80C0-4D76-AB92-503DA1F26826}"/>
    <cellStyle name="Normal 3 7 4 3" xfId="1068" xr:uid="{1519E91E-45B9-4CF1-BF9E-7BA54479D8A8}"/>
    <cellStyle name="Normal 3 7 4 4" xfId="2738" xr:uid="{70E71C5B-C723-4298-882C-13DAF17BC339}"/>
    <cellStyle name="Normal 3 7 5" xfId="318" xr:uid="{00000000-0005-0000-0000-00008D010000}"/>
    <cellStyle name="Normal 3 7 5 2" xfId="1994" xr:uid="{D784A49C-2E18-45B3-A261-6992134E38E6}"/>
    <cellStyle name="Normal 3 7 5 2 2" xfId="3662" xr:uid="{E3F47D26-D2B6-4A84-9470-4874F30450FF}"/>
    <cellStyle name="Normal 3 7 5 3" xfId="1158" xr:uid="{76AC0FB7-F4B4-48ED-B7CB-7DAE7FFB4BA0}"/>
    <cellStyle name="Normal 3 7 5 4" xfId="2828" xr:uid="{4ACF8F9E-5663-4826-A33A-311E04A83A0F}"/>
    <cellStyle name="Normal 3 7 6" xfId="408" xr:uid="{00000000-0005-0000-0000-00008E010000}"/>
    <cellStyle name="Normal 3 7 6 2" xfId="2084" xr:uid="{9C7DC130-47B7-48F6-A4AA-9E5C979CA5A0}"/>
    <cellStyle name="Normal 3 7 6 2 2" xfId="3752" xr:uid="{68869B61-6894-4DD2-84A8-6865BE492D2F}"/>
    <cellStyle name="Normal 3 7 6 3" xfId="1248" xr:uid="{F2C25CA7-D3D1-4330-BB38-0BE99286F4D0}"/>
    <cellStyle name="Normal 3 7 6 4" xfId="2918" xr:uid="{A82A2260-CE77-4BB2-AA79-C60CF17C3787}"/>
    <cellStyle name="Normal 3 7 7" xfId="498" xr:uid="{00000000-0005-0000-0000-00008F010000}"/>
    <cellStyle name="Normal 3 7 7 2" xfId="2174" xr:uid="{2E125EC0-0A8B-465F-BF1D-08BFAA03DF54}"/>
    <cellStyle name="Normal 3 7 7 2 2" xfId="3842" xr:uid="{5692926B-DCE9-45E1-9514-BDC4ED0123C2}"/>
    <cellStyle name="Normal 3 7 7 3" xfId="1338" xr:uid="{15275B3B-9EF5-46CB-A1E7-A42DFFDEED6E}"/>
    <cellStyle name="Normal 3 7 7 4" xfId="3008" xr:uid="{2CD21028-C83E-4381-B69E-CA533315BFF0}"/>
    <cellStyle name="Normal 3 7 8" xfId="588" xr:uid="{00000000-0005-0000-0000-000090010000}"/>
    <cellStyle name="Normal 3 7 8 2" xfId="2264" xr:uid="{ADF21545-CCD2-4DA6-BDEF-5BD1181282B0}"/>
    <cellStyle name="Normal 3 7 8 2 2" xfId="3932" xr:uid="{C6F9680E-4828-4DB3-8581-42E96EA9DDE4}"/>
    <cellStyle name="Normal 3 7 8 3" xfId="1428" xr:uid="{7DEA8C35-4030-4FA4-97E0-3296A662A84F}"/>
    <cellStyle name="Normal 3 7 8 4" xfId="3098" xr:uid="{CE1482B4-5161-4F5F-AF44-3230E5CD1D4C}"/>
    <cellStyle name="Normal 3 7 9" xfId="678" xr:uid="{00000000-0005-0000-0000-000091010000}"/>
    <cellStyle name="Normal 3 7 9 2" xfId="2354" xr:uid="{5AE06527-F85D-4EAA-9930-71AFCE1210A8}"/>
    <cellStyle name="Normal 3 7 9 2 2" xfId="4022" xr:uid="{4E0CA2EF-7F3D-4BC2-9DF8-97ED28D4BA04}"/>
    <cellStyle name="Normal 3 7 9 3" xfId="1518" xr:uid="{30878069-9A5D-48A4-AE35-AF771E2C9EC7}"/>
    <cellStyle name="Normal 3 7 9 4" xfId="3188" xr:uid="{B3079737-2AA2-4A0D-BE62-9DB4FD9775FA}"/>
    <cellStyle name="Normal 3 8" xfId="63" xr:uid="{00000000-0005-0000-0000-000092010000}"/>
    <cellStyle name="Normal 3 8 10" xfId="1740" xr:uid="{6F24873F-564A-48E9-9574-AEC045EB2DE9}"/>
    <cellStyle name="Normal 3 8 10 2" xfId="3408" xr:uid="{9629A6C3-E61B-4048-93A2-C3976646941B}"/>
    <cellStyle name="Normal 3 8 11" xfId="904" xr:uid="{F16B8506-D641-4AC2-922B-1AA18E2F3962}"/>
    <cellStyle name="Normal 3 8 12" xfId="2574" xr:uid="{CE129F10-F492-4013-88F6-AD44D8F72D13}"/>
    <cellStyle name="Normal 3 8 2" xfId="156" xr:uid="{00000000-0005-0000-0000-000093010000}"/>
    <cellStyle name="Normal 3 8 2 2" xfId="1832" xr:uid="{8FF2AD55-B99B-4C8B-B3E4-1B2CDB5ED2E4}"/>
    <cellStyle name="Normal 3 8 2 2 2" xfId="3500" xr:uid="{32279F70-8346-4240-98D9-64568F1D8C8B}"/>
    <cellStyle name="Normal 3 8 2 3" xfId="996" xr:uid="{05CA3289-BABE-402B-AEE1-28E3D0CD568C}"/>
    <cellStyle name="Normal 3 8 2 4" xfId="2666" xr:uid="{5F0437FF-FACF-4643-8110-2BB8BB1F44C6}"/>
    <cellStyle name="Normal 3 8 3" xfId="246" xr:uid="{00000000-0005-0000-0000-000094010000}"/>
    <cellStyle name="Normal 3 8 3 2" xfId="1922" xr:uid="{CE2D7F95-A657-47AF-B960-7F74F4E02F96}"/>
    <cellStyle name="Normal 3 8 3 2 2" xfId="3590" xr:uid="{A0C5F609-8BBE-43E3-8444-D49DA96BD4F3}"/>
    <cellStyle name="Normal 3 8 3 3" xfId="1086" xr:uid="{5C28521D-E6F4-4B95-99BD-3BB8A823F89F}"/>
    <cellStyle name="Normal 3 8 3 4" xfId="2756" xr:uid="{AFA4D444-7427-41E7-BB94-552837EF5849}"/>
    <cellStyle name="Normal 3 8 4" xfId="336" xr:uid="{00000000-0005-0000-0000-000095010000}"/>
    <cellStyle name="Normal 3 8 4 2" xfId="2012" xr:uid="{E150796D-34A9-48E6-B6D2-9EED214231F5}"/>
    <cellStyle name="Normal 3 8 4 2 2" xfId="3680" xr:uid="{0BBCDE14-8F1B-407B-B23E-E326A8FA95A4}"/>
    <cellStyle name="Normal 3 8 4 3" xfId="1176" xr:uid="{F6E4670F-CAEB-4AA9-BE21-0495F3962B8E}"/>
    <cellStyle name="Normal 3 8 4 4" xfId="2846" xr:uid="{5185B71B-06E5-471B-A053-15AEDC7B08E1}"/>
    <cellStyle name="Normal 3 8 5" xfId="426" xr:uid="{00000000-0005-0000-0000-000096010000}"/>
    <cellStyle name="Normal 3 8 5 2" xfId="2102" xr:uid="{13FB55CB-399B-48F2-B69C-D21F327091E8}"/>
    <cellStyle name="Normal 3 8 5 2 2" xfId="3770" xr:uid="{08D0E9E6-78BC-4D1E-89A8-DF68194F5FB3}"/>
    <cellStyle name="Normal 3 8 5 3" xfId="1266" xr:uid="{00DB4ECC-5430-4000-9A7D-699788691247}"/>
    <cellStyle name="Normal 3 8 5 4" xfId="2936" xr:uid="{F5411F54-D068-4E3A-9433-5F1A72F1C792}"/>
    <cellStyle name="Normal 3 8 6" xfId="516" xr:uid="{00000000-0005-0000-0000-000097010000}"/>
    <cellStyle name="Normal 3 8 6 2" xfId="2192" xr:uid="{96B170FA-8934-43DD-83EB-D489DA7ECDBE}"/>
    <cellStyle name="Normal 3 8 6 2 2" xfId="3860" xr:uid="{B1D12732-0A36-42A8-AE65-6132A4EC8E8E}"/>
    <cellStyle name="Normal 3 8 6 3" xfId="1356" xr:uid="{7A1C9A78-6C63-4EED-9766-D4611132F035}"/>
    <cellStyle name="Normal 3 8 6 4" xfId="3026" xr:uid="{DBD1C122-113A-468A-8DE1-89979D68D3C2}"/>
    <cellStyle name="Normal 3 8 7" xfId="606" xr:uid="{00000000-0005-0000-0000-000098010000}"/>
    <cellStyle name="Normal 3 8 7 2" xfId="2282" xr:uid="{D3246968-F472-4831-9ED5-18D250041657}"/>
    <cellStyle name="Normal 3 8 7 2 2" xfId="3950" xr:uid="{34703130-93DA-405A-8F3C-85016EFB9D64}"/>
    <cellStyle name="Normal 3 8 7 3" xfId="1446" xr:uid="{1F4C6793-8D5E-4E6B-BD56-61D79715095B}"/>
    <cellStyle name="Normal 3 8 7 4" xfId="3116" xr:uid="{D27B6597-1430-4EF8-9FE0-E12A63DEF0A8}"/>
    <cellStyle name="Normal 3 8 8" xfId="696" xr:uid="{00000000-0005-0000-0000-000099010000}"/>
    <cellStyle name="Normal 3 8 8 2" xfId="2372" xr:uid="{9D72AEF2-5C57-4888-B622-C4E3F494570B}"/>
    <cellStyle name="Normal 3 8 8 2 2" xfId="4040" xr:uid="{E0E90407-DF51-4860-9F50-E0FB81CC50D4}"/>
    <cellStyle name="Normal 3 8 8 3" xfId="1536" xr:uid="{AC47FE91-788A-4160-B90A-D3FB04642AB6}"/>
    <cellStyle name="Normal 3 8 8 4" xfId="3206" xr:uid="{BB53804E-7E9F-4D88-BA5F-260DA3931D1D}"/>
    <cellStyle name="Normal 3 8 9" xfId="793" xr:uid="{00000000-0005-0000-0000-00009A010000}"/>
    <cellStyle name="Normal 3 8 9 2" xfId="2469" xr:uid="{A096A2BA-03F0-4947-AF2F-8FDC270977FC}"/>
    <cellStyle name="Normal 3 8 9 2 2" xfId="4137" xr:uid="{72B0FC3A-3752-4944-8600-577A9D0CF414}"/>
    <cellStyle name="Normal 3 8 9 3" xfId="1633" xr:uid="{5AC1621C-DD1F-4A20-A2F1-F1C17DD06D32}"/>
    <cellStyle name="Normal 3 8 9 4" xfId="3303" xr:uid="{8329A946-027B-4D52-997D-F9E7E9FC2609}"/>
    <cellStyle name="Normal 3 9" xfId="101" xr:uid="{00000000-0005-0000-0000-00009B010000}"/>
    <cellStyle name="Normal 3 9 10" xfId="1777" xr:uid="{CF260EDA-A944-47D3-BB3C-983FB1BE3570}"/>
    <cellStyle name="Normal 3 9 10 2" xfId="3445" xr:uid="{0F422F57-3A50-4499-91BD-5AF372BCC9C4}"/>
    <cellStyle name="Normal 3 9 11" xfId="941" xr:uid="{7F1B0C27-C51D-44D6-BF01-F7C7812568C4}"/>
    <cellStyle name="Normal 3 9 12" xfId="2611" xr:uid="{BF870E7E-1DBD-4718-A571-D302746DBD52}"/>
    <cellStyle name="Normal 3 9 2" xfId="193" xr:uid="{00000000-0005-0000-0000-00009C010000}"/>
    <cellStyle name="Normal 3 9 2 2" xfId="1869" xr:uid="{97181385-F14C-4B6F-8220-1638C1F47D68}"/>
    <cellStyle name="Normal 3 9 2 2 2" xfId="3537" xr:uid="{5EA492A0-2E3C-42E2-AC22-AB42B531C2F4}"/>
    <cellStyle name="Normal 3 9 2 3" xfId="1033" xr:uid="{20E267EE-4746-4B26-A339-8C117048F7BF}"/>
    <cellStyle name="Normal 3 9 2 4" xfId="2703" xr:uid="{E9A6CC4D-8844-4215-A540-95F0E6B0E2D4}"/>
    <cellStyle name="Normal 3 9 3" xfId="283" xr:uid="{00000000-0005-0000-0000-00009D010000}"/>
    <cellStyle name="Normal 3 9 3 2" xfId="1959" xr:uid="{05078E9F-FDFC-4A85-9665-DF3445DB28AE}"/>
    <cellStyle name="Normal 3 9 3 2 2" xfId="3627" xr:uid="{D0A29E22-2168-49AC-A27A-C5A3321ABA48}"/>
    <cellStyle name="Normal 3 9 3 3" xfId="1123" xr:uid="{A5AE571B-D39C-4A83-8DA4-A72B31DDBEF8}"/>
    <cellStyle name="Normal 3 9 3 4" xfId="2793" xr:uid="{AD97229E-9D00-4CAB-BD9D-B377972F8984}"/>
    <cellStyle name="Normal 3 9 4" xfId="373" xr:uid="{00000000-0005-0000-0000-00009E010000}"/>
    <cellStyle name="Normal 3 9 4 2" xfId="2049" xr:uid="{958588B7-E334-4A83-9964-9208E5EF8BCF}"/>
    <cellStyle name="Normal 3 9 4 2 2" xfId="3717" xr:uid="{0882FF1A-B2D1-4995-9D24-AEAF9D57970E}"/>
    <cellStyle name="Normal 3 9 4 3" xfId="1213" xr:uid="{A0D0556E-0A21-4765-8F80-A2A4041E3E06}"/>
    <cellStyle name="Normal 3 9 4 4" xfId="2883" xr:uid="{93C1EC15-60F1-4A9F-BF4A-BC69525BC481}"/>
    <cellStyle name="Normal 3 9 5" xfId="463" xr:uid="{00000000-0005-0000-0000-00009F010000}"/>
    <cellStyle name="Normal 3 9 5 2" xfId="2139" xr:uid="{B9DDA296-7818-4E0C-ABB4-1F5B1CE5A615}"/>
    <cellStyle name="Normal 3 9 5 2 2" xfId="3807" xr:uid="{E5E7565F-95A9-4439-9733-184B0DAD903F}"/>
    <cellStyle name="Normal 3 9 5 3" xfId="1303" xr:uid="{0883CD07-9F81-4F3F-BE86-88E37577613B}"/>
    <cellStyle name="Normal 3 9 5 4" xfId="2973" xr:uid="{9E48A470-223D-4197-A1E5-6BE32BBD5561}"/>
    <cellStyle name="Normal 3 9 6" xfId="553" xr:uid="{00000000-0005-0000-0000-0000A0010000}"/>
    <cellStyle name="Normal 3 9 6 2" xfId="2229" xr:uid="{BF65F1C1-C9F2-4CC5-8B71-03F7D1E60B56}"/>
    <cellStyle name="Normal 3 9 6 2 2" xfId="3897" xr:uid="{F259E535-868F-49A5-8C29-199888196230}"/>
    <cellStyle name="Normal 3 9 6 3" xfId="1393" xr:uid="{2E239311-E07E-4542-A033-853FDA5C3608}"/>
    <cellStyle name="Normal 3 9 6 4" xfId="3063" xr:uid="{47C1B7D0-FAF2-487E-BFD9-BE26284C18B6}"/>
    <cellStyle name="Normal 3 9 7" xfId="643" xr:uid="{00000000-0005-0000-0000-0000A1010000}"/>
    <cellStyle name="Normal 3 9 7 2" xfId="2319" xr:uid="{8AEDD194-07E1-4EA5-8041-A7C6DD42F1CB}"/>
    <cellStyle name="Normal 3 9 7 2 2" xfId="3987" xr:uid="{43E089C0-26FC-42E2-8B48-0083882EB160}"/>
    <cellStyle name="Normal 3 9 7 3" xfId="1483" xr:uid="{8AE23710-28B8-4EA9-A515-FFBE71529142}"/>
    <cellStyle name="Normal 3 9 7 4" xfId="3153" xr:uid="{954F6D89-A3E0-46AC-82E8-BAEB3850C4ED}"/>
    <cellStyle name="Normal 3 9 8" xfId="733" xr:uid="{00000000-0005-0000-0000-0000A2010000}"/>
    <cellStyle name="Normal 3 9 8 2" xfId="2409" xr:uid="{DB4BB723-47C7-4071-BACC-BB1AAE4CC9A7}"/>
    <cellStyle name="Normal 3 9 8 2 2" xfId="4077" xr:uid="{0FDE9E03-0A8C-4C39-97B3-B06236D11D5D}"/>
    <cellStyle name="Normal 3 9 8 3" xfId="1573" xr:uid="{0CCA86DC-EAE2-46CC-8D0E-88AF6DAE7535}"/>
    <cellStyle name="Normal 3 9 8 4" xfId="3243" xr:uid="{DC0A91C5-7281-45DF-A098-7B5EE3BC6032}"/>
    <cellStyle name="Normal 3 9 9" xfId="830" xr:uid="{00000000-0005-0000-0000-0000A3010000}"/>
    <cellStyle name="Normal 3 9 9 2" xfId="2506" xr:uid="{3CF57202-3191-4ACB-A168-D9E038C3DB19}"/>
    <cellStyle name="Normal 3 9 9 2 2" xfId="4174" xr:uid="{FAC49AA0-1DA2-45DA-90DF-8CC3C76950AB}"/>
    <cellStyle name="Normal 3 9 9 3" xfId="1670" xr:uid="{9A39DBDE-91D0-4969-996D-F426CFE86E64}"/>
    <cellStyle name="Normal 3 9 9 4" xfId="3340" xr:uid="{6A4103C4-BC52-4943-B5BD-A1ECE721C34C}"/>
    <cellStyle name="Normal 4" xfId="12" xr:uid="{00000000-0005-0000-0000-0000A4010000}"/>
    <cellStyle name="Normal 5" xfId="9" xr:uid="{00000000-0005-0000-0000-0000A5010000}"/>
    <cellStyle name="Normal 5 2" xfId="5" xr:uid="{00000000-0005-0000-0000-0000A6010000}"/>
    <cellStyle name="Normal 5 3" xfId="32" xr:uid="{00000000-0005-0000-0000-0000A7010000}"/>
    <cellStyle name="Normal 5 3 2" xfId="54" xr:uid="{00000000-0005-0000-0000-0000A8010000}"/>
    <cellStyle name="Normal 5 4" xfId="19" xr:uid="{00000000-0005-0000-0000-0000A9010000}"/>
    <cellStyle name="Normal 6" xfId="18" xr:uid="{00000000-0005-0000-0000-0000AA010000}"/>
    <cellStyle name="Normal 6 10" xfId="660" xr:uid="{00000000-0005-0000-0000-0000AB010000}"/>
    <cellStyle name="Normal 6 10 2" xfId="2336" xr:uid="{0A9C3853-4DC6-4BA6-A65F-C612F5444DA7}"/>
    <cellStyle name="Normal 6 10 2 2" xfId="4004" xr:uid="{E076DFF0-82B0-4922-B5C2-7A0B338A3785}"/>
    <cellStyle name="Normal 6 10 3" xfId="1500" xr:uid="{BE6370AA-9BA4-44E9-9AC1-3178B401AD12}"/>
    <cellStyle name="Normal 6 10 4" xfId="3170" xr:uid="{EA8D862B-DC94-48BB-84BF-9B1435C6A921}"/>
    <cellStyle name="Normal 6 11" xfId="754" xr:uid="{00000000-0005-0000-0000-0000AC010000}"/>
    <cellStyle name="Normal 6 11 2" xfId="2430" xr:uid="{D20D52F2-322A-4E99-BBC9-E7F6236B7E12}"/>
    <cellStyle name="Normal 6 11 2 2" xfId="4098" xr:uid="{B32131E5-68D4-4104-B670-263071FACFF7}"/>
    <cellStyle name="Normal 6 11 3" xfId="1594" xr:uid="{D43216CD-6F0F-4572-A3BC-180A3CB6123C}"/>
    <cellStyle name="Normal 6 11 4" xfId="3264" xr:uid="{515D6F27-30A8-457B-8BFE-7407DF76F710}"/>
    <cellStyle name="Normal 6 12" xfId="1701" xr:uid="{EFC7A9A5-629F-4DFA-8138-CF728555AE8A}"/>
    <cellStyle name="Normal 6 12 2" xfId="3369" xr:uid="{30158033-44D9-4F15-AF52-B45A1FBE7930}"/>
    <cellStyle name="Normal 6 13" xfId="865" xr:uid="{92135527-CAA5-4F23-9361-E0081D0065C9}"/>
    <cellStyle name="Normal 6 14" xfId="2535" xr:uid="{F5127C1E-9CC4-4FAC-AEE7-830323DCB8E4}"/>
    <cellStyle name="Normal 6 2" xfId="41" xr:uid="{00000000-0005-0000-0000-0000AD010000}"/>
    <cellStyle name="Normal 6 2 10" xfId="773" xr:uid="{00000000-0005-0000-0000-0000AE010000}"/>
    <cellStyle name="Normal 6 2 10 2" xfId="2449" xr:uid="{D27800D2-4B67-47E9-ACFE-D61AFE29C9C8}"/>
    <cellStyle name="Normal 6 2 10 2 2" xfId="4117" xr:uid="{F24DDB92-CCA6-40F6-9F9D-1D23C59DFDBD}"/>
    <cellStyle name="Normal 6 2 10 3" xfId="1613" xr:uid="{B09BFB1C-0C58-4795-BD82-28F95726C9D7}"/>
    <cellStyle name="Normal 6 2 10 4" xfId="3283" xr:uid="{7EEB0F63-F28F-45CF-B458-DB9FE00E6700}"/>
    <cellStyle name="Normal 6 2 11" xfId="1720" xr:uid="{799E019D-1E7F-4C64-BC0A-1D3EC82C2B91}"/>
    <cellStyle name="Normal 6 2 11 2" xfId="3388" xr:uid="{EFE7C3E7-FA0F-42B2-A9AC-224BAFEC5638}"/>
    <cellStyle name="Normal 6 2 12" xfId="884" xr:uid="{4208B9AD-816A-4F05-8032-952DB5432115}"/>
    <cellStyle name="Normal 6 2 13" xfId="2554" xr:uid="{074658C5-69DA-4FF0-920B-AB6BFCACA3D0}"/>
    <cellStyle name="Normal 6 2 2" xfId="81" xr:uid="{00000000-0005-0000-0000-0000AF010000}"/>
    <cellStyle name="Normal 6 2 2 10" xfId="1758" xr:uid="{FD923996-E454-441E-BBC0-1FF63B56B570}"/>
    <cellStyle name="Normal 6 2 2 10 2" xfId="3426" xr:uid="{5008A729-A274-43A7-B4E8-0F6983B9E23E}"/>
    <cellStyle name="Normal 6 2 2 11" xfId="922" xr:uid="{9AC40A32-A2C5-4F7C-9C85-D131C0B75B7A}"/>
    <cellStyle name="Normal 6 2 2 12" xfId="2592" xr:uid="{62FAB12A-88FC-43F0-BE26-55CC75CD7E87}"/>
    <cellStyle name="Normal 6 2 2 2" xfId="174" xr:uid="{00000000-0005-0000-0000-0000B0010000}"/>
    <cellStyle name="Normal 6 2 2 2 2" xfId="1850" xr:uid="{037BCAC8-42E9-4726-AB27-E33952BA9A75}"/>
    <cellStyle name="Normal 6 2 2 2 2 2" xfId="3518" xr:uid="{F249916D-A006-45E9-AE51-37D28ED1F3AE}"/>
    <cellStyle name="Normal 6 2 2 2 3" xfId="1014" xr:uid="{CEC9C229-9A61-4CBF-AC63-74A6AB198849}"/>
    <cellStyle name="Normal 6 2 2 2 4" xfId="2684" xr:uid="{D789FB95-AD4C-4EFA-B126-277C6ECC814E}"/>
    <cellStyle name="Normal 6 2 2 3" xfId="264" xr:uid="{00000000-0005-0000-0000-0000B1010000}"/>
    <cellStyle name="Normal 6 2 2 3 2" xfId="1940" xr:uid="{1132A754-33F8-4F06-B844-83CA4C1CEFD9}"/>
    <cellStyle name="Normal 6 2 2 3 2 2" xfId="3608" xr:uid="{B410689F-C497-4EC9-973C-BC5B78A6780C}"/>
    <cellStyle name="Normal 6 2 2 3 3" xfId="1104" xr:uid="{2EFF3F56-0E55-4A7E-B8D0-EF0282B7E6CE}"/>
    <cellStyle name="Normal 6 2 2 3 4" xfId="2774" xr:uid="{7CC9D73A-9A22-4AF7-8E1C-6A80FB597288}"/>
    <cellStyle name="Normal 6 2 2 4" xfId="354" xr:uid="{00000000-0005-0000-0000-0000B2010000}"/>
    <cellStyle name="Normal 6 2 2 4 2" xfId="2030" xr:uid="{2DDB5FBE-F13C-46AF-AE3B-6369F4944481}"/>
    <cellStyle name="Normal 6 2 2 4 2 2" xfId="3698" xr:uid="{9C6E6A54-77D5-49F6-AA94-8152343E68A5}"/>
    <cellStyle name="Normal 6 2 2 4 3" xfId="1194" xr:uid="{1A380912-F0B5-4C85-8CE9-549BD2328715}"/>
    <cellStyle name="Normal 6 2 2 4 4" xfId="2864" xr:uid="{347A139C-A1D5-459F-8C32-63B15A0C9130}"/>
    <cellStyle name="Normal 6 2 2 5" xfId="444" xr:uid="{00000000-0005-0000-0000-0000B3010000}"/>
    <cellStyle name="Normal 6 2 2 5 2" xfId="2120" xr:uid="{27E84151-22E8-4346-8470-A2A96A23D3EE}"/>
    <cellStyle name="Normal 6 2 2 5 2 2" xfId="3788" xr:uid="{407AF3F9-7951-477F-A56A-2A6E42EBE8A5}"/>
    <cellStyle name="Normal 6 2 2 5 3" xfId="1284" xr:uid="{29CC3792-1429-4493-AA65-EDE482E2493A}"/>
    <cellStyle name="Normal 6 2 2 5 4" xfId="2954" xr:uid="{EA9B33ED-A6B1-4A4B-9EE4-CF188CA35F8D}"/>
    <cellStyle name="Normal 6 2 2 6" xfId="534" xr:uid="{00000000-0005-0000-0000-0000B4010000}"/>
    <cellStyle name="Normal 6 2 2 6 2" xfId="2210" xr:uid="{26E814AB-FA78-4979-84A8-B2BD1AF40A0D}"/>
    <cellStyle name="Normal 6 2 2 6 2 2" xfId="3878" xr:uid="{1FBD0F77-63E2-4F63-841A-3EA9B8CC00C3}"/>
    <cellStyle name="Normal 6 2 2 6 3" xfId="1374" xr:uid="{756B8622-52EB-4030-8CE1-4DA4BF19980A}"/>
    <cellStyle name="Normal 6 2 2 6 4" xfId="3044" xr:uid="{43A58EF1-0859-49A8-850F-22EC3B1C8813}"/>
    <cellStyle name="Normal 6 2 2 7" xfId="624" xr:uid="{00000000-0005-0000-0000-0000B5010000}"/>
    <cellStyle name="Normal 6 2 2 7 2" xfId="2300" xr:uid="{8224F8B2-9B30-4948-97DE-2243ABC5DCC7}"/>
    <cellStyle name="Normal 6 2 2 7 2 2" xfId="3968" xr:uid="{57B41E43-0CDF-4E47-8237-AAB76E12E6D2}"/>
    <cellStyle name="Normal 6 2 2 7 3" xfId="1464" xr:uid="{4B4C9B16-E389-4529-A527-AA2343B715EE}"/>
    <cellStyle name="Normal 6 2 2 7 4" xfId="3134" xr:uid="{CB2A0F7B-1754-4292-84AE-2B143F0A1381}"/>
    <cellStyle name="Normal 6 2 2 8" xfId="714" xr:uid="{00000000-0005-0000-0000-0000B6010000}"/>
    <cellStyle name="Normal 6 2 2 8 2" xfId="2390" xr:uid="{D1CC6103-E7C2-429B-BCD4-AEE7E67EE44C}"/>
    <cellStyle name="Normal 6 2 2 8 2 2" xfId="4058" xr:uid="{26207301-B4BF-4B85-A336-D4FCEC7145EA}"/>
    <cellStyle name="Normal 6 2 2 8 3" xfId="1554" xr:uid="{D53CD79D-7FBC-4DB6-8795-C5375436B1F3}"/>
    <cellStyle name="Normal 6 2 2 8 4" xfId="3224" xr:uid="{B25B392D-33C9-4F35-BA61-5C62CC83C298}"/>
    <cellStyle name="Normal 6 2 2 9" xfId="811" xr:uid="{00000000-0005-0000-0000-0000B7010000}"/>
    <cellStyle name="Normal 6 2 2 9 2" xfId="2487" xr:uid="{C775BABC-368E-44C3-86CD-3490473B9ED5}"/>
    <cellStyle name="Normal 6 2 2 9 2 2" xfId="4155" xr:uid="{D5EEC5E7-B94F-42D8-BA98-42C05A08D5A3}"/>
    <cellStyle name="Normal 6 2 2 9 3" xfId="1651" xr:uid="{E317F028-F742-45C8-90B6-103DE99D5044}"/>
    <cellStyle name="Normal 6 2 2 9 4" xfId="3321" xr:uid="{0044B112-DB9F-41E5-A59A-6BBD3D70A10F}"/>
    <cellStyle name="Normal 6 2 3" xfId="137" xr:uid="{00000000-0005-0000-0000-0000B8010000}"/>
    <cellStyle name="Normal 6 2 3 2" xfId="1813" xr:uid="{B83EE620-21E5-4D68-8770-CE0656639E9B}"/>
    <cellStyle name="Normal 6 2 3 2 2" xfId="3481" xr:uid="{AD959EAB-0C5A-460D-A604-076AA29BC2B5}"/>
    <cellStyle name="Normal 6 2 3 3" xfId="977" xr:uid="{13BF9D16-C081-47EF-8E13-4FA7EEFDDAB6}"/>
    <cellStyle name="Normal 6 2 3 4" xfId="2647" xr:uid="{B9AA92D7-DA29-4D02-9B01-C98D5C409BDF}"/>
    <cellStyle name="Normal 6 2 4" xfId="227" xr:uid="{00000000-0005-0000-0000-0000B9010000}"/>
    <cellStyle name="Normal 6 2 4 2" xfId="1903" xr:uid="{16320E45-E510-4623-B530-DFDFD6DB2C2B}"/>
    <cellStyle name="Normal 6 2 4 2 2" xfId="3571" xr:uid="{1A20FD51-C97F-44DE-B6D0-AFDF41BD6B82}"/>
    <cellStyle name="Normal 6 2 4 3" xfId="1067" xr:uid="{D75DD530-DAF8-45FA-B93F-4602B58E8989}"/>
    <cellStyle name="Normal 6 2 4 4" xfId="2737" xr:uid="{0CBA0655-83C4-472A-A5D2-D4A15AFE1868}"/>
    <cellStyle name="Normal 6 2 5" xfId="317" xr:uid="{00000000-0005-0000-0000-0000BA010000}"/>
    <cellStyle name="Normal 6 2 5 2" xfId="1993" xr:uid="{D5A40CC3-59CC-4086-BCA4-146147F6C652}"/>
    <cellStyle name="Normal 6 2 5 2 2" xfId="3661" xr:uid="{8B5E992C-7D6C-48A8-AF7C-C72F2DD5EC9B}"/>
    <cellStyle name="Normal 6 2 5 3" xfId="1157" xr:uid="{BD78C61D-7CE9-4EBF-BC21-74C29596F93B}"/>
    <cellStyle name="Normal 6 2 5 4" xfId="2827" xr:uid="{3399EC53-D271-4624-84FB-3FD9BB244B91}"/>
    <cellStyle name="Normal 6 2 6" xfId="407" xr:uid="{00000000-0005-0000-0000-0000BB010000}"/>
    <cellStyle name="Normal 6 2 6 2" xfId="2083" xr:uid="{7A785C2A-8B30-45C8-A290-ADD30A90A152}"/>
    <cellStyle name="Normal 6 2 6 2 2" xfId="3751" xr:uid="{926979AC-3052-439C-8FAC-82C8A4EF514C}"/>
    <cellStyle name="Normal 6 2 6 3" xfId="1247" xr:uid="{8DD92CA0-1AE6-4F99-841E-91D235F967F0}"/>
    <cellStyle name="Normal 6 2 6 4" xfId="2917" xr:uid="{269E5681-E713-4F0C-B5A2-F3CAA089667A}"/>
    <cellStyle name="Normal 6 2 7" xfId="497" xr:uid="{00000000-0005-0000-0000-0000BC010000}"/>
    <cellStyle name="Normal 6 2 7 2" xfId="2173" xr:uid="{21DEF6A4-5883-4411-AB8C-607213C8C885}"/>
    <cellStyle name="Normal 6 2 7 2 2" xfId="3841" xr:uid="{71476B00-EB0D-4164-8546-D01FE1D62D6F}"/>
    <cellStyle name="Normal 6 2 7 3" xfId="1337" xr:uid="{BB3E388B-3435-4205-9E42-96D1F9743BA2}"/>
    <cellStyle name="Normal 6 2 7 4" xfId="3007" xr:uid="{6D58B6E4-0929-45EA-9032-0D0C9E8EE3FB}"/>
    <cellStyle name="Normal 6 2 8" xfId="587" xr:uid="{00000000-0005-0000-0000-0000BD010000}"/>
    <cellStyle name="Normal 6 2 8 2" xfId="2263" xr:uid="{F46865B2-D7D6-4556-AE2A-8BC489F197AB}"/>
    <cellStyle name="Normal 6 2 8 2 2" xfId="3931" xr:uid="{A6470089-EAEC-46C7-B85B-3531306A4C93}"/>
    <cellStyle name="Normal 6 2 8 3" xfId="1427" xr:uid="{E931D158-ECD8-4AD6-959F-9788CD1F2F75}"/>
    <cellStyle name="Normal 6 2 8 4" xfId="3097" xr:uid="{56AFF601-9F7A-4E89-A74D-21EC7528624A}"/>
    <cellStyle name="Normal 6 2 9" xfId="677" xr:uid="{00000000-0005-0000-0000-0000BE010000}"/>
    <cellStyle name="Normal 6 2 9 2" xfId="2353" xr:uid="{52B6C89B-F08F-4302-BF8C-DFD7A79F53EC}"/>
    <cellStyle name="Normal 6 2 9 2 2" xfId="4021" xr:uid="{CD23A969-2EA3-4102-8D9D-8C02DB04E986}"/>
    <cellStyle name="Normal 6 2 9 3" xfId="1517" xr:uid="{44599640-E693-4D7C-83BE-16CB5DC28511}"/>
    <cellStyle name="Normal 6 2 9 4" xfId="3187" xr:uid="{0374F3C6-276B-4511-B567-14320935924C}"/>
    <cellStyle name="Normal 6 3" xfId="62" xr:uid="{00000000-0005-0000-0000-0000BF010000}"/>
    <cellStyle name="Normal 6 3 10" xfId="1739" xr:uid="{59618FBB-5A4F-4CB2-AF94-391315B7904E}"/>
    <cellStyle name="Normal 6 3 10 2" xfId="3407" xr:uid="{0B25C5A0-A8E5-48F2-BBFE-8CE0FCB85943}"/>
    <cellStyle name="Normal 6 3 11" xfId="903" xr:uid="{D98DA199-A235-4859-8A5B-FDE1279CDC9F}"/>
    <cellStyle name="Normal 6 3 12" xfId="2573" xr:uid="{82A12A7E-9697-425B-A5DA-71187D7D7F03}"/>
    <cellStyle name="Normal 6 3 2" xfId="155" xr:uid="{00000000-0005-0000-0000-0000C0010000}"/>
    <cellStyle name="Normal 6 3 2 2" xfId="1831" xr:uid="{618EC7E2-DDD0-4FCB-B264-F0D25B4B85C8}"/>
    <cellStyle name="Normal 6 3 2 2 2" xfId="3499" xr:uid="{172F267E-262B-4D74-A178-F5ADA9F283DE}"/>
    <cellStyle name="Normal 6 3 2 3" xfId="995" xr:uid="{CAC1010F-9157-4CCB-B73F-55FBC98BA3E4}"/>
    <cellStyle name="Normal 6 3 2 4" xfId="2665" xr:uid="{6AA065D4-C0E7-4828-9F4E-F69C6B16F7ED}"/>
    <cellStyle name="Normal 6 3 3" xfId="245" xr:uid="{00000000-0005-0000-0000-0000C1010000}"/>
    <cellStyle name="Normal 6 3 3 2" xfId="1921" xr:uid="{01040952-F186-4977-A991-D74892A9018B}"/>
    <cellStyle name="Normal 6 3 3 2 2" xfId="3589" xr:uid="{9A89C2C4-7B7D-4DF9-91D9-B4BA09EFEBC9}"/>
    <cellStyle name="Normal 6 3 3 3" xfId="1085" xr:uid="{B3276FC6-E2CA-40D1-B89F-5DA6A4A866FA}"/>
    <cellStyle name="Normal 6 3 3 4" xfId="2755" xr:uid="{EE1C4AFE-244E-4377-8C21-E653984EADD7}"/>
    <cellStyle name="Normal 6 3 4" xfId="335" xr:uid="{00000000-0005-0000-0000-0000C2010000}"/>
    <cellStyle name="Normal 6 3 4 2" xfId="2011" xr:uid="{2714A7E8-C8BE-47F8-8996-E8121ED60012}"/>
    <cellStyle name="Normal 6 3 4 2 2" xfId="3679" xr:uid="{217517BF-28AA-410D-BEE2-377F057A8E4C}"/>
    <cellStyle name="Normal 6 3 4 3" xfId="1175" xr:uid="{A40A3405-68B1-414F-BF9E-F1622742DD19}"/>
    <cellStyle name="Normal 6 3 4 4" xfId="2845" xr:uid="{4CFA5AE7-72B3-4732-8828-9A329B409B81}"/>
    <cellStyle name="Normal 6 3 5" xfId="425" xr:uid="{00000000-0005-0000-0000-0000C3010000}"/>
    <cellStyle name="Normal 6 3 5 2" xfId="2101" xr:uid="{980CC945-F50D-4B5E-BD6D-78AEE68D47DE}"/>
    <cellStyle name="Normal 6 3 5 2 2" xfId="3769" xr:uid="{5288B7A4-7EF0-4B63-96B8-31AB1801957A}"/>
    <cellStyle name="Normal 6 3 5 3" xfId="1265" xr:uid="{D6DCF0F7-87B2-46E0-B5CF-4B2CADB7E132}"/>
    <cellStyle name="Normal 6 3 5 4" xfId="2935" xr:uid="{7BD4909E-425A-4D41-9C4B-65439D16FE4C}"/>
    <cellStyle name="Normal 6 3 6" xfId="515" xr:uid="{00000000-0005-0000-0000-0000C4010000}"/>
    <cellStyle name="Normal 6 3 6 2" xfId="2191" xr:uid="{C313F03C-2BEB-4180-B5C4-E93613729CB7}"/>
    <cellStyle name="Normal 6 3 6 2 2" xfId="3859" xr:uid="{25F12769-AB94-4793-89BC-B7B904ADD58E}"/>
    <cellStyle name="Normal 6 3 6 3" xfId="1355" xr:uid="{B78CC5A5-12A1-4BF4-A8B0-2FBB12082787}"/>
    <cellStyle name="Normal 6 3 6 4" xfId="3025" xr:uid="{7470DC9C-CA73-4D01-8BB1-5E563F5C1AD4}"/>
    <cellStyle name="Normal 6 3 7" xfId="605" xr:uid="{00000000-0005-0000-0000-0000C5010000}"/>
    <cellStyle name="Normal 6 3 7 2" xfId="2281" xr:uid="{0C8D7742-C3DD-4F9E-BD56-9DB7355CAB97}"/>
    <cellStyle name="Normal 6 3 7 2 2" xfId="3949" xr:uid="{CB41965E-FCDB-490B-9F0B-94693E18480C}"/>
    <cellStyle name="Normal 6 3 7 3" xfId="1445" xr:uid="{ED2DA928-BC5C-4513-AF82-5D078148952E}"/>
    <cellStyle name="Normal 6 3 7 4" xfId="3115" xr:uid="{F7F56FEF-0511-4E5D-95BB-EA3FA82DB4C6}"/>
    <cellStyle name="Normal 6 3 8" xfId="695" xr:uid="{00000000-0005-0000-0000-0000C6010000}"/>
    <cellStyle name="Normal 6 3 8 2" xfId="2371" xr:uid="{FE65B240-3695-4900-9E02-F4DDEC11A3FB}"/>
    <cellStyle name="Normal 6 3 8 2 2" xfId="4039" xr:uid="{4F782586-7CA0-4CD0-A594-983092CF574F}"/>
    <cellStyle name="Normal 6 3 8 3" xfId="1535" xr:uid="{022F5C69-102B-4829-9C9E-C4D528257CCF}"/>
    <cellStyle name="Normal 6 3 8 4" xfId="3205" xr:uid="{90C6C9AA-B029-474C-9C5D-CFDC626011E8}"/>
    <cellStyle name="Normal 6 3 9" xfId="792" xr:uid="{00000000-0005-0000-0000-0000C7010000}"/>
    <cellStyle name="Normal 6 3 9 2" xfId="2468" xr:uid="{8E586E7A-A758-4796-84EA-B2AD924F8CB6}"/>
    <cellStyle name="Normal 6 3 9 2 2" xfId="4136" xr:uid="{A669EF39-E10F-4658-9062-CA08A4D58F12}"/>
    <cellStyle name="Normal 6 3 9 3" xfId="1632" xr:uid="{709E035F-1FB8-4CD1-8196-77CF5B4F26C5}"/>
    <cellStyle name="Normal 6 3 9 4" xfId="3302" xr:uid="{2FB405CF-1892-4532-8DFA-261EF38997B8}"/>
    <cellStyle name="Normal 6 4" xfId="120" xr:uid="{00000000-0005-0000-0000-0000C8010000}"/>
    <cellStyle name="Normal 6 4 2" xfId="1796" xr:uid="{F5DD3E2D-A873-4CB7-9C43-3A737197394A}"/>
    <cellStyle name="Normal 6 4 2 2" xfId="3464" xr:uid="{DD9FD1A8-3FA9-4A5C-924C-DA780EF2E690}"/>
    <cellStyle name="Normal 6 4 3" xfId="960" xr:uid="{2B1159F5-B495-461D-97EE-B3B78463C1A7}"/>
    <cellStyle name="Normal 6 4 4" xfId="2630" xr:uid="{0FB544C8-07A1-475D-8EDB-CDCD296018C3}"/>
    <cellStyle name="Normal 6 5" xfId="210" xr:uid="{00000000-0005-0000-0000-0000C9010000}"/>
    <cellStyle name="Normal 6 5 2" xfId="1886" xr:uid="{5746D6EB-3BEE-47E7-9AC3-C5E6B3F1E3EC}"/>
    <cellStyle name="Normal 6 5 2 2" xfId="3554" xr:uid="{B2800072-9035-42B1-87AA-DBD637A10810}"/>
    <cellStyle name="Normal 6 5 3" xfId="1050" xr:uid="{777E06DC-04FB-49CC-BC3C-CF742E9E3EF1}"/>
    <cellStyle name="Normal 6 5 4" xfId="2720" xr:uid="{6FA39AD2-9C35-4130-9D83-84B7DAB7A88F}"/>
    <cellStyle name="Normal 6 6" xfId="300" xr:uid="{00000000-0005-0000-0000-0000CA010000}"/>
    <cellStyle name="Normal 6 6 2" xfId="1976" xr:uid="{1031E839-95F7-4725-A31F-300F64CAE6BB}"/>
    <cellStyle name="Normal 6 6 2 2" xfId="3644" xr:uid="{548DEA75-C5ED-4EDC-A6C8-64FD49301F73}"/>
    <cellStyle name="Normal 6 6 3" xfId="1140" xr:uid="{6FFEADC7-E390-42D1-B555-6B76C283E289}"/>
    <cellStyle name="Normal 6 6 4" xfId="2810" xr:uid="{A04FF955-4609-4E84-9308-C11A165562D0}"/>
    <cellStyle name="Normal 6 7" xfId="390" xr:uid="{00000000-0005-0000-0000-0000CB010000}"/>
    <cellStyle name="Normal 6 7 2" xfId="2066" xr:uid="{BEA54BAE-5C66-40E2-90D6-9C059C6A1C0D}"/>
    <cellStyle name="Normal 6 7 2 2" xfId="3734" xr:uid="{30B20589-DE75-4C11-A15A-4CD52FA2DE34}"/>
    <cellStyle name="Normal 6 7 3" xfId="1230" xr:uid="{605C4928-2CE4-49BB-8AEE-7CA5F254E8C6}"/>
    <cellStyle name="Normal 6 7 4" xfId="2900" xr:uid="{ACE262DD-D0F7-4244-B81D-2E1BB96AE4DF}"/>
    <cellStyle name="Normal 6 8" xfId="480" xr:uid="{00000000-0005-0000-0000-0000CC010000}"/>
    <cellStyle name="Normal 6 8 2" xfId="2156" xr:uid="{656E9779-03E6-488D-928F-FA77120BD627}"/>
    <cellStyle name="Normal 6 8 2 2" xfId="3824" xr:uid="{84FE4E75-0BA5-4B8B-AB01-9FB2AFE7522C}"/>
    <cellStyle name="Normal 6 8 3" xfId="1320" xr:uid="{D79BBBC1-CBFC-479F-B3AD-CAA14FC3671F}"/>
    <cellStyle name="Normal 6 8 4" xfId="2990" xr:uid="{E4B6EF08-A852-412E-9925-1A54C0D74A7D}"/>
    <cellStyle name="Normal 6 9" xfId="570" xr:uid="{00000000-0005-0000-0000-0000CD010000}"/>
    <cellStyle name="Normal 6 9 2" xfId="2246" xr:uid="{987E6B15-5FEE-49CD-9AD9-4C8336D30DAC}"/>
    <cellStyle name="Normal 6 9 2 2" xfId="3914" xr:uid="{370824D9-046C-4112-B10C-21B181A5A02B}"/>
    <cellStyle name="Normal 6 9 3" xfId="1410" xr:uid="{A9CD769A-7573-4B0B-B72F-1DC67FE9D161}"/>
    <cellStyle name="Normal 6 9 4" xfId="3080" xr:uid="{0A45E545-DD9A-46E1-AE1E-EA3F8BDA9D50}"/>
    <cellStyle name="Normal 7" xfId="22" xr:uid="{00000000-0005-0000-0000-0000CE010000}"/>
    <cellStyle name="Normal 7 10" xfId="661" xr:uid="{00000000-0005-0000-0000-0000CF010000}"/>
    <cellStyle name="Normal 7 10 2" xfId="2337" xr:uid="{EC3C8AEE-6F66-42A9-910C-CE1073A8BC13}"/>
    <cellStyle name="Normal 7 10 2 2" xfId="4005" xr:uid="{E7D7F7FC-7A77-4574-B2B6-BA0114190C9D}"/>
    <cellStyle name="Normal 7 10 3" xfId="1501" xr:uid="{058FA16A-8920-4188-92AA-30A9FFAEF24F}"/>
    <cellStyle name="Normal 7 10 4" xfId="3171" xr:uid="{51EBEB52-C5AB-45AA-90D6-A5D7AADFF1F9}"/>
    <cellStyle name="Normal 7 11" xfId="756" xr:uid="{00000000-0005-0000-0000-0000D0010000}"/>
    <cellStyle name="Normal 7 11 2" xfId="2432" xr:uid="{5E3E2AE7-AE7F-40E6-B130-61B1E27C76B3}"/>
    <cellStyle name="Normal 7 11 2 2" xfId="4100" xr:uid="{680DACDC-4D09-4D10-BDAA-59169473FEBA}"/>
    <cellStyle name="Normal 7 11 3" xfId="1596" xr:uid="{4943D967-16E9-499A-8036-0CF67CD3CC65}"/>
    <cellStyle name="Normal 7 11 4" xfId="3266" xr:uid="{87EF8052-E701-4A01-9680-3919F554C3EB}"/>
    <cellStyle name="Normal 7 12" xfId="1703" xr:uid="{136D9F6B-D923-4FCD-82E1-1DF9B8170519}"/>
    <cellStyle name="Normal 7 12 2" xfId="3371" xr:uid="{674ED230-435C-4C31-BDCD-CD29670DAFC3}"/>
    <cellStyle name="Normal 7 13" xfId="867" xr:uid="{4EBA999A-471D-40AE-A122-075DBD1FD28F}"/>
    <cellStyle name="Normal 7 14" xfId="2537" xr:uid="{ED5B61E7-1AF0-4D40-9B78-3063C77CED89}"/>
    <cellStyle name="Normal 7 2" xfId="44" xr:uid="{00000000-0005-0000-0000-0000D1010000}"/>
    <cellStyle name="Normal 7 2 10" xfId="776" xr:uid="{00000000-0005-0000-0000-0000D2010000}"/>
    <cellStyle name="Normal 7 2 10 2" xfId="2452" xr:uid="{BE015055-9090-44C0-AF90-69E29F4E847C}"/>
    <cellStyle name="Normal 7 2 10 2 2" xfId="4120" xr:uid="{137EECC6-7619-478B-88A5-DACA35694E11}"/>
    <cellStyle name="Normal 7 2 10 3" xfId="1616" xr:uid="{732C838C-734D-4DB5-BC89-474BC89BE6F8}"/>
    <cellStyle name="Normal 7 2 10 4" xfId="3286" xr:uid="{A986F936-78CB-4D89-AAF0-DE5E5BECA49E}"/>
    <cellStyle name="Normal 7 2 11" xfId="1723" xr:uid="{3BA5ACE4-F318-4652-B69C-F98CB5498B43}"/>
    <cellStyle name="Normal 7 2 11 2" xfId="3391" xr:uid="{271D7DC1-85C5-4B1D-917B-F71136173BB8}"/>
    <cellStyle name="Normal 7 2 12" xfId="887" xr:uid="{C96D1940-6CEE-4586-9EDE-567B3D9FE6D5}"/>
    <cellStyle name="Normal 7 2 13" xfId="2557" xr:uid="{BF17BC52-31DB-4FEE-BF2E-D69A119E2F3B}"/>
    <cellStyle name="Normal 7 2 2" xfId="84" xr:uid="{00000000-0005-0000-0000-0000D3010000}"/>
    <cellStyle name="Normal 7 2 2 10" xfId="1761" xr:uid="{FAB8388B-EA01-48E8-8ACB-4C68242E6ECE}"/>
    <cellStyle name="Normal 7 2 2 10 2" xfId="3429" xr:uid="{67239989-E6A0-45BD-9E32-3D64CA575DB2}"/>
    <cellStyle name="Normal 7 2 2 11" xfId="925" xr:uid="{0058126B-FBEF-4195-B852-9505D793E58D}"/>
    <cellStyle name="Normal 7 2 2 12" xfId="2595" xr:uid="{8DB93FA3-6D26-4FE1-9CAE-2068C66A909C}"/>
    <cellStyle name="Normal 7 2 2 2" xfId="177" xr:uid="{00000000-0005-0000-0000-0000D4010000}"/>
    <cellStyle name="Normal 7 2 2 2 2" xfId="1853" xr:uid="{FFE204C4-809A-4509-BA37-58A93FC9C13F}"/>
    <cellStyle name="Normal 7 2 2 2 2 2" xfId="3521" xr:uid="{3E2F1EA3-AA80-478C-8C63-69EBD7B5084E}"/>
    <cellStyle name="Normal 7 2 2 2 3" xfId="1017" xr:uid="{63E119B1-B1F3-48EB-93EF-74F09F6C9BC4}"/>
    <cellStyle name="Normal 7 2 2 2 4" xfId="2687" xr:uid="{65103165-8618-4755-9923-8C562B487DA1}"/>
    <cellStyle name="Normal 7 2 2 3" xfId="267" xr:uid="{00000000-0005-0000-0000-0000D5010000}"/>
    <cellStyle name="Normal 7 2 2 3 2" xfId="1943" xr:uid="{AE65F4E0-4233-4AC7-9E73-AB6C223C83DA}"/>
    <cellStyle name="Normal 7 2 2 3 2 2" xfId="3611" xr:uid="{3659C695-1D89-43B1-973F-6B0A3E7297A1}"/>
    <cellStyle name="Normal 7 2 2 3 3" xfId="1107" xr:uid="{2C077D6C-34A3-434C-8E3E-34B7B93B8E55}"/>
    <cellStyle name="Normal 7 2 2 3 4" xfId="2777" xr:uid="{519172AC-8343-4E94-8E41-1486F8E92B4E}"/>
    <cellStyle name="Normal 7 2 2 4" xfId="357" xr:uid="{00000000-0005-0000-0000-0000D6010000}"/>
    <cellStyle name="Normal 7 2 2 4 2" xfId="2033" xr:uid="{2D139AA3-20DC-4E24-B75E-054FD1D56BB0}"/>
    <cellStyle name="Normal 7 2 2 4 2 2" xfId="3701" xr:uid="{9D969BDE-F1B3-4DDD-AD08-C194152D5243}"/>
    <cellStyle name="Normal 7 2 2 4 3" xfId="1197" xr:uid="{268513C5-9F10-4E06-BFBA-064EE1ED4FA6}"/>
    <cellStyle name="Normal 7 2 2 4 4" xfId="2867" xr:uid="{6E9AC537-39F0-40FA-A5CA-6A1EA3A5DD48}"/>
    <cellStyle name="Normal 7 2 2 5" xfId="447" xr:uid="{00000000-0005-0000-0000-0000D7010000}"/>
    <cellStyle name="Normal 7 2 2 5 2" xfId="2123" xr:uid="{D846AB6E-99F1-446D-81F9-3D06AD11CAD6}"/>
    <cellStyle name="Normal 7 2 2 5 2 2" xfId="3791" xr:uid="{9E11FEAB-EF86-4575-BF17-70B2FCACE307}"/>
    <cellStyle name="Normal 7 2 2 5 3" xfId="1287" xr:uid="{2E6D178E-67B2-4DF7-8E58-E17B988EC865}"/>
    <cellStyle name="Normal 7 2 2 5 4" xfId="2957" xr:uid="{F5B949D6-D2A9-4554-AC15-59E307C1F96B}"/>
    <cellStyle name="Normal 7 2 2 6" xfId="537" xr:uid="{00000000-0005-0000-0000-0000D8010000}"/>
    <cellStyle name="Normal 7 2 2 6 2" xfId="2213" xr:uid="{A643A8B5-6EFE-4266-BEE8-03EAB84C84A4}"/>
    <cellStyle name="Normal 7 2 2 6 2 2" xfId="3881" xr:uid="{F28927B3-9382-43E3-9079-58C3687B6CFC}"/>
    <cellStyle name="Normal 7 2 2 6 3" xfId="1377" xr:uid="{A5E93EDB-1030-4B0E-B998-C6C216F2073F}"/>
    <cellStyle name="Normal 7 2 2 6 4" xfId="3047" xr:uid="{0C2A1FAF-9DA9-45B7-B132-7F4144A4EBAF}"/>
    <cellStyle name="Normal 7 2 2 7" xfId="627" xr:uid="{00000000-0005-0000-0000-0000D9010000}"/>
    <cellStyle name="Normal 7 2 2 7 2" xfId="2303" xr:uid="{99B92CCA-0B6A-4F30-8CCB-79CB3D8DE30A}"/>
    <cellStyle name="Normal 7 2 2 7 2 2" xfId="3971" xr:uid="{93BA609A-079F-41AF-9437-72C78A7CD565}"/>
    <cellStyle name="Normal 7 2 2 7 3" xfId="1467" xr:uid="{4EDED050-8EED-4386-8E99-12C848CAD2C3}"/>
    <cellStyle name="Normal 7 2 2 7 4" xfId="3137" xr:uid="{463F7116-F821-4A26-BAA4-48245586943A}"/>
    <cellStyle name="Normal 7 2 2 8" xfId="717" xr:uid="{00000000-0005-0000-0000-0000DA010000}"/>
    <cellStyle name="Normal 7 2 2 8 2" xfId="2393" xr:uid="{2957040B-FEF2-4027-B842-8DB8450ACD5C}"/>
    <cellStyle name="Normal 7 2 2 8 2 2" xfId="4061" xr:uid="{FC3BB6C8-5A4A-45F9-BC7D-F38EDC82348E}"/>
    <cellStyle name="Normal 7 2 2 8 3" xfId="1557" xr:uid="{CD67AFAE-A9C8-449E-9BC0-39F497E1F1B3}"/>
    <cellStyle name="Normal 7 2 2 8 4" xfId="3227" xr:uid="{64E9B4EB-8B68-4A22-862E-2E7A5587A904}"/>
    <cellStyle name="Normal 7 2 2 9" xfId="814" xr:uid="{00000000-0005-0000-0000-0000DB010000}"/>
    <cellStyle name="Normal 7 2 2 9 2" xfId="2490" xr:uid="{B10A9D54-DB42-41A8-A941-BB36EFE8A097}"/>
    <cellStyle name="Normal 7 2 2 9 2 2" xfId="4158" xr:uid="{6E9807CB-2DCB-4363-BCF0-E8998999D4C3}"/>
    <cellStyle name="Normal 7 2 2 9 3" xfId="1654" xr:uid="{3FF9F57D-83EF-453D-A8D5-4D1A426789DA}"/>
    <cellStyle name="Normal 7 2 2 9 4" xfId="3324" xr:uid="{6A947DD9-48C7-42E1-9456-289C2B8605D8}"/>
    <cellStyle name="Normal 7 2 3" xfId="140" xr:uid="{00000000-0005-0000-0000-0000DC010000}"/>
    <cellStyle name="Normal 7 2 3 2" xfId="1816" xr:uid="{0150DAE5-A7EE-4AC7-8B6B-19CAAE51520F}"/>
    <cellStyle name="Normal 7 2 3 2 2" xfId="3484" xr:uid="{4B32A85F-99C3-4326-97E5-A12318882F05}"/>
    <cellStyle name="Normal 7 2 3 3" xfId="980" xr:uid="{BBF2F0C0-F592-406A-B1AF-73889836A8D2}"/>
    <cellStyle name="Normal 7 2 3 4" xfId="2650" xr:uid="{263454F0-87F0-4078-A6D0-4A21A3BDC942}"/>
    <cellStyle name="Normal 7 2 4" xfId="230" xr:uid="{00000000-0005-0000-0000-0000DD010000}"/>
    <cellStyle name="Normal 7 2 4 2" xfId="1906" xr:uid="{DFAC7AA8-1B01-4DD5-9D62-4B403DE6A2D4}"/>
    <cellStyle name="Normal 7 2 4 2 2" xfId="3574" xr:uid="{8D4FCD48-317C-4B05-8F40-E079D5756226}"/>
    <cellStyle name="Normal 7 2 4 3" xfId="1070" xr:uid="{EA2F887F-56FE-42C9-ACE1-124358F1D19F}"/>
    <cellStyle name="Normal 7 2 4 4" xfId="2740" xr:uid="{B6E58C76-2E25-4455-A546-AFCCDB8CFBB8}"/>
    <cellStyle name="Normal 7 2 5" xfId="320" xr:uid="{00000000-0005-0000-0000-0000DE010000}"/>
    <cellStyle name="Normal 7 2 5 2" xfId="1996" xr:uid="{B1CE1465-A667-42EF-8061-62BAE1C5D5EF}"/>
    <cellStyle name="Normal 7 2 5 2 2" xfId="3664" xr:uid="{1A15CC55-15FE-4C74-A043-953954F12390}"/>
    <cellStyle name="Normal 7 2 5 3" xfId="1160" xr:uid="{A89B2E0D-6F34-462A-A711-F15F89BBB8C3}"/>
    <cellStyle name="Normal 7 2 5 4" xfId="2830" xr:uid="{8A170523-3A33-43EE-8534-BBD96204FC96}"/>
    <cellStyle name="Normal 7 2 6" xfId="410" xr:uid="{00000000-0005-0000-0000-0000DF010000}"/>
    <cellStyle name="Normal 7 2 6 2" xfId="2086" xr:uid="{E3202460-3D5B-458B-9D04-4E1FC4F4B136}"/>
    <cellStyle name="Normal 7 2 6 2 2" xfId="3754" xr:uid="{A0450102-4145-46C9-84CE-97A77DC35FEE}"/>
    <cellStyle name="Normal 7 2 6 3" xfId="1250" xr:uid="{10052496-4183-4B98-84A8-1AE890F49FAA}"/>
    <cellStyle name="Normal 7 2 6 4" xfId="2920" xr:uid="{84CE5EFE-952E-4F2D-BC22-E6BBE8B12E5D}"/>
    <cellStyle name="Normal 7 2 7" xfId="500" xr:uid="{00000000-0005-0000-0000-0000E0010000}"/>
    <cellStyle name="Normal 7 2 7 2" xfId="2176" xr:uid="{A247B209-39C7-4C69-9328-4BA722892043}"/>
    <cellStyle name="Normal 7 2 7 2 2" xfId="3844" xr:uid="{F598DDFD-4416-44E6-A075-88EC0EE880BD}"/>
    <cellStyle name="Normal 7 2 7 3" xfId="1340" xr:uid="{F47A26FD-B015-4CCC-9698-98CAC9802146}"/>
    <cellStyle name="Normal 7 2 7 4" xfId="3010" xr:uid="{E1799B36-711A-4AA2-A935-25E2471046BB}"/>
    <cellStyle name="Normal 7 2 8" xfId="590" xr:uid="{00000000-0005-0000-0000-0000E1010000}"/>
    <cellStyle name="Normal 7 2 8 2" xfId="2266" xr:uid="{6358DCB7-FEA0-4B05-9B41-1E23E7688C86}"/>
    <cellStyle name="Normal 7 2 8 2 2" xfId="3934" xr:uid="{6225966B-DE9D-42D2-ADC6-28EFDE2AC9F0}"/>
    <cellStyle name="Normal 7 2 8 3" xfId="1430" xr:uid="{5F1B5D90-4827-47D1-AAE9-A173BF59B010}"/>
    <cellStyle name="Normal 7 2 8 4" xfId="3100" xr:uid="{C7385235-D804-46DC-91E6-5CB65ACF2F4C}"/>
    <cellStyle name="Normal 7 2 9" xfId="680" xr:uid="{00000000-0005-0000-0000-0000E2010000}"/>
    <cellStyle name="Normal 7 2 9 2" xfId="2356" xr:uid="{B671AC2F-BD93-4CBE-9BF5-AA41B518C3EC}"/>
    <cellStyle name="Normal 7 2 9 2 2" xfId="4024" xr:uid="{98E745EA-3B7E-4FA3-B9B0-CFB3132D3A93}"/>
    <cellStyle name="Normal 7 2 9 3" xfId="1520" xr:uid="{78AF5BD4-E6A5-4168-94F0-2E6FCC7C36A1}"/>
    <cellStyle name="Normal 7 2 9 4" xfId="3190" xr:uid="{E12CF114-41E5-4DD0-8FC5-C7AC1B7E4DE1}"/>
    <cellStyle name="Normal 7 3" xfId="65" xr:uid="{00000000-0005-0000-0000-0000E3010000}"/>
    <cellStyle name="Normal 7 3 10" xfId="1742" xr:uid="{F084FCD0-C05B-40B4-BECE-4408007DD65A}"/>
    <cellStyle name="Normal 7 3 10 2" xfId="3410" xr:uid="{C2A065DE-8C84-43FC-BA38-5B40B86BF6C1}"/>
    <cellStyle name="Normal 7 3 11" xfId="906" xr:uid="{1ADD7BA9-06C9-42F6-BF74-5D04FCA82E10}"/>
    <cellStyle name="Normal 7 3 12" xfId="2576" xr:uid="{D8BC8C1A-B23B-4B60-B62E-C5943E5AD4DF}"/>
    <cellStyle name="Normal 7 3 2" xfId="158" xr:uid="{00000000-0005-0000-0000-0000E4010000}"/>
    <cellStyle name="Normal 7 3 2 2" xfId="1834" xr:uid="{02FA5641-DFAD-4066-9103-70C22CA87B40}"/>
    <cellStyle name="Normal 7 3 2 2 2" xfId="3502" xr:uid="{DF6FB200-4BD9-42DD-8D6A-6AB23D3BFE33}"/>
    <cellStyle name="Normal 7 3 2 3" xfId="998" xr:uid="{0205E417-3EE6-40DC-B4A8-6750FF8545EC}"/>
    <cellStyle name="Normal 7 3 2 4" xfId="2668" xr:uid="{87103AB2-A5CC-4CD5-BCB9-D89267598FEF}"/>
    <cellStyle name="Normal 7 3 3" xfId="248" xr:uid="{00000000-0005-0000-0000-0000E5010000}"/>
    <cellStyle name="Normal 7 3 3 2" xfId="1924" xr:uid="{9B2BA1F6-2DFA-4DFC-BC24-B4E961583374}"/>
    <cellStyle name="Normal 7 3 3 2 2" xfId="3592" xr:uid="{9308E59A-F0B5-4CE4-8C12-F3E1C14CD3FA}"/>
    <cellStyle name="Normal 7 3 3 3" xfId="1088" xr:uid="{0F04D4C1-4DDD-41F6-9740-942C5581FF04}"/>
    <cellStyle name="Normal 7 3 3 4" xfId="2758" xr:uid="{F5D81176-D814-46EE-878B-133CD2D17183}"/>
    <cellStyle name="Normal 7 3 4" xfId="338" xr:uid="{00000000-0005-0000-0000-0000E6010000}"/>
    <cellStyle name="Normal 7 3 4 2" xfId="2014" xr:uid="{0E665E4B-53BB-41A9-9756-A1AE558664EF}"/>
    <cellStyle name="Normal 7 3 4 2 2" xfId="3682" xr:uid="{88530AD3-9503-422E-B7C7-78A99DB14DC4}"/>
    <cellStyle name="Normal 7 3 4 3" xfId="1178" xr:uid="{6821C62D-285C-4F9D-B609-19B77F28AE27}"/>
    <cellStyle name="Normal 7 3 4 4" xfId="2848" xr:uid="{3FBE4F51-C57F-448F-8E59-A59A2424D5B2}"/>
    <cellStyle name="Normal 7 3 5" xfId="428" xr:uid="{00000000-0005-0000-0000-0000E7010000}"/>
    <cellStyle name="Normal 7 3 5 2" xfId="2104" xr:uid="{81EB8E21-7655-48A7-A730-D35761CCB4CB}"/>
    <cellStyle name="Normal 7 3 5 2 2" xfId="3772" xr:uid="{F672B544-D7D2-4A7C-B53A-B9CD869C0A5C}"/>
    <cellStyle name="Normal 7 3 5 3" xfId="1268" xr:uid="{D152ECF5-A182-47F5-89F6-B440A15562CD}"/>
    <cellStyle name="Normal 7 3 5 4" xfId="2938" xr:uid="{62D2B502-0199-412D-94CE-E2B18B31C3EF}"/>
    <cellStyle name="Normal 7 3 6" xfId="518" xr:uid="{00000000-0005-0000-0000-0000E8010000}"/>
    <cellStyle name="Normal 7 3 6 2" xfId="2194" xr:uid="{C1D21742-5604-4159-AE9C-B5CE1E252C43}"/>
    <cellStyle name="Normal 7 3 6 2 2" xfId="3862" xr:uid="{AAEADFD4-BF33-4D99-89D5-65806D5847D9}"/>
    <cellStyle name="Normal 7 3 6 3" xfId="1358" xr:uid="{4A89254E-4353-4305-858B-EF2EA66D201D}"/>
    <cellStyle name="Normal 7 3 6 4" xfId="3028" xr:uid="{82935A70-530B-4BB0-89C8-16950A48A26A}"/>
    <cellStyle name="Normal 7 3 7" xfId="608" xr:uid="{00000000-0005-0000-0000-0000E9010000}"/>
    <cellStyle name="Normal 7 3 7 2" xfId="2284" xr:uid="{6A975504-A8FD-4828-A7E3-B9C1FA19C54E}"/>
    <cellStyle name="Normal 7 3 7 2 2" xfId="3952" xr:uid="{F53FB426-C6C9-4E15-84A5-BBB2DB2C4A9D}"/>
    <cellStyle name="Normal 7 3 7 3" xfId="1448" xr:uid="{3201151F-9061-4EEF-8E03-952FCD420D14}"/>
    <cellStyle name="Normal 7 3 7 4" xfId="3118" xr:uid="{DF2118A6-6CD5-4886-B88C-F87A65843D0B}"/>
    <cellStyle name="Normal 7 3 8" xfId="698" xr:uid="{00000000-0005-0000-0000-0000EA010000}"/>
    <cellStyle name="Normal 7 3 8 2" xfId="2374" xr:uid="{922AF82B-02F0-4CCF-8322-450526CBE0CB}"/>
    <cellStyle name="Normal 7 3 8 2 2" xfId="4042" xr:uid="{7C50EDF2-E111-44A7-B5CF-856D432BF0AF}"/>
    <cellStyle name="Normal 7 3 8 3" xfId="1538" xr:uid="{27906165-A695-492E-890B-93ADB781258E}"/>
    <cellStyle name="Normal 7 3 8 4" xfId="3208" xr:uid="{0C4B52E9-9A5E-4573-949C-730FF34BF77C}"/>
    <cellStyle name="Normal 7 3 9" xfId="795" xr:uid="{00000000-0005-0000-0000-0000EB010000}"/>
    <cellStyle name="Normal 7 3 9 2" xfId="2471" xr:uid="{9643939F-F002-4415-9953-0917091352A8}"/>
    <cellStyle name="Normal 7 3 9 2 2" xfId="4139" xr:uid="{C31F3C9D-DF1B-41FC-9801-864688286A02}"/>
    <cellStyle name="Normal 7 3 9 3" xfId="1635" xr:uid="{DE280120-137B-4AA0-BE0D-00608AE8A0FC}"/>
    <cellStyle name="Normal 7 3 9 4" xfId="3305" xr:uid="{44FB81AF-A71E-4F59-9323-570B6675AF8E}"/>
    <cellStyle name="Normal 7 4" xfId="121" xr:uid="{00000000-0005-0000-0000-0000EC010000}"/>
    <cellStyle name="Normal 7 4 2" xfId="1797" xr:uid="{F265B044-5AF6-4D18-A868-BCFEA0731C3D}"/>
    <cellStyle name="Normal 7 4 2 2" xfId="3465" xr:uid="{EDB57A1A-AF76-46E9-A70C-2E107299CA37}"/>
    <cellStyle name="Normal 7 4 3" xfId="961" xr:uid="{E618151A-D14A-4788-B8CD-A4AB44DA8280}"/>
    <cellStyle name="Normal 7 4 4" xfId="2631" xr:uid="{C9AE5EA2-103B-4101-BDED-EB60AE4DC8DD}"/>
    <cellStyle name="Normal 7 5" xfId="211" xr:uid="{00000000-0005-0000-0000-0000ED010000}"/>
    <cellStyle name="Normal 7 5 2" xfId="1887" xr:uid="{35017BD2-87DC-4958-8D4C-7AE1BF1F9525}"/>
    <cellStyle name="Normal 7 5 2 2" xfId="3555" xr:uid="{1FCA1653-D865-4DCC-BE9B-B5897861B6A4}"/>
    <cellStyle name="Normal 7 5 3" xfId="1051" xr:uid="{41B05056-2348-457E-8DA7-9D230B14A0CF}"/>
    <cellStyle name="Normal 7 5 4" xfId="2721" xr:uid="{2DBC5F7C-C629-48A5-B541-FA55600663BD}"/>
    <cellStyle name="Normal 7 6" xfId="301" xr:uid="{00000000-0005-0000-0000-0000EE010000}"/>
    <cellStyle name="Normal 7 6 2" xfId="1977" xr:uid="{B94D62B5-9DCB-4856-A162-5EB76C67369C}"/>
    <cellStyle name="Normal 7 6 2 2" xfId="3645" xr:uid="{A5BAF870-792A-414C-A9D0-79DC9E3A339C}"/>
    <cellStyle name="Normal 7 6 3" xfId="1141" xr:uid="{9CB1E55C-8EA5-46DD-847E-4A5B1D46E4EA}"/>
    <cellStyle name="Normal 7 6 4" xfId="2811" xr:uid="{6DD43BE7-D8B0-41BE-B50F-18AC9041B703}"/>
    <cellStyle name="Normal 7 7" xfId="391" xr:uid="{00000000-0005-0000-0000-0000EF010000}"/>
    <cellStyle name="Normal 7 7 2" xfId="2067" xr:uid="{470F75C3-5D37-40C3-AB22-AFDB6772A13F}"/>
    <cellStyle name="Normal 7 7 2 2" xfId="3735" xr:uid="{8C90438F-CE30-4D6E-B9E0-62D9947C19DA}"/>
    <cellStyle name="Normal 7 7 3" xfId="1231" xr:uid="{268B35D6-9EFD-422C-91E3-DAB9B86A430D}"/>
    <cellStyle name="Normal 7 7 4" xfId="2901" xr:uid="{9B3BD093-F28C-48CD-9086-E4DE76B8F93C}"/>
    <cellStyle name="Normal 7 8" xfId="481" xr:uid="{00000000-0005-0000-0000-0000F0010000}"/>
    <cellStyle name="Normal 7 8 2" xfId="2157" xr:uid="{65996221-E3F8-4837-B2D5-DC7934189EDB}"/>
    <cellStyle name="Normal 7 8 2 2" xfId="3825" xr:uid="{91C47340-E222-4320-AACE-2758AFFDD0F1}"/>
    <cellStyle name="Normal 7 8 3" xfId="1321" xr:uid="{7137E11E-8DD7-4AC5-8D8E-6B74F105DB94}"/>
    <cellStyle name="Normal 7 8 4" xfId="2991" xr:uid="{948D6374-4ABF-49B4-B320-4B857ECCBF2B}"/>
    <cellStyle name="Normal 7 9" xfId="571" xr:uid="{00000000-0005-0000-0000-0000F1010000}"/>
    <cellStyle name="Normal 7 9 2" xfId="2247" xr:uid="{72BCC9DE-44B1-4455-9CAD-656A88AC48F5}"/>
    <cellStyle name="Normal 7 9 2 2" xfId="3915" xr:uid="{99DA7935-5404-4648-BDAE-EF1FE9017FDC}"/>
    <cellStyle name="Normal 7 9 3" xfId="1411" xr:uid="{C9CFC112-50B0-4762-87FC-43A42255A83F}"/>
    <cellStyle name="Normal 7 9 4" xfId="3081" xr:uid="{AEA57887-A98F-46D9-B045-056801690A4B}"/>
    <cellStyle name="Normal 8" xfId="25" xr:uid="{00000000-0005-0000-0000-0000F2010000}"/>
    <cellStyle name="Normal 8 10" xfId="664" xr:uid="{00000000-0005-0000-0000-0000F3010000}"/>
    <cellStyle name="Normal 8 10 2" xfId="2340" xr:uid="{7B7D2134-EA1F-4BA4-AF42-BDF9D05F4A88}"/>
    <cellStyle name="Normal 8 10 2 2" xfId="4008" xr:uid="{29920B20-3E5C-494B-B8A1-1370A207E960}"/>
    <cellStyle name="Normal 8 10 3" xfId="1504" xr:uid="{6EFDD72D-1DE2-485E-ACDB-91D5D4684E77}"/>
    <cellStyle name="Normal 8 10 4" xfId="3174" xr:uid="{9A21CE7B-C72A-4C1D-B100-82DC42244814}"/>
    <cellStyle name="Normal 8 11" xfId="759" xr:uid="{00000000-0005-0000-0000-0000F4010000}"/>
    <cellStyle name="Normal 8 11 2" xfId="2435" xr:uid="{EA6DB150-EC3A-46BF-AB9A-76EA896EBEAD}"/>
    <cellStyle name="Normal 8 11 2 2" xfId="4103" xr:uid="{1AA4C785-ACF3-4C1C-83D6-DF1A5729F80F}"/>
    <cellStyle name="Normal 8 11 3" xfId="1599" xr:uid="{210541CD-D334-44C9-AFCD-AB09BACAB03C}"/>
    <cellStyle name="Normal 8 11 4" xfId="3269" xr:uid="{263FF8C2-3A19-473B-B7D4-F85660D4185E}"/>
    <cellStyle name="Normal 8 12" xfId="1706" xr:uid="{42C16B1A-5654-4CCF-AC7A-EBC6EEB75C2A}"/>
    <cellStyle name="Normal 8 12 2" xfId="3374" xr:uid="{4A1349FF-3611-4B36-A864-54142B07DC4B}"/>
    <cellStyle name="Normal 8 13" xfId="870" xr:uid="{4748F30C-D6FB-4280-B8BE-533D70ECA26D}"/>
    <cellStyle name="Normal 8 14" xfId="2540" xr:uid="{862F1CD3-E573-4821-88F7-660D25399DF1}"/>
    <cellStyle name="Normal 8 2" xfId="47" xr:uid="{00000000-0005-0000-0000-0000F5010000}"/>
    <cellStyle name="Normal 8 2 10" xfId="779" xr:uid="{00000000-0005-0000-0000-0000F6010000}"/>
    <cellStyle name="Normal 8 2 10 2" xfId="2455" xr:uid="{E3E25C3D-750C-45C3-9E8F-07357DFDBDD9}"/>
    <cellStyle name="Normal 8 2 10 2 2" xfId="4123" xr:uid="{AA5B1ADC-E84A-4108-A981-F1A4666E8F9A}"/>
    <cellStyle name="Normal 8 2 10 3" xfId="1619" xr:uid="{68DACE4D-4E00-463F-AE90-D9D1C29006D1}"/>
    <cellStyle name="Normal 8 2 10 4" xfId="3289" xr:uid="{AF65E57C-D8E2-4ED7-8CC0-957C8C7C22A0}"/>
    <cellStyle name="Normal 8 2 11" xfId="1726" xr:uid="{5B3F9049-FBAB-4137-8376-B9836D7B16B3}"/>
    <cellStyle name="Normal 8 2 11 2" xfId="3394" xr:uid="{D07805D9-7221-4DC4-B8A3-03C098B256F9}"/>
    <cellStyle name="Normal 8 2 12" xfId="890" xr:uid="{DFA94E8B-15BA-4CBC-97CB-322261C3590B}"/>
    <cellStyle name="Normal 8 2 13" xfId="2560" xr:uid="{C9185ADF-DB5C-4402-8E10-DCEC482B7F60}"/>
    <cellStyle name="Normal 8 2 2" xfId="87" xr:uid="{00000000-0005-0000-0000-0000F7010000}"/>
    <cellStyle name="Normal 8 2 2 10" xfId="1764" xr:uid="{7655B443-ED96-4E17-A5A5-EE6058E8560D}"/>
    <cellStyle name="Normal 8 2 2 10 2" xfId="3432" xr:uid="{430D58F1-54FD-48EC-AD36-7AC40E9F253A}"/>
    <cellStyle name="Normal 8 2 2 11" xfId="928" xr:uid="{F8E81575-78E3-4DB0-B08C-7829B108A97C}"/>
    <cellStyle name="Normal 8 2 2 12" xfId="2598" xr:uid="{697971C2-DB15-44F8-9EB2-93AE8D6DDBF3}"/>
    <cellStyle name="Normal 8 2 2 2" xfId="180" xr:uid="{00000000-0005-0000-0000-0000F8010000}"/>
    <cellStyle name="Normal 8 2 2 2 2" xfId="1856" xr:uid="{5C7CF83A-A8E0-451C-BB51-0E279D6482C2}"/>
    <cellStyle name="Normal 8 2 2 2 2 2" xfId="3524" xr:uid="{892AE5A9-F8C6-418D-86EF-C63C8BCF6A0B}"/>
    <cellStyle name="Normal 8 2 2 2 3" xfId="1020" xr:uid="{234B5D8A-BBE4-42D7-87A0-6584CA76AE21}"/>
    <cellStyle name="Normal 8 2 2 2 4" xfId="2690" xr:uid="{52C6C9AA-E015-44ED-BCD2-3606E7FBB1C2}"/>
    <cellStyle name="Normal 8 2 2 3" xfId="270" xr:uid="{00000000-0005-0000-0000-0000F9010000}"/>
    <cellStyle name="Normal 8 2 2 3 2" xfId="1946" xr:uid="{DB324C98-E815-4B76-AFD2-E41163395922}"/>
    <cellStyle name="Normal 8 2 2 3 2 2" xfId="3614" xr:uid="{663482EA-2A2D-4575-9522-061485F32CC0}"/>
    <cellStyle name="Normal 8 2 2 3 3" xfId="1110" xr:uid="{F24ADC8E-49F7-42DB-993F-4461354C33CB}"/>
    <cellStyle name="Normal 8 2 2 3 4" xfId="2780" xr:uid="{E5CB9604-6307-4C5A-A0CC-A8FECC64AC12}"/>
    <cellStyle name="Normal 8 2 2 4" xfId="360" xr:uid="{00000000-0005-0000-0000-0000FA010000}"/>
    <cellStyle name="Normal 8 2 2 4 2" xfId="2036" xr:uid="{A219A7BB-25E6-4E90-ADB6-E4F36A859E35}"/>
    <cellStyle name="Normal 8 2 2 4 2 2" xfId="3704" xr:uid="{54ADE7E5-4C0D-44E4-851C-1FEB36CB5973}"/>
    <cellStyle name="Normal 8 2 2 4 3" xfId="1200" xr:uid="{9554563F-0AF2-4736-8BA8-EABF6B8CD71D}"/>
    <cellStyle name="Normal 8 2 2 4 4" xfId="2870" xr:uid="{35661FF5-A38D-430F-9F9D-EBC6318A019F}"/>
    <cellStyle name="Normal 8 2 2 5" xfId="450" xr:uid="{00000000-0005-0000-0000-0000FB010000}"/>
    <cellStyle name="Normal 8 2 2 5 2" xfId="2126" xr:uid="{CE599B30-81FB-4064-B4E1-6921F84A45AE}"/>
    <cellStyle name="Normal 8 2 2 5 2 2" xfId="3794" xr:uid="{8B60B010-48C1-46FE-99E1-34CF0BBB7410}"/>
    <cellStyle name="Normal 8 2 2 5 3" xfId="1290" xr:uid="{2BE2FFDD-8D83-4A50-8D59-5A8E68B40B49}"/>
    <cellStyle name="Normal 8 2 2 5 4" xfId="2960" xr:uid="{514EE2E3-5FBC-4E47-BD87-6B422BA99CA0}"/>
    <cellStyle name="Normal 8 2 2 6" xfId="540" xr:uid="{00000000-0005-0000-0000-0000FC010000}"/>
    <cellStyle name="Normal 8 2 2 6 2" xfId="2216" xr:uid="{29C1A32A-621D-4EF8-AA99-B4393A0A9C05}"/>
    <cellStyle name="Normal 8 2 2 6 2 2" xfId="3884" xr:uid="{C434B32B-C363-432F-BF93-61233C028FF0}"/>
    <cellStyle name="Normal 8 2 2 6 3" xfId="1380" xr:uid="{6DB82D06-0634-46EC-B0BC-F00712E0B6CE}"/>
    <cellStyle name="Normal 8 2 2 6 4" xfId="3050" xr:uid="{F9059802-19CE-4210-A827-B8335F8C722C}"/>
    <cellStyle name="Normal 8 2 2 7" xfId="630" xr:uid="{00000000-0005-0000-0000-0000FD010000}"/>
    <cellStyle name="Normal 8 2 2 7 2" xfId="2306" xr:uid="{E2001A39-E072-4344-A82B-9CDB861FFD6D}"/>
    <cellStyle name="Normal 8 2 2 7 2 2" xfId="3974" xr:uid="{00204A68-E5F2-4BF2-822D-C584DFFAB1EB}"/>
    <cellStyle name="Normal 8 2 2 7 3" xfId="1470" xr:uid="{07A29E5C-4199-40CD-89C4-71BFF3867D06}"/>
    <cellStyle name="Normal 8 2 2 7 4" xfId="3140" xr:uid="{CA8B513B-AAB3-4EAA-A63C-66AFFB80358A}"/>
    <cellStyle name="Normal 8 2 2 8" xfId="720" xr:uid="{00000000-0005-0000-0000-0000FE010000}"/>
    <cellStyle name="Normal 8 2 2 8 2" xfId="2396" xr:uid="{34A662CC-CDCA-4E9A-81F0-EC35ACBD3198}"/>
    <cellStyle name="Normal 8 2 2 8 2 2" xfId="4064" xr:uid="{D126141B-6B9A-4A6E-8D4E-D9A7815B3E05}"/>
    <cellStyle name="Normal 8 2 2 8 3" xfId="1560" xr:uid="{5A4663D9-9FD4-4D20-ABA5-D142BCC49020}"/>
    <cellStyle name="Normal 8 2 2 8 4" xfId="3230" xr:uid="{D3EB72BA-6C97-42C6-AC8A-C1025F74BB26}"/>
    <cellStyle name="Normal 8 2 2 9" xfId="817" xr:uid="{00000000-0005-0000-0000-0000FF010000}"/>
    <cellStyle name="Normal 8 2 2 9 2" xfId="2493" xr:uid="{DAFDD24C-61F8-4F0B-B2E0-4E0CC2D64084}"/>
    <cellStyle name="Normal 8 2 2 9 2 2" xfId="4161" xr:uid="{4DF1D4E9-2D68-4EBD-9D59-A8055823411C}"/>
    <cellStyle name="Normal 8 2 2 9 3" xfId="1657" xr:uid="{46F07406-835B-48C5-AB1D-629E4289C045}"/>
    <cellStyle name="Normal 8 2 2 9 4" xfId="3327" xr:uid="{314156F3-965F-4B5F-ADC1-407CFAD50931}"/>
    <cellStyle name="Normal 8 2 3" xfId="143" xr:uid="{00000000-0005-0000-0000-000000020000}"/>
    <cellStyle name="Normal 8 2 3 2" xfId="1819" xr:uid="{F71AEC7D-C0EB-4A92-850B-B867806C05CA}"/>
    <cellStyle name="Normal 8 2 3 2 2" xfId="3487" xr:uid="{F38DD7EA-3B71-48FF-B0F7-0D2499A5DF2D}"/>
    <cellStyle name="Normal 8 2 3 3" xfId="983" xr:uid="{F3A252B6-03D7-46D4-9D59-6DE3960EB142}"/>
    <cellStyle name="Normal 8 2 3 4" xfId="2653" xr:uid="{4823BB3A-E721-4423-AD36-D45B3FA7CF29}"/>
    <cellStyle name="Normal 8 2 4" xfId="233" xr:uid="{00000000-0005-0000-0000-000001020000}"/>
    <cellStyle name="Normal 8 2 4 2" xfId="1909" xr:uid="{8978BABB-6BDA-4638-816A-427B353CBCEB}"/>
    <cellStyle name="Normal 8 2 4 2 2" xfId="3577" xr:uid="{549C886D-00CC-43CB-9F36-8F8AA2E1CD6D}"/>
    <cellStyle name="Normal 8 2 4 3" xfId="1073" xr:uid="{82F52A27-4178-4D5B-BBCD-F5E114C0F2D9}"/>
    <cellStyle name="Normal 8 2 4 4" xfId="2743" xr:uid="{108B50DC-0B87-49C7-8324-3E4853116266}"/>
    <cellStyle name="Normal 8 2 5" xfId="323" xr:uid="{00000000-0005-0000-0000-000002020000}"/>
    <cellStyle name="Normal 8 2 5 2" xfId="1999" xr:uid="{4CA5BE27-E7D5-4E93-8CAE-1EF3BBB90A5B}"/>
    <cellStyle name="Normal 8 2 5 2 2" xfId="3667" xr:uid="{034672B0-B543-4FF8-B28E-951A034835FB}"/>
    <cellStyle name="Normal 8 2 5 3" xfId="1163" xr:uid="{E44BF38A-ACFC-4517-B4A4-7B88F467AA41}"/>
    <cellStyle name="Normal 8 2 5 4" xfId="2833" xr:uid="{0C3BFAE4-A18D-4CE5-A68F-69F92E3BFB98}"/>
    <cellStyle name="Normal 8 2 6" xfId="413" xr:uid="{00000000-0005-0000-0000-000003020000}"/>
    <cellStyle name="Normal 8 2 6 2" xfId="2089" xr:uid="{1DB3ADC1-FD95-4AA6-8A21-9F578365D0C7}"/>
    <cellStyle name="Normal 8 2 6 2 2" xfId="3757" xr:uid="{7F2958DA-2117-4286-8B3D-A7A781A43879}"/>
    <cellStyle name="Normal 8 2 6 3" xfId="1253" xr:uid="{57865A58-BCB1-402A-896A-2C459ED8E52F}"/>
    <cellStyle name="Normal 8 2 6 4" xfId="2923" xr:uid="{B7C6DAE0-AC82-4581-9684-49966F08AE5F}"/>
    <cellStyle name="Normal 8 2 7" xfId="503" xr:uid="{00000000-0005-0000-0000-000004020000}"/>
    <cellStyle name="Normal 8 2 7 2" xfId="2179" xr:uid="{4B41AE74-39E0-4DDA-A311-282A39E3F5A7}"/>
    <cellStyle name="Normal 8 2 7 2 2" xfId="3847" xr:uid="{3D6807A6-ED5A-4F53-8CA0-9180B66529E7}"/>
    <cellStyle name="Normal 8 2 7 3" xfId="1343" xr:uid="{D437F7F9-506C-4DDD-8282-49E738948083}"/>
    <cellStyle name="Normal 8 2 7 4" xfId="3013" xr:uid="{F2303A53-20D1-4E05-ABCC-AFF3241417A5}"/>
    <cellStyle name="Normal 8 2 8" xfId="593" xr:uid="{00000000-0005-0000-0000-000005020000}"/>
    <cellStyle name="Normal 8 2 8 2" xfId="2269" xr:uid="{D661B39A-7D3A-4B9F-AF3A-0D3F8E4B3D23}"/>
    <cellStyle name="Normal 8 2 8 2 2" xfId="3937" xr:uid="{57E7E369-C00B-4184-8458-798B17529DBC}"/>
    <cellStyle name="Normal 8 2 8 3" xfId="1433" xr:uid="{73831584-87B2-4EA8-9D9F-44F8B2E4FE0F}"/>
    <cellStyle name="Normal 8 2 8 4" xfId="3103" xr:uid="{9C0B58E8-2914-4446-B331-C4B7B2488862}"/>
    <cellStyle name="Normal 8 2 9" xfId="683" xr:uid="{00000000-0005-0000-0000-000006020000}"/>
    <cellStyle name="Normal 8 2 9 2" xfId="2359" xr:uid="{72403D44-78B3-4EE9-9A8F-C1B36FF16669}"/>
    <cellStyle name="Normal 8 2 9 2 2" xfId="4027" xr:uid="{ABD9DAC5-6B10-4009-9686-7E8D1E770FA7}"/>
    <cellStyle name="Normal 8 2 9 3" xfId="1523" xr:uid="{9F0BAE3A-5C35-48B6-992A-108B001956FE}"/>
    <cellStyle name="Normal 8 2 9 4" xfId="3193" xr:uid="{95224F21-028F-48E8-B726-08AA34185D1A}"/>
    <cellStyle name="Normal 8 3" xfId="68" xr:uid="{00000000-0005-0000-0000-000007020000}"/>
    <cellStyle name="Normal 8 3 10" xfId="1745" xr:uid="{4546B864-186C-4535-B5D5-9537D63AA3F5}"/>
    <cellStyle name="Normal 8 3 10 2" xfId="3413" xr:uid="{F801EAC4-0036-4B1D-A740-172D742BFE42}"/>
    <cellStyle name="Normal 8 3 11" xfId="909" xr:uid="{E6650946-93C2-44A2-80F6-5BA494F6E049}"/>
    <cellStyle name="Normal 8 3 12" xfId="2579" xr:uid="{1FB9AC0A-3B51-496E-9386-488679B5FAE7}"/>
    <cellStyle name="Normal 8 3 2" xfId="161" xr:uid="{00000000-0005-0000-0000-000008020000}"/>
    <cellStyle name="Normal 8 3 2 2" xfId="1837" xr:uid="{87742291-0612-464A-A342-08601411EEE7}"/>
    <cellStyle name="Normal 8 3 2 2 2" xfId="3505" xr:uid="{657F092A-6B39-4E2F-BE4E-9166D50068D6}"/>
    <cellStyle name="Normal 8 3 2 3" xfId="1001" xr:uid="{62BD059C-B628-49AB-B805-92BDE68338CB}"/>
    <cellStyle name="Normal 8 3 2 4" xfId="2671" xr:uid="{787C4715-566A-4801-94C1-31282E9DE4A3}"/>
    <cellStyle name="Normal 8 3 3" xfId="251" xr:uid="{00000000-0005-0000-0000-000009020000}"/>
    <cellStyle name="Normal 8 3 3 2" xfId="1927" xr:uid="{AFA63231-E3BF-4927-9B1E-55C5D3782EBF}"/>
    <cellStyle name="Normal 8 3 3 2 2" xfId="3595" xr:uid="{25F6AA7D-92E9-4405-A8D2-A5EF0B826E1D}"/>
    <cellStyle name="Normal 8 3 3 3" xfId="1091" xr:uid="{CC259B71-F9DE-4796-8FD1-2F2B84310569}"/>
    <cellStyle name="Normal 8 3 3 4" xfId="2761" xr:uid="{6F5D162F-DE33-449B-AE51-6CF858B404D7}"/>
    <cellStyle name="Normal 8 3 4" xfId="341" xr:uid="{00000000-0005-0000-0000-00000A020000}"/>
    <cellStyle name="Normal 8 3 4 2" xfId="2017" xr:uid="{5675486D-0D51-4ABB-84B0-5B7E33CACEFF}"/>
    <cellStyle name="Normal 8 3 4 2 2" xfId="3685" xr:uid="{8F732AD6-7C4E-40E1-BEBC-8DA69C7B1609}"/>
    <cellStyle name="Normal 8 3 4 3" xfId="1181" xr:uid="{5DBDC225-4E04-4BDF-8315-13A88073C16C}"/>
    <cellStyle name="Normal 8 3 4 4" xfId="2851" xr:uid="{77589F35-D4FF-4B3C-8664-6E76318D9918}"/>
    <cellStyle name="Normal 8 3 5" xfId="431" xr:uid="{00000000-0005-0000-0000-00000B020000}"/>
    <cellStyle name="Normal 8 3 5 2" xfId="2107" xr:uid="{CDCFA3A8-186A-4B31-A7DF-BD490DEEA5C4}"/>
    <cellStyle name="Normal 8 3 5 2 2" xfId="3775" xr:uid="{3DF0336A-9DEB-4ECE-8546-F548AF51B084}"/>
    <cellStyle name="Normal 8 3 5 3" xfId="1271" xr:uid="{4ACE4308-8523-4AE4-B0F9-688251452C90}"/>
    <cellStyle name="Normal 8 3 5 4" xfId="2941" xr:uid="{B703EBE3-3343-4E1E-B565-4EF55132C25A}"/>
    <cellStyle name="Normal 8 3 6" xfId="521" xr:uid="{00000000-0005-0000-0000-00000C020000}"/>
    <cellStyle name="Normal 8 3 6 2" xfId="2197" xr:uid="{EC2E3B92-0B5A-4AE0-BF8B-F57ECB7AC2B0}"/>
    <cellStyle name="Normal 8 3 6 2 2" xfId="3865" xr:uid="{6E76EE05-7D4E-42AB-9D59-FB3B25C9BF6A}"/>
    <cellStyle name="Normal 8 3 6 3" xfId="1361" xr:uid="{30F174FC-D270-4919-8B78-7B6D93F30655}"/>
    <cellStyle name="Normal 8 3 6 4" xfId="3031" xr:uid="{BE1DEAAF-50C1-4F9A-A9D2-23937D50CF84}"/>
    <cellStyle name="Normal 8 3 7" xfId="611" xr:uid="{00000000-0005-0000-0000-00000D020000}"/>
    <cellStyle name="Normal 8 3 7 2" xfId="2287" xr:uid="{68F98870-5EF8-4B78-8B4F-4498B3B84AD6}"/>
    <cellStyle name="Normal 8 3 7 2 2" xfId="3955" xr:uid="{04FAE4B2-881E-4A25-A9A3-72CF9EA72686}"/>
    <cellStyle name="Normal 8 3 7 3" xfId="1451" xr:uid="{D30D2C88-09C2-4505-88DF-9CA6084D68E4}"/>
    <cellStyle name="Normal 8 3 7 4" xfId="3121" xr:uid="{12F849E3-F9CF-427D-9E4E-FB950FEA3FDE}"/>
    <cellStyle name="Normal 8 3 8" xfId="701" xr:uid="{00000000-0005-0000-0000-00000E020000}"/>
    <cellStyle name="Normal 8 3 8 2" xfId="2377" xr:uid="{0BBE0340-D06E-4A06-86DF-AF6AD6B6CA79}"/>
    <cellStyle name="Normal 8 3 8 2 2" xfId="4045" xr:uid="{CD137BAB-0A25-4476-8D8C-CE1D6BF87003}"/>
    <cellStyle name="Normal 8 3 8 3" xfId="1541" xr:uid="{FF619EF0-2762-4FE6-B974-D2234D8389B0}"/>
    <cellStyle name="Normal 8 3 8 4" xfId="3211" xr:uid="{0CC3CACF-A934-4FB9-9289-1FEA0D60E680}"/>
    <cellStyle name="Normal 8 3 9" xfId="798" xr:uid="{00000000-0005-0000-0000-00000F020000}"/>
    <cellStyle name="Normal 8 3 9 2" xfId="2474" xr:uid="{77B191E5-9B85-4872-945B-68BF714EB993}"/>
    <cellStyle name="Normal 8 3 9 2 2" xfId="4142" xr:uid="{BC3930CE-F6EE-48E3-ADCB-0045A61B94D5}"/>
    <cellStyle name="Normal 8 3 9 3" xfId="1638" xr:uid="{A7AD077E-A1F6-4B54-A079-59F854D93FFE}"/>
    <cellStyle name="Normal 8 3 9 4" xfId="3308" xr:uid="{A36212B3-5AC6-4BA0-A237-76D2C923909C}"/>
    <cellStyle name="Normal 8 4" xfId="124" xr:uid="{00000000-0005-0000-0000-000010020000}"/>
    <cellStyle name="Normal 8 4 2" xfId="1800" xr:uid="{76B16F92-320E-4806-B599-8135C4E18032}"/>
    <cellStyle name="Normal 8 4 2 2" xfId="3468" xr:uid="{B65778A5-9857-40BF-AA38-7EE3919E001B}"/>
    <cellStyle name="Normal 8 4 3" xfId="964" xr:uid="{1D7D41B0-955D-4AF9-AF75-B0DE3AD6B0F6}"/>
    <cellStyle name="Normal 8 4 4" xfId="2634" xr:uid="{4C4702EC-AAE5-4831-B68D-69FBA55BC5EF}"/>
    <cellStyle name="Normal 8 5" xfId="214" xr:uid="{00000000-0005-0000-0000-000011020000}"/>
    <cellStyle name="Normal 8 5 2" xfId="1890" xr:uid="{9458912C-A8C7-4D88-8C19-B1BCC1887ACA}"/>
    <cellStyle name="Normal 8 5 2 2" xfId="3558" xr:uid="{D7C1E3C9-B04E-4CEB-B24C-6918BC64B1A1}"/>
    <cellStyle name="Normal 8 5 3" xfId="1054" xr:uid="{400E7249-A4F2-4A5B-A0B8-34C6FB2BB4E5}"/>
    <cellStyle name="Normal 8 5 4" xfId="2724" xr:uid="{88CEA593-F590-4574-B092-1A4AE5617FE2}"/>
    <cellStyle name="Normal 8 6" xfId="304" xr:uid="{00000000-0005-0000-0000-000012020000}"/>
    <cellStyle name="Normal 8 6 2" xfId="1980" xr:uid="{8B9566B0-FA7E-4BAA-B4A3-10AFF3735C66}"/>
    <cellStyle name="Normal 8 6 2 2" xfId="3648" xr:uid="{9B1BA27E-F0A0-44D6-B503-E4D803D3FA5E}"/>
    <cellStyle name="Normal 8 6 3" xfId="1144" xr:uid="{FFBAF3F6-6ACC-4F7A-9064-230B8BE3B0CE}"/>
    <cellStyle name="Normal 8 6 4" xfId="2814" xr:uid="{B301BA2E-05B1-4338-B5C1-89A233FB8229}"/>
    <cellStyle name="Normal 8 7" xfId="394" xr:uid="{00000000-0005-0000-0000-000013020000}"/>
    <cellStyle name="Normal 8 7 2" xfId="2070" xr:uid="{1023B19C-AD91-49EE-96AA-136C68E56DF8}"/>
    <cellStyle name="Normal 8 7 2 2" xfId="3738" xr:uid="{CBA7403A-2469-461C-8ABB-6B82C5D9E771}"/>
    <cellStyle name="Normal 8 7 3" xfId="1234" xr:uid="{4BC84D3A-671C-400C-B392-32C4ABEBB7E0}"/>
    <cellStyle name="Normal 8 7 4" xfId="2904" xr:uid="{BFADB47D-780C-422D-AB10-F6A4E09A4F5A}"/>
    <cellStyle name="Normal 8 8" xfId="484" xr:uid="{00000000-0005-0000-0000-000014020000}"/>
    <cellStyle name="Normal 8 8 2" xfId="2160" xr:uid="{DEFD0D87-06E6-4C11-AD0F-E97924D4A900}"/>
    <cellStyle name="Normal 8 8 2 2" xfId="3828" xr:uid="{906F4ADF-6F47-4478-A7CC-59EF3E84E247}"/>
    <cellStyle name="Normal 8 8 3" xfId="1324" xr:uid="{2E9B20A1-5DAE-4377-A317-99EB8703641A}"/>
    <cellStyle name="Normal 8 8 4" xfId="2994" xr:uid="{46419226-5823-4ED5-AF14-A9E745BF304A}"/>
    <cellStyle name="Normal 8 9" xfId="574" xr:uid="{00000000-0005-0000-0000-000015020000}"/>
    <cellStyle name="Normal 8 9 2" xfId="2250" xr:uid="{3CBE0CBD-F0E0-4236-8DC8-32AFC61AFA3A}"/>
    <cellStyle name="Normal 8 9 2 2" xfId="3918" xr:uid="{41E27594-DE81-4013-ACA0-23E5436555C4}"/>
    <cellStyle name="Normal 8 9 3" xfId="1414" xr:uid="{B0093E1F-F0D3-4216-9CDF-E4F91790A9DE}"/>
    <cellStyle name="Normal 8 9 4" xfId="3084" xr:uid="{E8ABFB6B-E177-47BC-80F3-C5020EDC1C81}"/>
    <cellStyle name="Normal 9" xfId="28" xr:uid="{00000000-0005-0000-0000-000016020000}"/>
    <cellStyle name="Normal 9 10" xfId="667" xr:uid="{00000000-0005-0000-0000-000017020000}"/>
    <cellStyle name="Normal 9 10 2" xfId="2343" xr:uid="{350243C4-AAA0-4EEA-942A-3E7AB208596D}"/>
    <cellStyle name="Normal 9 10 2 2" xfId="4011" xr:uid="{6303F034-C484-47A4-9918-FBAAF496CE14}"/>
    <cellStyle name="Normal 9 10 3" xfId="1507" xr:uid="{82AE096A-F138-472B-9A0F-9F9B5489EDCB}"/>
    <cellStyle name="Normal 9 10 4" xfId="3177" xr:uid="{4BCDDD3E-97D8-4A80-B2C4-7DC1E2089233}"/>
    <cellStyle name="Normal 9 11" xfId="762" xr:uid="{00000000-0005-0000-0000-000018020000}"/>
    <cellStyle name="Normal 9 11 2" xfId="2438" xr:uid="{2F347423-C74F-4E58-B312-DE8EDA3B91BA}"/>
    <cellStyle name="Normal 9 11 2 2" xfId="4106" xr:uid="{41CC0EF8-288F-486F-8935-AC1B43776544}"/>
    <cellStyle name="Normal 9 11 3" xfId="1602" xr:uid="{4651F3E8-65E6-4036-AF1C-8BDD5EDEBF20}"/>
    <cellStyle name="Normal 9 11 4" xfId="3272" xr:uid="{7B07CF31-EB35-480F-85EA-FEEA40F4B5CF}"/>
    <cellStyle name="Normal 9 12" xfId="1709" xr:uid="{1C189DEB-2D43-4854-A5B6-8BAB059A5D10}"/>
    <cellStyle name="Normal 9 12 2" xfId="3377" xr:uid="{5D3CB93A-3AC3-4F98-A369-1C588061F82B}"/>
    <cellStyle name="Normal 9 13" xfId="873" xr:uid="{4C34B38D-D9FA-4479-9851-9DBD7955BD9C}"/>
    <cellStyle name="Normal 9 14" xfId="2543" xr:uid="{DA3885B5-B5F3-40F7-84EA-21DC012EBED6}"/>
    <cellStyle name="Normal 9 2" xfId="50" xr:uid="{00000000-0005-0000-0000-000019020000}"/>
    <cellStyle name="Normal 9 2 10" xfId="782" xr:uid="{00000000-0005-0000-0000-00001A020000}"/>
    <cellStyle name="Normal 9 2 10 2" xfId="2458" xr:uid="{4D6D8AC5-AE62-481D-AA34-F94F9B0113CA}"/>
    <cellStyle name="Normal 9 2 10 2 2" xfId="4126" xr:uid="{3E42D374-4BCC-4F98-9608-6B7F01FC7C31}"/>
    <cellStyle name="Normal 9 2 10 3" xfId="1622" xr:uid="{286E7AD0-68D1-4496-926C-562758EB004B}"/>
    <cellStyle name="Normal 9 2 10 4" xfId="3292" xr:uid="{8510246E-453B-4471-90F9-A410D845BA1C}"/>
    <cellStyle name="Normal 9 2 11" xfId="1729" xr:uid="{DDA7B616-09B1-4B70-8C19-91BAD57F5C53}"/>
    <cellStyle name="Normal 9 2 11 2" xfId="3397" xr:uid="{8EDD43C7-31F4-4D90-BD40-2EBDEFC94624}"/>
    <cellStyle name="Normal 9 2 12" xfId="893" xr:uid="{E46EA6B5-7CEA-4FE3-A2C9-84FF46403220}"/>
    <cellStyle name="Normal 9 2 13" xfId="2563" xr:uid="{73C73CE7-9AB2-4BCF-B211-FE91E58D9BE7}"/>
    <cellStyle name="Normal 9 2 2" xfId="90" xr:uid="{00000000-0005-0000-0000-00001B020000}"/>
    <cellStyle name="Normal 9 2 2 10" xfId="1767" xr:uid="{B7CFE518-A0B0-4535-A0D1-C16D62C9B1AC}"/>
    <cellStyle name="Normal 9 2 2 10 2" xfId="3435" xr:uid="{E5E88447-2CD4-4BC9-9502-E75906BE02F3}"/>
    <cellStyle name="Normal 9 2 2 11" xfId="931" xr:uid="{AD24DDF0-0088-44E3-9402-87D1BC1D5749}"/>
    <cellStyle name="Normal 9 2 2 12" xfId="2601" xr:uid="{C5ADF95F-8A6D-4C24-8B91-33EEA93AA9EF}"/>
    <cellStyle name="Normal 9 2 2 2" xfId="183" xr:uid="{00000000-0005-0000-0000-00001C020000}"/>
    <cellStyle name="Normal 9 2 2 2 2" xfId="1859" xr:uid="{00A5F5CA-CEFD-4389-BEF8-7A55D2F12679}"/>
    <cellStyle name="Normal 9 2 2 2 2 2" xfId="3527" xr:uid="{D8AB13EE-6BC9-4955-AE95-D7E8B1E46F26}"/>
    <cellStyle name="Normal 9 2 2 2 3" xfId="1023" xr:uid="{673EE4B2-E1B8-4866-9C8B-E85B3AAF2C6E}"/>
    <cellStyle name="Normal 9 2 2 2 4" xfId="2693" xr:uid="{757C70A7-E040-4080-BC0E-6CED1CBBDFD6}"/>
    <cellStyle name="Normal 9 2 2 3" xfId="273" xr:uid="{00000000-0005-0000-0000-00001D020000}"/>
    <cellStyle name="Normal 9 2 2 3 2" xfId="1949" xr:uid="{BB2AD798-2E58-48BF-9BC0-6A0E5E7225C0}"/>
    <cellStyle name="Normal 9 2 2 3 2 2" xfId="3617" xr:uid="{EC4DA63D-E08E-4A5A-95D3-D1D9328538DC}"/>
    <cellStyle name="Normal 9 2 2 3 3" xfId="1113" xr:uid="{DBBD1DA3-562B-4690-9260-F34639599F0F}"/>
    <cellStyle name="Normal 9 2 2 3 4" xfId="2783" xr:uid="{E9B32F4B-36BA-4971-96E8-438316192C1A}"/>
    <cellStyle name="Normal 9 2 2 4" xfId="363" xr:uid="{00000000-0005-0000-0000-00001E020000}"/>
    <cellStyle name="Normal 9 2 2 4 2" xfId="2039" xr:uid="{77E3BE8D-34E7-4947-B969-1A1406CA3288}"/>
    <cellStyle name="Normal 9 2 2 4 2 2" xfId="3707" xr:uid="{CCBCF3CC-6654-4F0E-9111-AE189A398615}"/>
    <cellStyle name="Normal 9 2 2 4 3" xfId="1203" xr:uid="{320FB67C-7256-430A-93EC-B727E87891E0}"/>
    <cellStyle name="Normal 9 2 2 4 4" xfId="2873" xr:uid="{06DC213E-2E9C-408B-9CE6-923C95C2FD16}"/>
    <cellStyle name="Normal 9 2 2 5" xfId="453" xr:uid="{00000000-0005-0000-0000-00001F020000}"/>
    <cellStyle name="Normal 9 2 2 5 2" xfId="2129" xr:uid="{AA18F1F1-1191-4DE5-AF29-2830B236EEC3}"/>
    <cellStyle name="Normal 9 2 2 5 2 2" xfId="3797" xr:uid="{2683F6D7-6DFE-4A9B-A746-805B796D7E48}"/>
    <cellStyle name="Normal 9 2 2 5 3" xfId="1293" xr:uid="{CE01D8CE-3AAC-43E1-82B4-EF5E056FA41C}"/>
    <cellStyle name="Normal 9 2 2 5 4" xfId="2963" xr:uid="{83B94294-32F9-4F4A-B1C9-0A89A6DF1F80}"/>
    <cellStyle name="Normal 9 2 2 6" xfId="543" xr:uid="{00000000-0005-0000-0000-000020020000}"/>
    <cellStyle name="Normal 9 2 2 6 2" xfId="2219" xr:uid="{2D488E7E-A33B-4504-A5DB-27FC7B1A3AB9}"/>
    <cellStyle name="Normal 9 2 2 6 2 2" xfId="3887" xr:uid="{0ADC452A-8744-46B1-A081-62B98F850832}"/>
    <cellStyle name="Normal 9 2 2 6 3" xfId="1383" xr:uid="{C2FD7D60-80BA-476B-9A7C-17D88AB85CB4}"/>
    <cellStyle name="Normal 9 2 2 6 4" xfId="3053" xr:uid="{BFA22E14-523D-4BE4-B4E1-3E61210F33AD}"/>
    <cellStyle name="Normal 9 2 2 7" xfId="633" xr:uid="{00000000-0005-0000-0000-000021020000}"/>
    <cellStyle name="Normal 9 2 2 7 2" xfId="2309" xr:uid="{EB9F48D3-279A-41CA-88A2-7252AB2282A4}"/>
    <cellStyle name="Normal 9 2 2 7 2 2" xfId="3977" xr:uid="{9319BB66-4B27-43C8-8469-81BD0DD24B03}"/>
    <cellStyle name="Normal 9 2 2 7 3" xfId="1473" xr:uid="{DAD0CEB3-5687-4E2F-A635-E71660890C2A}"/>
    <cellStyle name="Normal 9 2 2 7 4" xfId="3143" xr:uid="{B3091F73-1EF6-465E-8AE7-7286D4A9C2FF}"/>
    <cellStyle name="Normal 9 2 2 8" xfId="723" xr:uid="{00000000-0005-0000-0000-000022020000}"/>
    <cellStyle name="Normal 9 2 2 8 2" xfId="2399" xr:uid="{10F1EDEB-8BAB-4D58-80E6-159CA2F8741A}"/>
    <cellStyle name="Normal 9 2 2 8 2 2" xfId="4067" xr:uid="{F69D6AF3-53FB-49B5-BDA9-92B4DE591D77}"/>
    <cellStyle name="Normal 9 2 2 8 3" xfId="1563" xr:uid="{036FA21A-755B-4210-8FCC-0D6519056CAF}"/>
    <cellStyle name="Normal 9 2 2 8 4" xfId="3233" xr:uid="{377FAFBF-8E4A-4DB4-8D22-9BB63445A382}"/>
    <cellStyle name="Normal 9 2 2 9" xfId="820" xr:uid="{00000000-0005-0000-0000-000023020000}"/>
    <cellStyle name="Normal 9 2 2 9 2" xfId="2496" xr:uid="{8ABE1761-821E-49CD-A1F2-4D45C0C9E8AE}"/>
    <cellStyle name="Normal 9 2 2 9 2 2" xfId="4164" xr:uid="{9FDD0CC0-7F3A-41A6-BD42-BA9B838E5155}"/>
    <cellStyle name="Normal 9 2 2 9 3" xfId="1660" xr:uid="{61783930-BEF8-4A4B-8E79-647CC3C4C9C5}"/>
    <cellStyle name="Normal 9 2 2 9 4" xfId="3330" xr:uid="{22F6276D-5F67-4AA0-BB5E-B3C195AE9ACD}"/>
    <cellStyle name="Normal 9 2 3" xfId="146" xr:uid="{00000000-0005-0000-0000-000024020000}"/>
    <cellStyle name="Normal 9 2 3 2" xfId="1822" xr:uid="{15F2F9FE-C964-4C27-A85F-C5EFD11F780B}"/>
    <cellStyle name="Normal 9 2 3 2 2" xfId="3490" xr:uid="{9BEB3910-6BA9-4534-9137-25DDD0E192B0}"/>
    <cellStyle name="Normal 9 2 3 3" xfId="986" xr:uid="{06E05B23-72BD-470A-BCE7-82080EC8AC0F}"/>
    <cellStyle name="Normal 9 2 3 4" xfId="2656" xr:uid="{7399D258-9259-4FBD-B291-80F217F86F8F}"/>
    <cellStyle name="Normal 9 2 4" xfId="236" xr:uid="{00000000-0005-0000-0000-000025020000}"/>
    <cellStyle name="Normal 9 2 4 2" xfId="1912" xr:uid="{7D462682-E32B-46B8-8307-D2624579B4ED}"/>
    <cellStyle name="Normal 9 2 4 2 2" xfId="3580" xr:uid="{AFFDF668-95AB-4B51-8A9B-E822249FDB3B}"/>
    <cellStyle name="Normal 9 2 4 3" xfId="1076" xr:uid="{7E82F596-CE5E-4623-94BA-0FC2B881AC92}"/>
    <cellStyle name="Normal 9 2 4 4" xfId="2746" xr:uid="{2CD728C7-6A78-433F-B957-EE159A735F73}"/>
    <cellStyle name="Normal 9 2 5" xfId="326" xr:uid="{00000000-0005-0000-0000-000026020000}"/>
    <cellStyle name="Normal 9 2 5 2" xfId="2002" xr:uid="{C77BB04B-FEB7-4770-A8EB-13301836B6B8}"/>
    <cellStyle name="Normal 9 2 5 2 2" xfId="3670" xr:uid="{839693B4-8CC9-4872-8D94-38D5C63F5381}"/>
    <cellStyle name="Normal 9 2 5 3" xfId="1166" xr:uid="{A5ABED09-7372-4D86-A175-F845BF91E24C}"/>
    <cellStyle name="Normal 9 2 5 4" xfId="2836" xr:uid="{BE08854B-8B61-4C53-957A-2F573FF81A83}"/>
    <cellStyle name="Normal 9 2 6" xfId="416" xr:uid="{00000000-0005-0000-0000-000027020000}"/>
    <cellStyle name="Normal 9 2 6 2" xfId="2092" xr:uid="{F3F9F592-8BE5-4E1F-85F2-E5E0431A1490}"/>
    <cellStyle name="Normal 9 2 6 2 2" xfId="3760" xr:uid="{59384657-067D-40BC-9210-F01F07B4E006}"/>
    <cellStyle name="Normal 9 2 6 3" xfId="1256" xr:uid="{8BF10D1F-9827-48F5-BD0C-056D11A5D4A2}"/>
    <cellStyle name="Normal 9 2 6 4" xfId="2926" xr:uid="{78E5DDF3-C23C-41E7-B813-FE221BE54238}"/>
    <cellStyle name="Normal 9 2 7" xfId="506" xr:uid="{00000000-0005-0000-0000-000028020000}"/>
    <cellStyle name="Normal 9 2 7 2" xfId="2182" xr:uid="{87B46247-E16A-4D7E-8DC6-44544670A674}"/>
    <cellStyle name="Normal 9 2 7 2 2" xfId="3850" xr:uid="{3B0E0C7A-C0FE-465E-B2B1-C7D7B9BBABB6}"/>
    <cellStyle name="Normal 9 2 7 3" xfId="1346" xr:uid="{07B36D56-1EC7-4EFB-9896-670FCDCD77C1}"/>
    <cellStyle name="Normal 9 2 7 4" xfId="3016" xr:uid="{96EB5F36-DA49-4BEF-80DA-391D281067A3}"/>
    <cellStyle name="Normal 9 2 8" xfId="596" xr:uid="{00000000-0005-0000-0000-000029020000}"/>
    <cellStyle name="Normal 9 2 8 2" xfId="2272" xr:uid="{32FD09BB-2F88-4CDC-88CC-0F8FC32C763E}"/>
    <cellStyle name="Normal 9 2 8 2 2" xfId="3940" xr:uid="{D67DD055-8A03-40EC-9093-06D5A53674C6}"/>
    <cellStyle name="Normal 9 2 8 3" xfId="1436" xr:uid="{F02141F7-F018-4F02-90FE-E49D44D151FF}"/>
    <cellStyle name="Normal 9 2 8 4" xfId="3106" xr:uid="{BD60A08B-1004-42DF-9A1C-7CB5172F3443}"/>
    <cellStyle name="Normal 9 2 9" xfId="686" xr:uid="{00000000-0005-0000-0000-00002A020000}"/>
    <cellStyle name="Normal 9 2 9 2" xfId="2362" xr:uid="{3F3AA9F0-49B8-4739-A5B2-451C65114517}"/>
    <cellStyle name="Normal 9 2 9 2 2" xfId="4030" xr:uid="{4DD90CE5-05E5-4825-A2E2-5DF37FB08FE1}"/>
    <cellStyle name="Normal 9 2 9 3" xfId="1526" xr:uid="{DB0305F9-F071-4E36-976F-AEE0E90FB9CB}"/>
    <cellStyle name="Normal 9 2 9 4" xfId="3196" xr:uid="{BAE682BD-EF1E-4ABC-AC14-633951402D53}"/>
    <cellStyle name="Normal 9 3" xfId="71" xr:uid="{00000000-0005-0000-0000-00002B020000}"/>
    <cellStyle name="Normal 9 3 10" xfId="1748" xr:uid="{58E87BAA-2CC1-4E87-BA44-812FF8D89A45}"/>
    <cellStyle name="Normal 9 3 10 2" xfId="3416" xr:uid="{7814103C-1A19-4CB2-B0E9-F1E941CBE35E}"/>
    <cellStyle name="Normal 9 3 11" xfId="912" xr:uid="{686B968D-6C08-40C2-A028-B7AF39EC33AB}"/>
    <cellStyle name="Normal 9 3 12" xfId="2582" xr:uid="{DE5301D2-D634-45DD-800C-03DCE28C3935}"/>
    <cellStyle name="Normal 9 3 2" xfId="164" xr:uid="{00000000-0005-0000-0000-00002C020000}"/>
    <cellStyle name="Normal 9 3 2 2" xfId="1840" xr:uid="{0594269B-9DE3-4482-8F5F-F50112403E4B}"/>
    <cellStyle name="Normal 9 3 2 2 2" xfId="3508" xr:uid="{518F1A29-B9BC-441C-8863-138B3D575D5F}"/>
    <cellStyle name="Normal 9 3 2 3" xfId="1004" xr:uid="{0C505295-EB0C-4196-8443-9E798ECDDC2E}"/>
    <cellStyle name="Normal 9 3 2 4" xfId="2674" xr:uid="{A71EF73D-B953-4C9F-B9FA-D37342F1EEEB}"/>
    <cellStyle name="Normal 9 3 3" xfId="254" xr:uid="{00000000-0005-0000-0000-00002D020000}"/>
    <cellStyle name="Normal 9 3 3 2" xfId="1930" xr:uid="{A62DAAAE-6683-4482-9868-2DF2D3AFBD9A}"/>
    <cellStyle name="Normal 9 3 3 2 2" xfId="3598" xr:uid="{016DA95F-0841-4FDA-B0BC-3E4CA05593F8}"/>
    <cellStyle name="Normal 9 3 3 3" xfId="1094" xr:uid="{976EFBB9-01FF-4B23-AB1B-E281DBA28FEE}"/>
    <cellStyle name="Normal 9 3 3 4" xfId="2764" xr:uid="{AAB16FFB-49F9-4D93-B12A-F236553F7404}"/>
    <cellStyle name="Normal 9 3 4" xfId="344" xr:uid="{00000000-0005-0000-0000-00002E020000}"/>
    <cellStyle name="Normal 9 3 4 2" xfId="2020" xr:uid="{B30F7A40-6C59-41A4-83F0-E438595BA5BA}"/>
    <cellStyle name="Normal 9 3 4 2 2" xfId="3688" xr:uid="{78149882-E1FD-45D0-B6CB-460F6820E0A1}"/>
    <cellStyle name="Normal 9 3 4 3" xfId="1184" xr:uid="{1C182ADD-AB91-4C67-8963-F4FF8D10D9D2}"/>
    <cellStyle name="Normal 9 3 4 4" xfId="2854" xr:uid="{9E116F33-094E-47C8-8DD3-7FAB299A6DDB}"/>
    <cellStyle name="Normal 9 3 5" xfId="434" xr:uid="{00000000-0005-0000-0000-00002F020000}"/>
    <cellStyle name="Normal 9 3 5 2" xfId="2110" xr:uid="{348B2469-CD33-4B7C-88CE-E76519F8278D}"/>
    <cellStyle name="Normal 9 3 5 2 2" xfId="3778" xr:uid="{560F7E6D-78A3-43B7-9D9E-12EDE90FAB80}"/>
    <cellStyle name="Normal 9 3 5 3" xfId="1274" xr:uid="{7BE366C5-6D2E-4AEE-BFC2-AB2EC15DBC8F}"/>
    <cellStyle name="Normal 9 3 5 4" xfId="2944" xr:uid="{7DCE508D-BDDB-4D04-87B3-3AAF85F9A2A0}"/>
    <cellStyle name="Normal 9 3 6" xfId="524" xr:uid="{00000000-0005-0000-0000-000030020000}"/>
    <cellStyle name="Normal 9 3 6 2" xfId="2200" xr:uid="{E864BF44-A205-449C-8264-A152412608B3}"/>
    <cellStyle name="Normal 9 3 6 2 2" xfId="3868" xr:uid="{43D4A03F-5C10-4833-99CA-7B57B0E52788}"/>
    <cellStyle name="Normal 9 3 6 3" xfId="1364" xr:uid="{58BE5B8A-5AD9-45C8-B674-4D407C2B258E}"/>
    <cellStyle name="Normal 9 3 6 4" xfId="3034" xr:uid="{BBDC4224-B4E9-451C-B84D-A99C016EED78}"/>
    <cellStyle name="Normal 9 3 7" xfId="614" xr:uid="{00000000-0005-0000-0000-000031020000}"/>
    <cellStyle name="Normal 9 3 7 2" xfId="2290" xr:uid="{95F607D6-9F63-4CD1-A0EA-958CE7F769F4}"/>
    <cellStyle name="Normal 9 3 7 2 2" xfId="3958" xr:uid="{3768DC30-C48E-4288-A9FB-8AA42AAB3AC7}"/>
    <cellStyle name="Normal 9 3 7 3" xfId="1454" xr:uid="{DABA2CE9-394B-4D1E-A3C7-410DCB6718E9}"/>
    <cellStyle name="Normal 9 3 7 4" xfId="3124" xr:uid="{352C0423-C180-4C7F-A111-DAF2A42E779D}"/>
    <cellStyle name="Normal 9 3 8" xfId="704" xr:uid="{00000000-0005-0000-0000-000032020000}"/>
    <cellStyle name="Normal 9 3 8 2" xfId="2380" xr:uid="{636782B4-CD9C-4F68-AFDB-6C4818EA3305}"/>
    <cellStyle name="Normal 9 3 8 2 2" xfId="4048" xr:uid="{09326ED6-6257-4E62-A289-05E419D03772}"/>
    <cellStyle name="Normal 9 3 8 3" xfId="1544" xr:uid="{6BE2B605-15E0-42D0-A848-4A9DC674953C}"/>
    <cellStyle name="Normal 9 3 8 4" xfId="3214" xr:uid="{24BBB304-09AA-4F87-BFF1-A707C86CE172}"/>
    <cellStyle name="Normal 9 3 9" xfId="801" xr:uid="{00000000-0005-0000-0000-000033020000}"/>
    <cellStyle name="Normal 9 3 9 2" xfId="2477" xr:uid="{876E8D3F-42FD-4CC7-9930-16AE8A3DE04A}"/>
    <cellStyle name="Normal 9 3 9 2 2" xfId="4145" xr:uid="{35B3C38F-344D-4077-9EDA-A169BA50AC28}"/>
    <cellStyle name="Normal 9 3 9 3" xfId="1641" xr:uid="{2CEE1807-EB1E-496B-BE5E-70D948B3E7EB}"/>
    <cellStyle name="Normal 9 3 9 4" xfId="3311" xr:uid="{2E97AA4E-31D0-4AFF-9655-A69538207FAF}"/>
    <cellStyle name="Normal 9 4" xfId="127" xr:uid="{00000000-0005-0000-0000-000034020000}"/>
    <cellStyle name="Normal 9 4 2" xfId="1803" xr:uid="{7CDA1D3D-5664-4FC4-9DE9-A555DA8DA385}"/>
    <cellStyle name="Normal 9 4 2 2" xfId="3471" xr:uid="{3BFAE044-FCC6-4452-BE58-3A67AF7AACF1}"/>
    <cellStyle name="Normal 9 4 3" xfId="967" xr:uid="{2995C700-1F6F-44A9-BE8D-A6002D397940}"/>
    <cellStyle name="Normal 9 4 4" xfId="2637" xr:uid="{26F59595-0B17-40CE-8CC9-8A42B334FB54}"/>
    <cellStyle name="Normal 9 5" xfId="217" xr:uid="{00000000-0005-0000-0000-000035020000}"/>
    <cellStyle name="Normal 9 5 2" xfId="1893" xr:uid="{1A3B9E44-8DDD-482C-8F38-6278D01DED16}"/>
    <cellStyle name="Normal 9 5 2 2" xfId="3561" xr:uid="{2637F352-7EC6-467D-B392-81C0700D29A7}"/>
    <cellStyle name="Normal 9 5 3" xfId="1057" xr:uid="{BA1F8F8F-4D89-4281-A35E-DB302ACA1FA5}"/>
    <cellStyle name="Normal 9 5 4" xfId="2727" xr:uid="{F75F6732-86EC-4167-BA6A-A04E9CFC6B15}"/>
    <cellStyle name="Normal 9 6" xfId="307" xr:uid="{00000000-0005-0000-0000-000036020000}"/>
    <cellStyle name="Normal 9 6 2" xfId="1983" xr:uid="{FF4C540C-CBC8-4CC2-9701-25E24C93ECAE}"/>
    <cellStyle name="Normal 9 6 2 2" xfId="3651" xr:uid="{8D043FD9-43B4-479E-A1CA-28F360DF7822}"/>
    <cellStyle name="Normal 9 6 3" xfId="1147" xr:uid="{DAF375EE-A525-47CF-9BA6-F1591AA49421}"/>
    <cellStyle name="Normal 9 6 4" xfId="2817" xr:uid="{96BC1A05-A404-49DC-B4C0-8E11417744BE}"/>
    <cellStyle name="Normal 9 7" xfId="397" xr:uid="{00000000-0005-0000-0000-000037020000}"/>
    <cellStyle name="Normal 9 7 2" xfId="2073" xr:uid="{656F8CC8-3DEF-44FB-8B1C-F95BC57D927D}"/>
    <cellStyle name="Normal 9 7 2 2" xfId="3741" xr:uid="{F97E5B41-7050-4947-BB9E-9B3E22B67E70}"/>
    <cellStyle name="Normal 9 7 3" xfId="1237" xr:uid="{1C6E1A5C-8506-47C3-AEA1-872F4738DE7F}"/>
    <cellStyle name="Normal 9 7 4" xfId="2907" xr:uid="{66C392DE-2CB2-40AA-94CE-9E85866CAB72}"/>
    <cellStyle name="Normal 9 8" xfId="487" xr:uid="{00000000-0005-0000-0000-000038020000}"/>
    <cellStyle name="Normal 9 8 2" xfId="2163" xr:uid="{735E9D52-33D7-428D-ACAD-22E92F3E4A16}"/>
    <cellStyle name="Normal 9 8 2 2" xfId="3831" xr:uid="{8063A211-E084-4D6E-B3E3-4352B158C7BA}"/>
    <cellStyle name="Normal 9 8 3" xfId="1327" xr:uid="{F92E40FC-EA66-4780-9C7D-B2CA265AC82D}"/>
    <cellStyle name="Normal 9 8 4" xfId="2997" xr:uid="{7C401889-8435-4FEE-9F29-AE356B25F7BD}"/>
    <cellStyle name="Normal 9 9" xfId="577" xr:uid="{00000000-0005-0000-0000-000039020000}"/>
    <cellStyle name="Normal 9 9 2" xfId="2253" xr:uid="{913B8155-A125-4529-AB6D-4822A2ADD0F6}"/>
    <cellStyle name="Normal 9 9 2 2" xfId="3921" xr:uid="{C21DECC8-11E0-42E1-ABF3-020F208E1B0B}"/>
    <cellStyle name="Normal 9 9 3" xfId="1417" xr:uid="{1D27196B-A25D-4AF9-9F35-0E3DA6B57584}"/>
    <cellStyle name="Normal 9 9 4" xfId="3087" xr:uid="{3263E70D-4FC1-4DE4-8E69-3E8931124D06}"/>
    <cellStyle name="Normal_Forslag" xfId="845" xr:uid="{00000000-0005-0000-0000-00003A020000}"/>
    <cellStyle name="Normal_Forslag 2" xfId="848" xr:uid="{00000000-0005-0000-0000-00003B020000}"/>
    <cellStyle name="Prosent" xfId="853" builtinId="5"/>
    <cellStyle name="Prosent 2" xfId="1689" xr:uid="{C6EB2C98-25F5-4F74-9945-6B56AEDDB76F}"/>
    <cellStyle name="Tusenskille 2" xfId="14" xr:uid="{00000000-0005-0000-0000-00003C020000}"/>
    <cellStyle name="Tusenskille 2 2" xfId="15" xr:uid="{00000000-0005-0000-0000-00003D020000}"/>
    <cellStyle name="Tusenskille 2 2 2" xfId="751" xr:uid="{00000000-0005-0000-0000-00003E020000}"/>
    <cellStyle name="Tusenskille 2 2 2 2" xfId="2427" xr:uid="{485DF660-B66A-447F-B91E-22493A3E3182}"/>
    <cellStyle name="Tusenskille 2 2 2 2 2" xfId="4095" xr:uid="{44315901-90A1-4A5F-8A7D-1BDC7056420D}"/>
    <cellStyle name="Tusenskille 2 2 2 3" xfId="1591" xr:uid="{E54AD5F1-125D-4CF3-94A4-2461A3A817A0}"/>
    <cellStyle name="Tusenskille 2 2 2 4" xfId="3261" xr:uid="{30A200CC-104F-494E-9F73-2D8FA13DE432}"/>
    <cellStyle name="Tusenskille 2 2 3" xfId="849" xr:uid="{F77FA10F-B946-43D0-BDB2-55CEFCE8EA1F}"/>
    <cellStyle name="Tusenskille 2 2 3 2" xfId="2522" xr:uid="{0213B2A0-012D-47D8-81E8-2854707A3226}"/>
    <cellStyle name="Tusenskille 2 2 3 2 2" xfId="4190" xr:uid="{70DD4BF7-4A5A-4395-8E77-6AA10035F2B0}"/>
    <cellStyle name="Tusenskille 2 2 3 3" xfId="1686" xr:uid="{91B39428-9BBA-49B8-8B2A-A930937B0238}"/>
    <cellStyle name="Tusenskille 2 2 3 4" xfId="3356" xr:uid="{94AF9372-886A-4270-952E-13CB9A2D3903}"/>
    <cellStyle name="Tusenskille 2 2 4" xfId="1698" xr:uid="{EE64B8FB-1BBB-4F61-BFA2-4B53FA09E5C7}"/>
    <cellStyle name="Tusenskille 2 2 4 2" xfId="3366" xr:uid="{B55D0853-9AAE-40D5-B2F5-4FF94DCB8434}"/>
    <cellStyle name="Tusenskille 2 2 5" xfId="862" xr:uid="{A077BA33-D30B-442B-8CEC-D7954E3F452F}"/>
    <cellStyle name="Tusenskille 2 2 6" xfId="2532" xr:uid="{495D0E03-D956-4ED4-ADCF-756BDBCAF746}"/>
    <cellStyle name="Tusenskille 2 3" xfId="21" xr:uid="{00000000-0005-0000-0000-00003F020000}"/>
    <cellStyle name="Tusenskille 2 3 2" xfId="755" xr:uid="{00000000-0005-0000-0000-000040020000}"/>
    <cellStyle name="Tusenskille 2 3 2 2" xfId="2431" xr:uid="{6AD11C87-BF27-493D-860A-E68FF2F96D41}"/>
    <cellStyle name="Tusenskille 2 3 2 2 2" xfId="4099" xr:uid="{2B04D501-171D-4A11-AE46-676A8295B764}"/>
    <cellStyle name="Tusenskille 2 3 2 3" xfId="1595" xr:uid="{6B429356-5B21-4067-95FD-95BFC7173D32}"/>
    <cellStyle name="Tusenskille 2 3 2 4" xfId="3265" xr:uid="{9A6FA094-912D-483D-A832-19EF8FDEF0E3}"/>
    <cellStyle name="Tusenskille 2 3 3" xfId="1702" xr:uid="{98E461C5-CFA4-4FE0-8625-BB8AB15DFFD1}"/>
    <cellStyle name="Tusenskille 2 3 3 2" xfId="3370" xr:uid="{17DB210E-7B5E-44C0-AE6C-F76203DEAC85}"/>
    <cellStyle name="Tusenskille 2 3 4" xfId="866" xr:uid="{BAEC15F8-E81A-4F6B-B21B-B9D1BC707B9C}"/>
    <cellStyle name="Tusenskille 2 3 5" xfId="2536" xr:uid="{4F9C2B3F-E67E-4E79-A05E-34FECAA27FAA}"/>
    <cellStyle name="Tusenskille 2 4" xfId="40" xr:uid="{00000000-0005-0000-0000-000041020000}"/>
    <cellStyle name="Tusenskille 2 4 2" xfId="772" xr:uid="{00000000-0005-0000-0000-000042020000}"/>
    <cellStyle name="Tusenskille 2 4 2 2" xfId="2448" xr:uid="{2E17F62F-60B9-4934-89B8-A6D19F0FDA02}"/>
    <cellStyle name="Tusenskille 2 4 2 2 2" xfId="4116" xr:uid="{00695DE0-19B4-44D0-9EA1-A36ABE9136E9}"/>
    <cellStyle name="Tusenskille 2 4 2 3" xfId="1612" xr:uid="{5E8829F3-4A40-42C2-9C80-8D3A50376AEE}"/>
    <cellStyle name="Tusenskille 2 4 2 4" xfId="3282" xr:uid="{799AC890-D10B-4A7A-B163-EE8E85067458}"/>
    <cellStyle name="Tusenskille 2 4 3" xfId="1719" xr:uid="{D3CEE0CF-EE38-4C84-B783-D51EF62DAB2E}"/>
    <cellStyle name="Tusenskille 2 4 3 2" xfId="3387" xr:uid="{C7F066EF-529D-4E34-88EB-0438171A0E3A}"/>
    <cellStyle name="Tusenskille 2 4 4" xfId="883" xr:uid="{D9D405EB-E7D4-4C4B-AF87-75F325AFF698}"/>
    <cellStyle name="Tusenskille 2 4 5" xfId="2553" xr:uid="{CB355CAF-F1D6-42B9-9792-136A50583A95}"/>
    <cellStyle name="Tusenskille 2 5" xfId="61" xr:uid="{00000000-0005-0000-0000-000043020000}"/>
    <cellStyle name="Tusenskille 2 5 2" xfId="791" xr:uid="{00000000-0005-0000-0000-000044020000}"/>
    <cellStyle name="Tusenskille 2 5 2 2" xfId="2467" xr:uid="{310E4841-9AD7-4473-ADAE-01FF7046D246}"/>
    <cellStyle name="Tusenskille 2 5 2 2 2" xfId="4135" xr:uid="{234B3C50-5E5A-48B9-B2E2-0B3C5092E46D}"/>
    <cellStyle name="Tusenskille 2 5 2 3" xfId="1631" xr:uid="{CA31639D-3B13-4923-9B9E-29CB9891A6D1}"/>
    <cellStyle name="Tusenskille 2 5 2 4" xfId="3301" xr:uid="{9407F696-D041-443F-9F3B-C401044A3948}"/>
    <cellStyle name="Tusenskille 2 5 3" xfId="1738" xr:uid="{3501FC0F-6CAB-4648-8535-60E530C8D813}"/>
    <cellStyle name="Tusenskille 2 5 3 2" xfId="3406" xr:uid="{5BC8F610-0729-4913-A835-0EF5EF5FD126}"/>
    <cellStyle name="Tusenskille 2 5 4" xfId="902" xr:uid="{39A25A01-2F6E-4DFE-B585-2ACD796FB4AA}"/>
    <cellStyle name="Tusenskille 2 5 5" xfId="2572" xr:uid="{E296E045-7E24-4CB2-AAB1-BA31DFC7688F}"/>
    <cellStyle name="Tusenskille 2 6" xfId="750" xr:uid="{00000000-0005-0000-0000-000045020000}"/>
    <cellStyle name="Tusenskille 2 6 2" xfId="2426" xr:uid="{973D897E-FC92-4F46-A567-F9101869FFEA}"/>
    <cellStyle name="Tusenskille 2 6 2 2" xfId="4094" xr:uid="{ABD2998D-7520-40F8-B64B-8C7243BBE2D7}"/>
    <cellStyle name="Tusenskille 2 6 3" xfId="1590" xr:uid="{03DC29BD-09D8-4ADB-8540-675702422D34}"/>
    <cellStyle name="Tusenskille 2 6 4" xfId="3260" xr:uid="{06F121A8-7F5B-49BB-B5B8-5D94B78C38DF}"/>
    <cellStyle name="Tusenskille 2 7" xfId="1697" xr:uid="{DEB47C5A-3621-4CDE-A9B6-E7E663297C3F}"/>
    <cellStyle name="Tusenskille 2 7 2" xfId="3365" xr:uid="{30D8B4F9-1F25-4DEC-A3BB-903CBEE4B458}"/>
    <cellStyle name="Tusenskille 2 8" xfId="861" xr:uid="{C7BD7E21-BE45-470F-B9DD-6FA09B039542}"/>
    <cellStyle name="Tusenskille 2 9" xfId="2531" xr:uid="{5365134D-D32C-4225-BC64-7B4692B1A574}"/>
    <cellStyle name="Tusenskille 3" xfId="16" xr:uid="{00000000-0005-0000-0000-000046020000}"/>
    <cellStyle name="Tusenskille 3 10" xfId="105" xr:uid="{00000000-0005-0000-0000-000047020000}"/>
    <cellStyle name="Tusenskille 3 10 10" xfId="1781" xr:uid="{2D34A599-5E70-4D5B-9AC8-79247FE9F0CA}"/>
    <cellStyle name="Tusenskille 3 10 10 2" xfId="3449" xr:uid="{E034C9A1-2685-4891-90C8-684A7A5CBB83}"/>
    <cellStyle name="Tusenskille 3 10 11" xfId="945" xr:uid="{AFAFC283-69D4-43A8-93CC-D3BD93C2A3B4}"/>
    <cellStyle name="Tusenskille 3 10 12" xfId="2615" xr:uid="{7CA25831-5B4A-4FD1-8B59-51525E42722C}"/>
    <cellStyle name="Tusenskille 3 10 2" xfId="197" xr:uid="{00000000-0005-0000-0000-000048020000}"/>
    <cellStyle name="Tusenskille 3 10 2 2" xfId="1873" xr:uid="{C8436B1B-3C7F-482D-BA4F-B3D6BAD9C30C}"/>
    <cellStyle name="Tusenskille 3 10 2 2 2" xfId="3541" xr:uid="{3A4EFACD-BED0-4F4A-A028-044D9D7AF1B5}"/>
    <cellStyle name="Tusenskille 3 10 2 3" xfId="1037" xr:uid="{EDC8ED12-E5AD-40FA-BCD8-03B22D268063}"/>
    <cellStyle name="Tusenskille 3 10 2 4" xfId="2707" xr:uid="{BD69FDEC-E6DC-4FB1-A1F7-98181ABEF49E}"/>
    <cellStyle name="Tusenskille 3 10 3" xfId="287" xr:uid="{00000000-0005-0000-0000-000049020000}"/>
    <cellStyle name="Tusenskille 3 10 3 2" xfId="1963" xr:uid="{F664759D-08F6-43E0-8252-8D97CF469350}"/>
    <cellStyle name="Tusenskille 3 10 3 2 2" xfId="3631" xr:uid="{A14330E7-5CA3-4ED8-954F-A2FB21059307}"/>
    <cellStyle name="Tusenskille 3 10 3 3" xfId="1127" xr:uid="{C1390E21-9628-45F9-B99E-33E5A2E04C9D}"/>
    <cellStyle name="Tusenskille 3 10 3 4" xfId="2797" xr:uid="{E89873E5-54AF-4B3E-B618-BF7171CB935E}"/>
    <cellStyle name="Tusenskille 3 10 4" xfId="377" xr:uid="{00000000-0005-0000-0000-00004A020000}"/>
    <cellStyle name="Tusenskille 3 10 4 2" xfId="2053" xr:uid="{39CB2E5D-0DF8-41E6-96EE-1C3467A92857}"/>
    <cellStyle name="Tusenskille 3 10 4 2 2" xfId="3721" xr:uid="{17E5BB44-046F-47EB-8DAE-6622D7B843E5}"/>
    <cellStyle name="Tusenskille 3 10 4 3" xfId="1217" xr:uid="{E6B791EA-2928-4737-B29C-D0A412EDB2A9}"/>
    <cellStyle name="Tusenskille 3 10 4 4" xfId="2887" xr:uid="{7FA8C107-590C-4F92-8973-4BBC18B7FEB3}"/>
    <cellStyle name="Tusenskille 3 10 5" xfId="467" xr:uid="{00000000-0005-0000-0000-00004B020000}"/>
    <cellStyle name="Tusenskille 3 10 5 2" xfId="2143" xr:uid="{AFD2847F-1F77-4287-9698-C99260C59421}"/>
    <cellStyle name="Tusenskille 3 10 5 2 2" xfId="3811" xr:uid="{779441E0-BD6A-4134-973F-CE6646134C16}"/>
    <cellStyle name="Tusenskille 3 10 5 3" xfId="1307" xr:uid="{C00C31E4-F319-4BEC-A9A2-18BB913A51D8}"/>
    <cellStyle name="Tusenskille 3 10 5 4" xfId="2977" xr:uid="{72148CA0-5388-4266-93B8-7DEDF74089D3}"/>
    <cellStyle name="Tusenskille 3 10 6" xfId="557" xr:uid="{00000000-0005-0000-0000-00004C020000}"/>
    <cellStyle name="Tusenskille 3 10 6 2" xfId="2233" xr:uid="{6269ECB0-7A96-409D-B065-E4FA1835B418}"/>
    <cellStyle name="Tusenskille 3 10 6 2 2" xfId="3901" xr:uid="{9580DFF8-A26C-4BFA-85F0-DA794CB1E82A}"/>
    <cellStyle name="Tusenskille 3 10 6 3" xfId="1397" xr:uid="{B7D8E232-0F9D-43E2-A681-117A9EEA27F2}"/>
    <cellStyle name="Tusenskille 3 10 6 4" xfId="3067" xr:uid="{2F69183F-9801-45F7-B245-6834A45C887B}"/>
    <cellStyle name="Tusenskille 3 10 7" xfId="647" xr:uid="{00000000-0005-0000-0000-00004D020000}"/>
    <cellStyle name="Tusenskille 3 10 7 2" xfId="2323" xr:uid="{AD43A652-46E7-4B45-9372-46D2DDE7B772}"/>
    <cellStyle name="Tusenskille 3 10 7 2 2" xfId="3991" xr:uid="{13BC8192-714A-4013-B181-695067171FC6}"/>
    <cellStyle name="Tusenskille 3 10 7 3" xfId="1487" xr:uid="{7CA95F47-D84E-47FA-9AF5-E4E218D835EB}"/>
    <cellStyle name="Tusenskille 3 10 7 4" xfId="3157" xr:uid="{48C185C1-73FF-487F-8D4D-1FBBC7685EC4}"/>
    <cellStyle name="Tusenskille 3 10 8" xfId="737" xr:uid="{00000000-0005-0000-0000-00004E020000}"/>
    <cellStyle name="Tusenskille 3 10 8 2" xfId="2413" xr:uid="{9EB99073-AC6A-475E-8C6B-83A2F2D6096C}"/>
    <cellStyle name="Tusenskille 3 10 8 2 2" xfId="4081" xr:uid="{7BC71B22-5E3C-401C-96B7-65931B442100}"/>
    <cellStyle name="Tusenskille 3 10 8 3" xfId="1577" xr:uid="{A0E95F89-1D91-4DD0-BD6C-3F6FFA39D898}"/>
    <cellStyle name="Tusenskille 3 10 8 4" xfId="3247" xr:uid="{341955C8-FA0E-45C4-A896-CEDC0265DA19}"/>
    <cellStyle name="Tusenskille 3 10 9" xfId="834" xr:uid="{00000000-0005-0000-0000-00004F020000}"/>
    <cellStyle name="Tusenskille 3 10 9 2" xfId="2510" xr:uid="{ADD97ADF-8254-4B64-8F5A-D4C68ED90996}"/>
    <cellStyle name="Tusenskille 3 10 9 2 2" xfId="4178" xr:uid="{24CC090C-843C-4C72-B120-9BC25611CCD9}"/>
    <cellStyle name="Tusenskille 3 10 9 3" xfId="1674" xr:uid="{608C62B4-006D-4977-9538-86DA24EF3557}"/>
    <cellStyle name="Tusenskille 3 10 9 4" xfId="3344" xr:uid="{E77331F3-82C1-4E77-9339-24E087D8E2E9}"/>
    <cellStyle name="Tusenskille 3 11" xfId="108" xr:uid="{00000000-0005-0000-0000-000050020000}"/>
    <cellStyle name="Tusenskille 3 11 10" xfId="1784" xr:uid="{130C4637-D982-43D0-A741-C4584CA52DB4}"/>
    <cellStyle name="Tusenskille 3 11 10 2" xfId="3452" xr:uid="{4913CC58-DBF8-445C-B3B5-A5D2DFDF0136}"/>
    <cellStyle name="Tusenskille 3 11 11" xfId="948" xr:uid="{BBB35167-761F-4ACC-BC12-9FF0ECB966F0}"/>
    <cellStyle name="Tusenskille 3 11 12" xfId="2618" xr:uid="{B053A899-863A-49E7-B31A-A30E72490498}"/>
    <cellStyle name="Tusenskille 3 11 2" xfId="200" xr:uid="{00000000-0005-0000-0000-000051020000}"/>
    <cellStyle name="Tusenskille 3 11 2 2" xfId="1876" xr:uid="{5A08F2E6-21DF-4A96-979C-D6AA6C599E65}"/>
    <cellStyle name="Tusenskille 3 11 2 2 2" xfId="3544" xr:uid="{FEC0964E-6733-40A9-85BC-18F6D4F85FE0}"/>
    <cellStyle name="Tusenskille 3 11 2 3" xfId="1040" xr:uid="{4DED76DF-7001-4595-BD64-D82C12E9C5C2}"/>
    <cellStyle name="Tusenskille 3 11 2 4" xfId="2710" xr:uid="{344E04ED-4996-42FC-B433-C5D785AF0B8F}"/>
    <cellStyle name="Tusenskille 3 11 3" xfId="290" xr:uid="{00000000-0005-0000-0000-000052020000}"/>
    <cellStyle name="Tusenskille 3 11 3 2" xfId="1966" xr:uid="{1D5BEEE9-E7A6-47DE-8921-7B94A661F5AB}"/>
    <cellStyle name="Tusenskille 3 11 3 2 2" xfId="3634" xr:uid="{66A7898D-3B54-4D03-9F40-01DDB1521CBA}"/>
    <cellStyle name="Tusenskille 3 11 3 3" xfId="1130" xr:uid="{C46F43FA-E20E-4B2D-AEDC-10B55E0EEA8D}"/>
    <cellStyle name="Tusenskille 3 11 3 4" xfId="2800" xr:uid="{470F3122-C8E3-44E3-81D1-D546C967E0F4}"/>
    <cellStyle name="Tusenskille 3 11 4" xfId="380" xr:uid="{00000000-0005-0000-0000-000053020000}"/>
    <cellStyle name="Tusenskille 3 11 4 2" xfId="2056" xr:uid="{B7139465-7F7D-40A5-BE45-267881B70B99}"/>
    <cellStyle name="Tusenskille 3 11 4 2 2" xfId="3724" xr:uid="{A9B4FECF-137F-4D59-B129-2DF4BD5BD15A}"/>
    <cellStyle name="Tusenskille 3 11 4 3" xfId="1220" xr:uid="{ED93AA95-66BA-41CE-A486-A78C41F6074E}"/>
    <cellStyle name="Tusenskille 3 11 4 4" xfId="2890" xr:uid="{F5B3F03F-911F-4C58-AC64-886429CC0AD0}"/>
    <cellStyle name="Tusenskille 3 11 5" xfId="470" xr:uid="{00000000-0005-0000-0000-000054020000}"/>
    <cellStyle name="Tusenskille 3 11 5 2" xfId="2146" xr:uid="{05CBB87D-6368-42C8-99FE-FE05F546989B}"/>
    <cellStyle name="Tusenskille 3 11 5 2 2" xfId="3814" xr:uid="{AFD3523E-482A-450C-AE3A-D3377794CE6B}"/>
    <cellStyle name="Tusenskille 3 11 5 3" xfId="1310" xr:uid="{E9EA6DE0-7790-4A24-AD84-E96BB13AED2D}"/>
    <cellStyle name="Tusenskille 3 11 5 4" xfId="2980" xr:uid="{638331FF-7E63-419D-9DAD-D05708ABE880}"/>
    <cellStyle name="Tusenskille 3 11 6" xfId="560" xr:uid="{00000000-0005-0000-0000-000055020000}"/>
    <cellStyle name="Tusenskille 3 11 6 2" xfId="2236" xr:uid="{DEC5F579-8F32-47CC-A465-BAF1956364EB}"/>
    <cellStyle name="Tusenskille 3 11 6 2 2" xfId="3904" xr:uid="{E230C544-24DE-4553-BF21-EA5C2EDC9CA5}"/>
    <cellStyle name="Tusenskille 3 11 6 3" xfId="1400" xr:uid="{A8946ADB-743B-4CBC-8C1C-3ECEDA5421B7}"/>
    <cellStyle name="Tusenskille 3 11 6 4" xfId="3070" xr:uid="{D0C87B5F-AAE0-463A-B753-0841BB7D3463}"/>
    <cellStyle name="Tusenskille 3 11 7" xfId="650" xr:uid="{00000000-0005-0000-0000-000056020000}"/>
    <cellStyle name="Tusenskille 3 11 7 2" xfId="2326" xr:uid="{429F43B2-11C0-41FE-8E5C-36A89AFDD562}"/>
    <cellStyle name="Tusenskille 3 11 7 2 2" xfId="3994" xr:uid="{15A369A1-343D-4C47-A71B-B093A735F66B}"/>
    <cellStyle name="Tusenskille 3 11 7 3" xfId="1490" xr:uid="{59835AA9-1110-4EF9-B141-2BCEF106F380}"/>
    <cellStyle name="Tusenskille 3 11 7 4" xfId="3160" xr:uid="{EC613C69-F72C-47CD-A721-B70198FEBA87}"/>
    <cellStyle name="Tusenskille 3 11 8" xfId="740" xr:uid="{00000000-0005-0000-0000-000057020000}"/>
    <cellStyle name="Tusenskille 3 11 8 2" xfId="2416" xr:uid="{96E13FAF-058B-488A-832B-3C3E1B9A7A42}"/>
    <cellStyle name="Tusenskille 3 11 8 2 2" xfId="4084" xr:uid="{9F9CCD54-87CD-43B1-B259-E1B69413907A}"/>
    <cellStyle name="Tusenskille 3 11 8 3" xfId="1580" xr:uid="{AF43CA75-546D-4312-A0B9-E4A0B8C30F99}"/>
    <cellStyle name="Tusenskille 3 11 8 4" xfId="3250" xr:uid="{168DEDEC-2CA8-42AE-8916-CC0666038B35}"/>
    <cellStyle name="Tusenskille 3 11 9" xfId="837" xr:uid="{00000000-0005-0000-0000-000058020000}"/>
    <cellStyle name="Tusenskille 3 11 9 2" xfId="2513" xr:uid="{5020F177-0026-4678-862F-C16770A095E4}"/>
    <cellStyle name="Tusenskille 3 11 9 2 2" xfId="4181" xr:uid="{2ECBB796-FE28-4F86-A344-21866E57E67D}"/>
    <cellStyle name="Tusenskille 3 11 9 3" xfId="1677" xr:uid="{5FB70686-DFB1-4EBE-A0F1-0AB81A2C29B1}"/>
    <cellStyle name="Tusenskille 3 11 9 4" xfId="3347" xr:uid="{CA99D80A-C4C1-4E90-9D09-05D9D68DD07E}"/>
    <cellStyle name="Tusenskille 3 12" xfId="111" xr:uid="{00000000-0005-0000-0000-000059020000}"/>
    <cellStyle name="Tusenskille 3 12 10" xfId="1787" xr:uid="{486C2BCE-CE81-42A8-99AA-79817583A6B6}"/>
    <cellStyle name="Tusenskille 3 12 10 2" xfId="3455" xr:uid="{79D2E7A2-B91E-4D1B-908B-A08EF39D6653}"/>
    <cellStyle name="Tusenskille 3 12 11" xfId="951" xr:uid="{76B3DFB3-C547-4C8C-85BD-A6C10BC84D70}"/>
    <cellStyle name="Tusenskille 3 12 12" xfId="2621" xr:uid="{49475015-3B5A-4428-A445-31BA536856EB}"/>
    <cellStyle name="Tusenskille 3 12 2" xfId="203" xr:uid="{00000000-0005-0000-0000-00005A020000}"/>
    <cellStyle name="Tusenskille 3 12 2 2" xfId="1879" xr:uid="{20216F7A-F55D-45A6-B6F1-404518D75081}"/>
    <cellStyle name="Tusenskille 3 12 2 2 2" xfId="3547" xr:uid="{B2E06E7C-E4FC-483F-AE23-F6758F6D3B4A}"/>
    <cellStyle name="Tusenskille 3 12 2 3" xfId="1043" xr:uid="{B173439E-D7FE-43ED-AF4B-CFA02D121A36}"/>
    <cellStyle name="Tusenskille 3 12 2 4" xfId="2713" xr:uid="{625032FD-2A9D-4930-BE7D-B2C34D5A2BAD}"/>
    <cellStyle name="Tusenskille 3 12 3" xfId="293" xr:uid="{00000000-0005-0000-0000-00005B020000}"/>
    <cellStyle name="Tusenskille 3 12 3 2" xfId="1969" xr:uid="{99C67B14-FC82-4EC5-9CEA-E652206EEA37}"/>
    <cellStyle name="Tusenskille 3 12 3 2 2" xfId="3637" xr:uid="{9AE88FEF-37AD-4BA4-9267-553286AD6FE6}"/>
    <cellStyle name="Tusenskille 3 12 3 3" xfId="1133" xr:uid="{D7B2CFDA-A279-48B3-B2F1-F68F62DB5B0C}"/>
    <cellStyle name="Tusenskille 3 12 3 4" xfId="2803" xr:uid="{674D176B-1E43-42BC-8CC1-8972251311BF}"/>
    <cellStyle name="Tusenskille 3 12 4" xfId="383" xr:uid="{00000000-0005-0000-0000-00005C020000}"/>
    <cellStyle name="Tusenskille 3 12 4 2" xfId="2059" xr:uid="{07C1456A-7486-47FB-9B9E-F4AC7A215710}"/>
    <cellStyle name="Tusenskille 3 12 4 2 2" xfId="3727" xr:uid="{5B887EEF-601F-47AD-B798-C4C076A836A9}"/>
    <cellStyle name="Tusenskille 3 12 4 3" xfId="1223" xr:uid="{AD605D62-E8C3-46EF-BDDB-9B02196AB500}"/>
    <cellStyle name="Tusenskille 3 12 4 4" xfId="2893" xr:uid="{283981A1-B2D0-43F6-AB1F-88BDED5D0CED}"/>
    <cellStyle name="Tusenskille 3 12 5" xfId="473" xr:uid="{00000000-0005-0000-0000-00005D020000}"/>
    <cellStyle name="Tusenskille 3 12 5 2" xfId="2149" xr:uid="{05394E4C-F256-4686-8423-88951226DC5F}"/>
    <cellStyle name="Tusenskille 3 12 5 2 2" xfId="3817" xr:uid="{DAC5E62A-5FB2-4CEB-8891-79D1C95522E7}"/>
    <cellStyle name="Tusenskille 3 12 5 3" xfId="1313" xr:uid="{D7358799-1C10-46FE-AD0F-57D206433E96}"/>
    <cellStyle name="Tusenskille 3 12 5 4" xfId="2983" xr:uid="{EB18DB80-E410-424F-B47B-FEA19D2CFF13}"/>
    <cellStyle name="Tusenskille 3 12 6" xfId="563" xr:uid="{00000000-0005-0000-0000-00005E020000}"/>
    <cellStyle name="Tusenskille 3 12 6 2" xfId="2239" xr:uid="{CA69450A-7DF0-4F6F-87D3-4A548FC55802}"/>
    <cellStyle name="Tusenskille 3 12 6 2 2" xfId="3907" xr:uid="{E5BB92B8-19E9-411A-BD10-BC3F4E1C4EBB}"/>
    <cellStyle name="Tusenskille 3 12 6 3" xfId="1403" xr:uid="{9954E502-D108-4944-B222-B99BC6A5A522}"/>
    <cellStyle name="Tusenskille 3 12 6 4" xfId="3073" xr:uid="{0487C504-272B-4AB1-9ED0-3F3A3D367AC8}"/>
    <cellStyle name="Tusenskille 3 12 7" xfId="653" xr:uid="{00000000-0005-0000-0000-00005F020000}"/>
    <cellStyle name="Tusenskille 3 12 7 2" xfId="2329" xr:uid="{0F4AA5F7-FCAB-45F2-B3E3-BCA790A3A3F7}"/>
    <cellStyle name="Tusenskille 3 12 7 2 2" xfId="3997" xr:uid="{372E0CED-86D6-4E63-9BCA-1E8DB0110A11}"/>
    <cellStyle name="Tusenskille 3 12 7 3" xfId="1493" xr:uid="{4E122105-7304-46ED-882A-6A689F4F0064}"/>
    <cellStyle name="Tusenskille 3 12 7 4" xfId="3163" xr:uid="{01E694DD-F243-4F08-9D62-D04714D03D6D}"/>
    <cellStyle name="Tusenskille 3 12 8" xfId="743" xr:uid="{00000000-0005-0000-0000-000060020000}"/>
    <cellStyle name="Tusenskille 3 12 8 2" xfId="2419" xr:uid="{280D291C-9655-46C7-B6BB-D6C9EB6D285B}"/>
    <cellStyle name="Tusenskille 3 12 8 2 2" xfId="4087" xr:uid="{114B3B69-713D-49D4-9C65-AE9985C99D6C}"/>
    <cellStyle name="Tusenskille 3 12 8 3" xfId="1583" xr:uid="{9BA0677A-6EC1-4AA1-BCAE-C2FACCBFDBDF}"/>
    <cellStyle name="Tusenskille 3 12 8 4" xfId="3253" xr:uid="{59D891B6-FF6C-48F3-91F1-598394E6DC59}"/>
    <cellStyle name="Tusenskille 3 12 9" xfId="840" xr:uid="{00000000-0005-0000-0000-000061020000}"/>
    <cellStyle name="Tusenskille 3 12 9 2" xfId="2516" xr:uid="{2F405D1E-5CF8-42EE-9D97-B6710BDC9ABE}"/>
    <cellStyle name="Tusenskille 3 12 9 2 2" xfId="4184" xr:uid="{8CA02657-8268-4FE0-9ED3-8583D2937052}"/>
    <cellStyle name="Tusenskille 3 12 9 3" xfId="1680" xr:uid="{0082746D-3667-4A24-A687-6DCC59791F47}"/>
    <cellStyle name="Tusenskille 3 12 9 4" xfId="3350" xr:uid="{742AA6BC-46AE-49FE-90AD-FE63EAA31A3E}"/>
    <cellStyle name="Tusenskille 3 13" xfId="114" xr:uid="{00000000-0005-0000-0000-000062020000}"/>
    <cellStyle name="Tusenskille 3 13 10" xfId="1790" xr:uid="{A92B0674-C11F-416E-9AB5-A886EBA79C42}"/>
    <cellStyle name="Tusenskille 3 13 10 2" xfId="3458" xr:uid="{7E83C78E-9F0E-4B00-8DD6-61DE8FA648D9}"/>
    <cellStyle name="Tusenskille 3 13 11" xfId="954" xr:uid="{F4BBB40F-3B24-48EE-AC9C-C8D538323DEC}"/>
    <cellStyle name="Tusenskille 3 13 12" xfId="2624" xr:uid="{CACCDBCA-22F8-4ACF-BE3D-C5B91D31A794}"/>
    <cellStyle name="Tusenskille 3 13 2" xfId="206" xr:uid="{00000000-0005-0000-0000-000063020000}"/>
    <cellStyle name="Tusenskille 3 13 2 2" xfId="1882" xr:uid="{D381E5A8-4011-4B0F-9672-57F26EEC09E2}"/>
    <cellStyle name="Tusenskille 3 13 2 2 2" xfId="3550" xr:uid="{BCD0F6D5-A30F-40CE-ADCD-DC61B250D0FB}"/>
    <cellStyle name="Tusenskille 3 13 2 3" xfId="1046" xr:uid="{23E4EB53-097B-4F92-BC7D-A19996DDD680}"/>
    <cellStyle name="Tusenskille 3 13 2 4" xfId="2716" xr:uid="{D0C87EF5-CDBA-4212-AEA3-CFD8F8D97785}"/>
    <cellStyle name="Tusenskille 3 13 3" xfId="296" xr:uid="{00000000-0005-0000-0000-000064020000}"/>
    <cellStyle name="Tusenskille 3 13 3 2" xfId="1972" xr:uid="{DA45A6C9-5BB0-4837-9DFC-F37E5FEC57DB}"/>
    <cellStyle name="Tusenskille 3 13 3 2 2" xfId="3640" xr:uid="{4A39ABA0-DE4C-46EB-BB38-0118C7E50697}"/>
    <cellStyle name="Tusenskille 3 13 3 3" xfId="1136" xr:uid="{9D7AD396-7244-481D-8946-5D26BBB9F680}"/>
    <cellStyle name="Tusenskille 3 13 3 4" xfId="2806" xr:uid="{4E53DD63-984A-4F23-BFE8-CAF57CC97C37}"/>
    <cellStyle name="Tusenskille 3 13 4" xfId="386" xr:uid="{00000000-0005-0000-0000-000065020000}"/>
    <cellStyle name="Tusenskille 3 13 4 2" xfId="2062" xr:uid="{5E208576-DF32-4A39-AE58-BA7B8BCD6B2E}"/>
    <cellStyle name="Tusenskille 3 13 4 2 2" xfId="3730" xr:uid="{F72EFE02-AB38-4840-9028-0B1EA65DECEE}"/>
    <cellStyle name="Tusenskille 3 13 4 3" xfId="1226" xr:uid="{7835C7B3-45F7-4CA7-A3D7-2E991F0E74E9}"/>
    <cellStyle name="Tusenskille 3 13 4 4" xfId="2896" xr:uid="{78657526-C72F-4B3C-B245-6D9B1B9CAA38}"/>
    <cellStyle name="Tusenskille 3 13 5" xfId="476" xr:uid="{00000000-0005-0000-0000-000066020000}"/>
    <cellStyle name="Tusenskille 3 13 5 2" xfId="2152" xr:uid="{0C1C8348-4BFC-4AD9-8F73-0B1B8B0F33BD}"/>
    <cellStyle name="Tusenskille 3 13 5 2 2" xfId="3820" xr:uid="{ABBCCE31-BD8B-4D33-90D5-4E5AE202FD57}"/>
    <cellStyle name="Tusenskille 3 13 5 3" xfId="1316" xr:uid="{B760DBA5-F712-4E10-908E-48764ECB4807}"/>
    <cellStyle name="Tusenskille 3 13 5 4" xfId="2986" xr:uid="{FEBD37B1-DADA-4FF1-8C32-2F45070AEADD}"/>
    <cellStyle name="Tusenskille 3 13 6" xfId="566" xr:uid="{00000000-0005-0000-0000-000067020000}"/>
    <cellStyle name="Tusenskille 3 13 6 2" xfId="2242" xr:uid="{C9C0E1D0-517C-4E83-B4CA-B62B58669951}"/>
    <cellStyle name="Tusenskille 3 13 6 2 2" xfId="3910" xr:uid="{90E39EF3-39BC-4C1B-ADB9-938600860AD4}"/>
    <cellStyle name="Tusenskille 3 13 6 3" xfId="1406" xr:uid="{9B6A522B-CE54-4162-AB84-8D3111682AD6}"/>
    <cellStyle name="Tusenskille 3 13 6 4" xfId="3076" xr:uid="{58DF5131-0C3D-4BA0-B117-145C6BD6E041}"/>
    <cellStyle name="Tusenskille 3 13 7" xfId="656" xr:uid="{00000000-0005-0000-0000-000068020000}"/>
    <cellStyle name="Tusenskille 3 13 7 2" xfId="2332" xr:uid="{8EDA00E5-876A-4DD0-9C6F-65D600E6B732}"/>
    <cellStyle name="Tusenskille 3 13 7 2 2" xfId="4000" xr:uid="{814A9990-3F31-4F49-883F-261893C0ECAF}"/>
    <cellStyle name="Tusenskille 3 13 7 3" xfId="1496" xr:uid="{CDDCF02F-C42C-4C23-B008-7D0D7E4082B1}"/>
    <cellStyle name="Tusenskille 3 13 7 4" xfId="3166" xr:uid="{36477DFB-3520-4383-8865-102620A72030}"/>
    <cellStyle name="Tusenskille 3 13 8" xfId="746" xr:uid="{00000000-0005-0000-0000-000069020000}"/>
    <cellStyle name="Tusenskille 3 13 8 2" xfId="2422" xr:uid="{150BAC06-20D0-48F9-92C2-52427551A8E3}"/>
    <cellStyle name="Tusenskille 3 13 8 2 2" xfId="4090" xr:uid="{BE4C8EBA-E98D-450D-A4A6-FA3C6B207610}"/>
    <cellStyle name="Tusenskille 3 13 8 3" xfId="1586" xr:uid="{227D14C1-B9D1-4B16-B243-FE44C3328EEA}"/>
    <cellStyle name="Tusenskille 3 13 8 4" xfId="3256" xr:uid="{562D5831-4453-40C9-A3E3-46431EE3C567}"/>
    <cellStyle name="Tusenskille 3 13 9" xfId="843" xr:uid="{00000000-0005-0000-0000-00006A020000}"/>
    <cellStyle name="Tusenskille 3 13 9 2" xfId="2519" xr:uid="{BB17648D-BE20-4AA6-8E7C-8C8CE6D66259}"/>
    <cellStyle name="Tusenskille 3 13 9 2 2" xfId="4187" xr:uid="{845F0346-C129-40CB-B6F6-9E6F7884CF98}"/>
    <cellStyle name="Tusenskille 3 13 9 3" xfId="1683" xr:uid="{009F3F3E-7362-45CF-A3A0-2794AF95E998}"/>
    <cellStyle name="Tusenskille 3 13 9 4" xfId="3353" xr:uid="{F9993089-EACE-4292-B70F-0FB20F594CAF}"/>
    <cellStyle name="Tusenskille 3 14" xfId="119" xr:uid="{00000000-0005-0000-0000-00006B020000}"/>
    <cellStyle name="Tusenskille 3 14 2" xfId="1795" xr:uid="{8AA0A68F-0F65-4F84-A59D-8EA7EC308C42}"/>
    <cellStyle name="Tusenskille 3 14 2 2" xfId="3463" xr:uid="{CA39577B-493C-4853-906B-E83116909231}"/>
    <cellStyle name="Tusenskille 3 14 3" xfId="959" xr:uid="{FA466782-D1DC-446D-B5D6-04BDC823BF6B}"/>
    <cellStyle name="Tusenskille 3 14 4" xfId="2629" xr:uid="{520CDC4F-3DF8-4A67-BC1A-38FFC002F513}"/>
    <cellStyle name="Tusenskille 3 15" xfId="209" xr:uid="{00000000-0005-0000-0000-00006C020000}"/>
    <cellStyle name="Tusenskille 3 15 2" xfId="1885" xr:uid="{BA5F9975-FEE3-4E42-ACB5-F6D4480CE3BE}"/>
    <cellStyle name="Tusenskille 3 15 2 2" xfId="3553" xr:uid="{42D347E1-051F-42C7-B71E-113BE8CC2361}"/>
    <cellStyle name="Tusenskille 3 15 3" xfId="1049" xr:uid="{B11431F0-E809-4AC9-8E7B-0769D8EB32C9}"/>
    <cellStyle name="Tusenskille 3 15 4" xfId="2719" xr:uid="{C6D0057E-27B8-4BDC-A383-16D7CCD089B6}"/>
    <cellStyle name="Tusenskille 3 16" xfId="299" xr:uid="{00000000-0005-0000-0000-00006D020000}"/>
    <cellStyle name="Tusenskille 3 16 2" xfId="1975" xr:uid="{C3228C8C-20DC-41D4-8DDC-70D96EBE59CF}"/>
    <cellStyle name="Tusenskille 3 16 2 2" xfId="3643" xr:uid="{DEE1BB91-109C-4CBF-AB63-CC29CDCA760B}"/>
    <cellStyle name="Tusenskille 3 16 3" xfId="1139" xr:uid="{CB268CA2-8EE6-436D-84C1-57F0C828B8CA}"/>
    <cellStyle name="Tusenskille 3 16 4" xfId="2809" xr:uid="{CE8919BA-05E5-4123-A11A-45AA411E0C02}"/>
    <cellStyle name="Tusenskille 3 17" xfId="389" xr:uid="{00000000-0005-0000-0000-00006E020000}"/>
    <cellStyle name="Tusenskille 3 17 2" xfId="2065" xr:uid="{ED320503-967B-4AA5-B4B1-6321815C3953}"/>
    <cellStyle name="Tusenskille 3 17 2 2" xfId="3733" xr:uid="{69C889F5-AE30-434D-9E67-5BE4B13088ED}"/>
    <cellStyle name="Tusenskille 3 17 3" xfId="1229" xr:uid="{EECA30EE-3D42-4EB0-971A-2BF7BCFC131C}"/>
    <cellStyle name="Tusenskille 3 17 4" xfId="2899" xr:uid="{4E67A2BA-D416-445D-8271-62A336136E7A}"/>
    <cellStyle name="Tusenskille 3 18" xfId="479" xr:uid="{00000000-0005-0000-0000-00006F020000}"/>
    <cellStyle name="Tusenskille 3 18 2" xfId="2155" xr:uid="{1AF8B373-17DF-4534-BC18-B33C1384A7A6}"/>
    <cellStyle name="Tusenskille 3 18 2 2" xfId="3823" xr:uid="{3C1FC7C9-DC13-49EB-813A-BBCEFA33BB54}"/>
    <cellStyle name="Tusenskille 3 18 3" xfId="1319" xr:uid="{1F0EBEC2-392F-4A6D-9F66-1B1417CA88FF}"/>
    <cellStyle name="Tusenskille 3 18 4" xfId="2989" xr:uid="{34D02CB5-027E-4031-B8ED-8BEB056808F3}"/>
    <cellStyle name="Tusenskille 3 19" xfId="569" xr:uid="{00000000-0005-0000-0000-000070020000}"/>
    <cellStyle name="Tusenskille 3 19 2" xfId="2245" xr:uid="{63318137-CB6D-4E18-8D9A-3A22E32E1078}"/>
    <cellStyle name="Tusenskille 3 19 2 2" xfId="3913" xr:uid="{18A7699C-C8B8-46C9-8AC7-BCE5EA046FB1}"/>
    <cellStyle name="Tusenskille 3 19 3" xfId="1409" xr:uid="{8DA0BC1C-BBD1-43E5-8323-1FA12965951C}"/>
    <cellStyle name="Tusenskille 3 19 4" xfId="3079" xr:uid="{91A7EFB6-C4E6-4F66-9ACC-64F1DC0A5243}"/>
    <cellStyle name="Tusenskille 3 2" xfId="24" xr:uid="{00000000-0005-0000-0000-000071020000}"/>
    <cellStyle name="Tusenskille 3 2 10" xfId="663" xr:uid="{00000000-0005-0000-0000-000072020000}"/>
    <cellStyle name="Tusenskille 3 2 10 2" xfId="2339" xr:uid="{D9DD1DDB-6FDF-4B6F-A12B-B895AE4C59B8}"/>
    <cellStyle name="Tusenskille 3 2 10 2 2" xfId="4007" xr:uid="{A74414D6-FD6C-4785-A6F6-63C5FE808638}"/>
    <cellStyle name="Tusenskille 3 2 10 3" xfId="1503" xr:uid="{AECA77E6-9A18-4578-BD75-320F46C78073}"/>
    <cellStyle name="Tusenskille 3 2 10 4" xfId="3173" xr:uid="{7FDB4B5C-A862-45AF-8763-A58AA79246C1}"/>
    <cellStyle name="Tusenskille 3 2 11" xfId="758" xr:uid="{00000000-0005-0000-0000-000073020000}"/>
    <cellStyle name="Tusenskille 3 2 11 2" xfId="2434" xr:uid="{DA3BC260-F288-456F-8DBE-0DA7E4D72056}"/>
    <cellStyle name="Tusenskille 3 2 11 2 2" xfId="4102" xr:uid="{3E9AEDE3-CCC5-4220-8F25-A61D28935AA5}"/>
    <cellStyle name="Tusenskille 3 2 11 3" xfId="1598" xr:uid="{1C233646-0D98-43D2-B5CF-5320C0501220}"/>
    <cellStyle name="Tusenskille 3 2 11 4" xfId="3268" xr:uid="{93AB11EC-A861-4E9A-95E5-0FD3E414C665}"/>
    <cellStyle name="Tusenskille 3 2 12" xfId="1705" xr:uid="{6BFBEACB-2DCD-4D4B-BF72-405A5C40048A}"/>
    <cellStyle name="Tusenskille 3 2 12 2" xfId="3373" xr:uid="{8A9CA68C-7D2C-4304-AD71-CFC46DAFECDA}"/>
    <cellStyle name="Tusenskille 3 2 13" xfId="869" xr:uid="{C7FA2A53-CE7E-4B8B-A55B-808050677F96}"/>
    <cellStyle name="Tusenskille 3 2 14" xfId="2539" xr:uid="{EA71DB04-7605-4780-A2A1-6A4FBA6A5094}"/>
    <cellStyle name="Tusenskille 3 2 2" xfId="46" xr:uid="{00000000-0005-0000-0000-000074020000}"/>
    <cellStyle name="Tusenskille 3 2 2 10" xfId="778" xr:uid="{00000000-0005-0000-0000-000075020000}"/>
    <cellStyle name="Tusenskille 3 2 2 10 2" xfId="2454" xr:uid="{90D2AA5C-ACEA-47FF-A863-4BB23254AD44}"/>
    <cellStyle name="Tusenskille 3 2 2 10 2 2" xfId="4122" xr:uid="{91FD90BF-F827-4B61-8901-BE78C41760F6}"/>
    <cellStyle name="Tusenskille 3 2 2 10 3" xfId="1618" xr:uid="{01259D34-AAAD-4743-93E8-277133FF7DE9}"/>
    <cellStyle name="Tusenskille 3 2 2 10 4" xfId="3288" xr:uid="{81598705-B9BF-49BA-92BC-0113223B180F}"/>
    <cellStyle name="Tusenskille 3 2 2 11" xfId="1725" xr:uid="{6258E085-4B0C-47A2-94BC-A2711AA689E6}"/>
    <cellStyle name="Tusenskille 3 2 2 11 2" xfId="3393" xr:uid="{6CDE71E5-8320-4B8E-BFB2-EB3F802329A2}"/>
    <cellStyle name="Tusenskille 3 2 2 12" xfId="889" xr:uid="{5D1FD206-30F7-4619-90E1-B5912D0EC17D}"/>
    <cellStyle name="Tusenskille 3 2 2 13" xfId="2559" xr:uid="{5CE4368B-2514-4A0B-89DD-64F3F0E57355}"/>
    <cellStyle name="Tusenskille 3 2 2 2" xfId="86" xr:uid="{00000000-0005-0000-0000-000076020000}"/>
    <cellStyle name="Tusenskille 3 2 2 2 10" xfId="1763" xr:uid="{ACE66BA0-38D4-49FF-9329-62009745736B}"/>
    <cellStyle name="Tusenskille 3 2 2 2 10 2" xfId="3431" xr:uid="{3F9624A0-AC2C-4995-9B42-9579C62E0E3A}"/>
    <cellStyle name="Tusenskille 3 2 2 2 11" xfId="927" xr:uid="{C12F67CC-30E0-49FB-82BC-50F0E988C942}"/>
    <cellStyle name="Tusenskille 3 2 2 2 12" xfId="2597" xr:uid="{5A1E210E-7CAD-4201-970F-A5878ACB78E8}"/>
    <cellStyle name="Tusenskille 3 2 2 2 2" xfId="179" xr:uid="{00000000-0005-0000-0000-000077020000}"/>
    <cellStyle name="Tusenskille 3 2 2 2 2 2" xfId="1855" xr:uid="{C4E6B531-B7C9-4693-8E1B-FB5C76EA545F}"/>
    <cellStyle name="Tusenskille 3 2 2 2 2 2 2" xfId="3523" xr:uid="{7BF4C8D5-A070-439D-8386-8CFCC4051CB9}"/>
    <cellStyle name="Tusenskille 3 2 2 2 2 3" xfId="1019" xr:uid="{6A20DCFE-71D2-4C8F-8A51-C9528785C8B0}"/>
    <cellStyle name="Tusenskille 3 2 2 2 2 4" xfId="2689" xr:uid="{65267D77-BD4F-4054-A65B-62F56383B4CB}"/>
    <cellStyle name="Tusenskille 3 2 2 2 3" xfId="269" xr:uid="{00000000-0005-0000-0000-000078020000}"/>
    <cellStyle name="Tusenskille 3 2 2 2 3 2" xfId="1945" xr:uid="{41E2F29F-3462-4B2A-9135-959625EF9896}"/>
    <cellStyle name="Tusenskille 3 2 2 2 3 2 2" xfId="3613" xr:uid="{AD4EF15D-4F48-4AA4-AFDB-89FD84A01499}"/>
    <cellStyle name="Tusenskille 3 2 2 2 3 3" xfId="1109" xr:uid="{BCBE3DC6-733D-40D8-B0C2-DDA806FE339E}"/>
    <cellStyle name="Tusenskille 3 2 2 2 3 4" xfId="2779" xr:uid="{C4B9E10C-3C4E-4022-868B-692D8792E20B}"/>
    <cellStyle name="Tusenskille 3 2 2 2 4" xfId="359" xr:uid="{00000000-0005-0000-0000-000079020000}"/>
    <cellStyle name="Tusenskille 3 2 2 2 4 2" xfId="2035" xr:uid="{BF9DBD75-3404-456A-BB45-E87981A8E4DC}"/>
    <cellStyle name="Tusenskille 3 2 2 2 4 2 2" xfId="3703" xr:uid="{234A6B45-52A5-45A4-9635-F93296221117}"/>
    <cellStyle name="Tusenskille 3 2 2 2 4 3" xfId="1199" xr:uid="{E44FD1F6-5E7C-4747-AC9E-DA1CA6EF3AA5}"/>
    <cellStyle name="Tusenskille 3 2 2 2 4 4" xfId="2869" xr:uid="{A600A5AF-188D-46E9-B924-10D56D4C4F5C}"/>
    <cellStyle name="Tusenskille 3 2 2 2 5" xfId="449" xr:uid="{00000000-0005-0000-0000-00007A020000}"/>
    <cellStyle name="Tusenskille 3 2 2 2 5 2" xfId="2125" xr:uid="{BCB12113-51CE-4E83-8ED0-C93A51CF8466}"/>
    <cellStyle name="Tusenskille 3 2 2 2 5 2 2" xfId="3793" xr:uid="{139BD88F-E6F7-4DE7-B641-6D6E08493578}"/>
    <cellStyle name="Tusenskille 3 2 2 2 5 3" xfId="1289" xr:uid="{524DFF44-161E-421B-BB30-A29221186447}"/>
    <cellStyle name="Tusenskille 3 2 2 2 5 4" xfId="2959" xr:uid="{268E43AA-936A-4E75-851D-F8DD66017C78}"/>
    <cellStyle name="Tusenskille 3 2 2 2 6" xfId="539" xr:uid="{00000000-0005-0000-0000-00007B020000}"/>
    <cellStyle name="Tusenskille 3 2 2 2 6 2" xfId="2215" xr:uid="{7286CCCC-0BA4-446B-B1B6-7B40B6A0C8D8}"/>
    <cellStyle name="Tusenskille 3 2 2 2 6 2 2" xfId="3883" xr:uid="{7C67D8B9-6BB3-406F-BDDF-008C87EDE31B}"/>
    <cellStyle name="Tusenskille 3 2 2 2 6 3" xfId="1379" xr:uid="{EA09F283-0208-45AC-8F20-E02D11907FEF}"/>
    <cellStyle name="Tusenskille 3 2 2 2 6 4" xfId="3049" xr:uid="{5F2FAF6F-1A6B-46E7-9517-1F4300191F2B}"/>
    <cellStyle name="Tusenskille 3 2 2 2 7" xfId="629" xr:uid="{00000000-0005-0000-0000-00007C020000}"/>
    <cellStyle name="Tusenskille 3 2 2 2 7 2" xfId="2305" xr:uid="{5AF9F04B-3F42-4C19-BC67-09E444169B4C}"/>
    <cellStyle name="Tusenskille 3 2 2 2 7 2 2" xfId="3973" xr:uid="{A6DFF16B-6CC7-47BD-A07D-8553C7BDAEB0}"/>
    <cellStyle name="Tusenskille 3 2 2 2 7 3" xfId="1469" xr:uid="{B3255DBC-14BA-4C2E-9BEA-50730DC3953B}"/>
    <cellStyle name="Tusenskille 3 2 2 2 7 4" xfId="3139" xr:uid="{D29D32A9-174B-4750-9F07-D7CA54486794}"/>
    <cellStyle name="Tusenskille 3 2 2 2 8" xfId="719" xr:uid="{00000000-0005-0000-0000-00007D020000}"/>
    <cellStyle name="Tusenskille 3 2 2 2 8 2" xfId="2395" xr:uid="{1FEF34E6-E49C-4E8D-8F16-79A66B30A3B2}"/>
    <cellStyle name="Tusenskille 3 2 2 2 8 2 2" xfId="4063" xr:uid="{6A173005-EE7A-476F-A5DF-74499344B077}"/>
    <cellStyle name="Tusenskille 3 2 2 2 8 3" xfId="1559" xr:uid="{EB99227E-9E13-4B21-9C51-9270FAA7512B}"/>
    <cellStyle name="Tusenskille 3 2 2 2 8 4" xfId="3229" xr:uid="{6F87D76E-B4B2-4133-A45B-A5FD30E349B6}"/>
    <cellStyle name="Tusenskille 3 2 2 2 9" xfId="816" xr:uid="{00000000-0005-0000-0000-00007E020000}"/>
    <cellStyle name="Tusenskille 3 2 2 2 9 2" xfId="2492" xr:uid="{D6B814F1-4B31-436B-8820-2772D101E8B6}"/>
    <cellStyle name="Tusenskille 3 2 2 2 9 2 2" xfId="4160" xr:uid="{15FF2913-EBCF-4C5B-966E-3E772F07764A}"/>
    <cellStyle name="Tusenskille 3 2 2 2 9 3" xfId="1656" xr:uid="{7EEEE44E-63B1-47C8-89F9-1EA154DA5698}"/>
    <cellStyle name="Tusenskille 3 2 2 2 9 4" xfId="3326" xr:uid="{E9B0F280-9143-447A-B00B-2B39646BFBD5}"/>
    <cellStyle name="Tusenskille 3 2 2 3" xfId="142" xr:uid="{00000000-0005-0000-0000-00007F020000}"/>
    <cellStyle name="Tusenskille 3 2 2 3 2" xfId="1818" xr:uid="{2E5B3809-48A1-4FAA-9191-543580162E2A}"/>
    <cellStyle name="Tusenskille 3 2 2 3 2 2" xfId="3486" xr:uid="{B7EEA232-BACE-456D-8B4A-A30BE813A245}"/>
    <cellStyle name="Tusenskille 3 2 2 3 3" xfId="982" xr:uid="{F081DCF4-ED45-4668-A63A-E8EEA85B4A97}"/>
    <cellStyle name="Tusenskille 3 2 2 3 4" xfId="2652" xr:uid="{85CD039E-231E-459C-BC0E-1ED7B7F15202}"/>
    <cellStyle name="Tusenskille 3 2 2 4" xfId="232" xr:uid="{00000000-0005-0000-0000-000080020000}"/>
    <cellStyle name="Tusenskille 3 2 2 4 2" xfId="1908" xr:uid="{858AB40B-14E8-49E0-927B-B2B0C42E25C3}"/>
    <cellStyle name="Tusenskille 3 2 2 4 2 2" xfId="3576" xr:uid="{8E3B62D8-BFE6-48D0-8F46-97D5FD999A8B}"/>
    <cellStyle name="Tusenskille 3 2 2 4 3" xfId="1072" xr:uid="{B18E1318-1126-427E-8A31-00C63CF60048}"/>
    <cellStyle name="Tusenskille 3 2 2 4 4" xfId="2742" xr:uid="{EF768BAF-2101-4EA7-9496-EA3E3982037C}"/>
    <cellStyle name="Tusenskille 3 2 2 5" xfId="322" xr:uid="{00000000-0005-0000-0000-000081020000}"/>
    <cellStyle name="Tusenskille 3 2 2 5 2" xfId="1998" xr:uid="{57905A17-65A0-4107-A118-323B711A43AE}"/>
    <cellStyle name="Tusenskille 3 2 2 5 2 2" xfId="3666" xr:uid="{E40FD23E-4593-48D6-B37C-1139922D62A7}"/>
    <cellStyle name="Tusenskille 3 2 2 5 3" xfId="1162" xr:uid="{06973F49-ABDA-4CFB-946C-9D0FBB0130FA}"/>
    <cellStyle name="Tusenskille 3 2 2 5 4" xfId="2832" xr:uid="{125A4F78-E82B-4B2D-9D54-43B3C9C5FA17}"/>
    <cellStyle name="Tusenskille 3 2 2 6" xfId="412" xr:uid="{00000000-0005-0000-0000-000082020000}"/>
    <cellStyle name="Tusenskille 3 2 2 6 2" xfId="2088" xr:uid="{57424F07-C58C-49F2-A3EE-E8B45A593E5D}"/>
    <cellStyle name="Tusenskille 3 2 2 6 2 2" xfId="3756" xr:uid="{7B207AFE-2026-43A8-907D-6DA38F329B90}"/>
    <cellStyle name="Tusenskille 3 2 2 6 3" xfId="1252" xr:uid="{72443FF6-2906-4293-9BEF-4D08AAE04689}"/>
    <cellStyle name="Tusenskille 3 2 2 6 4" xfId="2922" xr:uid="{375DDE31-F6C8-4D94-8FE8-B5A312B7DFB4}"/>
    <cellStyle name="Tusenskille 3 2 2 7" xfId="502" xr:uid="{00000000-0005-0000-0000-000083020000}"/>
    <cellStyle name="Tusenskille 3 2 2 7 2" xfId="2178" xr:uid="{9BA9D0D3-59BA-4C99-A03C-608C40A6489D}"/>
    <cellStyle name="Tusenskille 3 2 2 7 2 2" xfId="3846" xr:uid="{18722006-14CB-4482-9608-AFE2579A9708}"/>
    <cellStyle name="Tusenskille 3 2 2 7 3" xfId="1342" xr:uid="{D40535D2-F3D1-496B-B0AE-70722D6458BB}"/>
    <cellStyle name="Tusenskille 3 2 2 7 4" xfId="3012" xr:uid="{4F2E238B-D7A3-4EDF-8FE7-2DB91ED5765A}"/>
    <cellStyle name="Tusenskille 3 2 2 8" xfId="592" xr:uid="{00000000-0005-0000-0000-000084020000}"/>
    <cellStyle name="Tusenskille 3 2 2 8 2" xfId="2268" xr:uid="{69757524-2573-4031-A8D5-40624FA88166}"/>
    <cellStyle name="Tusenskille 3 2 2 8 2 2" xfId="3936" xr:uid="{03A3887A-0F69-4139-89C7-4C3C3655F18D}"/>
    <cellStyle name="Tusenskille 3 2 2 8 3" xfId="1432" xr:uid="{6467B2AC-D895-43B0-B3CD-1589ED23243D}"/>
    <cellStyle name="Tusenskille 3 2 2 8 4" xfId="3102" xr:uid="{7187C322-2D4F-4EE5-8071-E2E34D3FA8D6}"/>
    <cellStyle name="Tusenskille 3 2 2 9" xfId="682" xr:uid="{00000000-0005-0000-0000-000085020000}"/>
    <cellStyle name="Tusenskille 3 2 2 9 2" xfId="2358" xr:uid="{FFA40716-C5C0-4B88-B5A8-4AADC2F72B8B}"/>
    <cellStyle name="Tusenskille 3 2 2 9 2 2" xfId="4026" xr:uid="{3B9BF274-B0A5-40E0-B2F7-B3642243DD4D}"/>
    <cellStyle name="Tusenskille 3 2 2 9 3" xfId="1522" xr:uid="{A79817AF-2965-41DA-BA63-DE6D5AEA7E35}"/>
    <cellStyle name="Tusenskille 3 2 2 9 4" xfId="3192" xr:uid="{E137AB2D-2D6C-493E-B887-469109855E4A}"/>
    <cellStyle name="Tusenskille 3 2 3" xfId="67" xr:uid="{00000000-0005-0000-0000-000086020000}"/>
    <cellStyle name="Tusenskille 3 2 3 10" xfId="1744" xr:uid="{53878984-1D02-4A53-A4B6-98C828F6776C}"/>
    <cellStyle name="Tusenskille 3 2 3 10 2" xfId="3412" xr:uid="{BD8AE3D9-CF93-45AB-9A20-20EC6583F8CD}"/>
    <cellStyle name="Tusenskille 3 2 3 11" xfId="908" xr:uid="{BA8C8C62-B717-4693-BB06-0DF062F22205}"/>
    <cellStyle name="Tusenskille 3 2 3 12" xfId="2578" xr:uid="{F4D5C6F2-6B4B-4174-9B2E-136055E43845}"/>
    <cellStyle name="Tusenskille 3 2 3 2" xfId="160" xr:uid="{00000000-0005-0000-0000-000087020000}"/>
    <cellStyle name="Tusenskille 3 2 3 2 2" xfId="1836" xr:uid="{82510C28-6F36-478A-8F76-D2586DE2654B}"/>
    <cellStyle name="Tusenskille 3 2 3 2 2 2" xfId="3504" xr:uid="{88DE6D36-FEED-477E-B33C-EAEE689C3E28}"/>
    <cellStyle name="Tusenskille 3 2 3 2 3" xfId="1000" xr:uid="{45F4397A-0E56-4A8D-A558-CB38E24C486E}"/>
    <cellStyle name="Tusenskille 3 2 3 2 4" xfId="2670" xr:uid="{41C69356-F37D-454E-B4BE-09AD76DB42A0}"/>
    <cellStyle name="Tusenskille 3 2 3 3" xfId="250" xr:uid="{00000000-0005-0000-0000-000088020000}"/>
    <cellStyle name="Tusenskille 3 2 3 3 2" xfId="1926" xr:uid="{B357E956-B503-4FAA-9D88-7A6374974335}"/>
    <cellStyle name="Tusenskille 3 2 3 3 2 2" xfId="3594" xr:uid="{4337C794-36AB-4ABC-912F-368CCBD932D0}"/>
    <cellStyle name="Tusenskille 3 2 3 3 3" xfId="1090" xr:uid="{B876242D-447E-4F7D-8FE3-1D89DC3D6879}"/>
    <cellStyle name="Tusenskille 3 2 3 3 4" xfId="2760" xr:uid="{B4C9F316-B7C5-4F3F-87EF-15659FE90909}"/>
    <cellStyle name="Tusenskille 3 2 3 4" xfId="340" xr:uid="{00000000-0005-0000-0000-000089020000}"/>
    <cellStyle name="Tusenskille 3 2 3 4 2" xfId="2016" xr:uid="{2FFBF883-0DA6-42DE-B255-391DA38A0220}"/>
    <cellStyle name="Tusenskille 3 2 3 4 2 2" xfId="3684" xr:uid="{88C52E48-D278-4214-BBC6-0189FA9AE712}"/>
    <cellStyle name="Tusenskille 3 2 3 4 3" xfId="1180" xr:uid="{8D03F5AB-FED6-4176-96D7-D2C3C8CF405A}"/>
    <cellStyle name="Tusenskille 3 2 3 4 4" xfId="2850" xr:uid="{E872153B-8661-4282-BDBC-D6B6339C6C79}"/>
    <cellStyle name="Tusenskille 3 2 3 5" xfId="430" xr:uid="{00000000-0005-0000-0000-00008A020000}"/>
    <cellStyle name="Tusenskille 3 2 3 5 2" xfId="2106" xr:uid="{A81B5454-3AF9-4DD2-AA11-CDF1A2E2A04D}"/>
    <cellStyle name="Tusenskille 3 2 3 5 2 2" xfId="3774" xr:uid="{C9FBB665-F3DA-4BDD-9AAE-069569A3124A}"/>
    <cellStyle name="Tusenskille 3 2 3 5 3" xfId="1270" xr:uid="{B847A998-72ED-4DB5-AFC9-7C7D61742F37}"/>
    <cellStyle name="Tusenskille 3 2 3 5 4" xfId="2940" xr:uid="{4FEC7BE7-C565-4D88-90B8-5CFB5DE9A7F0}"/>
    <cellStyle name="Tusenskille 3 2 3 6" xfId="520" xr:uid="{00000000-0005-0000-0000-00008B020000}"/>
    <cellStyle name="Tusenskille 3 2 3 6 2" xfId="2196" xr:uid="{6B7CF65A-1ADF-4045-93E3-18A786BF123A}"/>
    <cellStyle name="Tusenskille 3 2 3 6 2 2" xfId="3864" xr:uid="{FD99612F-5A4D-41F3-A610-A25AE0F0B95E}"/>
    <cellStyle name="Tusenskille 3 2 3 6 3" xfId="1360" xr:uid="{70A999E7-0E88-4A1B-AAA5-B856F8AE4523}"/>
    <cellStyle name="Tusenskille 3 2 3 6 4" xfId="3030" xr:uid="{C8BE9D5B-AB4C-44DC-8D91-249747557B3C}"/>
    <cellStyle name="Tusenskille 3 2 3 7" xfId="610" xr:uid="{00000000-0005-0000-0000-00008C020000}"/>
    <cellStyle name="Tusenskille 3 2 3 7 2" xfId="2286" xr:uid="{9FAE3E0B-587A-498A-AE8B-37ED72D24D8F}"/>
    <cellStyle name="Tusenskille 3 2 3 7 2 2" xfId="3954" xr:uid="{FD1666B1-4DEC-47FB-9BE1-F8A7B5FA8111}"/>
    <cellStyle name="Tusenskille 3 2 3 7 3" xfId="1450" xr:uid="{F492C2A7-9FB8-40F4-B542-52AF7A3B5085}"/>
    <cellStyle name="Tusenskille 3 2 3 7 4" xfId="3120" xr:uid="{09FDFCAA-9FD0-4C4E-B2A4-97E523410314}"/>
    <cellStyle name="Tusenskille 3 2 3 8" xfId="700" xr:uid="{00000000-0005-0000-0000-00008D020000}"/>
    <cellStyle name="Tusenskille 3 2 3 8 2" xfId="2376" xr:uid="{51909B3C-801B-472F-8E95-2C5664FA52F7}"/>
    <cellStyle name="Tusenskille 3 2 3 8 2 2" xfId="4044" xr:uid="{F0A0FDE4-1102-43EB-9B97-56352EF9EED1}"/>
    <cellStyle name="Tusenskille 3 2 3 8 3" xfId="1540" xr:uid="{59089A61-29AB-49BA-B3BD-FBEA1C481522}"/>
    <cellStyle name="Tusenskille 3 2 3 8 4" xfId="3210" xr:uid="{07B8C986-E271-422B-8D98-E3114848E4FD}"/>
    <cellStyle name="Tusenskille 3 2 3 9" xfId="797" xr:uid="{00000000-0005-0000-0000-00008E020000}"/>
    <cellStyle name="Tusenskille 3 2 3 9 2" xfId="2473" xr:uid="{FBC500BD-845A-483C-9498-3F9D1102CAC1}"/>
    <cellStyle name="Tusenskille 3 2 3 9 2 2" xfId="4141" xr:uid="{C938F11A-504A-47D8-8ADD-F1ADF1B28BE2}"/>
    <cellStyle name="Tusenskille 3 2 3 9 3" xfId="1637" xr:uid="{47EAD93B-AE24-4DDF-8D5B-B7973A5AB0AD}"/>
    <cellStyle name="Tusenskille 3 2 3 9 4" xfId="3307" xr:uid="{97ED3960-A2DA-4964-BF79-391556CD84F7}"/>
    <cellStyle name="Tusenskille 3 2 4" xfId="123" xr:uid="{00000000-0005-0000-0000-00008F020000}"/>
    <cellStyle name="Tusenskille 3 2 4 2" xfId="1799" xr:uid="{E966AF66-092E-4A7F-9514-DBD391F985FD}"/>
    <cellStyle name="Tusenskille 3 2 4 2 2" xfId="3467" xr:uid="{64D9D613-77A9-45FA-8B4D-FE52A5E59E0B}"/>
    <cellStyle name="Tusenskille 3 2 4 3" xfId="963" xr:uid="{DB9B8F78-88DE-484A-A5DF-F817D640B505}"/>
    <cellStyle name="Tusenskille 3 2 4 4" xfId="2633" xr:uid="{C6E5DC2A-9852-407A-ACEF-FE195B3C7704}"/>
    <cellStyle name="Tusenskille 3 2 5" xfId="213" xr:uid="{00000000-0005-0000-0000-000090020000}"/>
    <cellStyle name="Tusenskille 3 2 5 2" xfId="1889" xr:uid="{BC28BFCE-8B7E-4021-9C1B-5DCF1261B827}"/>
    <cellStyle name="Tusenskille 3 2 5 2 2" xfId="3557" xr:uid="{0EFB2F25-137E-4815-8235-19EFEF38B8CD}"/>
    <cellStyle name="Tusenskille 3 2 5 3" xfId="1053" xr:uid="{C1904D3F-C745-4DC2-9921-AA7F4BDBF3D7}"/>
    <cellStyle name="Tusenskille 3 2 5 4" xfId="2723" xr:uid="{61E35907-B948-4088-BDCE-F2BF537555F6}"/>
    <cellStyle name="Tusenskille 3 2 6" xfId="303" xr:uid="{00000000-0005-0000-0000-000091020000}"/>
    <cellStyle name="Tusenskille 3 2 6 2" xfId="1979" xr:uid="{3C1FC844-94D4-429D-8F12-EFAEB5D7ECCF}"/>
    <cellStyle name="Tusenskille 3 2 6 2 2" xfId="3647" xr:uid="{ABD30FA0-F74F-469A-B485-E724C4A87E74}"/>
    <cellStyle name="Tusenskille 3 2 6 3" xfId="1143" xr:uid="{C1577E0A-1410-46FA-8C16-882EC1E0C9E3}"/>
    <cellStyle name="Tusenskille 3 2 6 4" xfId="2813" xr:uid="{400E74B9-5D87-4AF6-969E-EE87C8BB2494}"/>
    <cellStyle name="Tusenskille 3 2 7" xfId="393" xr:uid="{00000000-0005-0000-0000-000092020000}"/>
    <cellStyle name="Tusenskille 3 2 7 2" xfId="2069" xr:uid="{B5C1BF83-E2FB-4AF2-9090-8E832185849D}"/>
    <cellStyle name="Tusenskille 3 2 7 2 2" xfId="3737" xr:uid="{206BE999-F544-4BB3-A1D6-0F43763E3F32}"/>
    <cellStyle name="Tusenskille 3 2 7 3" xfId="1233" xr:uid="{F3E070CC-5247-4CD3-9C35-B0665B9E3F2B}"/>
    <cellStyle name="Tusenskille 3 2 7 4" xfId="2903" xr:uid="{7FBB7851-763F-4BA8-A681-C71F74FC9511}"/>
    <cellStyle name="Tusenskille 3 2 8" xfId="483" xr:uid="{00000000-0005-0000-0000-000093020000}"/>
    <cellStyle name="Tusenskille 3 2 8 2" xfId="2159" xr:uid="{A662608D-F5DE-4D72-9FB7-73F2ECA00C48}"/>
    <cellStyle name="Tusenskille 3 2 8 2 2" xfId="3827" xr:uid="{D5DAA14E-5B88-4342-AD8E-0625F4EAD6F1}"/>
    <cellStyle name="Tusenskille 3 2 8 3" xfId="1323" xr:uid="{F4E65BC0-917B-4216-A660-F271B76C2749}"/>
    <cellStyle name="Tusenskille 3 2 8 4" xfId="2993" xr:uid="{B2AA985B-18CE-49CA-BAB0-D7C9E32D91AC}"/>
    <cellStyle name="Tusenskille 3 2 9" xfId="573" xr:uid="{00000000-0005-0000-0000-000094020000}"/>
    <cellStyle name="Tusenskille 3 2 9 2" xfId="2249" xr:uid="{775E7E20-BF43-4698-95F4-2B1A46096FDB}"/>
    <cellStyle name="Tusenskille 3 2 9 2 2" xfId="3917" xr:uid="{10824976-0079-4EBC-9B4F-29D7FF650291}"/>
    <cellStyle name="Tusenskille 3 2 9 3" xfId="1413" xr:uid="{FBD8CE6F-C837-4F3B-BE08-89FBFBCC0375}"/>
    <cellStyle name="Tusenskille 3 2 9 4" xfId="3083" xr:uid="{540ED773-5154-4E3B-B80E-B20CC29D712C}"/>
    <cellStyle name="Tusenskille 3 20" xfId="659" xr:uid="{00000000-0005-0000-0000-000095020000}"/>
    <cellStyle name="Tusenskille 3 20 2" xfId="2335" xr:uid="{193472E8-3039-4E07-B2DB-686DDA3298C9}"/>
    <cellStyle name="Tusenskille 3 20 2 2" xfId="4003" xr:uid="{751AB38E-CED5-44BB-AB2D-B0A2391CEBC4}"/>
    <cellStyle name="Tusenskille 3 20 3" xfId="1499" xr:uid="{43A32261-0EB4-4C6C-8C6D-5AD7B1E96925}"/>
    <cellStyle name="Tusenskille 3 20 4" xfId="3169" xr:uid="{5AEADF6D-4976-482C-A3E2-ED64BEE828FB}"/>
    <cellStyle name="Tusenskille 3 21" xfId="752" xr:uid="{00000000-0005-0000-0000-000096020000}"/>
    <cellStyle name="Tusenskille 3 21 2" xfId="2428" xr:uid="{BBD28E82-0E4A-4ECE-9D13-08718E751E0B}"/>
    <cellStyle name="Tusenskille 3 21 2 2" xfId="4096" xr:uid="{4B33E3D6-7C8E-4873-939E-F1214D2029E2}"/>
    <cellStyle name="Tusenskille 3 21 3" xfId="1592" xr:uid="{2CA991E5-AA66-445C-9C4C-83E47B6723C6}"/>
    <cellStyle name="Tusenskille 3 21 4" xfId="3262" xr:uid="{26473EDD-C104-4D46-AF09-5A47E3738A48}"/>
    <cellStyle name="Tusenskille 3 22" xfId="1699" xr:uid="{E4F27F5D-414C-4A3F-8265-F933D8087B96}"/>
    <cellStyle name="Tusenskille 3 22 2" xfId="3367" xr:uid="{7C3C340E-EE0E-4D66-AC7B-464E260DC740}"/>
    <cellStyle name="Tusenskille 3 23" xfId="863" xr:uid="{1C9FF95C-7144-4075-9872-889DC85C9E75}"/>
    <cellStyle name="Tusenskille 3 24" xfId="2533" xr:uid="{E7CF08DD-8D8D-4A0F-AB91-115ADF308505}"/>
    <cellStyle name="Tusenskille 3 3" xfId="27" xr:uid="{00000000-0005-0000-0000-000097020000}"/>
    <cellStyle name="Tusenskille 3 3 10" xfId="666" xr:uid="{00000000-0005-0000-0000-000098020000}"/>
    <cellStyle name="Tusenskille 3 3 10 2" xfId="2342" xr:uid="{C9131018-6858-45F5-8472-89C87ED619EE}"/>
    <cellStyle name="Tusenskille 3 3 10 2 2" xfId="4010" xr:uid="{45C096BD-C2FD-4A27-A9EE-85C779377604}"/>
    <cellStyle name="Tusenskille 3 3 10 3" xfId="1506" xr:uid="{E1178F3C-F722-4331-AE00-2EB4C7F1FBA6}"/>
    <cellStyle name="Tusenskille 3 3 10 4" xfId="3176" xr:uid="{3BEB7079-F7A2-4693-9B03-A8D8E344932F}"/>
    <cellStyle name="Tusenskille 3 3 11" xfId="761" xr:uid="{00000000-0005-0000-0000-000099020000}"/>
    <cellStyle name="Tusenskille 3 3 11 2" xfId="2437" xr:uid="{8739E66E-53C1-4BEC-AA7E-D68128BFD973}"/>
    <cellStyle name="Tusenskille 3 3 11 2 2" xfId="4105" xr:uid="{3CB28061-24E6-4649-9FD5-C263503B0F1A}"/>
    <cellStyle name="Tusenskille 3 3 11 3" xfId="1601" xr:uid="{5EA9288E-A966-4DC3-B1B7-ACF9EF547D65}"/>
    <cellStyle name="Tusenskille 3 3 11 4" xfId="3271" xr:uid="{6BCE0A26-DBAA-49BF-8871-68DE1B050497}"/>
    <cellStyle name="Tusenskille 3 3 12" xfId="1708" xr:uid="{40C4DAB9-2C03-4BCD-8A0A-190B565C2473}"/>
    <cellStyle name="Tusenskille 3 3 12 2" xfId="3376" xr:uid="{3AF5F704-1636-44FE-A4A8-976AC4D518CD}"/>
    <cellStyle name="Tusenskille 3 3 13" xfId="872" xr:uid="{F59C4F91-DE81-4FE2-874F-DB0148E6B69E}"/>
    <cellStyle name="Tusenskille 3 3 14" xfId="2542" xr:uid="{CFE61CB9-8E13-40FF-B75B-C83AD6636353}"/>
    <cellStyle name="Tusenskille 3 3 2" xfId="49" xr:uid="{00000000-0005-0000-0000-00009A020000}"/>
    <cellStyle name="Tusenskille 3 3 2 10" xfId="781" xr:uid="{00000000-0005-0000-0000-00009B020000}"/>
    <cellStyle name="Tusenskille 3 3 2 10 2" xfId="2457" xr:uid="{D91E050A-A846-4E0D-ADDC-FBC28FD74B17}"/>
    <cellStyle name="Tusenskille 3 3 2 10 2 2" xfId="4125" xr:uid="{3985B549-134D-4F26-ABD2-2D13310839A0}"/>
    <cellStyle name="Tusenskille 3 3 2 10 3" xfId="1621" xr:uid="{8752BBCC-53C8-444C-BC49-30E0557F52F6}"/>
    <cellStyle name="Tusenskille 3 3 2 10 4" xfId="3291" xr:uid="{0F7A8C05-36E6-4504-AE9D-81EE91683342}"/>
    <cellStyle name="Tusenskille 3 3 2 11" xfId="1728" xr:uid="{C9B86342-7F32-4C13-AF65-9466744D15F2}"/>
    <cellStyle name="Tusenskille 3 3 2 11 2" xfId="3396" xr:uid="{9D2F7577-35CF-47AF-9940-2D96C5BF3583}"/>
    <cellStyle name="Tusenskille 3 3 2 12" xfId="892" xr:uid="{2E3B387D-2719-490E-98A1-EDC9AAA6322C}"/>
    <cellStyle name="Tusenskille 3 3 2 13" xfId="2562" xr:uid="{445C9873-68C3-4E41-A762-B84AC98EC65B}"/>
    <cellStyle name="Tusenskille 3 3 2 2" xfId="89" xr:uid="{00000000-0005-0000-0000-00009C020000}"/>
    <cellStyle name="Tusenskille 3 3 2 2 10" xfId="1766" xr:uid="{5BD2F782-F110-4D48-98C5-68450BDA231F}"/>
    <cellStyle name="Tusenskille 3 3 2 2 10 2" xfId="3434" xr:uid="{DBB03359-C19E-4641-AAC5-99EAF0273FF5}"/>
    <cellStyle name="Tusenskille 3 3 2 2 11" xfId="930" xr:uid="{F4A73D66-8E66-47F8-972D-23D4DA08D6B5}"/>
    <cellStyle name="Tusenskille 3 3 2 2 12" xfId="2600" xr:uid="{AA89F6D5-A7E1-4BCD-8F36-855F6258756F}"/>
    <cellStyle name="Tusenskille 3 3 2 2 2" xfId="182" xr:uid="{00000000-0005-0000-0000-00009D020000}"/>
    <cellStyle name="Tusenskille 3 3 2 2 2 2" xfId="1858" xr:uid="{F3061604-D55C-461B-89E9-DD08825874DC}"/>
    <cellStyle name="Tusenskille 3 3 2 2 2 2 2" xfId="3526" xr:uid="{9E39A93D-3C8A-41EA-A8DD-4FDE3236C093}"/>
    <cellStyle name="Tusenskille 3 3 2 2 2 3" xfId="1022" xr:uid="{1129B071-F8AC-4177-A9AB-8C6BBC9F7B84}"/>
    <cellStyle name="Tusenskille 3 3 2 2 2 4" xfId="2692" xr:uid="{9655E05D-58ED-4E6F-9C86-4F0F775AE419}"/>
    <cellStyle name="Tusenskille 3 3 2 2 3" xfId="272" xr:uid="{00000000-0005-0000-0000-00009E020000}"/>
    <cellStyle name="Tusenskille 3 3 2 2 3 2" xfId="1948" xr:uid="{212F7094-6101-49F0-A34C-194A955C6BA5}"/>
    <cellStyle name="Tusenskille 3 3 2 2 3 2 2" xfId="3616" xr:uid="{A1D4D9A1-8348-4525-B6E8-6B06094F1ED3}"/>
    <cellStyle name="Tusenskille 3 3 2 2 3 3" xfId="1112" xr:uid="{C1530EC3-0B7D-4692-82E4-F09883D21F5B}"/>
    <cellStyle name="Tusenskille 3 3 2 2 3 4" xfId="2782" xr:uid="{95EE9423-FC7F-4A63-8467-AC02047C7BDF}"/>
    <cellStyle name="Tusenskille 3 3 2 2 4" xfId="362" xr:uid="{00000000-0005-0000-0000-00009F020000}"/>
    <cellStyle name="Tusenskille 3 3 2 2 4 2" xfId="2038" xr:uid="{F1EFF7BE-6902-49F5-A65B-A6B72B27B073}"/>
    <cellStyle name="Tusenskille 3 3 2 2 4 2 2" xfId="3706" xr:uid="{D1D656A5-5789-4E1C-9DCB-B6A11085BE02}"/>
    <cellStyle name="Tusenskille 3 3 2 2 4 3" xfId="1202" xr:uid="{FEC8EE64-A502-443E-9E08-88877D086F7B}"/>
    <cellStyle name="Tusenskille 3 3 2 2 4 4" xfId="2872" xr:uid="{99091D2F-8A3E-4235-AC01-ABE5B31C84B2}"/>
    <cellStyle name="Tusenskille 3 3 2 2 5" xfId="452" xr:uid="{00000000-0005-0000-0000-0000A0020000}"/>
    <cellStyle name="Tusenskille 3 3 2 2 5 2" xfId="2128" xr:uid="{9EAF202A-A0D3-4739-87C7-3A1BDF8948DA}"/>
    <cellStyle name="Tusenskille 3 3 2 2 5 2 2" xfId="3796" xr:uid="{2A222225-7A4E-432E-849B-527B6158A54E}"/>
    <cellStyle name="Tusenskille 3 3 2 2 5 3" xfId="1292" xr:uid="{F40E13C4-6845-44A6-9AA0-BA9BE7697D51}"/>
    <cellStyle name="Tusenskille 3 3 2 2 5 4" xfId="2962" xr:uid="{B7B2C86C-30FD-4180-B6C7-F4BAC5C126C0}"/>
    <cellStyle name="Tusenskille 3 3 2 2 6" xfId="542" xr:uid="{00000000-0005-0000-0000-0000A1020000}"/>
    <cellStyle name="Tusenskille 3 3 2 2 6 2" xfId="2218" xr:uid="{26101EA9-2469-413D-AC28-F4E08B667AC0}"/>
    <cellStyle name="Tusenskille 3 3 2 2 6 2 2" xfId="3886" xr:uid="{16662F3F-F27F-445D-989B-BE86872D7CAC}"/>
    <cellStyle name="Tusenskille 3 3 2 2 6 3" xfId="1382" xr:uid="{473F1030-FF79-42C7-BA2E-163B797460A1}"/>
    <cellStyle name="Tusenskille 3 3 2 2 6 4" xfId="3052" xr:uid="{A2F1E18F-E3BF-48F2-9EF7-298291AFCD60}"/>
    <cellStyle name="Tusenskille 3 3 2 2 7" xfId="632" xr:uid="{00000000-0005-0000-0000-0000A2020000}"/>
    <cellStyle name="Tusenskille 3 3 2 2 7 2" xfId="2308" xr:uid="{0A15237C-D44E-4B54-BF9F-E478274981C9}"/>
    <cellStyle name="Tusenskille 3 3 2 2 7 2 2" xfId="3976" xr:uid="{4FFB3E90-D5B1-4337-A448-AFB9CBEB93D7}"/>
    <cellStyle name="Tusenskille 3 3 2 2 7 3" xfId="1472" xr:uid="{6BD0C295-6145-4840-90FF-D2981E0E6B32}"/>
    <cellStyle name="Tusenskille 3 3 2 2 7 4" xfId="3142" xr:uid="{482EE434-996A-44AD-880D-4996D6E5E40C}"/>
    <cellStyle name="Tusenskille 3 3 2 2 8" xfId="722" xr:uid="{00000000-0005-0000-0000-0000A3020000}"/>
    <cellStyle name="Tusenskille 3 3 2 2 8 2" xfId="2398" xr:uid="{84F78B81-F00F-418B-AE1C-0911C77FA5AA}"/>
    <cellStyle name="Tusenskille 3 3 2 2 8 2 2" xfId="4066" xr:uid="{0F8A6A13-9DD6-4384-BC6E-CB7EF8AAF09B}"/>
    <cellStyle name="Tusenskille 3 3 2 2 8 3" xfId="1562" xr:uid="{2263FF5E-27E6-452D-A84E-B9724F87A0C7}"/>
    <cellStyle name="Tusenskille 3 3 2 2 8 4" xfId="3232" xr:uid="{DFA442AE-E133-4BEA-A465-D4E8BE53AFDD}"/>
    <cellStyle name="Tusenskille 3 3 2 2 9" xfId="819" xr:uid="{00000000-0005-0000-0000-0000A4020000}"/>
    <cellStyle name="Tusenskille 3 3 2 2 9 2" xfId="2495" xr:uid="{493CD9FD-5C96-406F-9245-7024D607576C}"/>
    <cellStyle name="Tusenskille 3 3 2 2 9 2 2" xfId="4163" xr:uid="{1393A579-2495-412A-8418-84566D76C065}"/>
    <cellStyle name="Tusenskille 3 3 2 2 9 3" xfId="1659" xr:uid="{0B7B1E89-E853-43A1-919D-40694403F74A}"/>
    <cellStyle name="Tusenskille 3 3 2 2 9 4" xfId="3329" xr:uid="{AAECBC5E-7D00-41F1-8CDC-9B78209BE1CB}"/>
    <cellStyle name="Tusenskille 3 3 2 3" xfId="145" xr:uid="{00000000-0005-0000-0000-0000A5020000}"/>
    <cellStyle name="Tusenskille 3 3 2 3 2" xfId="1821" xr:uid="{9F5F891F-0A2D-4C0A-83CD-C49022937BB1}"/>
    <cellStyle name="Tusenskille 3 3 2 3 2 2" xfId="3489" xr:uid="{DD5EAD18-4837-4025-8581-B1B72E73F3CF}"/>
    <cellStyle name="Tusenskille 3 3 2 3 3" xfId="985" xr:uid="{71854715-626A-4867-8C24-65C754C961AC}"/>
    <cellStyle name="Tusenskille 3 3 2 3 4" xfId="2655" xr:uid="{55F21B7C-ADA6-444A-B1BB-692D967BD3FC}"/>
    <cellStyle name="Tusenskille 3 3 2 4" xfId="235" xr:uid="{00000000-0005-0000-0000-0000A6020000}"/>
    <cellStyle name="Tusenskille 3 3 2 4 2" xfId="1911" xr:uid="{BD4CAEC7-6F76-4828-8184-FFC83CFB6E15}"/>
    <cellStyle name="Tusenskille 3 3 2 4 2 2" xfId="3579" xr:uid="{B3A23B57-876F-4A7B-9699-963DEF727FE5}"/>
    <cellStyle name="Tusenskille 3 3 2 4 3" xfId="1075" xr:uid="{44D5C860-E54A-418E-BEC9-31CA588C610F}"/>
    <cellStyle name="Tusenskille 3 3 2 4 4" xfId="2745" xr:uid="{8F1544E8-95D3-49CC-8DB6-C356EA9C0B07}"/>
    <cellStyle name="Tusenskille 3 3 2 5" xfId="325" xr:uid="{00000000-0005-0000-0000-0000A7020000}"/>
    <cellStyle name="Tusenskille 3 3 2 5 2" xfId="2001" xr:uid="{FF06771F-2FC5-429E-96DB-8BA5ABFC5BEF}"/>
    <cellStyle name="Tusenskille 3 3 2 5 2 2" xfId="3669" xr:uid="{C64DB897-C808-4A2B-8F62-2D7AF2AC951E}"/>
    <cellStyle name="Tusenskille 3 3 2 5 3" xfId="1165" xr:uid="{0AEAF3EB-0331-483F-9BBE-C634595D1D43}"/>
    <cellStyle name="Tusenskille 3 3 2 5 4" xfId="2835" xr:uid="{FF226B82-4561-4850-81F1-84F9AB7036C7}"/>
    <cellStyle name="Tusenskille 3 3 2 6" xfId="415" xr:uid="{00000000-0005-0000-0000-0000A8020000}"/>
    <cellStyle name="Tusenskille 3 3 2 6 2" xfId="2091" xr:uid="{CFD655B8-C6D2-4FA8-8707-AC8102A154AA}"/>
    <cellStyle name="Tusenskille 3 3 2 6 2 2" xfId="3759" xr:uid="{732953A7-2C6A-4DCC-B883-ABF7CC2E2926}"/>
    <cellStyle name="Tusenskille 3 3 2 6 3" xfId="1255" xr:uid="{63D95339-08F8-4EDA-B08B-83B4EE498002}"/>
    <cellStyle name="Tusenskille 3 3 2 6 4" xfId="2925" xr:uid="{9BE8FFC8-59ED-48B3-8654-F6EA07A60075}"/>
    <cellStyle name="Tusenskille 3 3 2 7" xfId="505" xr:uid="{00000000-0005-0000-0000-0000A9020000}"/>
    <cellStyle name="Tusenskille 3 3 2 7 2" xfId="2181" xr:uid="{AB67C687-4CB0-4887-BE72-EC339E049993}"/>
    <cellStyle name="Tusenskille 3 3 2 7 2 2" xfId="3849" xr:uid="{3AD32A67-1B1E-4D14-AE15-34B55B6FC172}"/>
    <cellStyle name="Tusenskille 3 3 2 7 3" xfId="1345" xr:uid="{B5C5FA70-AC44-4765-961D-A6B384C85BD9}"/>
    <cellStyle name="Tusenskille 3 3 2 7 4" xfId="3015" xr:uid="{0911B5F0-C540-42EB-A585-3BE8C38F4310}"/>
    <cellStyle name="Tusenskille 3 3 2 8" xfId="595" xr:uid="{00000000-0005-0000-0000-0000AA020000}"/>
    <cellStyle name="Tusenskille 3 3 2 8 2" xfId="2271" xr:uid="{9F17544B-82BE-4C90-B846-69CCBF7738B9}"/>
    <cellStyle name="Tusenskille 3 3 2 8 2 2" xfId="3939" xr:uid="{6FA5BBCD-2549-42D2-B746-307295D8ECB3}"/>
    <cellStyle name="Tusenskille 3 3 2 8 3" xfId="1435" xr:uid="{B09864D6-66AD-4C9D-9FBB-46530F6047CF}"/>
    <cellStyle name="Tusenskille 3 3 2 8 4" xfId="3105" xr:uid="{364085E5-E2DA-4D1A-8315-160094BCF180}"/>
    <cellStyle name="Tusenskille 3 3 2 9" xfId="685" xr:uid="{00000000-0005-0000-0000-0000AB020000}"/>
    <cellStyle name="Tusenskille 3 3 2 9 2" xfId="2361" xr:uid="{25F982F2-119D-4805-9FE9-7F15E9DDC287}"/>
    <cellStyle name="Tusenskille 3 3 2 9 2 2" xfId="4029" xr:uid="{F77AE8CF-3BA0-496A-B438-2BDFE08FE9D0}"/>
    <cellStyle name="Tusenskille 3 3 2 9 3" xfId="1525" xr:uid="{67624609-6582-4813-BC20-727EC3D12437}"/>
    <cellStyle name="Tusenskille 3 3 2 9 4" xfId="3195" xr:uid="{DD5357A8-AE49-4E4D-A84C-9DADD40DD515}"/>
    <cellStyle name="Tusenskille 3 3 3" xfId="70" xr:uid="{00000000-0005-0000-0000-0000AC020000}"/>
    <cellStyle name="Tusenskille 3 3 3 10" xfId="1747" xr:uid="{954415A8-B6D0-4F4D-B805-D32385018A60}"/>
    <cellStyle name="Tusenskille 3 3 3 10 2" xfId="3415" xr:uid="{04CFB7C0-0A8B-46C9-B5BD-3C4A78074ECB}"/>
    <cellStyle name="Tusenskille 3 3 3 11" xfId="911" xr:uid="{9FEFA391-C419-4D56-BB0E-320001BA6C3F}"/>
    <cellStyle name="Tusenskille 3 3 3 12" xfId="2581" xr:uid="{021FCC2E-A730-478D-A58B-533DDFCC4328}"/>
    <cellStyle name="Tusenskille 3 3 3 2" xfId="163" xr:uid="{00000000-0005-0000-0000-0000AD020000}"/>
    <cellStyle name="Tusenskille 3 3 3 2 2" xfId="1839" xr:uid="{777EAA70-3AAB-4983-BB07-AECE0D225A6C}"/>
    <cellStyle name="Tusenskille 3 3 3 2 2 2" xfId="3507" xr:uid="{57DC3C74-C5B3-4926-9C8F-990D9EAEA909}"/>
    <cellStyle name="Tusenskille 3 3 3 2 3" xfId="1003" xr:uid="{E8258A4E-EFD2-47E6-8D70-1BBE846C524D}"/>
    <cellStyle name="Tusenskille 3 3 3 2 4" xfId="2673" xr:uid="{375FA947-DFCC-4FC2-9C65-455DA95C4903}"/>
    <cellStyle name="Tusenskille 3 3 3 3" xfId="253" xr:uid="{00000000-0005-0000-0000-0000AE020000}"/>
    <cellStyle name="Tusenskille 3 3 3 3 2" xfId="1929" xr:uid="{15AD1B91-008F-414C-BB45-3083F60EE4BC}"/>
    <cellStyle name="Tusenskille 3 3 3 3 2 2" xfId="3597" xr:uid="{826BF5A5-3C45-438A-8ED6-CB2CAB36877E}"/>
    <cellStyle name="Tusenskille 3 3 3 3 3" xfId="1093" xr:uid="{E7CF8516-122E-4478-9055-102ADAA1A8E1}"/>
    <cellStyle name="Tusenskille 3 3 3 3 4" xfId="2763" xr:uid="{A66826A5-4BF1-4C57-A87D-29F3BC090A7E}"/>
    <cellStyle name="Tusenskille 3 3 3 4" xfId="343" xr:uid="{00000000-0005-0000-0000-0000AF020000}"/>
    <cellStyle name="Tusenskille 3 3 3 4 2" xfId="2019" xr:uid="{6E16CEE1-46D6-4AFF-AC7C-81FE8B78DC0A}"/>
    <cellStyle name="Tusenskille 3 3 3 4 2 2" xfId="3687" xr:uid="{D78711DF-E2C5-433F-B7D3-80831910031C}"/>
    <cellStyle name="Tusenskille 3 3 3 4 3" xfId="1183" xr:uid="{61CCD4E8-4E57-4461-A469-AF05A7F1CDA2}"/>
    <cellStyle name="Tusenskille 3 3 3 4 4" xfId="2853" xr:uid="{527BF488-D94C-440D-B3D2-C9764730E03D}"/>
    <cellStyle name="Tusenskille 3 3 3 5" xfId="433" xr:uid="{00000000-0005-0000-0000-0000B0020000}"/>
    <cellStyle name="Tusenskille 3 3 3 5 2" xfId="2109" xr:uid="{52049A1C-8B2F-4DEC-A31C-DE4212AFDA7C}"/>
    <cellStyle name="Tusenskille 3 3 3 5 2 2" xfId="3777" xr:uid="{42F43F56-E724-4DB1-A628-DA6564E60503}"/>
    <cellStyle name="Tusenskille 3 3 3 5 3" xfId="1273" xr:uid="{5C82E5BA-BE12-4E5A-B060-006EB8AD9F99}"/>
    <cellStyle name="Tusenskille 3 3 3 5 4" xfId="2943" xr:uid="{06831D14-677F-445C-AFF7-AC14AFD713E1}"/>
    <cellStyle name="Tusenskille 3 3 3 6" xfId="523" xr:uid="{00000000-0005-0000-0000-0000B1020000}"/>
    <cellStyle name="Tusenskille 3 3 3 6 2" xfId="2199" xr:uid="{8599B309-556C-4B6F-9555-682E941891A4}"/>
    <cellStyle name="Tusenskille 3 3 3 6 2 2" xfId="3867" xr:uid="{3279F7D9-2FBD-4F0D-9E52-08AC85217E30}"/>
    <cellStyle name="Tusenskille 3 3 3 6 3" xfId="1363" xr:uid="{4C302C46-AFD1-4DC1-9625-E5F3CE3C10F7}"/>
    <cellStyle name="Tusenskille 3 3 3 6 4" xfId="3033" xr:uid="{2AAFE137-76DB-4813-875A-CE8971E2B9DB}"/>
    <cellStyle name="Tusenskille 3 3 3 7" xfId="613" xr:uid="{00000000-0005-0000-0000-0000B2020000}"/>
    <cellStyle name="Tusenskille 3 3 3 7 2" xfId="2289" xr:uid="{919C0FC0-1806-4245-99B8-C51C0287D2A0}"/>
    <cellStyle name="Tusenskille 3 3 3 7 2 2" xfId="3957" xr:uid="{09FBBEBE-DAFA-4715-8F34-F491E7DD97A4}"/>
    <cellStyle name="Tusenskille 3 3 3 7 3" xfId="1453" xr:uid="{6A287BE1-FB6D-42EA-AAAB-434B9EE7EB2D}"/>
    <cellStyle name="Tusenskille 3 3 3 7 4" xfId="3123" xr:uid="{C985C24F-0B87-4805-8C29-1E09DCA60756}"/>
    <cellStyle name="Tusenskille 3 3 3 8" xfId="703" xr:uid="{00000000-0005-0000-0000-0000B3020000}"/>
    <cellStyle name="Tusenskille 3 3 3 8 2" xfId="2379" xr:uid="{02DE6D92-A13C-4C25-B034-10DAB692D558}"/>
    <cellStyle name="Tusenskille 3 3 3 8 2 2" xfId="4047" xr:uid="{E7F19FBF-C37D-416D-A1F2-F3AC454F300C}"/>
    <cellStyle name="Tusenskille 3 3 3 8 3" xfId="1543" xr:uid="{0CBB0E62-85EA-4FAC-8678-5EBFD83C7BDB}"/>
    <cellStyle name="Tusenskille 3 3 3 8 4" xfId="3213" xr:uid="{A7C0701E-6F28-43F1-B13E-E563271D4259}"/>
    <cellStyle name="Tusenskille 3 3 3 9" xfId="800" xr:uid="{00000000-0005-0000-0000-0000B4020000}"/>
    <cellStyle name="Tusenskille 3 3 3 9 2" xfId="2476" xr:uid="{7FF4DA32-564D-4574-BF30-8704944001AA}"/>
    <cellStyle name="Tusenskille 3 3 3 9 2 2" xfId="4144" xr:uid="{A0E568A9-7474-444D-9C6E-00B85A30E709}"/>
    <cellStyle name="Tusenskille 3 3 3 9 3" xfId="1640" xr:uid="{25168829-60E2-4D82-876D-4794114B9349}"/>
    <cellStyle name="Tusenskille 3 3 3 9 4" xfId="3310" xr:uid="{17ADF3F8-1085-4674-AF8C-DAC4B4319C83}"/>
    <cellStyle name="Tusenskille 3 3 4" xfId="126" xr:uid="{00000000-0005-0000-0000-0000B5020000}"/>
    <cellStyle name="Tusenskille 3 3 4 2" xfId="1802" xr:uid="{BFA825C0-96C4-48D4-B50B-7676A1DC172D}"/>
    <cellStyle name="Tusenskille 3 3 4 2 2" xfId="3470" xr:uid="{198C9BEE-0D4D-4E3F-8922-34D042483B4A}"/>
    <cellStyle name="Tusenskille 3 3 4 3" xfId="966" xr:uid="{F83824A4-B550-498F-829E-57B9781B3E6E}"/>
    <cellStyle name="Tusenskille 3 3 4 4" xfId="2636" xr:uid="{990AAB4B-FD7D-4646-8CD1-B6E6636CB3AC}"/>
    <cellStyle name="Tusenskille 3 3 5" xfId="216" xr:uid="{00000000-0005-0000-0000-0000B6020000}"/>
    <cellStyle name="Tusenskille 3 3 5 2" xfId="1892" xr:uid="{C4644729-5117-40BD-8619-7962A923483C}"/>
    <cellStyle name="Tusenskille 3 3 5 2 2" xfId="3560" xr:uid="{E41385E0-CCE7-4B44-91CB-201A4F808F95}"/>
    <cellStyle name="Tusenskille 3 3 5 3" xfId="1056" xr:uid="{0B2FB5AA-60EC-408C-A331-BEB8D83476F2}"/>
    <cellStyle name="Tusenskille 3 3 5 4" xfId="2726" xr:uid="{A570A08A-E1AD-4E64-B5F1-EA9C2883CE70}"/>
    <cellStyle name="Tusenskille 3 3 6" xfId="306" xr:uid="{00000000-0005-0000-0000-0000B7020000}"/>
    <cellStyle name="Tusenskille 3 3 6 2" xfId="1982" xr:uid="{3485319D-9A0B-41A5-A1DD-62CF98D9B58F}"/>
    <cellStyle name="Tusenskille 3 3 6 2 2" xfId="3650" xr:uid="{60604106-05E4-4571-8925-CC7CBE511A87}"/>
    <cellStyle name="Tusenskille 3 3 6 3" xfId="1146" xr:uid="{05FF2A0F-1591-4346-9F32-0461E4ADCC73}"/>
    <cellStyle name="Tusenskille 3 3 6 4" xfId="2816" xr:uid="{A420D809-B07A-44CB-823F-62CFF31F2435}"/>
    <cellStyle name="Tusenskille 3 3 7" xfId="396" xr:uid="{00000000-0005-0000-0000-0000B8020000}"/>
    <cellStyle name="Tusenskille 3 3 7 2" xfId="2072" xr:uid="{C5DD1DD2-C989-41DD-A0E9-6ED068CA8943}"/>
    <cellStyle name="Tusenskille 3 3 7 2 2" xfId="3740" xr:uid="{C94921F5-E1EA-459F-A6D5-48830F0A3B93}"/>
    <cellStyle name="Tusenskille 3 3 7 3" xfId="1236" xr:uid="{A21FD5EA-76C7-4B75-BF07-B5A5DE519180}"/>
    <cellStyle name="Tusenskille 3 3 7 4" xfId="2906" xr:uid="{71DBD4FB-F444-4895-BE73-4CAECE3C26B4}"/>
    <cellStyle name="Tusenskille 3 3 8" xfId="486" xr:uid="{00000000-0005-0000-0000-0000B9020000}"/>
    <cellStyle name="Tusenskille 3 3 8 2" xfId="2162" xr:uid="{19A668DF-573D-4290-97E6-998CB1FF8BC2}"/>
    <cellStyle name="Tusenskille 3 3 8 2 2" xfId="3830" xr:uid="{246499CF-DC57-4E28-AE88-F7D2BD49BC3F}"/>
    <cellStyle name="Tusenskille 3 3 8 3" xfId="1326" xr:uid="{2F505926-E441-4AF3-A2BE-AA0B840A32AD}"/>
    <cellStyle name="Tusenskille 3 3 8 4" xfId="2996" xr:uid="{2569A057-A8F3-4E38-AF32-2EB1A4DEA012}"/>
    <cellStyle name="Tusenskille 3 3 9" xfId="576" xr:uid="{00000000-0005-0000-0000-0000BA020000}"/>
    <cellStyle name="Tusenskille 3 3 9 2" xfId="2252" xr:uid="{54D0DDE9-53A6-4ECE-9610-288FDA44B3F0}"/>
    <cellStyle name="Tusenskille 3 3 9 2 2" xfId="3920" xr:uid="{DA6739F3-517C-4A3B-B42C-9FEEFFA6E79E}"/>
    <cellStyle name="Tusenskille 3 3 9 3" xfId="1416" xr:uid="{1D72126C-E1B8-44C3-ADAF-B282AFFBA1B4}"/>
    <cellStyle name="Tusenskille 3 3 9 4" xfId="3086" xr:uid="{7D68F3FF-6E9F-4D06-AE22-81C16F1A20A3}"/>
    <cellStyle name="Tusenskille 3 4" xfId="30" xr:uid="{00000000-0005-0000-0000-0000BB020000}"/>
    <cellStyle name="Tusenskille 3 4 10" xfId="669" xr:uid="{00000000-0005-0000-0000-0000BC020000}"/>
    <cellStyle name="Tusenskille 3 4 10 2" xfId="2345" xr:uid="{EF9F3A95-86B0-435B-BB2A-7ECDC286894A}"/>
    <cellStyle name="Tusenskille 3 4 10 2 2" xfId="4013" xr:uid="{8E94BF15-C964-44C9-8832-BBD3E82D228E}"/>
    <cellStyle name="Tusenskille 3 4 10 3" xfId="1509" xr:uid="{DB99A4C3-E734-404D-9B73-9C01698D22C5}"/>
    <cellStyle name="Tusenskille 3 4 10 4" xfId="3179" xr:uid="{7BED8E28-9ECD-4BBA-A600-38EC3BB0E78A}"/>
    <cellStyle name="Tusenskille 3 4 11" xfId="764" xr:uid="{00000000-0005-0000-0000-0000BD020000}"/>
    <cellStyle name="Tusenskille 3 4 11 2" xfId="2440" xr:uid="{002F3B2B-47B3-4F87-A0EC-6D22D56704BC}"/>
    <cellStyle name="Tusenskille 3 4 11 2 2" xfId="4108" xr:uid="{CA7F7CAD-5920-4984-BA29-86546B40C3F4}"/>
    <cellStyle name="Tusenskille 3 4 11 3" xfId="1604" xr:uid="{2165A936-A2EF-4C59-84A7-514CA256A954}"/>
    <cellStyle name="Tusenskille 3 4 11 4" xfId="3274" xr:uid="{8CBFB6A6-2BFC-47CA-9DE7-0724FB1CB362}"/>
    <cellStyle name="Tusenskille 3 4 12" xfId="1711" xr:uid="{FDEAEDB3-9380-4BA6-8F97-6FF6AF64558E}"/>
    <cellStyle name="Tusenskille 3 4 12 2" xfId="3379" xr:uid="{F331FCBF-B366-4D9E-9E3E-3406219DE632}"/>
    <cellStyle name="Tusenskille 3 4 13" xfId="875" xr:uid="{62BEA0C4-038C-493D-8FDC-E263C1043818}"/>
    <cellStyle name="Tusenskille 3 4 14" xfId="2545" xr:uid="{FD3F0F0E-2A0E-491E-9876-2FA5ADE6990E}"/>
    <cellStyle name="Tusenskille 3 4 2" xfId="52" xr:uid="{00000000-0005-0000-0000-0000BE020000}"/>
    <cellStyle name="Tusenskille 3 4 2 10" xfId="784" xr:uid="{00000000-0005-0000-0000-0000BF020000}"/>
    <cellStyle name="Tusenskille 3 4 2 10 2" xfId="2460" xr:uid="{A0648D2F-FD45-44A4-8B4C-27CFB417E02A}"/>
    <cellStyle name="Tusenskille 3 4 2 10 2 2" xfId="4128" xr:uid="{A70F88BB-C5B6-4E5A-B051-897036A34A45}"/>
    <cellStyle name="Tusenskille 3 4 2 10 3" xfId="1624" xr:uid="{294DCCDC-742F-4D53-8CD2-B9709F6A9739}"/>
    <cellStyle name="Tusenskille 3 4 2 10 4" xfId="3294" xr:uid="{2982D3AB-2998-4D2A-BB98-3423E0A24925}"/>
    <cellStyle name="Tusenskille 3 4 2 11" xfId="1731" xr:uid="{5E11A52E-9DAE-4892-8E61-F5C89462B13C}"/>
    <cellStyle name="Tusenskille 3 4 2 11 2" xfId="3399" xr:uid="{756D0D6E-694A-4894-A0C1-22FFCB03A490}"/>
    <cellStyle name="Tusenskille 3 4 2 12" xfId="895" xr:uid="{AF8BA067-C551-41AA-8A33-1D54003B3F65}"/>
    <cellStyle name="Tusenskille 3 4 2 13" xfId="2565" xr:uid="{74AFCC10-6C98-41B3-A901-421FD25E97D3}"/>
    <cellStyle name="Tusenskille 3 4 2 2" xfId="92" xr:uid="{00000000-0005-0000-0000-0000C0020000}"/>
    <cellStyle name="Tusenskille 3 4 2 2 10" xfId="1769" xr:uid="{4B855551-86ED-40AB-9AC1-29CCE68EFC19}"/>
    <cellStyle name="Tusenskille 3 4 2 2 10 2" xfId="3437" xr:uid="{31F81CA0-9225-46BF-8973-9CAC2A2C5722}"/>
    <cellStyle name="Tusenskille 3 4 2 2 11" xfId="933" xr:uid="{12D53834-048C-4F0D-A41E-A68EA6EE885B}"/>
    <cellStyle name="Tusenskille 3 4 2 2 12" xfId="2603" xr:uid="{AE43945B-FE2E-4A94-901C-55FF2BE6B3AC}"/>
    <cellStyle name="Tusenskille 3 4 2 2 2" xfId="185" xr:uid="{00000000-0005-0000-0000-0000C1020000}"/>
    <cellStyle name="Tusenskille 3 4 2 2 2 2" xfId="1861" xr:uid="{2DD6A585-F6C2-4613-9B32-A8A0F0B97437}"/>
    <cellStyle name="Tusenskille 3 4 2 2 2 2 2" xfId="3529" xr:uid="{2619BED4-C047-47C3-94F0-0B20DBEC9FA9}"/>
    <cellStyle name="Tusenskille 3 4 2 2 2 3" xfId="1025" xr:uid="{5F99D8EF-F3EA-4040-BFE2-B113BBD4396B}"/>
    <cellStyle name="Tusenskille 3 4 2 2 2 4" xfId="2695" xr:uid="{2DB76AA0-DA29-4D67-BC8D-B322BA4BD9C1}"/>
    <cellStyle name="Tusenskille 3 4 2 2 3" xfId="275" xr:uid="{00000000-0005-0000-0000-0000C2020000}"/>
    <cellStyle name="Tusenskille 3 4 2 2 3 2" xfId="1951" xr:uid="{07271CE1-9812-4F78-8657-BA7E0C763704}"/>
    <cellStyle name="Tusenskille 3 4 2 2 3 2 2" xfId="3619" xr:uid="{0A534827-3A34-4F8B-9435-DBFEFA3A5D02}"/>
    <cellStyle name="Tusenskille 3 4 2 2 3 3" xfId="1115" xr:uid="{92998394-90C4-4D7F-AF45-4D3DAE7F7636}"/>
    <cellStyle name="Tusenskille 3 4 2 2 3 4" xfId="2785" xr:uid="{FCB28AED-7BBE-47FE-8742-D5CDBCD3CC14}"/>
    <cellStyle name="Tusenskille 3 4 2 2 4" xfId="365" xr:uid="{00000000-0005-0000-0000-0000C3020000}"/>
    <cellStyle name="Tusenskille 3 4 2 2 4 2" xfId="2041" xr:uid="{9729FB73-1429-441A-9716-3BF3714DD741}"/>
    <cellStyle name="Tusenskille 3 4 2 2 4 2 2" xfId="3709" xr:uid="{7553C738-3416-4D1D-B4E7-FB4B351DBEAB}"/>
    <cellStyle name="Tusenskille 3 4 2 2 4 3" xfId="1205" xr:uid="{6FB73171-96C1-4480-9066-35CB34CBD129}"/>
    <cellStyle name="Tusenskille 3 4 2 2 4 4" xfId="2875" xr:uid="{6F7389ED-3601-49EB-8ACB-5B340EC1BEFB}"/>
    <cellStyle name="Tusenskille 3 4 2 2 5" xfId="455" xr:uid="{00000000-0005-0000-0000-0000C4020000}"/>
    <cellStyle name="Tusenskille 3 4 2 2 5 2" xfId="2131" xr:uid="{DA03B678-FCF7-4D51-87D5-016204FFE8A9}"/>
    <cellStyle name="Tusenskille 3 4 2 2 5 2 2" xfId="3799" xr:uid="{BD39EBD6-EA39-44D5-BB2B-782999226B7B}"/>
    <cellStyle name="Tusenskille 3 4 2 2 5 3" xfId="1295" xr:uid="{3E28FD00-3B7E-4E4D-8B08-5299588CBF4B}"/>
    <cellStyle name="Tusenskille 3 4 2 2 5 4" xfId="2965" xr:uid="{678FA7F5-4F29-4945-ADC4-36D9F266F0E4}"/>
    <cellStyle name="Tusenskille 3 4 2 2 6" xfId="545" xr:uid="{00000000-0005-0000-0000-0000C5020000}"/>
    <cellStyle name="Tusenskille 3 4 2 2 6 2" xfId="2221" xr:uid="{4DC669DB-B77E-4A1E-BDE1-ED81BDC1817E}"/>
    <cellStyle name="Tusenskille 3 4 2 2 6 2 2" xfId="3889" xr:uid="{51D18A0E-9035-4422-8AFA-D030327F519F}"/>
    <cellStyle name="Tusenskille 3 4 2 2 6 3" xfId="1385" xr:uid="{66961E6D-6FE1-4432-9D28-9AFC0E21278B}"/>
    <cellStyle name="Tusenskille 3 4 2 2 6 4" xfId="3055" xr:uid="{7B26E88C-04F2-40CB-981F-E728FD95D8CC}"/>
    <cellStyle name="Tusenskille 3 4 2 2 7" xfId="635" xr:uid="{00000000-0005-0000-0000-0000C6020000}"/>
    <cellStyle name="Tusenskille 3 4 2 2 7 2" xfId="2311" xr:uid="{932FC893-2C55-4934-A24E-C73895B8D6BD}"/>
    <cellStyle name="Tusenskille 3 4 2 2 7 2 2" xfId="3979" xr:uid="{184D28CF-F8C2-4206-982C-3B782826BE51}"/>
    <cellStyle name="Tusenskille 3 4 2 2 7 3" xfId="1475" xr:uid="{8A621A7A-8040-484B-9A72-18CA54DB0C07}"/>
    <cellStyle name="Tusenskille 3 4 2 2 7 4" xfId="3145" xr:uid="{FB2E3BE9-3D33-435C-B40C-8B27BB27CFFA}"/>
    <cellStyle name="Tusenskille 3 4 2 2 8" xfId="725" xr:uid="{00000000-0005-0000-0000-0000C7020000}"/>
    <cellStyle name="Tusenskille 3 4 2 2 8 2" xfId="2401" xr:uid="{755E768E-CB81-4EBF-841F-8F5E74B77CFE}"/>
    <cellStyle name="Tusenskille 3 4 2 2 8 2 2" xfId="4069" xr:uid="{12B23631-C994-41C5-BE37-1E1D97F2A94A}"/>
    <cellStyle name="Tusenskille 3 4 2 2 8 3" xfId="1565" xr:uid="{0436858B-2242-4C94-9506-16B717A9998C}"/>
    <cellStyle name="Tusenskille 3 4 2 2 8 4" xfId="3235" xr:uid="{6E2249C2-9C85-46E6-B1D1-64047BB83179}"/>
    <cellStyle name="Tusenskille 3 4 2 2 9" xfId="822" xr:uid="{00000000-0005-0000-0000-0000C8020000}"/>
    <cellStyle name="Tusenskille 3 4 2 2 9 2" xfId="2498" xr:uid="{F720593F-A3EC-4CA8-89EF-E1E99B97C2CA}"/>
    <cellStyle name="Tusenskille 3 4 2 2 9 2 2" xfId="4166" xr:uid="{7BD116B5-65FC-49AC-A184-10274356AEF8}"/>
    <cellStyle name="Tusenskille 3 4 2 2 9 3" xfId="1662" xr:uid="{8C1BCF34-5CE9-48E1-9051-F113C96F5F81}"/>
    <cellStyle name="Tusenskille 3 4 2 2 9 4" xfId="3332" xr:uid="{3B312028-52B6-43FE-A259-2A04823EDDEE}"/>
    <cellStyle name="Tusenskille 3 4 2 3" xfId="148" xr:uid="{00000000-0005-0000-0000-0000C9020000}"/>
    <cellStyle name="Tusenskille 3 4 2 3 2" xfId="1824" xr:uid="{D8117AF1-53CF-4FAC-9442-93462554063F}"/>
    <cellStyle name="Tusenskille 3 4 2 3 2 2" xfId="3492" xr:uid="{A5320A26-403C-4B96-A38A-C2E3C0B47232}"/>
    <cellStyle name="Tusenskille 3 4 2 3 3" xfId="988" xr:uid="{13FCA419-A241-4583-BF63-928E45E3A799}"/>
    <cellStyle name="Tusenskille 3 4 2 3 4" xfId="2658" xr:uid="{3A37A5B8-7477-418C-BDB1-905D1AC21BBA}"/>
    <cellStyle name="Tusenskille 3 4 2 4" xfId="238" xr:uid="{00000000-0005-0000-0000-0000CA020000}"/>
    <cellStyle name="Tusenskille 3 4 2 4 2" xfId="1914" xr:uid="{CE07073D-94BA-42C0-96A5-1CF738311964}"/>
    <cellStyle name="Tusenskille 3 4 2 4 2 2" xfId="3582" xr:uid="{ABAD03AE-5A83-4A23-86EB-605DD72C8221}"/>
    <cellStyle name="Tusenskille 3 4 2 4 3" xfId="1078" xr:uid="{735D5033-82EA-43F9-8095-329948CCBD02}"/>
    <cellStyle name="Tusenskille 3 4 2 4 4" xfId="2748" xr:uid="{67E4E4D7-54AD-49F4-8F81-78951411CEF3}"/>
    <cellStyle name="Tusenskille 3 4 2 5" xfId="328" xr:uid="{00000000-0005-0000-0000-0000CB020000}"/>
    <cellStyle name="Tusenskille 3 4 2 5 2" xfId="2004" xr:uid="{BF7754F6-6EF3-4A27-9D3F-02C121AD1A17}"/>
    <cellStyle name="Tusenskille 3 4 2 5 2 2" xfId="3672" xr:uid="{312A1DA4-1590-450E-9391-EC505D2AD8A1}"/>
    <cellStyle name="Tusenskille 3 4 2 5 3" xfId="1168" xr:uid="{E6819BC6-617F-4DEA-8436-C5D2FC671D04}"/>
    <cellStyle name="Tusenskille 3 4 2 5 4" xfId="2838" xr:uid="{F78CB39B-A422-4E41-B0FB-822D433C201A}"/>
    <cellStyle name="Tusenskille 3 4 2 6" xfId="418" xr:uid="{00000000-0005-0000-0000-0000CC020000}"/>
    <cellStyle name="Tusenskille 3 4 2 6 2" xfId="2094" xr:uid="{BA82C520-BB42-46B0-BFAE-8703C4B27567}"/>
    <cellStyle name="Tusenskille 3 4 2 6 2 2" xfId="3762" xr:uid="{D376F948-06FB-423D-A47A-41E95317EFA7}"/>
    <cellStyle name="Tusenskille 3 4 2 6 3" xfId="1258" xr:uid="{4F308787-8B31-4FAA-B31B-D6EDBFF5C1C2}"/>
    <cellStyle name="Tusenskille 3 4 2 6 4" xfId="2928" xr:uid="{18A59F16-E67F-4EF1-AB8E-F21C36D0CF98}"/>
    <cellStyle name="Tusenskille 3 4 2 7" xfId="508" xr:uid="{00000000-0005-0000-0000-0000CD020000}"/>
    <cellStyle name="Tusenskille 3 4 2 7 2" xfId="2184" xr:uid="{D47C1D2F-A5E5-4536-B52D-8007291F2454}"/>
    <cellStyle name="Tusenskille 3 4 2 7 2 2" xfId="3852" xr:uid="{C21ADB81-114D-49A5-AF9E-8F8C26DCD733}"/>
    <cellStyle name="Tusenskille 3 4 2 7 3" xfId="1348" xr:uid="{A1A7193D-B8CD-43F9-929C-D712C624C3A1}"/>
    <cellStyle name="Tusenskille 3 4 2 7 4" xfId="3018" xr:uid="{76195A17-ACB2-427D-B45B-8E956C5149B4}"/>
    <cellStyle name="Tusenskille 3 4 2 8" xfId="598" xr:uid="{00000000-0005-0000-0000-0000CE020000}"/>
    <cellStyle name="Tusenskille 3 4 2 8 2" xfId="2274" xr:uid="{04596005-B1C6-4DCF-B557-7F27DE7582C9}"/>
    <cellStyle name="Tusenskille 3 4 2 8 2 2" xfId="3942" xr:uid="{6CFE7344-6690-496C-8541-ED4767E100E1}"/>
    <cellStyle name="Tusenskille 3 4 2 8 3" xfId="1438" xr:uid="{70528C9F-840C-4BFD-9B0C-0A9752FAF0B7}"/>
    <cellStyle name="Tusenskille 3 4 2 8 4" xfId="3108" xr:uid="{AED5E177-03E8-495A-88EF-63906EB010F1}"/>
    <cellStyle name="Tusenskille 3 4 2 9" xfId="688" xr:uid="{00000000-0005-0000-0000-0000CF020000}"/>
    <cellStyle name="Tusenskille 3 4 2 9 2" xfId="2364" xr:uid="{6ECCE285-9AF1-4873-B0F0-9F270CFAD305}"/>
    <cellStyle name="Tusenskille 3 4 2 9 2 2" xfId="4032" xr:uid="{56C30E41-1CE6-4351-AB31-FB720225B80E}"/>
    <cellStyle name="Tusenskille 3 4 2 9 3" xfId="1528" xr:uid="{262B2510-51A6-43AE-B368-97D66EFBDDE7}"/>
    <cellStyle name="Tusenskille 3 4 2 9 4" xfId="3198" xr:uid="{F022EF19-CC5B-431F-8F04-156336F441E5}"/>
    <cellStyle name="Tusenskille 3 4 3" xfId="73" xr:uid="{00000000-0005-0000-0000-0000D0020000}"/>
    <cellStyle name="Tusenskille 3 4 3 10" xfId="1750" xr:uid="{59A5C64B-2D3E-46A5-B1A5-1B39A6B904BF}"/>
    <cellStyle name="Tusenskille 3 4 3 10 2" xfId="3418" xr:uid="{4C90B325-6AF9-4EDF-A877-241349E2D07E}"/>
    <cellStyle name="Tusenskille 3 4 3 11" xfId="914" xr:uid="{06A9EC17-FCFB-4511-8BAF-5DC810A0C52F}"/>
    <cellStyle name="Tusenskille 3 4 3 12" xfId="2584" xr:uid="{2A375BD0-8E17-4F64-B427-0D34F790DE28}"/>
    <cellStyle name="Tusenskille 3 4 3 2" xfId="166" xr:uid="{00000000-0005-0000-0000-0000D1020000}"/>
    <cellStyle name="Tusenskille 3 4 3 2 2" xfId="1842" xr:uid="{D41774C2-1DA9-4F79-ADEC-E8CB53D9DE37}"/>
    <cellStyle name="Tusenskille 3 4 3 2 2 2" xfId="3510" xr:uid="{7B866302-C6FA-4957-8E8D-80FC1A9B7930}"/>
    <cellStyle name="Tusenskille 3 4 3 2 3" xfId="1006" xr:uid="{3AAA45CD-D942-471E-A785-AD3371C5A85C}"/>
    <cellStyle name="Tusenskille 3 4 3 2 4" xfId="2676" xr:uid="{EFC51842-430B-4504-A619-1480E1C87E6F}"/>
    <cellStyle name="Tusenskille 3 4 3 3" xfId="256" xr:uid="{00000000-0005-0000-0000-0000D2020000}"/>
    <cellStyle name="Tusenskille 3 4 3 3 2" xfId="1932" xr:uid="{5373A87F-184D-416C-8FB0-A4352F560E7F}"/>
    <cellStyle name="Tusenskille 3 4 3 3 2 2" xfId="3600" xr:uid="{A17F82DE-81D1-43F9-A39C-78CA1245C335}"/>
    <cellStyle name="Tusenskille 3 4 3 3 3" xfId="1096" xr:uid="{CA248A7E-1F43-4915-9F5A-949F5B6555AC}"/>
    <cellStyle name="Tusenskille 3 4 3 3 4" xfId="2766" xr:uid="{9790909E-D655-4C11-A14E-00C7927652D9}"/>
    <cellStyle name="Tusenskille 3 4 3 4" xfId="346" xr:uid="{00000000-0005-0000-0000-0000D3020000}"/>
    <cellStyle name="Tusenskille 3 4 3 4 2" xfId="2022" xr:uid="{1732A71B-8334-4C78-A2CF-3E7DA5BD24A0}"/>
    <cellStyle name="Tusenskille 3 4 3 4 2 2" xfId="3690" xr:uid="{A3335766-233C-4EEC-A9C2-A4587856E95D}"/>
    <cellStyle name="Tusenskille 3 4 3 4 3" xfId="1186" xr:uid="{03829DCF-79D6-4274-B810-FF2992FDF976}"/>
    <cellStyle name="Tusenskille 3 4 3 4 4" xfId="2856" xr:uid="{0B1E3F36-3DBF-4831-8A82-83329F81C653}"/>
    <cellStyle name="Tusenskille 3 4 3 5" xfId="436" xr:uid="{00000000-0005-0000-0000-0000D4020000}"/>
    <cellStyle name="Tusenskille 3 4 3 5 2" xfId="2112" xr:uid="{B190E82E-9EBC-4FC1-87C4-0B3787269E78}"/>
    <cellStyle name="Tusenskille 3 4 3 5 2 2" xfId="3780" xr:uid="{52E01A42-A482-4BB5-94D5-D9E52E80BF1F}"/>
    <cellStyle name="Tusenskille 3 4 3 5 3" xfId="1276" xr:uid="{BDD7E886-41DD-40E7-B0FA-A576D797DAF6}"/>
    <cellStyle name="Tusenskille 3 4 3 5 4" xfId="2946" xr:uid="{64A04DA1-3436-4F4B-BA65-F72945EED652}"/>
    <cellStyle name="Tusenskille 3 4 3 6" xfId="526" xr:uid="{00000000-0005-0000-0000-0000D5020000}"/>
    <cellStyle name="Tusenskille 3 4 3 6 2" xfId="2202" xr:uid="{91D4294D-C91D-4CAA-9DEE-EB8D2846AB71}"/>
    <cellStyle name="Tusenskille 3 4 3 6 2 2" xfId="3870" xr:uid="{954D2B5A-0505-4C08-8C33-193B17AAF3FF}"/>
    <cellStyle name="Tusenskille 3 4 3 6 3" xfId="1366" xr:uid="{3B1DB15B-582C-483E-A87C-E1F32C449742}"/>
    <cellStyle name="Tusenskille 3 4 3 6 4" xfId="3036" xr:uid="{16ABC432-699E-4E80-958C-3FDC9DD3CE7B}"/>
    <cellStyle name="Tusenskille 3 4 3 7" xfId="616" xr:uid="{00000000-0005-0000-0000-0000D6020000}"/>
    <cellStyle name="Tusenskille 3 4 3 7 2" xfId="2292" xr:uid="{24968405-8FBF-41CA-BBA2-0A9F460AAC89}"/>
    <cellStyle name="Tusenskille 3 4 3 7 2 2" xfId="3960" xr:uid="{F86E2A1A-B050-4C53-AB3F-00E0F0E007FF}"/>
    <cellStyle name="Tusenskille 3 4 3 7 3" xfId="1456" xr:uid="{2AEAADBA-91EC-43D2-874F-8F21997300B2}"/>
    <cellStyle name="Tusenskille 3 4 3 7 4" xfId="3126" xr:uid="{54C8C58D-849C-4730-AD5A-52EF297AF893}"/>
    <cellStyle name="Tusenskille 3 4 3 8" xfId="706" xr:uid="{00000000-0005-0000-0000-0000D7020000}"/>
    <cellStyle name="Tusenskille 3 4 3 8 2" xfId="2382" xr:uid="{3720566F-B4F3-4711-AD50-34A217FA03C4}"/>
    <cellStyle name="Tusenskille 3 4 3 8 2 2" xfId="4050" xr:uid="{E1FDCB56-63AD-406E-BA15-6029AF6B9425}"/>
    <cellStyle name="Tusenskille 3 4 3 8 3" xfId="1546" xr:uid="{857AA65B-B43C-4E48-B076-8AF012BB3DC1}"/>
    <cellStyle name="Tusenskille 3 4 3 8 4" xfId="3216" xr:uid="{F97EAF38-553E-45B6-899C-90100E2B5C11}"/>
    <cellStyle name="Tusenskille 3 4 3 9" xfId="803" xr:uid="{00000000-0005-0000-0000-0000D8020000}"/>
    <cellStyle name="Tusenskille 3 4 3 9 2" xfId="2479" xr:uid="{37C261DA-5922-4CB5-A42C-6F5651781B63}"/>
    <cellStyle name="Tusenskille 3 4 3 9 2 2" xfId="4147" xr:uid="{111BC4C0-2868-4021-A600-0B9619A3E439}"/>
    <cellStyle name="Tusenskille 3 4 3 9 3" xfId="1643" xr:uid="{2D20478F-B036-44C5-9892-629EFAEF51DF}"/>
    <cellStyle name="Tusenskille 3 4 3 9 4" xfId="3313" xr:uid="{9C2622FF-0367-4801-968D-8C8B09569854}"/>
    <cellStyle name="Tusenskille 3 4 4" xfId="129" xr:uid="{00000000-0005-0000-0000-0000D9020000}"/>
    <cellStyle name="Tusenskille 3 4 4 2" xfId="1805" xr:uid="{568B018A-6B63-423F-9075-9EC6B2B34E31}"/>
    <cellStyle name="Tusenskille 3 4 4 2 2" xfId="3473" xr:uid="{BE3FEFA2-92B6-4D11-A745-00306C289CC0}"/>
    <cellStyle name="Tusenskille 3 4 4 3" xfId="969" xr:uid="{BA26BFA1-CBC3-4E52-B6CE-009FB03B1B88}"/>
    <cellStyle name="Tusenskille 3 4 4 4" xfId="2639" xr:uid="{86004A6E-E45E-4490-A2E4-339E8C6AA113}"/>
    <cellStyle name="Tusenskille 3 4 5" xfId="219" xr:uid="{00000000-0005-0000-0000-0000DA020000}"/>
    <cellStyle name="Tusenskille 3 4 5 2" xfId="1895" xr:uid="{BEC87389-CF1D-41EB-951D-F80C78B23D55}"/>
    <cellStyle name="Tusenskille 3 4 5 2 2" xfId="3563" xr:uid="{8027AED6-5802-405A-A381-9C24A4F6575A}"/>
    <cellStyle name="Tusenskille 3 4 5 3" xfId="1059" xr:uid="{0681DF60-AA3F-486C-898C-86FF2F19C57D}"/>
    <cellStyle name="Tusenskille 3 4 5 4" xfId="2729" xr:uid="{D15B987A-5E45-49E8-9EBE-5CCD87CC779B}"/>
    <cellStyle name="Tusenskille 3 4 6" xfId="309" xr:uid="{00000000-0005-0000-0000-0000DB020000}"/>
    <cellStyle name="Tusenskille 3 4 6 2" xfId="1985" xr:uid="{53AC68A3-422E-4CD6-952A-734C8C5428BC}"/>
    <cellStyle name="Tusenskille 3 4 6 2 2" xfId="3653" xr:uid="{C8D0F264-6A98-4DD1-98DF-A1DE4A2C079A}"/>
    <cellStyle name="Tusenskille 3 4 6 3" xfId="1149" xr:uid="{B75ED548-9E42-43A5-A286-91F50B76D2DA}"/>
    <cellStyle name="Tusenskille 3 4 6 4" xfId="2819" xr:uid="{F0999A73-0BE1-4742-BA60-02039500A3B9}"/>
    <cellStyle name="Tusenskille 3 4 7" xfId="399" xr:uid="{00000000-0005-0000-0000-0000DC020000}"/>
    <cellStyle name="Tusenskille 3 4 7 2" xfId="2075" xr:uid="{ECF6766C-5321-4BFE-A1D5-5F6D8205C792}"/>
    <cellStyle name="Tusenskille 3 4 7 2 2" xfId="3743" xr:uid="{4EA4F24E-E9AD-417E-99B8-57CDF3A90175}"/>
    <cellStyle name="Tusenskille 3 4 7 3" xfId="1239" xr:uid="{C9771C4E-0FF3-43B3-BDB4-0E2BC440A3C6}"/>
    <cellStyle name="Tusenskille 3 4 7 4" xfId="2909" xr:uid="{AE56C660-1E4B-4C72-8926-D251D3ADB608}"/>
    <cellStyle name="Tusenskille 3 4 8" xfId="489" xr:uid="{00000000-0005-0000-0000-0000DD020000}"/>
    <cellStyle name="Tusenskille 3 4 8 2" xfId="2165" xr:uid="{69C6AADE-D1BA-4895-BE10-F7956F6AE5B7}"/>
    <cellStyle name="Tusenskille 3 4 8 2 2" xfId="3833" xr:uid="{3CF17F43-8446-44B1-8C17-B6537A39F509}"/>
    <cellStyle name="Tusenskille 3 4 8 3" xfId="1329" xr:uid="{94CE77E6-1589-4CD7-9718-5DE9F49147CA}"/>
    <cellStyle name="Tusenskille 3 4 8 4" xfId="2999" xr:uid="{0367FB18-F1CE-43C2-9943-D94C966B8589}"/>
    <cellStyle name="Tusenskille 3 4 9" xfId="579" xr:uid="{00000000-0005-0000-0000-0000DE020000}"/>
    <cellStyle name="Tusenskille 3 4 9 2" xfId="2255" xr:uid="{81E9129D-128B-4418-915F-2236D8FAEE03}"/>
    <cellStyle name="Tusenskille 3 4 9 2 2" xfId="3923" xr:uid="{E4AC00FF-5E35-4743-9B49-BE5F9BEF3DE3}"/>
    <cellStyle name="Tusenskille 3 4 9 3" xfId="1419" xr:uid="{FFD2C62F-6787-4CFF-9376-C2455A56F3F1}"/>
    <cellStyle name="Tusenskille 3 4 9 4" xfId="3089" xr:uid="{7F06304D-8537-49E1-8BE0-E4ADE04FE4CF}"/>
    <cellStyle name="Tusenskille 3 5" xfId="34" xr:uid="{00000000-0005-0000-0000-0000DF020000}"/>
    <cellStyle name="Tusenskille 3 5 10" xfId="672" xr:uid="{00000000-0005-0000-0000-0000E0020000}"/>
    <cellStyle name="Tusenskille 3 5 10 2" xfId="2348" xr:uid="{99B6B4F6-96FD-463E-9115-9755B88C5858}"/>
    <cellStyle name="Tusenskille 3 5 10 2 2" xfId="4016" xr:uid="{78B8A63A-3CCB-4218-99C0-B31122C25B63}"/>
    <cellStyle name="Tusenskille 3 5 10 3" xfId="1512" xr:uid="{603ADC69-91D1-44A3-ACB5-6D4C89B6495C}"/>
    <cellStyle name="Tusenskille 3 5 10 4" xfId="3182" xr:uid="{1A29334F-938D-4E65-8C65-93CC695DDABD}"/>
    <cellStyle name="Tusenskille 3 5 11" xfId="767" xr:uid="{00000000-0005-0000-0000-0000E1020000}"/>
    <cellStyle name="Tusenskille 3 5 11 2" xfId="2443" xr:uid="{E96741B0-9D2E-42FA-B10D-040D74EEC56F}"/>
    <cellStyle name="Tusenskille 3 5 11 2 2" xfId="4111" xr:uid="{DC182439-93A0-4F50-A644-CDBCAD53CB75}"/>
    <cellStyle name="Tusenskille 3 5 11 3" xfId="1607" xr:uid="{F8947D41-7E25-48C7-8C3D-B4C9F8DD1E54}"/>
    <cellStyle name="Tusenskille 3 5 11 4" xfId="3277" xr:uid="{87835A26-6BAD-4BE2-9838-A581FA94AE94}"/>
    <cellStyle name="Tusenskille 3 5 12" xfId="1714" xr:uid="{5618BFD8-E84E-45E1-863C-EFF8F535F7F3}"/>
    <cellStyle name="Tusenskille 3 5 12 2" xfId="3382" xr:uid="{9E5F73BD-2942-48C2-8495-C53229E2C032}"/>
    <cellStyle name="Tusenskille 3 5 13" xfId="878" xr:uid="{A07D38F6-FC74-4D1B-BE05-A9B6FCCE93C4}"/>
    <cellStyle name="Tusenskille 3 5 14" xfId="2548" xr:uid="{180CA413-055E-45AD-8056-AD565ED04426}"/>
    <cellStyle name="Tusenskille 3 5 2" xfId="56" xr:uid="{00000000-0005-0000-0000-0000E2020000}"/>
    <cellStyle name="Tusenskille 3 5 2 10" xfId="787" xr:uid="{00000000-0005-0000-0000-0000E3020000}"/>
    <cellStyle name="Tusenskille 3 5 2 10 2" xfId="2463" xr:uid="{6B5136EC-2E58-4822-A624-7C80448D0B59}"/>
    <cellStyle name="Tusenskille 3 5 2 10 2 2" xfId="4131" xr:uid="{9988E7B7-9440-4CF9-B83D-3737D0B30F96}"/>
    <cellStyle name="Tusenskille 3 5 2 10 3" xfId="1627" xr:uid="{78A340DF-6382-4CAE-960D-5291C5464051}"/>
    <cellStyle name="Tusenskille 3 5 2 10 4" xfId="3297" xr:uid="{FC526B68-4853-4281-AB42-A08229DCE0EE}"/>
    <cellStyle name="Tusenskille 3 5 2 11" xfId="1734" xr:uid="{FC987421-7B4F-4027-966D-E911C2759B56}"/>
    <cellStyle name="Tusenskille 3 5 2 11 2" xfId="3402" xr:uid="{EBC17CC0-90E0-48C8-9539-8F9AF7C349BE}"/>
    <cellStyle name="Tusenskille 3 5 2 12" xfId="898" xr:uid="{BED0D7E9-133A-4199-ADE7-343C8ABC9670}"/>
    <cellStyle name="Tusenskille 3 5 2 13" xfId="2568" xr:uid="{9B7B1265-57F3-4F62-A042-7F0475288777}"/>
    <cellStyle name="Tusenskille 3 5 2 2" xfId="96" xr:uid="{00000000-0005-0000-0000-0000E4020000}"/>
    <cellStyle name="Tusenskille 3 5 2 2 10" xfId="1772" xr:uid="{3E6C543D-5302-45A7-A7EF-EA18ABF1E200}"/>
    <cellStyle name="Tusenskille 3 5 2 2 10 2" xfId="3440" xr:uid="{B768FDF3-0834-43D9-8B0B-2F4AA2AA3BAC}"/>
    <cellStyle name="Tusenskille 3 5 2 2 11" xfId="936" xr:uid="{8FE05CBA-86A4-4C11-BF71-51965BE5AA6B}"/>
    <cellStyle name="Tusenskille 3 5 2 2 12" xfId="2606" xr:uid="{956C80C5-8A54-44CD-AC3C-149F50DF10F7}"/>
    <cellStyle name="Tusenskille 3 5 2 2 2" xfId="188" xr:uid="{00000000-0005-0000-0000-0000E5020000}"/>
    <cellStyle name="Tusenskille 3 5 2 2 2 2" xfId="1864" xr:uid="{394A64D7-3FA7-407A-88BE-05180B659A10}"/>
    <cellStyle name="Tusenskille 3 5 2 2 2 2 2" xfId="3532" xr:uid="{598369AC-2147-46D3-B6F0-0E208D155C13}"/>
    <cellStyle name="Tusenskille 3 5 2 2 2 3" xfId="1028" xr:uid="{47F31D93-FF45-4C70-9D55-DF559967CACF}"/>
    <cellStyle name="Tusenskille 3 5 2 2 2 4" xfId="2698" xr:uid="{C04A3187-066B-4BAD-BDC6-5BDBC7636D98}"/>
    <cellStyle name="Tusenskille 3 5 2 2 3" xfId="278" xr:uid="{00000000-0005-0000-0000-0000E6020000}"/>
    <cellStyle name="Tusenskille 3 5 2 2 3 2" xfId="1954" xr:uid="{F1049337-3F30-476E-9FC3-1228CA08C28D}"/>
    <cellStyle name="Tusenskille 3 5 2 2 3 2 2" xfId="3622" xr:uid="{FF57A886-7330-4DF1-88EC-6C7F8B14E051}"/>
    <cellStyle name="Tusenskille 3 5 2 2 3 3" xfId="1118" xr:uid="{3044D961-88B7-4888-AFAF-70E109BE58C2}"/>
    <cellStyle name="Tusenskille 3 5 2 2 3 4" xfId="2788" xr:uid="{1035B5FA-32B5-4F3D-A203-C0516BDDBF5F}"/>
    <cellStyle name="Tusenskille 3 5 2 2 4" xfId="368" xr:uid="{00000000-0005-0000-0000-0000E7020000}"/>
    <cellStyle name="Tusenskille 3 5 2 2 4 2" xfId="2044" xr:uid="{4A6B1338-0D4D-45F6-A8B1-5FF536A314EB}"/>
    <cellStyle name="Tusenskille 3 5 2 2 4 2 2" xfId="3712" xr:uid="{6A7B8BC0-AE73-496F-A17B-7B33835A5F8A}"/>
    <cellStyle name="Tusenskille 3 5 2 2 4 3" xfId="1208" xr:uid="{80E31FE3-BF90-4F86-B465-37B1E2207272}"/>
    <cellStyle name="Tusenskille 3 5 2 2 4 4" xfId="2878" xr:uid="{D54230A3-05AD-4FF2-BDF4-BA59950CE596}"/>
    <cellStyle name="Tusenskille 3 5 2 2 5" xfId="458" xr:uid="{00000000-0005-0000-0000-0000E8020000}"/>
    <cellStyle name="Tusenskille 3 5 2 2 5 2" xfId="2134" xr:uid="{C7F6247A-D661-4CA8-A179-9E401AE06315}"/>
    <cellStyle name="Tusenskille 3 5 2 2 5 2 2" xfId="3802" xr:uid="{0EFAEBF3-A66B-4207-AF2F-FF4D4FF9B728}"/>
    <cellStyle name="Tusenskille 3 5 2 2 5 3" xfId="1298" xr:uid="{785BA3B6-3D16-46FA-A74C-C7F14E70BB68}"/>
    <cellStyle name="Tusenskille 3 5 2 2 5 4" xfId="2968" xr:uid="{642300C0-19CE-45A7-A0B8-2BE84F64F66B}"/>
    <cellStyle name="Tusenskille 3 5 2 2 6" xfId="548" xr:uid="{00000000-0005-0000-0000-0000E9020000}"/>
    <cellStyle name="Tusenskille 3 5 2 2 6 2" xfId="2224" xr:uid="{591F05BE-A511-4BD1-8122-F46346BBC7FD}"/>
    <cellStyle name="Tusenskille 3 5 2 2 6 2 2" xfId="3892" xr:uid="{AF831F70-323A-48F0-97F7-E4077AA71533}"/>
    <cellStyle name="Tusenskille 3 5 2 2 6 3" xfId="1388" xr:uid="{F3C0C50F-F8D0-4151-8E56-D0B107038AEE}"/>
    <cellStyle name="Tusenskille 3 5 2 2 6 4" xfId="3058" xr:uid="{CACFB8D1-F63A-4AD3-AFC7-A4DAD577A1AC}"/>
    <cellStyle name="Tusenskille 3 5 2 2 7" xfId="638" xr:uid="{00000000-0005-0000-0000-0000EA020000}"/>
    <cellStyle name="Tusenskille 3 5 2 2 7 2" xfId="2314" xr:uid="{8C8C1982-78D5-431D-9252-26FF7161994F}"/>
    <cellStyle name="Tusenskille 3 5 2 2 7 2 2" xfId="3982" xr:uid="{551216E7-25B0-47B5-A9B5-579E36DF5D73}"/>
    <cellStyle name="Tusenskille 3 5 2 2 7 3" xfId="1478" xr:uid="{38D74B77-3309-40FA-B4EA-20038ACC1C77}"/>
    <cellStyle name="Tusenskille 3 5 2 2 7 4" xfId="3148" xr:uid="{E66B748C-859A-47C5-8764-38452D89B034}"/>
    <cellStyle name="Tusenskille 3 5 2 2 8" xfId="728" xr:uid="{00000000-0005-0000-0000-0000EB020000}"/>
    <cellStyle name="Tusenskille 3 5 2 2 8 2" xfId="2404" xr:uid="{47E6309A-490B-498E-9785-1680DB8A5C38}"/>
    <cellStyle name="Tusenskille 3 5 2 2 8 2 2" xfId="4072" xr:uid="{979BCE1C-509A-490C-859C-042198C8A7C7}"/>
    <cellStyle name="Tusenskille 3 5 2 2 8 3" xfId="1568" xr:uid="{BA0B98C5-8A41-480E-8F3B-4F293D07D6E6}"/>
    <cellStyle name="Tusenskille 3 5 2 2 8 4" xfId="3238" xr:uid="{DC1E9966-54C5-4077-B76E-5F65F58E6189}"/>
    <cellStyle name="Tusenskille 3 5 2 2 9" xfId="825" xr:uid="{00000000-0005-0000-0000-0000EC020000}"/>
    <cellStyle name="Tusenskille 3 5 2 2 9 2" xfId="2501" xr:uid="{90D5F721-E648-4B0A-97CC-8CCB1D35C3EA}"/>
    <cellStyle name="Tusenskille 3 5 2 2 9 2 2" xfId="4169" xr:uid="{55D80027-102F-4B0B-A345-0E6AA61C8D15}"/>
    <cellStyle name="Tusenskille 3 5 2 2 9 3" xfId="1665" xr:uid="{8A7D62A1-6F61-4738-8792-624EDAC2CDF6}"/>
    <cellStyle name="Tusenskille 3 5 2 2 9 4" xfId="3335" xr:uid="{51A5AD8D-3750-4B03-8659-362C231CDFF0}"/>
    <cellStyle name="Tusenskille 3 5 2 3" xfId="151" xr:uid="{00000000-0005-0000-0000-0000ED020000}"/>
    <cellStyle name="Tusenskille 3 5 2 3 2" xfId="1827" xr:uid="{5DEAD762-A328-4440-9956-2FDF374C70F6}"/>
    <cellStyle name="Tusenskille 3 5 2 3 2 2" xfId="3495" xr:uid="{281D9D8E-C176-465D-A3A3-1790EE9FE456}"/>
    <cellStyle name="Tusenskille 3 5 2 3 3" xfId="991" xr:uid="{8C110AFB-A9F1-481D-8D83-AF43EC55AF84}"/>
    <cellStyle name="Tusenskille 3 5 2 3 4" xfId="2661" xr:uid="{1000C8DF-5030-45E8-9275-667E1CA902F1}"/>
    <cellStyle name="Tusenskille 3 5 2 4" xfId="241" xr:uid="{00000000-0005-0000-0000-0000EE020000}"/>
    <cellStyle name="Tusenskille 3 5 2 4 2" xfId="1917" xr:uid="{FD5F604F-AD3A-4F05-B0C1-152DA4B146D1}"/>
    <cellStyle name="Tusenskille 3 5 2 4 2 2" xfId="3585" xr:uid="{31740AA3-5C98-4DF1-BFB9-1D7F25D66F2A}"/>
    <cellStyle name="Tusenskille 3 5 2 4 3" xfId="1081" xr:uid="{3D3B58CF-AA16-4702-8743-0CED9D70F1B9}"/>
    <cellStyle name="Tusenskille 3 5 2 4 4" xfId="2751" xr:uid="{15CDD498-011B-437D-BDDA-130A787BD405}"/>
    <cellStyle name="Tusenskille 3 5 2 5" xfId="331" xr:uid="{00000000-0005-0000-0000-0000EF020000}"/>
    <cellStyle name="Tusenskille 3 5 2 5 2" xfId="2007" xr:uid="{6DF88EE6-7962-4144-9564-E3F9AA7D27A4}"/>
    <cellStyle name="Tusenskille 3 5 2 5 2 2" xfId="3675" xr:uid="{D7BB2C0C-DE94-4065-9BB5-D146D7F4448D}"/>
    <cellStyle name="Tusenskille 3 5 2 5 3" xfId="1171" xr:uid="{F7674163-617E-4DC1-AD7F-178CD3DBC17D}"/>
    <cellStyle name="Tusenskille 3 5 2 5 4" xfId="2841" xr:uid="{A1FA7ED8-756B-41E8-B22F-49D19C9F900E}"/>
    <cellStyle name="Tusenskille 3 5 2 6" xfId="421" xr:uid="{00000000-0005-0000-0000-0000F0020000}"/>
    <cellStyle name="Tusenskille 3 5 2 6 2" xfId="2097" xr:uid="{ECCB4848-A581-442F-A83E-B53F9DF048F9}"/>
    <cellStyle name="Tusenskille 3 5 2 6 2 2" xfId="3765" xr:uid="{D30DE5E3-0772-4468-AD7B-A63B034562EA}"/>
    <cellStyle name="Tusenskille 3 5 2 6 3" xfId="1261" xr:uid="{4B897942-DD06-419E-B099-C523CFA305CB}"/>
    <cellStyle name="Tusenskille 3 5 2 6 4" xfId="2931" xr:uid="{3FF3A0C3-B853-4AC1-92DE-AFACCBFC8954}"/>
    <cellStyle name="Tusenskille 3 5 2 7" xfId="511" xr:uid="{00000000-0005-0000-0000-0000F1020000}"/>
    <cellStyle name="Tusenskille 3 5 2 7 2" xfId="2187" xr:uid="{B4A8191A-1B49-4B40-A626-57A2AAC0B1C2}"/>
    <cellStyle name="Tusenskille 3 5 2 7 2 2" xfId="3855" xr:uid="{FA8A73F7-3378-4942-8B54-CFE555D65FA2}"/>
    <cellStyle name="Tusenskille 3 5 2 7 3" xfId="1351" xr:uid="{C5A9BD78-A429-40F7-A26C-D4582CE39C1F}"/>
    <cellStyle name="Tusenskille 3 5 2 7 4" xfId="3021" xr:uid="{8DA4B760-35BD-4389-A01E-6DB6AC594262}"/>
    <cellStyle name="Tusenskille 3 5 2 8" xfId="601" xr:uid="{00000000-0005-0000-0000-0000F2020000}"/>
    <cellStyle name="Tusenskille 3 5 2 8 2" xfId="2277" xr:uid="{1B2FB1A2-F3C6-4BE0-AB93-9B561112F769}"/>
    <cellStyle name="Tusenskille 3 5 2 8 2 2" xfId="3945" xr:uid="{FEFA529C-BF11-4527-8ABC-F66E366A250E}"/>
    <cellStyle name="Tusenskille 3 5 2 8 3" xfId="1441" xr:uid="{FE3929CC-6703-4121-B710-534A8133A0F5}"/>
    <cellStyle name="Tusenskille 3 5 2 8 4" xfId="3111" xr:uid="{9C739A32-81F8-4D62-8C42-7D99BA4B939F}"/>
    <cellStyle name="Tusenskille 3 5 2 9" xfId="691" xr:uid="{00000000-0005-0000-0000-0000F3020000}"/>
    <cellStyle name="Tusenskille 3 5 2 9 2" xfId="2367" xr:uid="{BA4CCC17-0F60-41DD-9ACE-71633C6A0678}"/>
    <cellStyle name="Tusenskille 3 5 2 9 2 2" xfId="4035" xr:uid="{CF07F33C-56F9-4CB6-835E-BDAD4E0648FA}"/>
    <cellStyle name="Tusenskille 3 5 2 9 3" xfId="1531" xr:uid="{7D16A321-D18E-404E-A97F-9925D852BE91}"/>
    <cellStyle name="Tusenskille 3 5 2 9 4" xfId="3201" xr:uid="{D468F2E1-5174-45A4-BF7D-6B50A3A1AF46}"/>
    <cellStyle name="Tusenskille 3 5 3" xfId="76" xr:uid="{00000000-0005-0000-0000-0000F4020000}"/>
    <cellStyle name="Tusenskille 3 5 3 10" xfId="1753" xr:uid="{15CF10F1-5978-4F41-96DE-6BB237CD2E91}"/>
    <cellStyle name="Tusenskille 3 5 3 10 2" xfId="3421" xr:uid="{E1E22174-093B-4A1E-885A-BAF69ED44D8C}"/>
    <cellStyle name="Tusenskille 3 5 3 11" xfId="917" xr:uid="{B6BFFA70-A74B-4873-80BE-34DF9971C875}"/>
    <cellStyle name="Tusenskille 3 5 3 12" xfId="2587" xr:uid="{8BE4DE94-72C6-4099-97B1-370C3287EED1}"/>
    <cellStyle name="Tusenskille 3 5 3 2" xfId="169" xr:uid="{00000000-0005-0000-0000-0000F5020000}"/>
    <cellStyle name="Tusenskille 3 5 3 2 2" xfId="1845" xr:uid="{F9B42A79-C9C6-4AC1-A039-F46A010DAEB1}"/>
    <cellStyle name="Tusenskille 3 5 3 2 2 2" xfId="3513" xr:uid="{0C92EFE6-2B0B-4EDB-95FC-394F05E29961}"/>
    <cellStyle name="Tusenskille 3 5 3 2 3" xfId="1009" xr:uid="{7F545EDC-D4D7-417E-8AC3-EB93B0325F4B}"/>
    <cellStyle name="Tusenskille 3 5 3 2 4" xfId="2679" xr:uid="{21741AD1-487F-4036-A106-9E15C4F77174}"/>
    <cellStyle name="Tusenskille 3 5 3 3" xfId="259" xr:uid="{00000000-0005-0000-0000-0000F6020000}"/>
    <cellStyle name="Tusenskille 3 5 3 3 2" xfId="1935" xr:uid="{25C3355D-9C36-4F43-9987-0C777D9DE42A}"/>
    <cellStyle name="Tusenskille 3 5 3 3 2 2" xfId="3603" xr:uid="{E6F034A1-7C3B-4D0B-A706-F051E4DDF1B7}"/>
    <cellStyle name="Tusenskille 3 5 3 3 3" xfId="1099" xr:uid="{CD6839E9-C6AD-4BF0-A840-EBE482117DD1}"/>
    <cellStyle name="Tusenskille 3 5 3 3 4" xfId="2769" xr:uid="{D74FF5B7-6731-4188-B0C3-38EB7C4F47BC}"/>
    <cellStyle name="Tusenskille 3 5 3 4" xfId="349" xr:uid="{00000000-0005-0000-0000-0000F7020000}"/>
    <cellStyle name="Tusenskille 3 5 3 4 2" xfId="2025" xr:uid="{AF9B960F-DFA2-4CEA-BF9E-9ADBA0FCB676}"/>
    <cellStyle name="Tusenskille 3 5 3 4 2 2" xfId="3693" xr:uid="{0AF7283E-C24C-4DD0-AA4B-771B2E9D75DD}"/>
    <cellStyle name="Tusenskille 3 5 3 4 3" xfId="1189" xr:uid="{30FCD67D-4FA9-4288-B164-34B8396EC0FD}"/>
    <cellStyle name="Tusenskille 3 5 3 4 4" xfId="2859" xr:uid="{6B4AA12F-C6E4-4E32-BB50-0AF639FDAC3D}"/>
    <cellStyle name="Tusenskille 3 5 3 5" xfId="439" xr:uid="{00000000-0005-0000-0000-0000F8020000}"/>
    <cellStyle name="Tusenskille 3 5 3 5 2" xfId="2115" xr:uid="{93001730-4B61-4876-A748-CFE7940C797F}"/>
    <cellStyle name="Tusenskille 3 5 3 5 2 2" xfId="3783" xr:uid="{4C367884-67FE-435F-9069-4507AE593589}"/>
    <cellStyle name="Tusenskille 3 5 3 5 3" xfId="1279" xr:uid="{9D57757D-52A7-443D-BA47-EF403D08CB54}"/>
    <cellStyle name="Tusenskille 3 5 3 5 4" xfId="2949" xr:uid="{1BAA6735-AA8B-4EB0-A412-26EC2E7F4704}"/>
    <cellStyle name="Tusenskille 3 5 3 6" xfId="529" xr:uid="{00000000-0005-0000-0000-0000F9020000}"/>
    <cellStyle name="Tusenskille 3 5 3 6 2" xfId="2205" xr:uid="{FEE402BB-6804-413B-AE20-032525F58442}"/>
    <cellStyle name="Tusenskille 3 5 3 6 2 2" xfId="3873" xr:uid="{86A3D2EA-DECB-4B4B-A8E9-EC31B7A9033B}"/>
    <cellStyle name="Tusenskille 3 5 3 6 3" xfId="1369" xr:uid="{593D0A6B-5693-4CB2-807F-EC3C8F1DF278}"/>
    <cellStyle name="Tusenskille 3 5 3 6 4" xfId="3039" xr:uid="{BF379833-3F30-416C-BE14-E50F5CE58234}"/>
    <cellStyle name="Tusenskille 3 5 3 7" xfId="619" xr:uid="{00000000-0005-0000-0000-0000FA020000}"/>
    <cellStyle name="Tusenskille 3 5 3 7 2" xfId="2295" xr:uid="{582DF361-87F5-4DFC-A040-A9A23299C82E}"/>
    <cellStyle name="Tusenskille 3 5 3 7 2 2" xfId="3963" xr:uid="{64217793-D480-4F99-923B-7116AA704D64}"/>
    <cellStyle name="Tusenskille 3 5 3 7 3" xfId="1459" xr:uid="{EB0BD478-824A-4689-AEC2-841AB9618FFC}"/>
    <cellStyle name="Tusenskille 3 5 3 7 4" xfId="3129" xr:uid="{52F350D8-2CD1-46F9-B2BD-07C7F7D5ED7C}"/>
    <cellStyle name="Tusenskille 3 5 3 8" xfId="709" xr:uid="{00000000-0005-0000-0000-0000FB020000}"/>
    <cellStyle name="Tusenskille 3 5 3 8 2" xfId="2385" xr:uid="{A250ACF1-517B-4972-A122-C761CF9AEDBF}"/>
    <cellStyle name="Tusenskille 3 5 3 8 2 2" xfId="4053" xr:uid="{065AB60D-8A40-404A-8B9A-ABA440E6C06F}"/>
    <cellStyle name="Tusenskille 3 5 3 8 3" xfId="1549" xr:uid="{7723C5B0-23E5-4E83-B0A9-56F8A6553961}"/>
    <cellStyle name="Tusenskille 3 5 3 8 4" xfId="3219" xr:uid="{EF59F758-0810-4E73-BD4C-936BAAB3C953}"/>
    <cellStyle name="Tusenskille 3 5 3 9" xfId="806" xr:uid="{00000000-0005-0000-0000-0000FC020000}"/>
    <cellStyle name="Tusenskille 3 5 3 9 2" xfId="2482" xr:uid="{BA6D8679-FE1E-49C4-BBA1-CF9B5BCC7AC4}"/>
    <cellStyle name="Tusenskille 3 5 3 9 2 2" xfId="4150" xr:uid="{1EC178AB-CE26-441E-878B-2195E0E1CCD6}"/>
    <cellStyle name="Tusenskille 3 5 3 9 3" xfId="1646" xr:uid="{9865A4A8-2D53-4D5B-842D-03C0B863EF70}"/>
    <cellStyle name="Tusenskille 3 5 3 9 4" xfId="3316" xr:uid="{AF0A9C7C-9686-4178-B0CC-12C782329435}"/>
    <cellStyle name="Tusenskille 3 5 4" xfId="132" xr:uid="{00000000-0005-0000-0000-0000FD020000}"/>
    <cellStyle name="Tusenskille 3 5 4 2" xfId="1808" xr:uid="{13E4D26A-3AEA-4E4C-9A25-32302A379D15}"/>
    <cellStyle name="Tusenskille 3 5 4 2 2" xfId="3476" xr:uid="{B0977ECF-79C0-45CD-AC61-3D3BA03BAD8B}"/>
    <cellStyle name="Tusenskille 3 5 4 3" xfId="972" xr:uid="{D888526B-FE63-4C18-BEB4-3A248E167E6B}"/>
    <cellStyle name="Tusenskille 3 5 4 4" xfId="2642" xr:uid="{8847A4AF-182D-4A09-9BCD-82AFCB52B503}"/>
    <cellStyle name="Tusenskille 3 5 5" xfId="222" xr:uid="{00000000-0005-0000-0000-0000FE020000}"/>
    <cellStyle name="Tusenskille 3 5 5 2" xfId="1898" xr:uid="{948634F6-DA40-4DDA-98EA-57E79F91EBDC}"/>
    <cellStyle name="Tusenskille 3 5 5 2 2" xfId="3566" xr:uid="{B722AD22-CE28-4DA1-A88C-ADE0EEB78E69}"/>
    <cellStyle name="Tusenskille 3 5 5 3" xfId="1062" xr:uid="{68855171-B440-4F7E-B396-9216120CAF4C}"/>
    <cellStyle name="Tusenskille 3 5 5 4" xfId="2732" xr:uid="{FA0FEBB2-7877-4E8F-B4B7-3CAAEA3E3347}"/>
    <cellStyle name="Tusenskille 3 5 6" xfId="312" xr:uid="{00000000-0005-0000-0000-0000FF020000}"/>
    <cellStyle name="Tusenskille 3 5 6 2" xfId="1988" xr:uid="{7779F5CB-D6F6-4D28-BCA7-DADB19E2A375}"/>
    <cellStyle name="Tusenskille 3 5 6 2 2" xfId="3656" xr:uid="{91A83A18-BEAC-48D5-AECA-42C474459C74}"/>
    <cellStyle name="Tusenskille 3 5 6 3" xfId="1152" xr:uid="{591417D8-B7FA-41A2-8811-FC0B8EEF7405}"/>
    <cellStyle name="Tusenskille 3 5 6 4" xfId="2822" xr:uid="{7FC0F5BC-3132-438D-A0CC-E8C059B05F85}"/>
    <cellStyle name="Tusenskille 3 5 7" xfId="402" xr:uid="{00000000-0005-0000-0000-000000030000}"/>
    <cellStyle name="Tusenskille 3 5 7 2" xfId="2078" xr:uid="{10210FCB-1808-4FFC-A7FE-F1819841DC8A}"/>
    <cellStyle name="Tusenskille 3 5 7 2 2" xfId="3746" xr:uid="{C11C89A2-3536-466B-B1AE-48257098AEA7}"/>
    <cellStyle name="Tusenskille 3 5 7 3" xfId="1242" xr:uid="{FB8EBBF6-0396-4C61-8774-ED6AE0500A16}"/>
    <cellStyle name="Tusenskille 3 5 7 4" xfId="2912" xr:uid="{5D6B0779-9DB5-4B8C-9D96-E8BDCB6E7207}"/>
    <cellStyle name="Tusenskille 3 5 8" xfId="492" xr:uid="{00000000-0005-0000-0000-000001030000}"/>
    <cellStyle name="Tusenskille 3 5 8 2" xfId="2168" xr:uid="{6DD52F47-D810-4826-89F4-C184CFE9C3D6}"/>
    <cellStyle name="Tusenskille 3 5 8 2 2" xfId="3836" xr:uid="{1C2AE92A-FCFA-4FBD-9A25-2AEED274DF62}"/>
    <cellStyle name="Tusenskille 3 5 8 3" xfId="1332" xr:uid="{E0C808C6-EAD3-4C50-8827-DA1F19FED502}"/>
    <cellStyle name="Tusenskille 3 5 8 4" xfId="3002" xr:uid="{48282720-C571-483B-8CA4-031036CD4B16}"/>
    <cellStyle name="Tusenskille 3 5 9" xfId="582" xr:uid="{00000000-0005-0000-0000-000002030000}"/>
    <cellStyle name="Tusenskille 3 5 9 2" xfId="2258" xr:uid="{BED9E113-E8A1-4B90-AF68-943D5915FF49}"/>
    <cellStyle name="Tusenskille 3 5 9 2 2" xfId="3926" xr:uid="{C90D732E-91F2-4E7B-94DE-49896AE00DB8}"/>
    <cellStyle name="Tusenskille 3 5 9 3" xfId="1422" xr:uid="{11A14A27-08D0-446F-8209-D84C4699C55D}"/>
    <cellStyle name="Tusenskille 3 5 9 4" xfId="3092" xr:uid="{34E4D2E2-6BCB-4DD7-9D0B-BBEAB588ED82}"/>
    <cellStyle name="Tusenskille 3 6" xfId="37" xr:uid="{00000000-0005-0000-0000-000003030000}"/>
    <cellStyle name="Tusenskille 3 6 10" xfId="675" xr:uid="{00000000-0005-0000-0000-000004030000}"/>
    <cellStyle name="Tusenskille 3 6 10 2" xfId="2351" xr:uid="{C8F098C3-7DD1-4FCF-9CDA-23D1F7D11E5D}"/>
    <cellStyle name="Tusenskille 3 6 10 2 2" xfId="4019" xr:uid="{BBA23085-1CD0-4F45-83B8-C4EF75F078E0}"/>
    <cellStyle name="Tusenskille 3 6 10 3" xfId="1515" xr:uid="{F6102D20-4C2F-4599-A5F6-0C0B82999A19}"/>
    <cellStyle name="Tusenskille 3 6 10 4" xfId="3185" xr:uid="{BF966D99-CBD1-48DB-AD95-BA28168C58A6}"/>
    <cellStyle name="Tusenskille 3 6 11" xfId="770" xr:uid="{00000000-0005-0000-0000-000005030000}"/>
    <cellStyle name="Tusenskille 3 6 11 2" xfId="2446" xr:uid="{1426DC0A-5D10-425E-979F-6E19F35E1AF1}"/>
    <cellStyle name="Tusenskille 3 6 11 2 2" xfId="4114" xr:uid="{A4EF6D75-B356-4AE4-B7F9-2655AD1DEC3A}"/>
    <cellStyle name="Tusenskille 3 6 11 3" xfId="1610" xr:uid="{99FAD47B-6F41-4A7D-BF3D-1FC5A1F1D055}"/>
    <cellStyle name="Tusenskille 3 6 11 4" xfId="3280" xr:uid="{9FF411D1-398B-409A-8DB3-803B1249CD99}"/>
    <cellStyle name="Tusenskille 3 6 12" xfId="1717" xr:uid="{E20ACC7C-D5A3-4FB0-9F08-1AD8DC1DF10A}"/>
    <cellStyle name="Tusenskille 3 6 12 2" xfId="3385" xr:uid="{95D642A7-FF4E-4741-AB30-6B3D14D5F962}"/>
    <cellStyle name="Tusenskille 3 6 13" xfId="881" xr:uid="{D217BCA3-5846-4C99-A761-CAC5EAA5E32D}"/>
    <cellStyle name="Tusenskille 3 6 14" xfId="2551" xr:uid="{C58A027D-FD8A-4856-9ECE-A132B4EC30D9}"/>
    <cellStyle name="Tusenskille 3 6 2" xfId="59" xr:uid="{00000000-0005-0000-0000-000006030000}"/>
    <cellStyle name="Tusenskille 3 6 2 10" xfId="790" xr:uid="{00000000-0005-0000-0000-000007030000}"/>
    <cellStyle name="Tusenskille 3 6 2 10 2" xfId="2466" xr:uid="{2AEBDA02-23C2-4950-9AEC-FF37C1A7E40C}"/>
    <cellStyle name="Tusenskille 3 6 2 10 2 2" xfId="4134" xr:uid="{D05D40D2-F417-47B4-AE25-A581308969C6}"/>
    <cellStyle name="Tusenskille 3 6 2 10 3" xfId="1630" xr:uid="{FC80CAAC-2E9A-4DE3-BE39-16D8678B554C}"/>
    <cellStyle name="Tusenskille 3 6 2 10 4" xfId="3300" xr:uid="{2CC595E1-C6A3-4E1C-8D3A-AD4DD21F24C4}"/>
    <cellStyle name="Tusenskille 3 6 2 11" xfId="1737" xr:uid="{515EEA71-E609-4B1A-A0EB-E1B4397F8699}"/>
    <cellStyle name="Tusenskille 3 6 2 11 2" xfId="3405" xr:uid="{6DE811A8-FF16-41C4-9DD3-563FAABABF97}"/>
    <cellStyle name="Tusenskille 3 6 2 12" xfId="901" xr:uid="{5B5B42AD-4AB0-48FA-81F3-1A12A230AE43}"/>
    <cellStyle name="Tusenskille 3 6 2 13" xfId="2571" xr:uid="{28EFDB9C-9F4E-4E92-B410-A4244B11A6CC}"/>
    <cellStyle name="Tusenskille 3 6 2 2" xfId="99" xr:uid="{00000000-0005-0000-0000-000008030000}"/>
    <cellStyle name="Tusenskille 3 6 2 2 10" xfId="1775" xr:uid="{B28B9A24-1A16-4AF0-9B40-853D0C2D6866}"/>
    <cellStyle name="Tusenskille 3 6 2 2 10 2" xfId="3443" xr:uid="{99A944BB-416F-456B-8295-B71CC963528D}"/>
    <cellStyle name="Tusenskille 3 6 2 2 11" xfId="939" xr:uid="{CE9DEF10-F43E-4706-9216-50CEACBB900D}"/>
    <cellStyle name="Tusenskille 3 6 2 2 12" xfId="2609" xr:uid="{C1DD5661-FDD4-4A53-A5C6-BD0CA89DC1F1}"/>
    <cellStyle name="Tusenskille 3 6 2 2 2" xfId="191" xr:uid="{00000000-0005-0000-0000-000009030000}"/>
    <cellStyle name="Tusenskille 3 6 2 2 2 2" xfId="1867" xr:uid="{71145C13-F6E5-4D9F-873C-75309B87E68C}"/>
    <cellStyle name="Tusenskille 3 6 2 2 2 2 2" xfId="3535" xr:uid="{D162B7F1-631A-4D9E-B7FD-45E5D916D221}"/>
    <cellStyle name="Tusenskille 3 6 2 2 2 3" xfId="1031" xr:uid="{BA274E37-894C-4795-A25F-0D60185BE68E}"/>
    <cellStyle name="Tusenskille 3 6 2 2 2 4" xfId="2701" xr:uid="{2C73E0F1-6D34-4E01-A881-69EE414D1B3D}"/>
    <cellStyle name="Tusenskille 3 6 2 2 3" xfId="281" xr:uid="{00000000-0005-0000-0000-00000A030000}"/>
    <cellStyle name="Tusenskille 3 6 2 2 3 2" xfId="1957" xr:uid="{F9358D84-87B6-4AA4-9A5C-D792DD46C5C4}"/>
    <cellStyle name="Tusenskille 3 6 2 2 3 2 2" xfId="3625" xr:uid="{CE929EB5-C3C9-4896-8FAC-468309F50847}"/>
    <cellStyle name="Tusenskille 3 6 2 2 3 3" xfId="1121" xr:uid="{8671B89A-3345-4E75-8045-A82BFCC08835}"/>
    <cellStyle name="Tusenskille 3 6 2 2 3 4" xfId="2791" xr:uid="{D058D9E6-DF90-4C77-99C3-0D3CCC4163A4}"/>
    <cellStyle name="Tusenskille 3 6 2 2 4" xfId="371" xr:uid="{00000000-0005-0000-0000-00000B030000}"/>
    <cellStyle name="Tusenskille 3 6 2 2 4 2" xfId="2047" xr:uid="{8FB79DC0-5BC6-44D5-B4A7-A182621C4406}"/>
    <cellStyle name="Tusenskille 3 6 2 2 4 2 2" xfId="3715" xr:uid="{7F5F30BA-2F66-427A-A00B-43D7249EAB14}"/>
    <cellStyle name="Tusenskille 3 6 2 2 4 3" xfId="1211" xr:uid="{830E831B-07D3-40A2-AC17-DF4FB209F06A}"/>
    <cellStyle name="Tusenskille 3 6 2 2 4 4" xfId="2881" xr:uid="{9E700DC3-FC74-4E41-A724-7DEC1F46C82A}"/>
    <cellStyle name="Tusenskille 3 6 2 2 5" xfId="461" xr:uid="{00000000-0005-0000-0000-00000C030000}"/>
    <cellStyle name="Tusenskille 3 6 2 2 5 2" xfId="2137" xr:uid="{758AECCA-F262-43D7-A0A1-32DA39DE0D73}"/>
    <cellStyle name="Tusenskille 3 6 2 2 5 2 2" xfId="3805" xr:uid="{43C54C4D-767C-4FE2-B1B9-B149C2DEE990}"/>
    <cellStyle name="Tusenskille 3 6 2 2 5 3" xfId="1301" xr:uid="{5F2E531D-A871-4453-AF12-A8DFD1CEC843}"/>
    <cellStyle name="Tusenskille 3 6 2 2 5 4" xfId="2971" xr:uid="{832F991F-BA02-4A0B-958E-38849510A1B5}"/>
    <cellStyle name="Tusenskille 3 6 2 2 6" xfId="551" xr:uid="{00000000-0005-0000-0000-00000D030000}"/>
    <cellStyle name="Tusenskille 3 6 2 2 6 2" xfId="2227" xr:uid="{5F526702-FEB3-4D06-A576-1153CACA6859}"/>
    <cellStyle name="Tusenskille 3 6 2 2 6 2 2" xfId="3895" xr:uid="{C5816189-1CEF-4015-8DBB-3124981E52FF}"/>
    <cellStyle name="Tusenskille 3 6 2 2 6 3" xfId="1391" xr:uid="{1CB4FBA6-25CD-4307-AD28-8582C6EBC745}"/>
    <cellStyle name="Tusenskille 3 6 2 2 6 4" xfId="3061" xr:uid="{72086673-7DBA-446F-A4AD-C2734EA1A2F9}"/>
    <cellStyle name="Tusenskille 3 6 2 2 7" xfId="641" xr:uid="{00000000-0005-0000-0000-00000E030000}"/>
    <cellStyle name="Tusenskille 3 6 2 2 7 2" xfId="2317" xr:uid="{19095850-4B83-48A5-AB71-8A170FBCCD02}"/>
    <cellStyle name="Tusenskille 3 6 2 2 7 2 2" xfId="3985" xr:uid="{6D39C9FD-AA36-4B37-9274-85F7238CD5EC}"/>
    <cellStyle name="Tusenskille 3 6 2 2 7 3" xfId="1481" xr:uid="{C40D618D-75BA-48E9-8566-302F1DC5E7B7}"/>
    <cellStyle name="Tusenskille 3 6 2 2 7 4" xfId="3151" xr:uid="{28CE13DE-2900-4219-A421-B262010652D7}"/>
    <cellStyle name="Tusenskille 3 6 2 2 8" xfId="731" xr:uid="{00000000-0005-0000-0000-00000F030000}"/>
    <cellStyle name="Tusenskille 3 6 2 2 8 2" xfId="2407" xr:uid="{9EADCE24-92F8-4A40-8FA1-237E6A4A35DF}"/>
    <cellStyle name="Tusenskille 3 6 2 2 8 2 2" xfId="4075" xr:uid="{052B4742-7F69-4D15-914A-7A8E4C287BEE}"/>
    <cellStyle name="Tusenskille 3 6 2 2 8 3" xfId="1571" xr:uid="{E910DE83-5DA1-4216-84E7-C2EF4D407421}"/>
    <cellStyle name="Tusenskille 3 6 2 2 8 4" xfId="3241" xr:uid="{C1523488-9046-4DF5-867D-74CF6289AF70}"/>
    <cellStyle name="Tusenskille 3 6 2 2 9" xfId="828" xr:uid="{00000000-0005-0000-0000-000010030000}"/>
    <cellStyle name="Tusenskille 3 6 2 2 9 2" xfId="2504" xr:uid="{29104D84-CAB8-4F1D-907F-EFDE92EC8DD6}"/>
    <cellStyle name="Tusenskille 3 6 2 2 9 2 2" xfId="4172" xr:uid="{54499D11-30D0-41EF-BFE0-596F536D45C6}"/>
    <cellStyle name="Tusenskille 3 6 2 2 9 3" xfId="1668" xr:uid="{65A0499F-9FC8-4902-8705-4137AD7A9209}"/>
    <cellStyle name="Tusenskille 3 6 2 2 9 4" xfId="3338" xr:uid="{D85DDAC8-5445-4CA2-B120-050E8FA32A65}"/>
    <cellStyle name="Tusenskille 3 6 2 3" xfId="154" xr:uid="{00000000-0005-0000-0000-000011030000}"/>
    <cellStyle name="Tusenskille 3 6 2 3 2" xfId="1830" xr:uid="{B7386332-04F8-4ABF-8A8C-385757B2CDDC}"/>
    <cellStyle name="Tusenskille 3 6 2 3 2 2" xfId="3498" xr:uid="{E2BE170B-0519-4613-A251-EECCB5690EFC}"/>
    <cellStyle name="Tusenskille 3 6 2 3 3" xfId="994" xr:uid="{7B08EA7C-60D6-417D-B46C-892C0A982508}"/>
    <cellStyle name="Tusenskille 3 6 2 3 4" xfId="2664" xr:uid="{24CFA052-DB47-4F36-B045-75233B05B7E6}"/>
    <cellStyle name="Tusenskille 3 6 2 4" xfId="244" xr:uid="{00000000-0005-0000-0000-000012030000}"/>
    <cellStyle name="Tusenskille 3 6 2 4 2" xfId="1920" xr:uid="{408D3FF2-9AA9-4C69-B634-62BAFAA734D7}"/>
    <cellStyle name="Tusenskille 3 6 2 4 2 2" xfId="3588" xr:uid="{9384C369-8881-4275-8C83-1A010EED403C}"/>
    <cellStyle name="Tusenskille 3 6 2 4 3" xfId="1084" xr:uid="{839DE70F-CA65-41AD-96C3-79298AFE5F18}"/>
    <cellStyle name="Tusenskille 3 6 2 4 4" xfId="2754" xr:uid="{9688A9FB-BD68-4BFC-BA63-CECBD2B51D22}"/>
    <cellStyle name="Tusenskille 3 6 2 5" xfId="334" xr:uid="{00000000-0005-0000-0000-000013030000}"/>
    <cellStyle name="Tusenskille 3 6 2 5 2" xfId="2010" xr:uid="{8CE13A37-9BB5-45C1-B735-730F6EBC4937}"/>
    <cellStyle name="Tusenskille 3 6 2 5 2 2" xfId="3678" xr:uid="{B6410FD0-C8A1-42EA-A752-60AF1306A7C8}"/>
    <cellStyle name="Tusenskille 3 6 2 5 3" xfId="1174" xr:uid="{8CFDBD52-E4EE-4198-B51B-9586196919AD}"/>
    <cellStyle name="Tusenskille 3 6 2 5 4" xfId="2844" xr:uid="{771DC236-018D-4434-A352-89E413B052D7}"/>
    <cellStyle name="Tusenskille 3 6 2 6" xfId="424" xr:uid="{00000000-0005-0000-0000-000014030000}"/>
    <cellStyle name="Tusenskille 3 6 2 6 2" xfId="2100" xr:uid="{1D0DFD6C-9563-41C2-BF72-8AB32C6ECD85}"/>
    <cellStyle name="Tusenskille 3 6 2 6 2 2" xfId="3768" xr:uid="{554C1206-9457-4C49-8CE2-FD0F04641FAF}"/>
    <cellStyle name="Tusenskille 3 6 2 6 3" xfId="1264" xr:uid="{D438F39F-F5F8-4923-B957-6A9C28F3E56C}"/>
    <cellStyle name="Tusenskille 3 6 2 6 4" xfId="2934" xr:uid="{3C92843F-D59C-45E6-8924-B1909851443E}"/>
    <cellStyle name="Tusenskille 3 6 2 7" xfId="514" xr:uid="{00000000-0005-0000-0000-000015030000}"/>
    <cellStyle name="Tusenskille 3 6 2 7 2" xfId="2190" xr:uid="{35A49720-6121-4B45-B5CA-94FD50568021}"/>
    <cellStyle name="Tusenskille 3 6 2 7 2 2" xfId="3858" xr:uid="{2700AEE5-8E1E-4F40-AE71-EF6A35433D4F}"/>
    <cellStyle name="Tusenskille 3 6 2 7 3" xfId="1354" xr:uid="{43C3287C-CA3B-4F47-A420-D53D23DBF027}"/>
    <cellStyle name="Tusenskille 3 6 2 7 4" xfId="3024" xr:uid="{75E5030A-A264-4F7F-8E26-7DFD5E154442}"/>
    <cellStyle name="Tusenskille 3 6 2 8" xfId="604" xr:uid="{00000000-0005-0000-0000-000016030000}"/>
    <cellStyle name="Tusenskille 3 6 2 8 2" xfId="2280" xr:uid="{58B247E4-E7C6-407D-98D0-5A48EAA64A1E}"/>
    <cellStyle name="Tusenskille 3 6 2 8 2 2" xfId="3948" xr:uid="{0E2C9601-513E-4DC6-9AA2-993A838777DD}"/>
    <cellStyle name="Tusenskille 3 6 2 8 3" xfId="1444" xr:uid="{3E0571A4-F910-487A-AAD8-A262598C3255}"/>
    <cellStyle name="Tusenskille 3 6 2 8 4" xfId="3114" xr:uid="{334E64DE-1216-4C1D-AD3B-0F2C477F7EBE}"/>
    <cellStyle name="Tusenskille 3 6 2 9" xfId="694" xr:uid="{00000000-0005-0000-0000-000017030000}"/>
    <cellStyle name="Tusenskille 3 6 2 9 2" xfId="2370" xr:uid="{551112AA-B3B9-4360-B375-E817B60F688E}"/>
    <cellStyle name="Tusenskille 3 6 2 9 2 2" xfId="4038" xr:uid="{6A02310F-DC62-4314-9C50-58A5D685AF96}"/>
    <cellStyle name="Tusenskille 3 6 2 9 3" xfId="1534" xr:uid="{8B20E01A-326D-442E-9062-0C7358034EE3}"/>
    <cellStyle name="Tusenskille 3 6 2 9 4" xfId="3204" xr:uid="{3080E072-7592-4B9F-B652-9C11D34FC4E0}"/>
    <cellStyle name="Tusenskille 3 6 3" xfId="79" xr:uid="{00000000-0005-0000-0000-000018030000}"/>
    <cellStyle name="Tusenskille 3 6 3 10" xfId="1756" xr:uid="{CAC4925A-B572-4997-9D73-8B32422BF448}"/>
    <cellStyle name="Tusenskille 3 6 3 10 2" xfId="3424" xr:uid="{B6ADF0DA-B265-4A99-8AAB-EF6A9FEF12E4}"/>
    <cellStyle name="Tusenskille 3 6 3 11" xfId="920" xr:uid="{52180701-BA90-4BA9-8D31-765975F6A195}"/>
    <cellStyle name="Tusenskille 3 6 3 12" xfId="2590" xr:uid="{ACAEED36-2D41-4A72-8EDA-F183D647BF74}"/>
    <cellStyle name="Tusenskille 3 6 3 2" xfId="172" xr:uid="{00000000-0005-0000-0000-000019030000}"/>
    <cellStyle name="Tusenskille 3 6 3 2 2" xfId="1848" xr:uid="{54800B71-D804-4644-B5D7-DD5884B0E4D0}"/>
    <cellStyle name="Tusenskille 3 6 3 2 2 2" xfId="3516" xr:uid="{4236B08A-C1ED-4F04-93BF-69D716D31FE6}"/>
    <cellStyle name="Tusenskille 3 6 3 2 3" xfId="1012" xr:uid="{955D5EB8-0B85-4103-8637-ACEB28B7D64A}"/>
    <cellStyle name="Tusenskille 3 6 3 2 4" xfId="2682" xr:uid="{A2D6624B-151C-4794-891C-FBF7C162AA2B}"/>
    <cellStyle name="Tusenskille 3 6 3 3" xfId="262" xr:uid="{00000000-0005-0000-0000-00001A030000}"/>
    <cellStyle name="Tusenskille 3 6 3 3 2" xfId="1938" xr:uid="{7B4C9B76-C844-45A2-A27A-39999EFF03CA}"/>
    <cellStyle name="Tusenskille 3 6 3 3 2 2" xfId="3606" xr:uid="{F313B119-FB4B-46C9-88AB-3ECB1EE49988}"/>
    <cellStyle name="Tusenskille 3 6 3 3 3" xfId="1102" xr:uid="{D9B57D27-FDEA-46BB-BBD9-1651E8752535}"/>
    <cellStyle name="Tusenskille 3 6 3 3 4" xfId="2772" xr:uid="{AF5A0DA7-28EE-402C-9B9D-A1347072AF11}"/>
    <cellStyle name="Tusenskille 3 6 3 4" xfId="352" xr:uid="{00000000-0005-0000-0000-00001B030000}"/>
    <cellStyle name="Tusenskille 3 6 3 4 2" xfId="2028" xr:uid="{61A48E48-36B9-4774-B6D4-B4A9CCC36625}"/>
    <cellStyle name="Tusenskille 3 6 3 4 2 2" xfId="3696" xr:uid="{213A8992-DAA7-4751-A637-95E8C898FD33}"/>
    <cellStyle name="Tusenskille 3 6 3 4 3" xfId="1192" xr:uid="{DD22263C-C491-43C8-949E-174B1DE21D59}"/>
    <cellStyle name="Tusenskille 3 6 3 4 4" xfId="2862" xr:uid="{2DF90BEF-3FD2-403A-9AB8-719E2AB0D755}"/>
    <cellStyle name="Tusenskille 3 6 3 5" xfId="442" xr:uid="{00000000-0005-0000-0000-00001C030000}"/>
    <cellStyle name="Tusenskille 3 6 3 5 2" xfId="2118" xr:uid="{F9FF1238-5142-40F1-B245-5BC178ECDE53}"/>
    <cellStyle name="Tusenskille 3 6 3 5 2 2" xfId="3786" xr:uid="{2A8B3B69-C523-4B9E-9429-52CF21F6DB0F}"/>
    <cellStyle name="Tusenskille 3 6 3 5 3" xfId="1282" xr:uid="{9472E806-E434-4887-8360-29236A478B51}"/>
    <cellStyle name="Tusenskille 3 6 3 5 4" xfId="2952" xr:uid="{65651FC0-84AE-4688-A8CC-35CA07AEBAA5}"/>
    <cellStyle name="Tusenskille 3 6 3 6" xfId="532" xr:uid="{00000000-0005-0000-0000-00001D030000}"/>
    <cellStyle name="Tusenskille 3 6 3 6 2" xfId="2208" xr:uid="{08C66BDB-DE47-4975-BA17-E2D78D71BA38}"/>
    <cellStyle name="Tusenskille 3 6 3 6 2 2" xfId="3876" xr:uid="{D10E943D-D141-4450-AA61-C3A4D578C4E4}"/>
    <cellStyle name="Tusenskille 3 6 3 6 3" xfId="1372" xr:uid="{34EB8DDE-CE2D-41B1-9046-27785C80E5E3}"/>
    <cellStyle name="Tusenskille 3 6 3 6 4" xfId="3042" xr:uid="{DE3F4D01-982A-42CC-9BAF-7574B49971E3}"/>
    <cellStyle name="Tusenskille 3 6 3 7" xfId="622" xr:uid="{00000000-0005-0000-0000-00001E030000}"/>
    <cellStyle name="Tusenskille 3 6 3 7 2" xfId="2298" xr:uid="{02061F7B-F299-45C0-B20D-344724984552}"/>
    <cellStyle name="Tusenskille 3 6 3 7 2 2" xfId="3966" xr:uid="{4C8867CD-35DD-4EB7-89E0-8C7899547C23}"/>
    <cellStyle name="Tusenskille 3 6 3 7 3" xfId="1462" xr:uid="{A9165F89-806F-4E78-AD6E-35FC3A9FA230}"/>
    <cellStyle name="Tusenskille 3 6 3 7 4" xfId="3132" xr:uid="{A680C37D-21F1-45CE-A160-98CF3CDE066F}"/>
    <cellStyle name="Tusenskille 3 6 3 8" xfId="712" xr:uid="{00000000-0005-0000-0000-00001F030000}"/>
    <cellStyle name="Tusenskille 3 6 3 8 2" xfId="2388" xr:uid="{079DE312-E2FC-42D0-8444-65C37AC67B68}"/>
    <cellStyle name="Tusenskille 3 6 3 8 2 2" xfId="4056" xr:uid="{AD9810B3-07CA-42B6-8260-BABADDD12227}"/>
    <cellStyle name="Tusenskille 3 6 3 8 3" xfId="1552" xr:uid="{80B39390-2A84-47FF-A030-24684C2CBE5E}"/>
    <cellStyle name="Tusenskille 3 6 3 8 4" xfId="3222" xr:uid="{5DFF2DD8-EB55-47E4-BD54-8C7A4C8DB814}"/>
    <cellStyle name="Tusenskille 3 6 3 9" xfId="809" xr:uid="{00000000-0005-0000-0000-000020030000}"/>
    <cellStyle name="Tusenskille 3 6 3 9 2" xfId="2485" xr:uid="{FB512E02-8C29-4058-AE8F-17B39632483E}"/>
    <cellStyle name="Tusenskille 3 6 3 9 2 2" xfId="4153" xr:uid="{0EB12DEE-CE3F-4E9C-B3C1-3FC50426F527}"/>
    <cellStyle name="Tusenskille 3 6 3 9 3" xfId="1649" xr:uid="{A60CCC7F-D061-4F2C-83D0-A7954FBC58A9}"/>
    <cellStyle name="Tusenskille 3 6 3 9 4" xfId="3319" xr:uid="{7D809035-A94E-42D4-A522-3BC3AB240367}"/>
    <cellStyle name="Tusenskille 3 6 4" xfId="135" xr:uid="{00000000-0005-0000-0000-000021030000}"/>
    <cellStyle name="Tusenskille 3 6 4 2" xfId="1811" xr:uid="{1B4F15F4-2D53-4AE1-8F44-9890E3550804}"/>
    <cellStyle name="Tusenskille 3 6 4 2 2" xfId="3479" xr:uid="{21020F56-6EE4-450A-A27B-4076339EF59D}"/>
    <cellStyle name="Tusenskille 3 6 4 3" xfId="975" xr:uid="{3FCE8FF3-CBFF-4D6A-B697-7D1638A6AAFC}"/>
    <cellStyle name="Tusenskille 3 6 4 4" xfId="2645" xr:uid="{7FBC7B47-1CD5-4AF1-85A7-C1524591DA75}"/>
    <cellStyle name="Tusenskille 3 6 5" xfId="225" xr:uid="{00000000-0005-0000-0000-000022030000}"/>
    <cellStyle name="Tusenskille 3 6 5 2" xfId="1901" xr:uid="{6198677E-6BFF-45BA-B53C-C5A713891053}"/>
    <cellStyle name="Tusenskille 3 6 5 2 2" xfId="3569" xr:uid="{9EF63A77-51E8-46DF-A41A-D4CB3D410EF5}"/>
    <cellStyle name="Tusenskille 3 6 5 3" xfId="1065" xr:uid="{B8D2AC12-1096-4760-A8CF-1C21A010F016}"/>
    <cellStyle name="Tusenskille 3 6 5 4" xfId="2735" xr:uid="{6535772D-C28E-42DF-88ED-9B7B4DC8972E}"/>
    <cellStyle name="Tusenskille 3 6 6" xfId="315" xr:uid="{00000000-0005-0000-0000-000023030000}"/>
    <cellStyle name="Tusenskille 3 6 6 2" xfId="1991" xr:uid="{AB42590E-4F08-47FF-BB34-A5A61F08E6F9}"/>
    <cellStyle name="Tusenskille 3 6 6 2 2" xfId="3659" xr:uid="{FE72CF6F-6E5D-47EE-81D3-C81FD33360C2}"/>
    <cellStyle name="Tusenskille 3 6 6 3" xfId="1155" xr:uid="{C9634E85-38CD-447D-9E9E-889DD755478C}"/>
    <cellStyle name="Tusenskille 3 6 6 4" xfId="2825" xr:uid="{B7908E10-AA1A-40C1-BD44-743005B0093E}"/>
    <cellStyle name="Tusenskille 3 6 7" xfId="405" xr:uid="{00000000-0005-0000-0000-000024030000}"/>
    <cellStyle name="Tusenskille 3 6 7 2" xfId="2081" xr:uid="{EA5F0800-B3F7-4F41-8CCD-112A3648CB0E}"/>
    <cellStyle name="Tusenskille 3 6 7 2 2" xfId="3749" xr:uid="{24FDEDC0-E132-426D-AC21-9177BDBB2844}"/>
    <cellStyle name="Tusenskille 3 6 7 3" xfId="1245" xr:uid="{484931FC-5E58-419B-A0D7-ED9316B6E5F1}"/>
    <cellStyle name="Tusenskille 3 6 7 4" xfId="2915" xr:uid="{53F48EEE-AB0C-4977-889B-BAD79FFFEA70}"/>
    <cellStyle name="Tusenskille 3 6 8" xfId="495" xr:uid="{00000000-0005-0000-0000-000025030000}"/>
    <cellStyle name="Tusenskille 3 6 8 2" xfId="2171" xr:uid="{2F9E3933-0E09-4280-BFFF-FDED591FC8A6}"/>
    <cellStyle name="Tusenskille 3 6 8 2 2" xfId="3839" xr:uid="{ADE1B1DF-24E7-4E87-955A-F3CAD30B40A3}"/>
    <cellStyle name="Tusenskille 3 6 8 3" xfId="1335" xr:uid="{8CB0A559-075F-44AA-A7CD-652CFEDFC01E}"/>
    <cellStyle name="Tusenskille 3 6 8 4" xfId="3005" xr:uid="{57EB4182-C7AE-4047-A3DB-3114F318D856}"/>
    <cellStyle name="Tusenskille 3 6 9" xfId="585" xr:uid="{00000000-0005-0000-0000-000026030000}"/>
    <cellStyle name="Tusenskille 3 6 9 2" xfId="2261" xr:uid="{EB07B8EA-D9F9-4203-8BED-CF2485E02ECF}"/>
    <cellStyle name="Tusenskille 3 6 9 2 2" xfId="3929" xr:uid="{6155A974-956E-4375-9AE1-FC7AA325C7BC}"/>
    <cellStyle name="Tusenskille 3 6 9 3" xfId="1425" xr:uid="{3163A698-1D43-4D74-8B76-7A6CA2101115}"/>
    <cellStyle name="Tusenskille 3 6 9 4" xfId="3095" xr:uid="{57F3A4D0-5DC7-49DC-9113-80F8ACE386CC}"/>
    <cellStyle name="Tusenskille 3 7" xfId="43" xr:uid="{00000000-0005-0000-0000-000027030000}"/>
    <cellStyle name="Tusenskille 3 7 10" xfId="775" xr:uid="{00000000-0005-0000-0000-000028030000}"/>
    <cellStyle name="Tusenskille 3 7 10 2" xfId="2451" xr:uid="{5B2E0DC1-0975-415B-AB0B-3AC16EB28307}"/>
    <cellStyle name="Tusenskille 3 7 10 2 2" xfId="4119" xr:uid="{7FED8497-948E-49AB-86E3-E879CF6E8AD5}"/>
    <cellStyle name="Tusenskille 3 7 10 3" xfId="1615" xr:uid="{2DB2A529-E9AE-4DF0-9311-275B31CD3B74}"/>
    <cellStyle name="Tusenskille 3 7 10 4" xfId="3285" xr:uid="{DC9FF435-DE01-4CAA-B537-635C6C2317C0}"/>
    <cellStyle name="Tusenskille 3 7 11" xfId="1722" xr:uid="{94876F51-23DE-459F-A4FB-EC35FFC705B2}"/>
    <cellStyle name="Tusenskille 3 7 11 2" xfId="3390" xr:uid="{F44EF889-FF38-420A-BBFC-137E35063943}"/>
    <cellStyle name="Tusenskille 3 7 12" xfId="886" xr:uid="{7BEFA7A6-1AD0-43A1-933C-B57ED899F185}"/>
    <cellStyle name="Tusenskille 3 7 13" xfId="2556" xr:uid="{01E53134-3DB8-4EFF-8F8A-A403DD37E760}"/>
    <cellStyle name="Tusenskille 3 7 2" xfId="83" xr:uid="{00000000-0005-0000-0000-000029030000}"/>
    <cellStyle name="Tusenskille 3 7 2 10" xfId="1760" xr:uid="{70BAB990-E32D-44E2-93AF-C4AE71D2FE49}"/>
    <cellStyle name="Tusenskille 3 7 2 10 2" xfId="3428" xr:uid="{263B4BCC-3A62-484A-968D-87E7EB88E0FF}"/>
    <cellStyle name="Tusenskille 3 7 2 11" xfId="924" xr:uid="{C99E866B-6305-4BDF-959F-55EC8BC46AC6}"/>
    <cellStyle name="Tusenskille 3 7 2 12" xfId="2594" xr:uid="{80A3269F-CCD6-4010-8BF2-4D80344E63B8}"/>
    <cellStyle name="Tusenskille 3 7 2 2" xfId="176" xr:uid="{00000000-0005-0000-0000-00002A030000}"/>
    <cellStyle name="Tusenskille 3 7 2 2 2" xfId="1852" xr:uid="{7D935208-A4A0-4201-AF13-DFD04A4C7328}"/>
    <cellStyle name="Tusenskille 3 7 2 2 2 2" xfId="3520" xr:uid="{4343AF2F-E458-435F-9D92-7A10A7F3F618}"/>
    <cellStyle name="Tusenskille 3 7 2 2 3" xfId="1016" xr:uid="{448E0904-63C7-4CFF-BD41-E87F121FCB79}"/>
    <cellStyle name="Tusenskille 3 7 2 2 4" xfId="2686" xr:uid="{FACEE178-7418-4D35-84A6-B348827F2D18}"/>
    <cellStyle name="Tusenskille 3 7 2 3" xfId="266" xr:uid="{00000000-0005-0000-0000-00002B030000}"/>
    <cellStyle name="Tusenskille 3 7 2 3 2" xfId="1942" xr:uid="{8F206748-4608-4B8A-9CD0-75341352FDBF}"/>
    <cellStyle name="Tusenskille 3 7 2 3 2 2" xfId="3610" xr:uid="{736818F7-7A0F-4A04-AEBB-68F0260F2EF3}"/>
    <cellStyle name="Tusenskille 3 7 2 3 3" xfId="1106" xr:uid="{7D4208A2-50FC-45BE-962C-95C6AC0DF405}"/>
    <cellStyle name="Tusenskille 3 7 2 3 4" xfId="2776" xr:uid="{3748F200-A1F9-4F3B-BEFC-6ADDA688EF11}"/>
    <cellStyle name="Tusenskille 3 7 2 4" xfId="356" xr:uid="{00000000-0005-0000-0000-00002C030000}"/>
    <cellStyle name="Tusenskille 3 7 2 4 2" xfId="2032" xr:uid="{B690A081-FEAB-4BAC-9FA1-9EFBE2AE977D}"/>
    <cellStyle name="Tusenskille 3 7 2 4 2 2" xfId="3700" xr:uid="{2824A5EE-9885-42A5-9ACC-6DF273DB2A06}"/>
    <cellStyle name="Tusenskille 3 7 2 4 3" xfId="1196" xr:uid="{F45E4464-BABC-4252-B2D7-2BBA278C7735}"/>
    <cellStyle name="Tusenskille 3 7 2 4 4" xfId="2866" xr:uid="{54E7264E-B92B-4752-8DB4-EFB0723D5A9C}"/>
    <cellStyle name="Tusenskille 3 7 2 5" xfId="446" xr:uid="{00000000-0005-0000-0000-00002D030000}"/>
    <cellStyle name="Tusenskille 3 7 2 5 2" xfId="2122" xr:uid="{E7065626-36CF-40BB-9290-38432CBADDFD}"/>
    <cellStyle name="Tusenskille 3 7 2 5 2 2" xfId="3790" xr:uid="{77CE39DC-A2DA-4F99-9C81-B22FF8B6D6D8}"/>
    <cellStyle name="Tusenskille 3 7 2 5 3" xfId="1286" xr:uid="{76B4E18A-6169-46EA-B6CD-3B1C35E0B37F}"/>
    <cellStyle name="Tusenskille 3 7 2 5 4" xfId="2956" xr:uid="{CA0E8EBE-AF61-4F8F-A423-59E636FB6938}"/>
    <cellStyle name="Tusenskille 3 7 2 6" xfId="536" xr:uid="{00000000-0005-0000-0000-00002E030000}"/>
    <cellStyle name="Tusenskille 3 7 2 6 2" xfId="2212" xr:uid="{16C7C0DC-5D42-4509-ADA3-C5468C0C018D}"/>
    <cellStyle name="Tusenskille 3 7 2 6 2 2" xfId="3880" xr:uid="{C7D890EC-766D-4FD8-93B2-F4D8483F0E4E}"/>
    <cellStyle name="Tusenskille 3 7 2 6 3" xfId="1376" xr:uid="{C2B432C0-5FD8-4E36-9CBB-82C373712A6E}"/>
    <cellStyle name="Tusenskille 3 7 2 6 4" xfId="3046" xr:uid="{1601D8A2-2F93-425F-8E68-893E0BE799D3}"/>
    <cellStyle name="Tusenskille 3 7 2 7" xfId="626" xr:uid="{00000000-0005-0000-0000-00002F030000}"/>
    <cellStyle name="Tusenskille 3 7 2 7 2" xfId="2302" xr:uid="{6265FBD3-20FF-46E8-9E60-A6A0BD209964}"/>
    <cellStyle name="Tusenskille 3 7 2 7 2 2" xfId="3970" xr:uid="{D019A303-916F-488A-8E18-5CE28E85DF1E}"/>
    <cellStyle name="Tusenskille 3 7 2 7 3" xfId="1466" xr:uid="{E5C6EE92-4DF2-4B69-BAC4-9CB27686E93C}"/>
    <cellStyle name="Tusenskille 3 7 2 7 4" xfId="3136" xr:uid="{698F0405-CDCE-4872-9A33-C21B2AA44313}"/>
    <cellStyle name="Tusenskille 3 7 2 8" xfId="716" xr:uid="{00000000-0005-0000-0000-000030030000}"/>
    <cellStyle name="Tusenskille 3 7 2 8 2" xfId="2392" xr:uid="{BB41C8E8-75B4-4B9D-B4ED-2772ECEBFAD3}"/>
    <cellStyle name="Tusenskille 3 7 2 8 2 2" xfId="4060" xr:uid="{4E65BA97-DCB3-495D-8444-B5ACEDFB9994}"/>
    <cellStyle name="Tusenskille 3 7 2 8 3" xfId="1556" xr:uid="{7FA6CDFD-144C-47C4-9AC9-E416D6DADB6B}"/>
    <cellStyle name="Tusenskille 3 7 2 8 4" xfId="3226" xr:uid="{A95FC01C-AB97-437C-A00A-E491875E3739}"/>
    <cellStyle name="Tusenskille 3 7 2 9" xfId="813" xr:uid="{00000000-0005-0000-0000-000031030000}"/>
    <cellStyle name="Tusenskille 3 7 2 9 2" xfId="2489" xr:uid="{D1ADE0E7-D2EF-434B-8051-A50022AB38A3}"/>
    <cellStyle name="Tusenskille 3 7 2 9 2 2" xfId="4157" xr:uid="{5C271CE8-FD1E-4E9C-A172-B03204AA31B6}"/>
    <cellStyle name="Tusenskille 3 7 2 9 3" xfId="1653" xr:uid="{0D7D2CC7-EAF5-4068-9D23-4318560E49E3}"/>
    <cellStyle name="Tusenskille 3 7 2 9 4" xfId="3323" xr:uid="{BA0D7403-E1C6-47E8-B092-34C553F82560}"/>
    <cellStyle name="Tusenskille 3 7 3" xfId="139" xr:uid="{00000000-0005-0000-0000-000032030000}"/>
    <cellStyle name="Tusenskille 3 7 3 2" xfId="1815" xr:uid="{6D55DE94-ABDB-4837-A5CD-631F0643B192}"/>
    <cellStyle name="Tusenskille 3 7 3 2 2" xfId="3483" xr:uid="{413F4DDE-3CCC-4718-9581-DB783A72CF98}"/>
    <cellStyle name="Tusenskille 3 7 3 3" xfId="979" xr:uid="{2D048F68-7062-4F2C-A532-6B55A341D6A8}"/>
    <cellStyle name="Tusenskille 3 7 3 4" xfId="2649" xr:uid="{03EE4FE9-B3ED-4CC2-AFBA-D8258C9D3B06}"/>
    <cellStyle name="Tusenskille 3 7 4" xfId="229" xr:uid="{00000000-0005-0000-0000-000033030000}"/>
    <cellStyle name="Tusenskille 3 7 4 2" xfId="1905" xr:uid="{8238E935-0CE5-44C6-995E-BE112C7B642A}"/>
    <cellStyle name="Tusenskille 3 7 4 2 2" xfId="3573" xr:uid="{B2577067-B745-4A7E-A2F4-BA4D5CDBBE53}"/>
    <cellStyle name="Tusenskille 3 7 4 3" xfId="1069" xr:uid="{48DCB564-D8BD-49C7-8CCA-0CA51BF84536}"/>
    <cellStyle name="Tusenskille 3 7 4 4" xfId="2739" xr:uid="{8C5706F1-21F6-4D1D-B9A1-C7521D216679}"/>
    <cellStyle name="Tusenskille 3 7 5" xfId="319" xr:uid="{00000000-0005-0000-0000-000034030000}"/>
    <cellStyle name="Tusenskille 3 7 5 2" xfId="1995" xr:uid="{3302DD94-E2E7-47BE-8DFE-8D9830B44579}"/>
    <cellStyle name="Tusenskille 3 7 5 2 2" xfId="3663" xr:uid="{009D2FC4-6954-4CC7-A5FB-AA5E86C37808}"/>
    <cellStyle name="Tusenskille 3 7 5 3" xfId="1159" xr:uid="{9788B450-5F2E-4919-AEFA-44DEBD353DD5}"/>
    <cellStyle name="Tusenskille 3 7 5 4" xfId="2829" xr:uid="{10DD8298-D1B3-4C09-B7D3-8B8B34C5FBEA}"/>
    <cellStyle name="Tusenskille 3 7 6" xfId="409" xr:uid="{00000000-0005-0000-0000-000035030000}"/>
    <cellStyle name="Tusenskille 3 7 6 2" xfId="2085" xr:uid="{B7209636-5A11-467C-88C5-F3D79C0BB4BB}"/>
    <cellStyle name="Tusenskille 3 7 6 2 2" xfId="3753" xr:uid="{ED34EDF1-B092-4B46-9A4E-C6B6C40AC08C}"/>
    <cellStyle name="Tusenskille 3 7 6 3" xfId="1249" xr:uid="{241BBF07-586D-4BC3-A12F-C75C256016C8}"/>
    <cellStyle name="Tusenskille 3 7 6 4" xfId="2919" xr:uid="{89B01996-B52E-4CC6-A309-9F12466F6805}"/>
    <cellStyle name="Tusenskille 3 7 7" xfId="499" xr:uid="{00000000-0005-0000-0000-000036030000}"/>
    <cellStyle name="Tusenskille 3 7 7 2" xfId="2175" xr:uid="{60B10883-650D-4B13-92DF-EC01B75E9441}"/>
    <cellStyle name="Tusenskille 3 7 7 2 2" xfId="3843" xr:uid="{878A01B5-B52C-4887-B47F-B0493B88040F}"/>
    <cellStyle name="Tusenskille 3 7 7 3" xfId="1339" xr:uid="{582324C0-E71F-4D48-B157-247E543DB8A4}"/>
    <cellStyle name="Tusenskille 3 7 7 4" xfId="3009" xr:uid="{628704E2-2B36-401A-970C-05034159EC7B}"/>
    <cellStyle name="Tusenskille 3 7 8" xfId="589" xr:uid="{00000000-0005-0000-0000-000037030000}"/>
    <cellStyle name="Tusenskille 3 7 8 2" xfId="2265" xr:uid="{62CFA65A-C78B-40BF-88FC-6FEDEF9735D4}"/>
    <cellStyle name="Tusenskille 3 7 8 2 2" xfId="3933" xr:uid="{85665DE2-7A06-4FFB-B897-1752EA17E784}"/>
    <cellStyle name="Tusenskille 3 7 8 3" xfId="1429" xr:uid="{906B29FA-8D09-44EC-86FD-88FC0FCA4E23}"/>
    <cellStyle name="Tusenskille 3 7 8 4" xfId="3099" xr:uid="{55989BDB-B9DF-4110-B700-A663CD942AB4}"/>
    <cellStyle name="Tusenskille 3 7 9" xfId="679" xr:uid="{00000000-0005-0000-0000-000038030000}"/>
    <cellStyle name="Tusenskille 3 7 9 2" xfId="2355" xr:uid="{94108FA9-9A8D-4295-919D-08B13136B064}"/>
    <cellStyle name="Tusenskille 3 7 9 2 2" xfId="4023" xr:uid="{34B43FCC-7255-45E7-B7C1-DF27C0B2AF63}"/>
    <cellStyle name="Tusenskille 3 7 9 3" xfId="1519" xr:uid="{AC80C592-1562-409A-A35D-233006831580}"/>
    <cellStyle name="Tusenskille 3 7 9 4" xfId="3189" xr:uid="{F0AB9862-D6EC-4CA1-A746-35AA9DA1AA63}"/>
    <cellStyle name="Tusenskille 3 8" xfId="64" xr:uid="{00000000-0005-0000-0000-000039030000}"/>
    <cellStyle name="Tusenskille 3 8 10" xfId="1741" xr:uid="{322CB06D-451C-4A93-918A-236709FF1ED0}"/>
    <cellStyle name="Tusenskille 3 8 10 2" xfId="3409" xr:uid="{31F48E19-AE6B-46D7-AAA2-7B5A7D8C3335}"/>
    <cellStyle name="Tusenskille 3 8 11" xfId="905" xr:uid="{3DC68721-D396-4B29-94EF-EBF5752F4F6B}"/>
    <cellStyle name="Tusenskille 3 8 12" xfId="2575" xr:uid="{B954AF1A-B7CF-4B1B-A393-C1BC53F6118C}"/>
    <cellStyle name="Tusenskille 3 8 2" xfId="157" xr:uid="{00000000-0005-0000-0000-00003A030000}"/>
    <cellStyle name="Tusenskille 3 8 2 2" xfId="1833" xr:uid="{FEF2406F-12FF-4902-87AE-69F87373BC67}"/>
    <cellStyle name="Tusenskille 3 8 2 2 2" xfId="3501" xr:uid="{2D5E34F9-F9C3-49FB-ABE9-DCF638022C92}"/>
    <cellStyle name="Tusenskille 3 8 2 3" xfId="997" xr:uid="{84CFE930-4E11-4F8E-963A-998FB09AC346}"/>
    <cellStyle name="Tusenskille 3 8 2 4" xfId="2667" xr:uid="{CEA90E6D-374B-4466-B571-607727DEDB81}"/>
    <cellStyle name="Tusenskille 3 8 3" xfId="247" xr:uid="{00000000-0005-0000-0000-00003B030000}"/>
    <cellStyle name="Tusenskille 3 8 3 2" xfId="1923" xr:uid="{796FF15D-033D-4F1F-8A5A-FA3637B52C68}"/>
    <cellStyle name="Tusenskille 3 8 3 2 2" xfId="3591" xr:uid="{F7125077-A448-436B-A702-94DE07993066}"/>
    <cellStyle name="Tusenskille 3 8 3 3" xfId="1087" xr:uid="{2575A1A7-D682-4F7C-BDB5-3A04971D7D6E}"/>
    <cellStyle name="Tusenskille 3 8 3 4" xfId="2757" xr:uid="{A02FFB81-4494-4128-9463-3B1C61EEDA4C}"/>
    <cellStyle name="Tusenskille 3 8 4" xfId="337" xr:uid="{00000000-0005-0000-0000-00003C030000}"/>
    <cellStyle name="Tusenskille 3 8 4 2" xfId="2013" xr:uid="{FFBF1283-57B1-426F-9682-F56C27E73A23}"/>
    <cellStyle name="Tusenskille 3 8 4 2 2" xfId="3681" xr:uid="{28FF20FE-3742-4135-8FDA-B213959C8B85}"/>
    <cellStyle name="Tusenskille 3 8 4 3" xfId="1177" xr:uid="{6DD440D7-F6DF-42D7-AD67-66B4E7169212}"/>
    <cellStyle name="Tusenskille 3 8 4 4" xfId="2847" xr:uid="{FB44029F-DAE6-4EAE-99CE-58D46B3EABF1}"/>
    <cellStyle name="Tusenskille 3 8 5" xfId="427" xr:uid="{00000000-0005-0000-0000-00003D030000}"/>
    <cellStyle name="Tusenskille 3 8 5 2" xfId="2103" xr:uid="{4D6F274B-4C13-4403-9907-45F3B4A4B0FB}"/>
    <cellStyle name="Tusenskille 3 8 5 2 2" xfId="3771" xr:uid="{5573BBE8-1003-4E37-B795-2F81E24393A0}"/>
    <cellStyle name="Tusenskille 3 8 5 3" xfId="1267" xr:uid="{0CCD39E8-6D2F-4BA9-B6C0-FBBA9770DC69}"/>
    <cellStyle name="Tusenskille 3 8 5 4" xfId="2937" xr:uid="{17EFF085-5897-43B3-97C9-0075823D450C}"/>
    <cellStyle name="Tusenskille 3 8 6" xfId="517" xr:uid="{00000000-0005-0000-0000-00003E030000}"/>
    <cellStyle name="Tusenskille 3 8 6 2" xfId="2193" xr:uid="{8D1D744E-0DF4-41DC-9038-E41D926EED17}"/>
    <cellStyle name="Tusenskille 3 8 6 2 2" xfId="3861" xr:uid="{5494D659-4BE7-42F6-806F-11A3C37AB71E}"/>
    <cellStyle name="Tusenskille 3 8 6 3" xfId="1357" xr:uid="{E68C3311-6064-4CCA-9814-6ACFE1FC9B2E}"/>
    <cellStyle name="Tusenskille 3 8 6 4" xfId="3027" xr:uid="{F136026A-F908-495E-8D78-9AA813F0AD15}"/>
    <cellStyle name="Tusenskille 3 8 7" xfId="607" xr:uid="{00000000-0005-0000-0000-00003F030000}"/>
    <cellStyle name="Tusenskille 3 8 7 2" xfId="2283" xr:uid="{1EDD821A-F3AB-4FAB-A0DC-46EE27D77BB6}"/>
    <cellStyle name="Tusenskille 3 8 7 2 2" xfId="3951" xr:uid="{2794F2AD-D471-49B4-8D98-59B97EF8AC84}"/>
    <cellStyle name="Tusenskille 3 8 7 3" xfId="1447" xr:uid="{CBBC48D1-C861-47E0-BFCF-88A3B78FD623}"/>
    <cellStyle name="Tusenskille 3 8 7 4" xfId="3117" xr:uid="{50954CD5-D0D8-459E-85F2-D5BD581D8FB3}"/>
    <cellStyle name="Tusenskille 3 8 8" xfId="697" xr:uid="{00000000-0005-0000-0000-000040030000}"/>
    <cellStyle name="Tusenskille 3 8 8 2" xfId="2373" xr:uid="{1AC056C5-9545-4CC4-B14E-35DCEE4FBAB1}"/>
    <cellStyle name="Tusenskille 3 8 8 2 2" xfId="4041" xr:uid="{A2FF0B7E-E378-4162-AF77-D5DB59FF0EE4}"/>
    <cellStyle name="Tusenskille 3 8 8 3" xfId="1537" xr:uid="{806929D2-BD6A-4627-93DB-5DF4AD103991}"/>
    <cellStyle name="Tusenskille 3 8 8 4" xfId="3207" xr:uid="{02763291-9822-45EB-92DC-F5D93A539474}"/>
    <cellStyle name="Tusenskille 3 8 9" xfId="794" xr:uid="{00000000-0005-0000-0000-000041030000}"/>
    <cellStyle name="Tusenskille 3 8 9 2" xfId="2470" xr:uid="{538C903E-B15C-40D3-AC11-E8799A9429B2}"/>
    <cellStyle name="Tusenskille 3 8 9 2 2" xfId="4138" xr:uid="{66F96526-75F0-4584-9547-07450159854E}"/>
    <cellStyle name="Tusenskille 3 8 9 3" xfId="1634" xr:uid="{32C88AFA-5D9F-41EB-9B98-CD9346CA9760}"/>
    <cellStyle name="Tusenskille 3 8 9 4" xfId="3304" xr:uid="{F8292EA3-C795-4199-996F-579E503BFDCF}"/>
    <cellStyle name="Tusenskille 3 9" xfId="102" xr:uid="{00000000-0005-0000-0000-000042030000}"/>
    <cellStyle name="Tusenskille 3 9 10" xfId="1778" xr:uid="{CE848B44-73E5-47C8-ABFE-BD1A6C08530D}"/>
    <cellStyle name="Tusenskille 3 9 10 2" xfId="3446" xr:uid="{50DB2232-AEDB-444B-898B-CA51765C681E}"/>
    <cellStyle name="Tusenskille 3 9 11" xfId="942" xr:uid="{B35BE5B1-2A53-4036-BEF2-49AA104863D5}"/>
    <cellStyle name="Tusenskille 3 9 12" xfId="2612" xr:uid="{4DF78309-F683-4A11-9D7E-4207A83381D3}"/>
    <cellStyle name="Tusenskille 3 9 2" xfId="194" xr:uid="{00000000-0005-0000-0000-000043030000}"/>
    <cellStyle name="Tusenskille 3 9 2 2" xfId="1870" xr:uid="{81B53D73-FDCE-48FB-8A03-9E66D94F47CC}"/>
    <cellStyle name="Tusenskille 3 9 2 2 2" xfId="3538" xr:uid="{1AE946AB-E3FA-409C-BF86-ACD525225F0A}"/>
    <cellStyle name="Tusenskille 3 9 2 3" xfId="1034" xr:uid="{EC451410-F9B3-44E6-8CCF-3AAB246CE756}"/>
    <cellStyle name="Tusenskille 3 9 2 4" xfId="2704" xr:uid="{C75F402B-8BA9-4034-8A41-EC9471A8C126}"/>
    <cellStyle name="Tusenskille 3 9 3" xfId="284" xr:uid="{00000000-0005-0000-0000-000044030000}"/>
    <cellStyle name="Tusenskille 3 9 3 2" xfId="1960" xr:uid="{70B70919-2E04-43D5-A2D3-96D693D70F72}"/>
    <cellStyle name="Tusenskille 3 9 3 2 2" xfId="3628" xr:uid="{C265AC11-A544-4006-B20D-3DF5043D97DD}"/>
    <cellStyle name="Tusenskille 3 9 3 3" xfId="1124" xr:uid="{B728A7E9-23EB-445F-92CC-785176BE3211}"/>
    <cellStyle name="Tusenskille 3 9 3 4" xfId="2794" xr:uid="{18AA003A-E33E-4010-A635-765F029ACAF2}"/>
    <cellStyle name="Tusenskille 3 9 4" xfId="374" xr:uid="{00000000-0005-0000-0000-000045030000}"/>
    <cellStyle name="Tusenskille 3 9 4 2" xfId="2050" xr:uid="{4AB9677F-5831-4F24-9F74-F67BFA87BC32}"/>
    <cellStyle name="Tusenskille 3 9 4 2 2" xfId="3718" xr:uid="{0E6AE1A2-6797-404E-84EB-74A73C1A8D7E}"/>
    <cellStyle name="Tusenskille 3 9 4 3" xfId="1214" xr:uid="{7A31EA0C-4961-4F44-A4D8-D2E240139BD9}"/>
    <cellStyle name="Tusenskille 3 9 4 4" xfId="2884" xr:uid="{60B2DCED-4CFC-4054-AC11-DA6831507E6D}"/>
    <cellStyle name="Tusenskille 3 9 5" xfId="464" xr:uid="{00000000-0005-0000-0000-000046030000}"/>
    <cellStyle name="Tusenskille 3 9 5 2" xfId="2140" xr:uid="{47074EB3-AE07-45E9-AF14-CE1CFB34F403}"/>
    <cellStyle name="Tusenskille 3 9 5 2 2" xfId="3808" xr:uid="{56C186F1-FFB1-472F-854A-F53C99C380D2}"/>
    <cellStyle name="Tusenskille 3 9 5 3" xfId="1304" xr:uid="{75529971-939F-4CBB-83A5-766AC1D301A7}"/>
    <cellStyle name="Tusenskille 3 9 5 4" xfId="2974" xr:uid="{233E65BF-58EC-4F11-BC0B-747FF14FF74A}"/>
    <cellStyle name="Tusenskille 3 9 6" xfId="554" xr:uid="{00000000-0005-0000-0000-000047030000}"/>
    <cellStyle name="Tusenskille 3 9 6 2" xfId="2230" xr:uid="{E3A4F807-212F-406B-842E-6DDEF64F9430}"/>
    <cellStyle name="Tusenskille 3 9 6 2 2" xfId="3898" xr:uid="{1751134A-27A9-4AB0-9396-76924A3F09BA}"/>
    <cellStyle name="Tusenskille 3 9 6 3" xfId="1394" xr:uid="{B9803FF4-4123-4143-A8AA-A55EF2D2A735}"/>
    <cellStyle name="Tusenskille 3 9 6 4" xfId="3064" xr:uid="{7DD2E7F0-2AA6-4389-9A72-EE8CFC981B66}"/>
    <cellStyle name="Tusenskille 3 9 7" xfId="644" xr:uid="{00000000-0005-0000-0000-000048030000}"/>
    <cellStyle name="Tusenskille 3 9 7 2" xfId="2320" xr:uid="{0906CD62-D7D4-4E20-9E12-AD66CD29D5BF}"/>
    <cellStyle name="Tusenskille 3 9 7 2 2" xfId="3988" xr:uid="{5CD8127A-C981-4D15-9759-EB3E5F9256ED}"/>
    <cellStyle name="Tusenskille 3 9 7 3" xfId="1484" xr:uid="{A74C3C25-0950-40DD-ADAA-9F7D6D7B43DF}"/>
    <cellStyle name="Tusenskille 3 9 7 4" xfId="3154" xr:uid="{249C1361-8587-4552-94BB-33145B976013}"/>
    <cellStyle name="Tusenskille 3 9 8" xfId="734" xr:uid="{00000000-0005-0000-0000-000049030000}"/>
    <cellStyle name="Tusenskille 3 9 8 2" xfId="2410" xr:uid="{B6D42AA4-D444-4530-9006-C84A33534CFB}"/>
    <cellStyle name="Tusenskille 3 9 8 2 2" xfId="4078" xr:uid="{C0AF82EE-A07C-46B9-BC9F-E18A292C5F0E}"/>
    <cellStyle name="Tusenskille 3 9 8 3" xfId="1574" xr:uid="{19C5DD5B-35AB-4106-BB66-0192F41A5466}"/>
    <cellStyle name="Tusenskille 3 9 8 4" xfId="3244" xr:uid="{6FB453DF-0AD0-46FF-B3FB-C8144DA221A6}"/>
    <cellStyle name="Tusenskille 3 9 9" xfId="831" xr:uid="{00000000-0005-0000-0000-00004A030000}"/>
    <cellStyle name="Tusenskille 3 9 9 2" xfId="2507" xr:uid="{C304AC82-3AD5-44DC-87B1-01AFB103C446}"/>
    <cellStyle name="Tusenskille 3 9 9 2 2" xfId="4175" xr:uid="{896E8204-8F2D-4891-B772-FFEDBAEEB4F7}"/>
    <cellStyle name="Tusenskille 3 9 9 3" xfId="1671" xr:uid="{585BBC90-B4A3-44F6-B11A-5D1CB423A48D}"/>
    <cellStyle name="Tusenskille 3 9 9 4" xfId="3341" xr:uid="{52D59471-431A-4123-9FB2-EA0E0124EDF5}"/>
    <cellStyle name="Tusenskille 4" xfId="17" xr:uid="{00000000-0005-0000-0000-00004B030000}"/>
    <cellStyle name="Tusenskille 4 2" xfId="753" xr:uid="{00000000-0005-0000-0000-00004C030000}"/>
    <cellStyle name="Tusenskille 4 2 2" xfId="2429" xr:uid="{0F487C93-B108-49C6-B68F-7FCFB6F3E6D7}"/>
    <cellStyle name="Tusenskille 4 2 2 2" xfId="4097" xr:uid="{FC038078-9ADA-4519-BD13-6704F7D9734A}"/>
    <cellStyle name="Tusenskille 4 2 3" xfId="1593" xr:uid="{B7037215-920B-4F33-A43F-1BEFF5971C70}"/>
    <cellStyle name="Tusenskille 4 2 4" xfId="3263" xr:uid="{9FE08B82-7A59-478D-BA63-38AE93BEA0AC}"/>
    <cellStyle name="Tusenskille 4 3" xfId="1700" xr:uid="{51A05C44-5EEC-431A-920E-D4C0CA66F52C}"/>
    <cellStyle name="Tusenskille 4 3 2" xfId="3368" xr:uid="{F9F03502-68E0-402B-AF3F-7520B1C7F468}"/>
    <cellStyle name="Tusenskille 4 4" xfId="864" xr:uid="{E450FACE-5414-4633-90A0-F8151DA07AC2}"/>
    <cellStyle name="Tusenskille 4 5" xfId="2534" xr:uid="{BF4F546D-1DCF-4D34-8DE4-CD74116EAEC1}"/>
    <cellStyle name="Tusenskille 5" xfId="13" xr:uid="{00000000-0005-0000-0000-00004D030000}"/>
    <cellStyle name="Tusenskille 5 2" xfId="749" xr:uid="{00000000-0005-0000-0000-00004E030000}"/>
    <cellStyle name="Tusenskille 5 2 2" xfId="2425" xr:uid="{D50D0FFF-AA8E-4031-9023-9D24D4722B2B}"/>
    <cellStyle name="Tusenskille 5 2 2 2" xfId="4093" xr:uid="{5F4C89E1-938F-4C7A-826A-F88BD27DA729}"/>
    <cellStyle name="Tusenskille 5 2 3" xfId="1589" xr:uid="{02B87E5F-D23A-4267-8F0C-FB6B0C33810C}"/>
    <cellStyle name="Tusenskille 5 2 4" xfId="3259" xr:uid="{D1D16929-F28B-44C7-B5BA-59CCCEAEF77F}"/>
    <cellStyle name="Tusenskille 5 3" xfId="1696" xr:uid="{328892C8-E3F7-4817-8AAE-B59AA9FFF8C6}"/>
    <cellStyle name="Tusenskille 5 3 2" xfId="3364" xr:uid="{F12170A2-78C1-4EC4-A689-C14C4A81179E}"/>
    <cellStyle name="Tusenskille 5 4" xfId="860" xr:uid="{4A2FE8E7-D44B-4B9A-ADBF-95D4244F9C13}"/>
    <cellStyle name="Tusenskille 5 5" xfId="2530" xr:uid="{58D9E97D-4A92-47EF-BA4B-A503CEC509D2}"/>
    <cellStyle name="Tusenskille 6" xfId="115" xr:uid="{00000000-0005-0000-0000-00004F030000}"/>
    <cellStyle name="Tusenskille 6 2" xfId="1791" xr:uid="{7C97F63F-92B7-4C9F-9216-23063BCF4D67}"/>
    <cellStyle name="Tusenskille 6 2 2" xfId="3459" xr:uid="{AECD7B0E-7752-4F71-AF30-C8569C0B772E}"/>
    <cellStyle name="Tusenskille 6 3" xfId="955" xr:uid="{4ACDA2D7-630F-4282-9D16-C7994F0B0C40}"/>
    <cellStyle name="Tusenskille 6 4" xfId="2625" xr:uid="{69A9895D-6728-4D4D-ADA1-45487E0E3DA7}"/>
    <cellStyle name="TusenskilleFjernNull" xfId="846" xr:uid="{00000000-0005-0000-0000-000050030000}"/>
  </cellStyles>
  <dxfs count="489">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8E9D6"/>
      <color rgb="FFFFFF99"/>
      <color rgb="FFF7D7F7"/>
      <color rgb="FFFCD2E2"/>
      <color rgb="FFD2F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onnections" Target="connections.xml"/><Relationship Id="rId40" Type="http://schemas.openxmlformats.org/officeDocument/2006/relationships/calcChain" Target="calcChain.xml"/><Relationship Id="rId45"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140801174953532"/>
          <c:y val="9.8477480734069936E-2"/>
          <c:w val="0.74903048765490665"/>
          <c:h val="0.65437502946862602"/>
        </c:manualLayout>
      </c:layout>
      <c:barChart>
        <c:barDir val="col"/>
        <c:grouping val="clustered"/>
        <c:varyColors val="0"/>
        <c:ser>
          <c:idx val="0"/>
          <c:order val="0"/>
          <c:tx>
            <c:strRef>
              <c:f>Figurer!$M$7</c:f>
              <c:strCache>
                <c:ptCount val="1"/>
                <c:pt idx="0">
                  <c:v>2025</c:v>
                </c:pt>
              </c:strCache>
            </c:strRef>
          </c:tx>
          <c:invertIfNegative val="0"/>
          <c:cat>
            <c:strRef>
              <c:f>Figurer!$L$8:$L$30</c:f>
              <c:strCache>
                <c:ptCount val="23"/>
                <c:pt idx="0">
                  <c:v>DNB Liv</c:v>
                </c:pt>
                <c:pt idx="1">
                  <c:v>Euro Accident</c:v>
                </c:pt>
                <c:pt idx="2">
                  <c:v>Fremtind</c:v>
                </c:pt>
                <c:pt idx="3">
                  <c:v>Frende Livsfors</c:v>
                </c:pt>
                <c:pt idx="4">
                  <c:v>Frende Skade</c:v>
                </c:pt>
                <c:pt idx="5">
                  <c:v>Gjensidige Fors</c:v>
                </c:pt>
                <c:pt idx="6">
                  <c:v>Gjensidige Pensj</c:v>
                </c:pt>
                <c:pt idx="7">
                  <c:v>If Skadefors</c:v>
                </c:pt>
                <c:pt idx="8">
                  <c:v>KLP</c:v>
                </c:pt>
                <c:pt idx="9">
                  <c:v>KLP Skadef</c:v>
                </c:pt>
                <c:pt idx="10">
                  <c:v>Knif Trygghet</c:v>
                </c:pt>
                <c:pt idx="11">
                  <c:v>Landkreditt Fors.</c:v>
                </c:pt>
                <c:pt idx="12">
                  <c:v>Ly Forsikring</c:v>
                </c:pt>
                <c:pt idx="13">
                  <c:v>Nordea Liv</c:v>
                </c:pt>
                <c:pt idx="14">
                  <c:v>Oslo Forsikring</c:v>
                </c:pt>
                <c:pt idx="15">
                  <c:v>OPF</c:v>
                </c:pt>
                <c:pt idx="16">
                  <c:v>Protector Fors</c:v>
                </c:pt>
                <c:pt idx="17">
                  <c:v>SpareBank 1 Forsikring</c:v>
                </c:pt>
                <c:pt idx="18">
                  <c:v>Storebrand Liv</c:v>
                </c:pt>
                <c:pt idx="19">
                  <c:v>Telenor Fors</c:v>
                </c:pt>
                <c:pt idx="20">
                  <c:v>Tryg Fors</c:v>
                </c:pt>
                <c:pt idx="21">
                  <c:v>WaterCircles Fors.</c:v>
                </c:pt>
                <c:pt idx="22">
                  <c:v>Youplus Livsf</c:v>
                </c:pt>
              </c:strCache>
            </c:strRef>
          </c:cat>
          <c:val>
            <c:numRef>
              <c:f>Figurer!$M$8:$M$30</c:f>
              <c:numCache>
                <c:formatCode>#,##0</c:formatCode>
                <c:ptCount val="23"/>
                <c:pt idx="0">
                  <c:v>1249688</c:v>
                </c:pt>
                <c:pt idx="1">
                  <c:v>30761</c:v>
                </c:pt>
                <c:pt idx="2">
                  <c:v>1271137.3383900002</c:v>
                </c:pt>
                <c:pt idx="3">
                  <c:v>713825</c:v>
                </c:pt>
                <c:pt idx="4">
                  <c:v>287.33699999999999</c:v>
                </c:pt>
                <c:pt idx="5">
                  <c:v>1611395.2398000001</c:v>
                </c:pt>
                <c:pt idx="6">
                  <c:v>361354</c:v>
                </c:pt>
                <c:pt idx="7">
                  <c:v>238957.54931210299</c:v>
                </c:pt>
                <c:pt idx="8">
                  <c:v>8049379.79641</c:v>
                </c:pt>
                <c:pt idx="9">
                  <c:v>234700.55499999999</c:v>
                </c:pt>
                <c:pt idx="10">
                  <c:v>0</c:v>
                </c:pt>
                <c:pt idx="11">
                  <c:v>82536</c:v>
                </c:pt>
                <c:pt idx="12">
                  <c:v>15177</c:v>
                </c:pt>
                <c:pt idx="13">
                  <c:v>811738.02410864085</c:v>
                </c:pt>
                <c:pt idx="14">
                  <c:v>8970</c:v>
                </c:pt>
                <c:pt idx="15">
                  <c:v>908116</c:v>
                </c:pt>
                <c:pt idx="16">
                  <c:v>318529</c:v>
                </c:pt>
                <c:pt idx="17">
                  <c:v>287814.84760999994</c:v>
                </c:pt>
                <c:pt idx="18">
                  <c:v>2689958.4868299998</c:v>
                </c:pt>
                <c:pt idx="19">
                  <c:v>2290</c:v>
                </c:pt>
                <c:pt idx="20">
                  <c:v>758059</c:v>
                </c:pt>
                <c:pt idx="21">
                  <c:v>1680</c:v>
                </c:pt>
                <c:pt idx="22">
                  <c:v>43878</c:v>
                </c:pt>
              </c:numCache>
            </c:numRef>
          </c:val>
          <c:extLst>
            <c:ext xmlns:c16="http://schemas.microsoft.com/office/drawing/2014/chart" uri="{C3380CC4-5D6E-409C-BE32-E72D297353CC}">
              <c16:uniqueId val="{00000002-93AE-4CD9-98AD-A52686D1F9FB}"/>
            </c:ext>
          </c:extLst>
        </c:ser>
        <c:ser>
          <c:idx val="1"/>
          <c:order val="1"/>
          <c:tx>
            <c:strRef>
              <c:f>Figurer!$N$7</c:f>
              <c:strCache>
                <c:ptCount val="1"/>
                <c:pt idx="0">
                  <c:v>2026</c:v>
                </c:pt>
              </c:strCache>
            </c:strRef>
          </c:tx>
          <c:invertIfNegative val="0"/>
          <c:cat>
            <c:strRef>
              <c:f>Figurer!$L$8:$L$30</c:f>
              <c:strCache>
                <c:ptCount val="23"/>
                <c:pt idx="0">
                  <c:v>DNB Liv</c:v>
                </c:pt>
                <c:pt idx="1">
                  <c:v>Euro Accident</c:v>
                </c:pt>
                <c:pt idx="2">
                  <c:v>Fremtind</c:v>
                </c:pt>
                <c:pt idx="3">
                  <c:v>Frende Livsfors</c:v>
                </c:pt>
                <c:pt idx="4">
                  <c:v>Frende Skade</c:v>
                </c:pt>
                <c:pt idx="5">
                  <c:v>Gjensidige Fors</c:v>
                </c:pt>
                <c:pt idx="6">
                  <c:v>Gjensidige Pensj</c:v>
                </c:pt>
                <c:pt idx="7">
                  <c:v>If Skadefors</c:v>
                </c:pt>
                <c:pt idx="8">
                  <c:v>KLP</c:v>
                </c:pt>
                <c:pt idx="9">
                  <c:v>KLP Skadef</c:v>
                </c:pt>
                <c:pt idx="10">
                  <c:v>Knif Trygghet</c:v>
                </c:pt>
                <c:pt idx="11">
                  <c:v>Landkreditt Fors.</c:v>
                </c:pt>
                <c:pt idx="12">
                  <c:v>Ly Forsikring</c:v>
                </c:pt>
                <c:pt idx="13">
                  <c:v>Nordea Liv</c:v>
                </c:pt>
                <c:pt idx="14">
                  <c:v>Oslo Forsikring</c:v>
                </c:pt>
                <c:pt idx="15">
                  <c:v>OPF</c:v>
                </c:pt>
                <c:pt idx="16">
                  <c:v>Protector Fors</c:v>
                </c:pt>
                <c:pt idx="17">
                  <c:v>SpareBank 1 Forsikring</c:v>
                </c:pt>
                <c:pt idx="18">
                  <c:v>Storebrand Liv</c:v>
                </c:pt>
                <c:pt idx="19">
                  <c:v>Telenor Fors</c:v>
                </c:pt>
                <c:pt idx="20">
                  <c:v>Tryg Fors</c:v>
                </c:pt>
                <c:pt idx="21">
                  <c:v>WaterCircles Fors.</c:v>
                </c:pt>
                <c:pt idx="22">
                  <c:v>Youplus Livsf</c:v>
                </c:pt>
              </c:strCache>
            </c:strRef>
          </c:cat>
          <c:val>
            <c:numRef>
              <c:f>Figurer!$N$8:$N$30</c:f>
              <c:numCache>
                <c:formatCode>#,##0</c:formatCode>
                <c:ptCount val="23"/>
                <c:pt idx="0">
                  <c:v>1251034.2379600001</c:v>
                </c:pt>
                <c:pt idx="1">
                  <c:v>46204</c:v>
                </c:pt>
                <c:pt idx="2">
                  <c:v>1220218.7109099999</c:v>
                </c:pt>
                <c:pt idx="3">
                  <c:v>787243</c:v>
                </c:pt>
                <c:pt idx="4">
                  <c:v>25.518999999999998</c:v>
                </c:pt>
                <c:pt idx="5">
                  <c:v>1562214.5224200001</c:v>
                </c:pt>
                <c:pt idx="6">
                  <c:v>385947</c:v>
                </c:pt>
                <c:pt idx="7">
                  <c:v>261854.26316000003</c:v>
                </c:pt>
                <c:pt idx="8">
                  <c:v>8744623.9051599987</c:v>
                </c:pt>
                <c:pt idx="9">
                  <c:v>696348.86199999996</c:v>
                </c:pt>
                <c:pt idx="10">
                  <c:v>53091</c:v>
                </c:pt>
                <c:pt idx="11">
                  <c:v>71658</c:v>
                </c:pt>
                <c:pt idx="12">
                  <c:v>16314</c:v>
                </c:pt>
                <c:pt idx="13">
                  <c:v>855566.53582891263</c:v>
                </c:pt>
                <c:pt idx="14">
                  <c:v>9386</c:v>
                </c:pt>
                <c:pt idx="15">
                  <c:v>694944</c:v>
                </c:pt>
                <c:pt idx="16">
                  <c:v>387470</c:v>
                </c:pt>
                <c:pt idx="17">
                  <c:v>287093.53328999999</c:v>
                </c:pt>
                <c:pt idx="18">
                  <c:v>2940213.8751999997</c:v>
                </c:pt>
                <c:pt idx="19">
                  <c:v>2001</c:v>
                </c:pt>
                <c:pt idx="20">
                  <c:v>772427</c:v>
                </c:pt>
                <c:pt idx="21">
                  <c:v>1584</c:v>
                </c:pt>
                <c:pt idx="22">
                  <c:v>16577</c:v>
                </c:pt>
              </c:numCache>
            </c:numRef>
          </c:val>
          <c:extLst>
            <c:ext xmlns:c16="http://schemas.microsoft.com/office/drawing/2014/chart" uri="{C3380CC4-5D6E-409C-BE32-E72D297353CC}">
              <c16:uniqueId val="{00000003-93AE-4CD9-98AD-A52686D1F9FB}"/>
            </c:ext>
          </c:extLst>
        </c:ser>
        <c:dLbls>
          <c:showLegendKey val="0"/>
          <c:showVal val="0"/>
          <c:showCatName val="0"/>
          <c:showSerName val="0"/>
          <c:showPercent val="0"/>
          <c:showBubbleSize val="0"/>
        </c:dLbls>
        <c:gapWidth val="150"/>
        <c:axId val="242174208"/>
        <c:axId val="242180096"/>
      </c:barChart>
      <c:catAx>
        <c:axId val="24217420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180096"/>
        <c:crosses val="autoZero"/>
        <c:auto val="1"/>
        <c:lblAlgn val="ctr"/>
        <c:lblOffset val="100"/>
        <c:tickLblSkip val="1"/>
        <c:tickMarkSkip val="1"/>
        <c:noMultiLvlLbl val="0"/>
      </c:catAx>
      <c:valAx>
        <c:axId val="242180096"/>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444532284870034E-3"/>
              <c:y val="0.3517112756115066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174208"/>
        <c:crosses val="autoZero"/>
        <c:crossBetween val="between"/>
      </c:valAx>
    </c:plotArea>
    <c:legend>
      <c:legendPos val="b"/>
      <c:layout>
        <c:manualLayout>
          <c:xMode val="edge"/>
          <c:yMode val="edge"/>
          <c:x val="0.35321900023541236"/>
          <c:y val="0.94486784960263159"/>
          <c:w val="9.5093936551103805E-2"/>
          <c:h val="3.879799456205698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6608656849620704"/>
          <c:y val="0.10754105736782903"/>
          <c:w val="0.77619271486646502"/>
          <c:h val="0.61573077622722905"/>
        </c:manualLayout>
      </c:layout>
      <c:barChart>
        <c:barDir val="col"/>
        <c:grouping val="clustered"/>
        <c:varyColors val="0"/>
        <c:ser>
          <c:idx val="0"/>
          <c:order val="0"/>
          <c:tx>
            <c:strRef>
              <c:f>Figurer!$M$34</c:f>
              <c:strCache>
                <c:ptCount val="1"/>
                <c:pt idx="0">
                  <c:v>2025</c:v>
                </c:pt>
              </c:strCache>
            </c:strRef>
          </c:tx>
          <c:invertIfNegative val="0"/>
          <c:cat>
            <c:strRef>
              <c:f>Figurer!$L$35:$L$40</c:f>
              <c:strCache>
                <c:ptCount val="6"/>
                <c:pt idx="0">
                  <c:v>DNB Liv</c:v>
                </c:pt>
                <c:pt idx="1">
                  <c:v>Gjensidige Pensj</c:v>
                </c:pt>
                <c:pt idx="2">
                  <c:v>KLP</c:v>
                </c:pt>
                <c:pt idx="3">
                  <c:v>Nordea Liv</c:v>
                </c:pt>
                <c:pt idx="4">
                  <c:v>SpareBank 1 Forsikring</c:v>
                </c:pt>
                <c:pt idx="5">
                  <c:v>Storebrand Liv</c:v>
                </c:pt>
              </c:strCache>
            </c:strRef>
          </c:cat>
          <c:val>
            <c:numRef>
              <c:f>Figurer!$M$35:$M$40</c:f>
              <c:numCache>
                <c:formatCode>#,##0</c:formatCode>
                <c:ptCount val="6"/>
                <c:pt idx="0">
                  <c:v>4416210.9040000001</c:v>
                </c:pt>
                <c:pt idx="1">
                  <c:v>1741309</c:v>
                </c:pt>
                <c:pt idx="2">
                  <c:v>20929.275000000001</c:v>
                </c:pt>
                <c:pt idx="3">
                  <c:v>4781667.1471800003</c:v>
                </c:pt>
                <c:pt idx="4">
                  <c:v>2096094.96572</c:v>
                </c:pt>
                <c:pt idx="5">
                  <c:v>4815430.6112099998</c:v>
                </c:pt>
              </c:numCache>
            </c:numRef>
          </c:val>
          <c:extLst>
            <c:ext xmlns:c16="http://schemas.microsoft.com/office/drawing/2014/chart" uri="{C3380CC4-5D6E-409C-BE32-E72D297353CC}">
              <c16:uniqueId val="{00000000-3971-4F9A-B5A3-CF52C774B823}"/>
            </c:ext>
          </c:extLst>
        </c:ser>
        <c:ser>
          <c:idx val="1"/>
          <c:order val="1"/>
          <c:tx>
            <c:strRef>
              <c:f>Figurer!$N$34</c:f>
              <c:strCache>
                <c:ptCount val="1"/>
                <c:pt idx="0">
                  <c:v>2026</c:v>
                </c:pt>
              </c:strCache>
            </c:strRef>
          </c:tx>
          <c:invertIfNegative val="0"/>
          <c:cat>
            <c:strRef>
              <c:f>Figurer!$L$35:$L$40</c:f>
              <c:strCache>
                <c:ptCount val="6"/>
                <c:pt idx="0">
                  <c:v>DNB Liv</c:v>
                </c:pt>
                <c:pt idx="1">
                  <c:v>Gjensidige Pensj</c:v>
                </c:pt>
                <c:pt idx="2">
                  <c:v>KLP</c:v>
                </c:pt>
                <c:pt idx="3">
                  <c:v>Nordea Liv</c:v>
                </c:pt>
                <c:pt idx="4">
                  <c:v>SpareBank 1 Forsikring</c:v>
                </c:pt>
                <c:pt idx="5">
                  <c:v>Storebrand Liv</c:v>
                </c:pt>
              </c:strCache>
            </c:strRef>
          </c:cat>
          <c:val>
            <c:numRef>
              <c:f>Figurer!$N$35:$N$40</c:f>
              <c:numCache>
                <c:formatCode>#,##0</c:formatCode>
                <c:ptCount val="6"/>
                <c:pt idx="0">
                  <c:v>4595185.1543399999</c:v>
                </c:pt>
                <c:pt idx="1">
                  <c:v>1912502</c:v>
                </c:pt>
                <c:pt idx="2">
                  <c:v>30212.771000000001</c:v>
                </c:pt>
                <c:pt idx="3">
                  <c:v>5869756.8764300002</c:v>
                </c:pt>
                <c:pt idx="4">
                  <c:v>2204043.2582200002</c:v>
                </c:pt>
                <c:pt idx="5">
                  <c:v>4843337.3624900002</c:v>
                </c:pt>
              </c:numCache>
            </c:numRef>
          </c:val>
          <c:extLst>
            <c:ext xmlns:c16="http://schemas.microsoft.com/office/drawing/2014/chart" uri="{C3380CC4-5D6E-409C-BE32-E72D297353CC}">
              <c16:uniqueId val="{00000001-3971-4F9A-B5A3-CF52C774B823}"/>
            </c:ext>
          </c:extLst>
        </c:ser>
        <c:dLbls>
          <c:showLegendKey val="0"/>
          <c:showVal val="0"/>
          <c:showCatName val="0"/>
          <c:showSerName val="0"/>
          <c:showPercent val="0"/>
          <c:showBubbleSize val="0"/>
        </c:dLbls>
        <c:gapWidth val="150"/>
        <c:axId val="242208128"/>
        <c:axId val="242427008"/>
      </c:barChart>
      <c:catAx>
        <c:axId val="24220812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427008"/>
        <c:crosses val="autoZero"/>
        <c:auto val="1"/>
        <c:lblAlgn val="ctr"/>
        <c:lblOffset val="100"/>
        <c:tickLblSkip val="1"/>
        <c:tickMarkSkip val="1"/>
        <c:noMultiLvlLbl val="0"/>
      </c:catAx>
      <c:valAx>
        <c:axId val="24242700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6.9541508114698515E-3"/>
              <c:y val="0.33962311853875432"/>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208128"/>
        <c:crosses val="autoZero"/>
        <c:crossBetween val="between"/>
      </c:valAx>
    </c:plotArea>
    <c:legend>
      <c:legendPos val="b"/>
      <c:layout>
        <c:manualLayout>
          <c:xMode val="edge"/>
          <c:yMode val="edge"/>
          <c:x val="0.34749475592659351"/>
          <c:y val="0.93710900423161392"/>
          <c:w val="0.23943149676571668"/>
          <c:h val="5.0314424982592074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034622721340161"/>
          <c:y val="7.9682070044274814E-2"/>
          <c:w val="0.72950920069418312"/>
          <c:h val="0.62009389947752291"/>
        </c:manualLayout>
      </c:layout>
      <c:barChart>
        <c:barDir val="col"/>
        <c:grouping val="clustered"/>
        <c:varyColors val="0"/>
        <c:ser>
          <c:idx val="0"/>
          <c:order val="0"/>
          <c:tx>
            <c:strRef>
              <c:f>Figurer!$M$52</c:f>
              <c:strCache>
                <c:ptCount val="1"/>
                <c:pt idx="0">
                  <c:v>2025</c:v>
                </c:pt>
              </c:strCache>
            </c:strRef>
          </c:tx>
          <c:invertIfNegative val="0"/>
          <c:cat>
            <c:strRef>
              <c:f>Figurer!$L$53:$L$73</c:f>
              <c:strCache>
                <c:ptCount val="21"/>
                <c:pt idx="0">
                  <c:v>DNB Liv</c:v>
                </c:pt>
                <c:pt idx="1">
                  <c:v>Euro Accident</c:v>
                </c:pt>
                <c:pt idx="2">
                  <c:v>Fremtind</c:v>
                </c:pt>
                <c:pt idx="3">
                  <c:v>Frende Livsfors</c:v>
                </c:pt>
                <c:pt idx="4">
                  <c:v>Gjensidige Fors</c:v>
                </c:pt>
                <c:pt idx="5">
                  <c:v>Gjensidige Pensj</c:v>
                </c:pt>
                <c:pt idx="6">
                  <c:v>If Skadefors</c:v>
                </c:pt>
                <c:pt idx="7">
                  <c:v>KLP</c:v>
                </c:pt>
                <c:pt idx="8">
                  <c:v>KLP Skadef</c:v>
                </c:pt>
                <c:pt idx="9">
                  <c:v>Knif Trygghet Fors.</c:v>
                </c:pt>
                <c:pt idx="10">
                  <c:v>Landkreditt Fors</c:v>
                </c:pt>
                <c:pt idx="11">
                  <c:v>Ly Forsikring</c:v>
                </c:pt>
                <c:pt idx="12">
                  <c:v>Nordea Liv</c:v>
                </c:pt>
                <c:pt idx="13">
                  <c:v>Oslo Forsikring</c:v>
                </c:pt>
                <c:pt idx="14">
                  <c:v>OPF</c:v>
                </c:pt>
                <c:pt idx="15">
                  <c:v>SpareBank 1 Forsikring</c:v>
                </c:pt>
                <c:pt idx="16">
                  <c:v>Storebrand Liv</c:v>
                </c:pt>
                <c:pt idx="17">
                  <c:v>Telenor Forsikring</c:v>
                </c:pt>
                <c:pt idx="18">
                  <c:v>Tryg Forsikring</c:v>
                </c:pt>
                <c:pt idx="19">
                  <c:v>WaterCicles Fors.</c:v>
                </c:pt>
                <c:pt idx="20">
                  <c:v>Youplus Livsf</c:v>
                </c:pt>
              </c:strCache>
            </c:strRef>
          </c:cat>
          <c:val>
            <c:numRef>
              <c:f>Figurer!$M$53:$M$73</c:f>
              <c:numCache>
                <c:formatCode>#,##0</c:formatCode>
                <c:ptCount val="21"/>
                <c:pt idx="0">
                  <c:v>179684402.72244999</c:v>
                </c:pt>
                <c:pt idx="1">
                  <c:v>0</c:v>
                </c:pt>
                <c:pt idx="2">
                  <c:v>6000495.18102</c:v>
                </c:pt>
                <c:pt idx="3">
                  <c:v>2437488</c:v>
                </c:pt>
                <c:pt idx="4">
                  <c:v>0</c:v>
                </c:pt>
                <c:pt idx="5">
                  <c:v>11279029</c:v>
                </c:pt>
                <c:pt idx="6">
                  <c:v>0</c:v>
                </c:pt>
                <c:pt idx="7">
                  <c:v>794812677.44805002</c:v>
                </c:pt>
                <c:pt idx="8">
                  <c:v>173603.853</c:v>
                </c:pt>
                <c:pt idx="9">
                  <c:v>0</c:v>
                </c:pt>
                <c:pt idx="10">
                  <c:v>0</c:v>
                </c:pt>
                <c:pt idx="11">
                  <c:v>0</c:v>
                </c:pt>
                <c:pt idx="12">
                  <c:v>54964640.000001788</c:v>
                </c:pt>
                <c:pt idx="13">
                  <c:v>0</c:v>
                </c:pt>
                <c:pt idx="14">
                  <c:v>97889000</c:v>
                </c:pt>
                <c:pt idx="15">
                  <c:v>23632770.244150002</c:v>
                </c:pt>
                <c:pt idx="16">
                  <c:v>215118616.59341002</c:v>
                </c:pt>
                <c:pt idx="17">
                  <c:v>0</c:v>
                </c:pt>
                <c:pt idx="18">
                  <c:v>0</c:v>
                </c:pt>
                <c:pt idx="19">
                  <c:v>0</c:v>
                </c:pt>
                <c:pt idx="20">
                  <c:v>69378</c:v>
                </c:pt>
              </c:numCache>
            </c:numRef>
          </c:val>
          <c:extLst>
            <c:ext xmlns:c16="http://schemas.microsoft.com/office/drawing/2014/chart" uri="{C3380CC4-5D6E-409C-BE32-E72D297353CC}">
              <c16:uniqueId val="{00000000-F5D7-4882-A9B6-45C2F0317A05}"/>
            </c:ext>
          </c:extLst>
        </c:ser>
        <c:ser>
          <c:idx val="1"/>
          <c:order val="1"/>
          <c:tx>
            <c:strRef>
              <c:f>Figurer!$N$52</c:f>
              <c:strCache>
                <c:ptCount val="1"/>
                <c:pt idx="0">
                  <c:v>2026</c:v>
                </c:pt>
              </c:strCache>
            </c:strRef>
          </c:tx>
          <c:invertIfNegative val="0"/>
          <c:cat>
            <c:strRef>
              <c:f>Figurer!$L$53:$L$73</c:f>
              <c:strCache>
                <c:ptCount val="21"/>
                <c:pt idx="0">
                  <c:v>DNB Liv</c:v>
                </c:pt>
                <c:pt idx="1">
                  <c:v>Euro Accident</c:v>
                </c:pt>
                <c:pt idx="2">
                  <c:v>Fremtind</c:v>
                </c:pt>
                <c:pt idx="3">
                  <c:v>Frende Livsfors</c:v>
                </c:pt>
                <c:pt idx="4">
                  <c:v>Gjensidige Fors</c:v>
                </c:pt>
                <c:pt idx="5">
                  <c:v>Gjensidige Pensj</c:v>
                </c:pt>
                <c:pt idx="6">
                  <c:v>If Skadefors</c:v>
                </c:pt>
                <c:pt idx="7">
                  <c:v>KLP</c:v>
                </c:pt>
                <c:pt idx="8">
                  <c:v>KLP Skadef</c:v>
                </c:pt>
                <c:pt idx="9">
                  <c:v>Knif Trygghet Fors.</c:v>
                </c:pt>
                <c:pt idx="10">
                  <c:v>Landkreditt Fors</c:v>
                </c:pt>
                <c:pt idx="11">
                  <c:v>Ly Forsikring</c:v>
                </c:pt>
                <c:pt idx="12">
                  <c:v>Nordea Liv</c:v>
                </c:pt>
                <c:pt idx="13">
                  <c:v>Oslo Forsikring</c:v>
                </c:pt>
                <c:pt idx="14">
                  <c:v>OPF</c:v>
                </c:pt>
                <c:pt idx="15">
                  <c:v>SpareBank 1 Forsikring</c:v>
                </c:pt>
                <c:pt idx="16">
                  <c:v>Storebrand Liv</c:v>
                </c:pt>
                <c:pt idx="17">
                  <c:v>Telenor Forsikring</c:v>
                </c:pt>
                <c:pt idx="18">
                  <c:v>Tryg Forsikring</c:v>
                </c:pt>
                <c:pt idx="19">
                  <c:v>WaterCicles Fors.</c:v>
                </c:pt>
                <c:pt idx="20">
                  <c:v>Youplus Livsf</c:v>
                </c:pt>
              </c:strCache>
            </c:strRef>
          </c:cat>
          <c:val>
            <c:numRef>
              <c:f>Figurer!$N$53:$N$73</c:f>
              <c:numCache>
                <c:formatCode>#,##0</c:formatCode>
                <c:ptCount val="21"/>
                <c:pt idx="0">
                  <c:v>178517753.45691475</c:v>
                </c:pt>
                <c:pt idx="1">
                  <c:v>0</c:v>
                </c:pt>
                <c:pt idx="2">
                  <c:v>6592758.1898499997</c:v>
                </c:pt>
                <c:pt idx="3">
                  <c:v>2794309</c:v>
                </c:pt>
                <c:pt idx="4">
                  <c:v>0</c:v>
                </c:pt>
                <c:pt idx="5">
                  <c:v>12086275</c:v>
                </c:pt>
                <c:pt idx="6">
                  <c:v>0</c:v>
                </c:pt>
                <c:pt idx="7">
                  <c:v>876265272.58194005</c:v>
                </c:pt>
                <c:pt idx="8">
                  <c:v>284694.43099999998</c:v>
                </c:pt>
                <c:pt idx="9">
                  <c:v>3595</c:v>
                </c:pt>
                <c:pt idx="10">
                  <c:v>0</c:v>
                </c:pt>
                <c:pt idx="11">
                  <c:v>0</c:v>
                </c:pt>
                <c:pt idx="12">
                  <c:v>56434150.000000753</c:v>
                </c:pt>
                <c:pt idx="13">
                  <c:v>0</c:v>
                </c:pt>
                <c:pt idx="14">
                  <c:v>104208000</c:v>
                </c:pt>
                <c:pt idx="15">
                  <c:v>26630201.299020004</c:v>
                </c:pt>
                <c:pt idx="16">
                  <c:v>221419656.01634002</c:v>
                </c:pt>
                <c:pt idx="17">
                  <c:v>0</c:v>
                </c:pt>
                <c:pt idx="18">
                  <c:v>0</c:v>
                </c:pt>
                <c:pt idx="19">
                  <c:v>0</c:v>
                </c:pt>
                <c:pt idx="20">
                  <c:v>94134</c:v>
                </c:pt>
              </c:numCache>
            </c:numRef>
          </c:val>
          <c:extLst>
            <c:ext xmlns:c16="http://schemas.microsoft.com/office/drawing/2014/chart" uri="{C3380CC4-5D6E-409C-BE32-E72D297353CC}">
              <c16:uniqueId val="{00000001-F5D7-4882-A9B6-45C2F0317A05}"/>
            </c:ext>
          </c:extLst>
        </c:ser>
        <c:dLbls>
          <c:showLegendKey val="0"/>
          <c:showVal val="0"/>
          <c:showCatName val="0"/>
          <c:showSerName val="0"/>
          <c:showPercent val="0"/>
          <c:showBubbleSize val="0"/>
        </c:dLbls>
        <c:gapWidth val="150"/>
        <c:axId val="242742784"/>
        <c:axId val="242744320"/>
      </c:barChart>
      <c:catAx>
        <c:axId val="242742784"/>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2744320"/>
        <c:crosses val="autoZero"/>
        <c:auto val="1"/>
        <c:lblAlgn val="ctr"/>
        <c:lblOffset val="100"/>
        <c:tickLblSkip val="1"/>
        <c:tickMarkSkip val="1"/>
        <c:noMultiLvlLbl val="0"/>
      </c:catAx>
      <c:valAx>
        <c:axId val="24274432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4590163934426229E-2"/>
              <c:y val="0.348659765843878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2742784"/>
        <c:crosses val="autoZero"/>
        <c:crossBetween val="between"/>
      </c:valAx>
    </c:plotArea>
    <c:legend>
      <c:legendPos val="b"/>
      <c:layout>
        <c:manualLayout>
          <c:xMode val="edge"/>
          <c:yMode val="edge"/>
          <c:x val="0.36156705821608365"/>
          <c:y val="0.94061493998643431"/>
          <c:w val="0.21357027092924838"/>
          <c:h val="4.597693827597392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826753749914957"/>
          <c:y val="9.2115610054672017E-2"/>
          <c:w val="0.74306560247500353"/>
          <c:h val="0.6114621490399017"/>
        </c:manualLayout>
      </c:layout>
      <c:barChart>
        <c:barDir val="col"/>
        <c:grouping val="clustered"/>
        <c:varyColors val="0"/>
        <c:ser>
          <c:idx val="0"/>
          <c:order val="0"/>
          <c:tx>
            <c:strRef>
              <c:f>Figurer!$M$84</c:f>
              <c:strCache>
                <c:ptCount val="1"/>
                <c:pt idx="0">
                  <c:v>2025</c:v>
                </c:pt>
              </c:strCache>
            </c:strRef>
          </c:tx>
          <c:invertIfNegative val="0"/>
          <c:cat>
            <c:strRef>
              <c:f>Figurer!$L$85:$L$90</c:f>
              <c:strCache>
                <c:ptCount val="6"/>
                <c:pt idx="0">
                  <c:v>DNB Liv</c:v>
                </c:pt>
                <c:pt idx="1">
                  <c:v>Gjensidige Pensj</c:v>
                </c:pt>
                <c:pt idx="2">
                  <c:v>KLP</c:v>
                </c:pt>
                <c:pt idx="3">
                  <c:v>Nordea Liv</c:v>
                </c:pt>
                <c:pt idx="4">
                  <c:v>SpareBank 1 Forsikring</c:v>
                </c:pt>
                <c:pt idx="5">
                  <c:v>Storebrand Liv</c:v>
                </c:pt>
              </c:strCache>
            </c:strRef>
          </c:cat>
          <c:val>
            <c:numRef>
              <c:f>Figurer!$M$85:$M$90</c:f>
              <c:numCache>
                <c:formatCode>#,##0</c:formatCode>
                <c:ptCount val="6"/>
                <c:pt idx="0">
                  <c:v>203568699.91183773</c:v>
                </c:pt>
                <c:pt idx="1">
                  <c:v>76968991</c:v>
                </c:pt>
                <c:pt idx="2">
                  <c:v>2888738.0707899998</c:v>
                </c:pt>
                <c:pt idx="3">
                  <c:v>177451030</c:v>
                </c:pt>
                <c:pt idx="4">
                  <c:v>85714629.687940001</c:v>
                </c:pt>
                <c:pt idx="5">
                  <c:v>244753007.38714001</c:v>
                </c:pt>
              </c:numCache>
            </c:numRef>
          </c:val>
          <c:extLst>
            <c:ext xmlns:c16="http://schemas.microsoft.com/office/drawing/2014/chart" uri="{C3380CC4-5D6E-409C-BE32-E72D297353CC}">
              <c16:uniqueId val="{00000000-62B1-4395-80F9-424B1553CC96}"/>
            </c:ext>
          </c:extLst>
        </c:ser>
        <c:ser>
          <c:idx val="1"/>
          <c:order val="1"/>
          <c:tx>
            <c:strRef>
              <c:f>Figurer!$N$84</c:f>
              <c:strCache>
                <c:ptCount val="1"/>
                <c:pt idx="0">
                  <c:v>2026</c:v>
                </c:pt>
              </c:strCache>
            </c:strRef>
          </c:tx>
          <c:invertIfNegative val="0"/>
          <c:cat>
            <c:strRef>
              <c:f>Figurer!$L$85:$L$90</c:f>
              <c:strCache>
                <c:ptCount val="6"/>
                <c:pt idx="0">
                  <c:v>DNB Liv</c:v>
                </c:pt>
                <c:pt idx="1">
                  <c:v>Gjensidige Pensj</c:v>
                </c:pt>
                <c:pt idx="2">
                  <c:v>KLP</c:v>
                </c:pt>
                <c:pt idx="3">
                  <c:v>Nordea Liv</c:v>
                </c:pt>
                <c:pt idx="4">
                  <c:v>SpareBank 1 Forsikring</c:v>
                </c:pt>
                <c:pt idx="5">
                  <c:v>Storebrand Liv</c:v>
                </c:pt>
              </c:strCache>
            </c:strRef>
          </c:cat>
          <c:val>
            <c:numRef>
              <c:f>Figurer!$N$85:$N$90</c:f>
              <c:numCache>
                <c:formatCode>#,##0</c:formatCode>
                <c:ptCount val="6"/>
                <c:pt idx="0">
                  <c:v>245957648.95815971</c:v>
                </c:pt>
                <c:pt idx="1">
                  <c:v>91000808</c:v>
                </c:pt>
                <c:pt idx="2">
                  <c:v>2410575.5415099999</c:v>
                </c:pt>
                <c:pt idx="3">
                  <c:v>217451090</c:v>
                </c:pt>
                <c:pt idx="4">
                  <c:v>96535673.192670003</c:v>
                </c:pt>
                <c:pt idx="5">
                  <c:v>282668554.81304002</c:v>
                </c:pt>
              </c:numCache>
            </c:numRef>
          </c:val>
          <c:extLst>
            <c:ext xmlns:c16="http://schemas.microsoft.com/office/drawing/2014/chart" uri="{C3380CC4-5D6E-409C-BE32-E72D297353CC}">
              <c16:uniqueId val="{00000001-62B1-4395-80F9-424B1553CC96}"/>
            </c:ext>
          </c:extLst>
        </c:ser>
        <c:dLbls>
          <c:showLegendKey val="0"/>
          <c:showVal val="0"/>
          <c:showCatName val="0"/>
          <c:showSerName val="0"/>
          <c:showPercent val="0"/>
          <c:showBubbleSize val="0"/>
        </c:dLbls>
        <c:gapWidth val="150"/>
        <c:axId val="243158400"/>
        <c:axId val="243164288"/>
      </c:barChart>
      <c:catAx>
        <c:axId val="24315840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nb-NO"/>
          </a:p>
        </c:txPr>
        <c:crossAx val="243164288"/>
        <c:crosses val="autoZero"/>
        <c:auto val="1"/>
        <c:lblAlgn val="ctr"/>
        <c:lblOffset val="100"/>
        <c:tickLblSkip val="1"/>
        <c:tickMarkSkip val="1"/>
        <c:noMultiLvlLbl val="0"/>
      </c:catAx>
      <c:valAx>
        <c:axId val="243164288"/>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5920873124147342E-2"/>
              <c:y val="0.335443860031330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158400"/>
        <c:crosses val="autoZero"/>
        <c:crossBetween val="between"/>
      </c:valAx>
    </c:plotArea>
    <c:legend>
      <c:legendPos val="b"/>
      <c:layout>
        <c:manualLayout>
          <c:xMode val="edge"/>
          <c:yMode val="edge"/>
          <c:x val="0.34561192811335145"/>
          <c:y val="0.93671075700518092"/>
          <c:w val="0.23419750566649891"/>
          <c:h val="4.8523233014845533E-2"/>
        </c:manualLayout>
      </c:layout>
      <c:overlay val="0"/>
      <c:txPr>
        <a:bodyPr/>
        <a:lstStyle/>
        <a:p>
          <a:pPr>
            <a:defRPr sz="595"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614144699303892"/>
          <c:y val="8.40864305054419E-2"/>
          <c:w val="0.75271796188519913"/>
          <c:h val="0.62564087493112053"/>
        </c:manualLayout>
      </c:layout>
      <c:barChart>
        <c:barDir val="col"/>
        <c:grouping val="clustered"/>
        <c:varyColors val="0"/>
        <c:ser>
          <c:idx val="0"/>
          <c:order val="0"/>
          <c:tx>
            <c:strRef>
              <c:f>Figurer!$M$99</c:f>
              <c:strCache>
                <c:ptCount val="1"/>
                <c:pt idx="0">
                  <c:v>2025</c:v>
                </c:pt>
              </c:strCache>
            </c:strRef>
          </c:tx>
          <c:invertIfNegative val="0"/>
          <c:cat>
            <c:strRef>
              <c:f>Figurer!$L$100:$L$105</c:f>
              <c:strCache>
                <c:ptCount val="6"/>
                <c:pt idx="0">
                  <c:v>DNB Liv</c:v>
                </c:pt>
                <c:pt idx="1">
                  <c:v>Gjensidige Pensj</c:v>
                </c:pt>
                <c:pt idx="2">
                  <c:v>KLP</c:v>
                </c:pt>
                <c:pt idx="3">
                  <c:v>Nordea Liv</c:v>
                </c:pt>
                <c:pt idx="4">
                  <c:v>SpareBank 1 Forsikring</c:v>
                </c:pt>
                <c:pt idx="5">
                  <c:v>Storebrand Liv</c:v>
                </c:pt>
              </c:strCache>
            </c:strRef>
          </c:cat>
          <c:val>
            <c:numRef>
              <c:f>Figurer!$M$100:$M$105</c:f>
              <c:numCache>
                <c:formatCode>#,##0</c:formatCode>
                <c:ptCount val="6"/>
                <c:pt idx="0">
                  <c:v>147076</c:v>
                </c:pt>
                <c:pt idx="1">
                  <c:v>101054</c:v>
                </c:pt>
                <c:pt idx="2">
                  <c:v>-4249512.1230000006</c:v>
                </c:pt>
                <c:pt idx="3">
                  <c:v>-1617</c:v>
                </c:pt>
                <c:pt idx="4">
                  <c:v>883335.18560999993</c:v>
                </c:pt>
                <c:pt idx="5">
                  <c:v>3145828.2314200001</c:v>
                </c:pt>
              </c:numCache>
            </c:numRef>
          </c:val>
          <c:extLst>
            <c:ext xmlns:c16="http://schemas.microsoft.com/office/drawing/2014/chart" uri="{C3380CC4-5D6E-409C-BE32-E72D297353CC}">
              <c16:uniqueId val="{00000000-2BF8-4278-857F-91A0E7196849}"/>
            </c:ext>
          </c:extLst>
        </c:ser>
        <c:ser>
          <c:idx val="1"/>
          <c:order val="1"/>
          <c:tx>
            <c:strRef>
              <c:f>Figurer!$N$99</c:f>
              <c:strCache>
                <c:ptCount val="1"/>
                <c:pt idx="0">
                  <c:v>2026</c:v>
                </c:pt>
              </c:strCache>
            </c:strRef>
          </c:tx>
          <c:invertIfNegative val="0"/>
          <c:cat>
            <c:strRef>
              <c:f>Figurer!$L$100:$L$105</c:f>
              <c:strCache>
                <c:ptCount val="6"/>
                <c:pt idx="0">
                  <c:v>DNB Liv</c:v>
                </c:pt>
                <c:pt idx="1">
                  <c:v>Gjensidige Pensj</c:v>
                </c:pt>
                <c:pt idx="2">
                  <c:v>KLP</c:v>
                </c:pt>
                <c:pt idx="3">
                  <c:v>Nordea Liv</c:v>
                </c:pt>
                <c:pt idx="4">
                  <c:v>SpareBank 1 Forsikring</c:v>
                </c:pt>
                <c:pt idx="5">
                  <c:v>Storebrand Liv</c:v>
                </c:pt>
              </c:strCache>
            </c:strRef>
          </c:cat>
          <c:val>
            <c:numRef>
              <c:f>Figurer!$N$100:$N$105</c:f>
              <c:numCache>
                <c:formatCode>#,##0</c:formatCode>
                <c:ptCount val="6"/>
                <c:pt idx="0">
                  <c:v>1414383.4146900002</c:v>
                </c:pt>
                <c:pt idx="1">
                  <c:v>-1479</c:v>
                </c:pt>
                <c:pt idx="2">
                  <c:v>2396174.2173800003</c:v>
                </c:pt>
                <c:pt idx="3">
                  <c:v>-4218.1660299999603</c:v>
                </c:pt>
                <c:pt idx="4">
                  <c:v>-110937.06258</c:v>
                </c:pt>
                <c:pt idx="5">
                  <c:v>61330.092560000005</c:v>
                </c:pt>
              </c:numCache>
            </c:numRef>
          </c:val>
          <c:extLst>
            <c:ext xmlns:c16="http://schemas.microsoft.com/office/drawing/2014/chart" uri="{C3380CC4-5D6E-409C-BE32-E72D297353CC}">
              <c16:uniqueId val="{00000000-0891-419B-84DB-F579F6588129}"/>
            </c:ext>
          </c:extLst>
        </c:ser>
        <c:dLbls>
          <c:showLegendKey val="0"/>
          <c:showVal val="0"/>
          <c:showCatName val="0"/>
          <c:showSerName val="0"/>
          <c:showPercent val="0"/>
          <c:showBubbleSize val="0"/>
        </c:dLbls>
        <c:gapWidth val="150"/>
        <c:axId val="243201536"/>
        <c:axId val="243203072"/>
      </c:barChart>
      <c:catAx>
        <c:axId val="243201536"/>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203072"/>
        <c:crosses val="autoZero"/>
        <c:auto val="1"/>
        <c:lblAlgn val="ctr"/>
        <c:lblOffset val="100"/>
        <c:tickLblSkip val="1"/>
        <c:tickMarkSkip val="1"/>
        <c:noMultiLvlLbl val="0"/>
      </c:catAx>
      <c:valAx>
        <c:axId val="243203072"/>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2.1739130434782612E-2"/>
              <c:y val="0.3575528341124432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201536"/>
        <c:crosses val="autoZero"/>
        <c:crossBetween val="between"/>
      </c:valAx>
    </c:plotArea>
    <c:legend>
      <c:legendPos val="b"/>
      <c:layout>
        <c:manualLayout>
          <c:xMode val="edge"/>
          <c:yMode val="edge"/>
          <c:x val="0.34737347369622462"/>
          <c:y val="0.94455128774817365"/>
          <c:w val="9.6515177450644751E-2"/>
          <c:h val="4.5533613518745276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7253853430922791"/>
          <c:y val="8.5614035087719767E-2"/>
          <c:w val="0.75564702786135474"/>
          <c:h val="0.63649189114519311"/>
        </c:manualLayout>
      </c:layout>
      <c:barChart>
        <c:barDir val="col"/>
        <c:grouping val="clustered"/>
        <c:varyColors val="0"/>
        <c:ser>
          <c:idx val="0"/>
          <c:order val="0"/>
          <c:tx>
            <c:strRef>
              <c:f>Figurer!$M$121</c:f>
              <c:strCache>
                <c:ptCount val="1"/>
                <c:pt idx="0">
                  <c:v>2025</c:v>
                </c:pt>
              </c:strCache>
            </c:strRef>
          </c:tx>
          <c:invertIfNegative val="0"/>
          <c:cat>
            <c:strRef>
              <c:f>Figurer!$L$122:$L$127</c:f>
              <c:strCache>
                <c:ptCount val="6"/>
                <c:pt idx="0">
                  <c:v>DNB Liv</c:v>
                </c:pt>
                <c:pt idx="1">
                  <c:v>Gjensidige Pensj</c:v>
                </c:pt>
                <c:pt idx="2">
                  <c:v>KLP</c:v>
                </c:pt>
                <c:pt idx="3">
                  <c:v>Nordea Liv</c:v>
                </c:pt>
                <c:pt idx="4">
                  <c:v>SpareBank 1 Forsikring</c:v>
                </c:pt>
                <c:pt idx="5">
                  <c:v>Storebrand Liv</c:v>
                </c:pt>
              </c:strCache>
            </c:strRef>
          </c:cat>
          <c:val>
            <c:numRef>
              <c:f>Figurer!$M$122:$M$127</c:f>
              <c:numCache>
                <c:formatCode>#,##0</c:formatCode>
                <c:ptCount val="6"/>
                <c:pt idx="0">
                  <c:v>191688.12112999987</c:v>
                </c:pt>
                <c:pt idx="1">
                  <c:v>1211447</c:v>
                </c:pt>
                <c:pt idx="2">
                  <c:v>0</c:v>
                </c:pt>
                <c:pt idx="3">
                  <c:v>-750691.37333999947</c:v>
                </c:pt>
                <c:pt idx="4">
                  <c:v>-242578.44872999983</c:v>
                </c:pt>
                <c:pt idx="5">
                  <c:v>-1684310.4050499997</c:v>
                </c:pt>
              </c:numCache>
            </c:numRef>
          </c:val>
          <c:extLst>
            <c:ext xmlns:c16="http://schemas.microsoft.com/office/drawing/2014/chart" uri="{C3380CC4-5D6E-409C-BE32-E72D297353CC}">
              <c16:uniqueId val="{00000000-B400-4C26-965B-0553A4A37873}"/>
            </c:ext>
          </c:extLst>
        </c:ser>
        <c:ser>
          <c:idx val="1"/>
          <c:order val="1"/>
          <c:tx>
            <c:strRef>
              <c:f>Figurer!$N$121</c:f>
              <c:strCache>
                <c:ptCount val="1"/>
                <c:pt idx="0">
                  <c:v>2026</c:v>
                </c:pt>
              </c:strCache>
            </c:strRef>
          </c:tx>
          <c:invertIfNegative val="0"/>
          <c:cat>
            <c:strRef>
              <c:f>Figurer!$L$122:$L$127</c:f>
              <c:strCache>
                <c:ptCount val="6"/>
                <c:pt idx="0">
                  <c:v>DNB Liv</c:v>
                </c:pt>
                <c:pt idx="1">
                  <c:v>Gjensidige Pensj</c:v>
                </c:pt>
                <c:pt idx="2">
                  <c:v>KLP</c:v>
                </c:pt>
                <c:pt idx="3">
                  <c:v>Nordea Liv</c:v>
                </c:pt>
                <c:pt idx="4">
                  <c:v>SpareBank 1 Forsikring</c:v>
                </c:pt>
                <c:pt idx="5">
                  <c:v>Storebrand Liv</c:v>
                </c:pt>
              </c:strCache>
            </c:strRef>
          </c:cat>
          <c:val>
            <c:numRef>
              <c:f>Figurer!$N$122:$N$127</c:f>
              <c:numCache>
                <c:formatCode>#,##0</c:formatCode>
                <c:ptCount val="6"/>
                <c:pt idx="0">
                  <c:v>-1493198.5864599999</c:v>
                </c:pt>
                <c:pt idx="1">
                  <c:v>76146</c:v>
                </c:pt>
                <c:pt idx="2">
                  <c:v>-516456.22738</c:v>
                </c:pt>
                <c:pt idx="3">
                  <c:v>4408319.6772600003</c:v>
                </c:pt>
                <c:pt idx="4">
                  <c:v>-1212130.24456</c:v>
                </c:pt>
                <c:pt idx="5">
                  <c:v>-2669506.1094199992</c:v>
                </c:pt>
              </c:numCache>
            </c:numRef>
          </c:val>
          <c:extLst>
            <c:ext xmlns:c16="http://schemas.microsoft.com/office/drawing/2014/chart" uri="{C3380CC4-5D6E-409C-BE32-E72D297353CC}">
              <c16:uniqueId val="{00000001-B400-4C26-965B-0553A4A37873}"/>
            </c:ext>
          </c:extLst>
        </c:ser>
        <c:dLbls>
          <c:showLegendKey val="0"/>
          <c:showVal val="0"/>
          <c:showCatName val="0"/>
          <c:showSerName val="0"/>
          <c:showPercent val="0"/>
          <c:showBubbleSize val="0"/>
        </c:dLbls>
        <c:gapWidth val="150"/>
        <c:axId val="243686400"/>
        <c:axId val="243700480"/>
      </c:barChart>
      <c:catAx>
        <c:axId val="243686400"/>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nb-NO"/>
          </a:p>
        </c:txPr>
        <c:crossAx val="243700480"/>
        <c:crosses val="autoZero"/>
        <c:auto val="1"/>
        <c:lblAlgn val="ctr"/>
        <c:lblOffset val="100"/>
        <c:tickLblSkip val="1"/>
        <c:tickMarkSkip val="1"/>
        <c:noMultiLvlLbl val="0"/>
      </c:catAx>
      <c:valAx>
        <c:axId val="243700480"/>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nb-NO"/>
                  <a:t>i 1000 kr.</a:t>
                </a:r>
              </a:p>
            </c:rich>
          </c:tx>
          <c:layout>
            <c:manualLayout>
              <c:xMode val="edge"/>
              <c:yMode val="edge"/>
              <c:x val="3.3875338753387642E-2"/>
              <c:y val="0.330526785811528"/>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43686400"/>
        <c:crosses val="autoZero"/>
        <c:crossBetween val="between"/>
      </c:valAx>
    </c:plotArea>
    <c:legend>
      <c:legendPos val="b"/>
      <c:layout>
        <c:manualLayout>
          <c:xMode val="edge"/>
          <c:yMode val="edge"/>
          <c:x val="0.35049740733627832"/>
          <c:y val="0.93473780507726956"/>
          <c:w val="0.23080411696505387"/>
          <c:h val="4.8421167271103877E-2"/>
        </c:manualLayout>
      </c:layout>
      <c:overlay val="0"/>
      <c:txPr>
        <a:bodyPr/>
        <a:lstStyle/>
        <a:p>
          <a:pPr>
            <a:defRPr sz="710" b="0" i="0" u="none" strike="noStrike" baseline="0">
              <a:solidFill>
                <a:srgbClr val="000000"/>
              </a:solidFill>
              <a:latin typeface="Calibri"/>
              <a:ea typeface="Calibri"/>
              <a:cs typeface="Calibri"/>
            </a:defRPr>
          </a:pPr>
          <a:endParaRPr lang="nb-N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389792</xdr:colOff>
      <xdr:row>15</xdr:row>
      <xdr:rowOff>381000</xdr:rowOff>
    </xdr:from>
    <xdr:to>
      <xdr:col>4</xdr:col>
      <xdr:colOff>598714</xdr:colOff>
      <xdr:row>17</xdr:row>
      <xdr:rowOff>137745</xdr:rowOff>
    </xdr:to>
    <xdr:sp macro="" textlink="">
      <xdr:nvSpPr>
        <xdr:cNvPr id="2" name="Text Box 6">
          <a:extLst>
            <a:ext uri="{FF2B5EF4-FFF2-40B4-BE49-F238E27FC236}">
              <a16:creationId xmlns:a16="http://schemas.microsoft.com/office/drawing/2014/main" id="{499D6C09-8686-4BF0-B91B-3858981A64B8}"/>
            </a:ext>
          </a:extLst>
        </xdr:cNvPr>
        <xdr:cNvSpPr txBox="1"/>
      </xdr:nvSpPr>
      <xdr:spPr>
        <a:xfrm>
          <a:off x="389792" y="3343275"/>
          <a:ext cx="3256922" cy="613995"/>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1. KVARTAL 2026 </a:t>
          </a:r>
          <a:r>
            <a:rPr lang="nb-NO" sz="1200">
              <a:effectLst/>
              <a:latin typeface="Arial"/>
              <a:ea typeface="ＭＳ 明朝"/>
              <a:cs typeface="Times New Roman"/>
            </a:rPr>
            <a:t>(27</a:t>
          </a:r>
          <a:r>
            <a:rPr lang="nb-NO" sz="1200">
              <a:solidFill>
                <a:schemeClr val="dk1"/>
              </a:solidFill>
              <a:effectLst/>
              <a:latin typeface="Arial"/>
              <a:ea typeface="ＭＳ 明朝"/>
              <a:cs typeface="Times New Roman"/>
            </a:rPr>
            <a:t>.05.2026</a:t>
          </a:r>
          <a:r>
            <a:rPr lang="nb-NO" sz="1200">
              <a:effectLst/>
              <a:latin typeface="Arial"/>
              <a:ea typeface="ＭＳ 明朝"/>
              <a:cs typeface="Times New Roman"/>
            </a:rPr>
            <a:t>)</a:t>
          </a:r>
          <a:endParaRPr lang="nb-NO" sz="1200">
            <a:effectLst/>
            <a:ea typeface="ＭＳ 明朝"/>
            <a:cs typeface="Times New Roman"/>
          </a:endParaRPr>
        </a:p>
      </xdr:txBody>
    </xdr:sp>
    <xdr:clientData/>
  </xdr:twoCellAnchor>
  <xdr:twoCellAnchor>
    <xdr:from>
      <xdr:col>0</xdr:col>
      <xdr:colOff>306161</xdr:colOff>
      <xdr:row>11</xdr:row>
      <xdr:rowOff>31750</xdr:rowOff>
    </xdr:from>
    <xdr:to>
      <xdr:col>12</xdr:col>
      <xdr:colOff>677636</xdr:colOff>
      <xdr:row>15</xdr:row>
      <xdr:rowOff>391583</xdr:rowOff>
    </xdr:to>
    <xdr:sp macro="" textlink="">
      <xdr:nvSpPr>
        <xdr:cNvPr id="3" name="Text Box 4">
          <a:extLst>
            <a:ext uri="{FF2B5EF4-FFF2-40B4-BE49-F238E27FC236}">
              <a16:creationId xmlns:a16="http://schemas.microsoft.com/office/drawing/2014/main" id="{4B1AAB3F-EC6D-47A5-BFC8-57614BB19A63}"/>
            </a:ext>
          </a:extLst>
        </xdr:cNvPr>
        <xdr:cNvSpPr txBox="1"/>
      </xdr:nvSpPr>
      <xdr:spPr>
        <a:xfrm>
          <a:off x="306161" y="2053167"/>
          <a:ext cx="9515475" cy="1269999"/>
        </a:xfrm>
        <a:prstGeom prst="rect">
          <a:avLst/>
        </a:prstGeom>
        <a:noFill/>
        <a:ln>
          <a:noFill/>
        </a:ln>
        <a:effectLst/>
        <a:extLst>
          <a:ext uri="{C572A759-6A51-4108-AA02-DFA0A04FC94B}">
            <ma14:wrappingTextBoxFlag xmlns="" xmlns:ma14="http://schemas.microsoft.com/office/mac/drawingml/2011/main"/>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2800" b="1">
              <a:solidFill>
                <a:srgbClr val="005670"/>
              </a:solidFill>
              <a:effectLst/>
              <a:latin typeface="Arial"/>
              <a:ea typeface="ＭＳ 明朝"/>
              <a:cs typeface="Times New Roman"/>
            </a:rPr>
            <a:t>Markedsandeler</a:t>
          </a:r>
        </a:p>
        <a:p>
          <a:pPr>
            <a:spcAft>
              <a:spcPts val="0"/>
            </a:spcAft>
          </a:pPr>
          <a:r>
            <a:rPr lang="nb-NO" sz="2200" b="0" baseline="0">
              <a:solidFill>
                <a:srgbClr val="005670"/>
              </a:solidFill>
              <a:effectLst/>
              <a:latin typeface="Arial"/>
              <a:ea typeface="ＭＳ 明朝"/>
              <a:cs typeface="Times New Roman"/>
            </a:rPr>
            <a:t> </a:t>
          </a:r>
          <a:r>
            <a:rPr lang="nb-NO" sz="2600" b="0" baseline="0">
              <a:solidFill>
                <a:srgbClr val="005670"/>
              </a:solidFill>
              <a:effectLst/>
              <a:latin typeface="Arial"/>
              <a:ea typeface="ＭＳ 明朝"/>
              <a:cs typeface="Times New Roman"/>
            </a:rPr>
            <a:t>- endelige tall og regnskapsstatistikk</a:t>
          </a:r>
          <a:r>
            <a:rPr lang="nb-NO" sz="2800" b="0">
              <a:solidFill>
                <a:srgbClr val="005670"/>
              </a:solidFill>
              <a:effectLst/>
              <a:latin typeface="Arial"/>
              <a:ea typeface="ＭＳ 明朝"/>
              <a:cs typeface="Times New Roman"/>
            </a:rPr>
            <a:t>	</a:t>
          </a:r>
          <a:endParaRPr lang="nb-NO" sz="1200" b="0">
            <a:solidFill>
              <a:srgbClr val="005670"/>
            </a:solidFill>
            <a:effectLst/>
            <a:ea typeface="ＭＳ 明朝"/>
            <a:cs typeface="Times New Roman"/>
          </a:endParaRPr>
        </a:p>
      </xdr:txBody>
    </xdr:sp>
    <xdr:clientData/>
  </xdr:twoCellAnchor>
  <xdr:twoCellAnchor editAs="oneCell">
    <xdr:from>
      <xdr:col>0</xdr:col>
      <xdr:colOff>419099</xdr:colOff>
      <xdr:row>1</xdr:row>
      <xdr:rowOff>79524</xdr:rowOff>
    </xdr:from>
    <xdr:to>
      <xdr:col>6</xdr:col>
      <xdr:colOff>279400</xdr:colOff>
      <xdr:row>9</xdr:row>
      <xdr:rowOff>36064</xdr:rowOff>
    </xdr:to>
    <xdr:pic>
      <xdr:nvPicPr>
        <xdr:cNvPr id="4" name="Bilde 7">
          <a:extLst>
            <a:ext uri="{FF2B5EF4-FFF2-40B4-BE49-F238E27FC236}">
              <a16:creationId xmlns:a16="http://schemas.microsoft.com/office/drawing/2014/main" id="{1A0320DA-F81B-48DC-A876-A2AA50D0DB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099" y="248857"/>
          <a:ext cx="4584701" cy="1429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6</xdr:row>
      <xdr:rowOff>0</xdr:rowOff>
    </xdr:from>
    <xdr:to>
      <xdr:col>9</xdr:col>
      <xdr:colOff>352425</xdr:colOff>
      <xdr:row>27</xdr:row>
      <xdr:rowOff>9525</xdr:rowOff>
    </xdr:to>
    <xdr:graphicFrame macro="">
      <xdr:nvGraphicFramePr>
        <xdr:cNvPr id="2" name="Chart 1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31</xdr:row>
      <xdr:rowOff>219075</xdr:rowOff>
    </xdr:from>
    <xdr:to>
      <xdr:col>9</xdr:col>
      <xdr:colOff>285750</xdr:colOff>
      <xdr:row>50</xdr:row>
      <xdr:rowOff>123825</xdr:rowOff>
    </xdr:to>
    <xdr:graphicFrame macro="">
      <xdr:nvGraphicFramePr>
        <xdr:cNvPr id="3" name="Chart 1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56</xdr:row>
      <xdr:rowOff>228600</xdr:rowOff>
    </xdr:from>
    <xdr:to>
      <xdr:col>9</xdr:col>
      <xdr:colOff>142875</xdr:colOff>
      <xdr:row>73</xdr:row>
      <xdr:rowOff>180975</xdr:rowOff>
    </xdr:to>
    <xdr:graphicFrame macro="">
      <xdr:nvGraphicFramePr>
        <xdr:cNvPr id="6" name="Chart 1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81</xdr:row>
      <xdr:rowOff>57150</xdr:rowOff>
    </xdr:from>
    <xdr:to>
      <xdr:col>9</xdr:col>
      <xdr:colOff>123825</xdr:colOff>
      <xdr:row>100</xdr:row>
      <xdr:rowOff>114300</xdr:rowOff>
    </xdr:to>
    <xdr:graphicFrame macro="">
      <xdr:nvGraphicFramePr>
        <xdr:cNvPr id="7" name="Chart 1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28575</xdr:colOff>
      <xdr:row>107</xdr:row>
      <xdr:rowOff>28575</xdr:rowOff>
    </xdr:from>
    <xdr:to>
      <xdr:col>9</xdr:col>
      <xdr:colOff>180975</xdr:colOff>
      <xdr:row>123</xdr:row>
      <xdr:rowOff>200025</xdr:rowOff>
    </xdr:to>
    <xdr:graphicFrame macro="">
      <xdr:nvGraphicFramePr>
        <xdr:cNvPr id="8" name="Chart 1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131</xdr:row>
      <xdr:rowOff>57150</xdr:rowOff>
    </xdr:from>
    <xdr:to>
      <xdr:col>9</xdr:col>
      <xdr:colOff>171450</xdr:colOff>
      <xdr:row>149</xdr:row>
      <xdr:rowOff>123825</xdr:rowOff>
    </xdr:to>
    <xdr:graphicFrame macro="">
      <xdr:nvGraphicFramePr>
        <xdr:cNvPr id="9" name="Chart 1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4</xdr:row>
      <xdr:rowOff>137583</xdr:rowOff>
    </xdr:from>
    <xdr:to>
      <xdr:col>0</xdr:col>
      <xdr:colOff>4064000</xdr:colOff>
      <xdr:row>40</xdr:row>
      <xdr:rowOff>84666</xdr:rowOff>
    </xdr:to>
    <xdr:sp macro="" textlink="">
      <xdr:nvSpPr>
        <xdr:cNvPr id="4" name="Text Box 1026">
          <a:extLst>
            <a:ext uri="{FF2B5EF4-FFF2-40B4-BE49-F238E27FC236}">
              <a16:creationId xmlns:a16="http://schemas.microsoft.com/office/drawing/2014/main" id="{00000000-0008-0000-2100-000004000000}"/>
            </a:ext>
          </a:extLst>
        </xdr:cNvPr>
        <xdr:cNvSpPr txBox="1">
          <a:spLocks noChangeArrowheads="1"/>
        </xdr:cNvSpPr>
      </xdr:nvSpPr>
      <xdr:spPr bwMode="auto">
        <a:xfrm>
          <a:off x="10583" y="772583"/>
          <a:ext cx="4053417" cy="10318750"/>
        </a:xfrm>
        <a:prstGeom prst="rect">
          <a:avLst/>
        </a:prstGeom>
        <a:solidFill>
          <a:srgbClr val="FFFFFF"/>
        </a:solidFill>
        <a:ln w="9525">
          <a:noFill/>
          <a:miter lim="800000"/>
          <a:headEnd/>
          <a:tailEnd/>
        </a:ln>
      </xdr:spPr>
      <xdr:txBody>
        <a:bodyPr vertOverflow="clip" wrap="square" lIns="36576" tIns="32004" rIns="0" bIns="0" anchor="t" upright="1"/>
        <a:lstStyle/>
        <a:p>
          <a:pPr algn="l" rtl="0">
            <a:lnSpc>
              <a:spcPts val="1600"/>
            </a:lnSpc>
            <a:defRPr sz="1000"/>
          </a:pPr>
          <a:r>
            <a:rPr lang="nb-NO" sz="1200" b="1" i="0" strike="noStrike">
              <a:solidFill>
                <a:srgbClr val="000000"/>
              </a:solidFill>
              <a:latin typeface="Times New Roman"/>
              <a:cs typeface="Times New Roman"/>
            </a:rPr>
            <a:t>Selskaper som inngår i statistikken</a:t>
          </a:r>
        </a:p>
        <a:p>
          <a:pPr algn="l" rtl="0">
            <a:lnSpc>
              <a:spcPts val="1600"/>
            </a:lnSpc>
            <a:defRPr sz="1000"/>
          </a:pPr>
          <a:r>
            <a:rPr lang="nb-NO" sz="1200" b="0" i="0" strike="noStrike">
              <a:solidFill>
                <a:srgbClr val="000000"/>
              </a:solidFill>
              <a:latin typeface="Times New Roman"/>
              <a:cs typeface="Times New Roman"/>
            </a:rPr>
            <a:t>Statistikken viser tall for medlemsselskaper i Finans Norge som </a:t>
          </a:r>
          <a:br>
            <a:rPr lang="nb-NO" sz="1200" b="0" i="0" strike="noStrike">
              <a:solidFill>
                <a:srgbClr val="000000"/>
              </a:solidFill>
              <a:latin typeface="Times New Roman"/>
              <a:cs typeface="Times New Roman"/>
            </a:rPr>
          </a:br>
          <a:r>
            <a:rPr lang="nb-NO" sz="1200" b="0" i="0" strike="noStrike">
              <a:solidFill>
                <a:srgbClr val="000000"/>
              </a:solidFill>
              <a:latin typeface="Times New Roman"/>
              <a:cs typeface="Times New Roman"/>
            </a:rPr>
            <a:t>selger livprodukter.</a:t>
          </a:r>
        </a:p>
        <a:p>
          <a:pPr algn="l" rtl="0">
            <a:lnSpc>
              <a:spcPts val="1600"/>
            </a:lnSpc>
            <a:defRPr sz="1000"/>
          </a:pPr>
          <a:endParaRPr lang="nb-NO" sz="1200" b="1"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Produkter uten investeringsvalg</a:t>
          </a:r>
          <a:r>
            <a:rPr lang="nb-NO" sz="1200" b="0" i="0" strike="noStrike">
              <a:solidFill>
                <a:srgbClr val="000000"/>
              </a:solidFill>
              <a:latin typeface="Times New Roman"/>
              <a:cs typeface="Times New Roman"/>
            </a:rPr>
            <a:t>:</a:t>
          </a:r>
        </a:p>
        <a:p>
          <a:pPr marL="0" marR="0" indent="0" algn="l" defTabSz="914400" rtl="0" eaLnBrk="1" fontAlgn="auto" latinLnBrk="0" hangingPunct="1">
            <a:lnSpc>
              <a:spcPts val="1600"/>
            </a:lnSpc>
            <a:spcBef>
              <a:spcPts val="0"/>
            </a:spcBef>
            <a:spcAft>
              <a:spcPts val="0"/>
            </a:spcAft>
            <a:buClrTx/>
            <a:buSzTx/>
            <a:buFontTx/>
            <a:buNone/>
            <a:tabLst/>
            <a:defRPr sz="1000"/>
          </a:pPr>
          <a:r>
            <a:rPr lang="nb-NO" sz="1200" b="0" i="0" strike="noStrike">
              <a:solidFill>
                <a:srgbClr val="000000"/>
              </a:solidFill>
              <a:latin typeface="Times New Roman"/>
              <a:cs typeface="Times New Roman"/>
            </a:rPr>
            <a:t>DNB Livsforsikring ASA</a:t>
          </a:r>
          <a:endParaRPr lang="nb-NO" sz="1200" b="0" i="0" strike="noStrike" baseline="0">
            <a:solidFill>
              <a:srgbClr val="000000"/>
            </a:solidFill>
            <a:latin typeface="Times New Roman"/>
            <a:cs typeface="Times New Roman"/>
          </a:endParaRPr>
        </a:p>
        <a:p>
          <a:pPr algn="l" rtl="0">
            <a:lnSpc>
              <a:spcPts val="1600"/>
            </a:lnSpc>
            <a:defRPr sz="1000"/>
          </a:pPr>
          <a:r>
            <a:rPr lang="nb-NO" sz="1200" b="0" i="0" strike="noStrike" baseline="0">
              <a:solidFill>
                <a:srgbClr val="000000"/>
              </a:solidFill>
              <a:latin typeface="Times New Roman"/>
              <a:cs typeface="Times New Roman"/>
            </a:rPr>
            <a:t>Euro Accident</a:t>
          </a:r>
        </a:p>
        <a:p>
          <a:pPr algn="l" rtl="0">
            <a:lnSpc>
              <a:spcPts val="1600"/>
            </a:lnSpc>
            <a:defRPr sz="1000"/>
          </a:pPr>
          <a:r>
            <a:rPr lang="nb-NO" sz="1200" b="0" i="0" strike="noStrike" baseline="0">
              <a:solidFill>
                <a:srgbClr val="000000"/>
              </a:solidFill>
              <a:latin typeface="Times New Roman"/>
              <a:cs typeface="Times New Roman"/>
            </a:rPr>
            <a:t>Fremtind Forsikring (skadeselskap)</a:t>
          </a:r>
        </a:p>
        <a:p>
          <a:pPr algn="l" rtl="0">
            <a:lnSpc>
              <a:spcPts val="1600"/>
            </a:lnSpc>
            <a:defRPr sz="1000"/>
          </a:pPr>
          <a:r>
            <a:rPr lang="nb-NO" sz="1200" b="0" i="0" strike="noStrike" baseline="0">
              <a:solidFill>
                <a:srgbClr val="000000"/>
              </a:solidFill>
              <a:latin typeface="Times New Roman"/>
              <a:cs typeface="Times New Roman"/>
            </a:rPr>
            <a:t>Fremtind Livsforsikring</a:t>
          </a:r>
        </a:p>
        <a:p>
          <a:pPr algn="l" rtl="0">
            <a:lnSpc>
              <a:spcPts val="1600"/>
            </a:lnSpc>
            <a:defRPr sz="1000"/>
          </a:pPr>
          <a:r>
            <a:rPr lang="nb-NO" sz="1200" b="0" i="0" strike="noStrike">
              <a:solidFill>
                <a:srgbClr val="000000"/>
              </a:solidFill>
              <a:latin typeface="Times New Roman"/>
              <a:cs typeface="Times New Roman"/>
            </a:rPr>
            <a:t>Frende Livsforsikring</a:t>
          </a:r>
        </a:p>
        <a:p>
          <a:pPr algn="l" rtl="0">
            <a:lnSpc>
              <a:spcPts val="1600"/>
            </a:lnSpc>
            <a:defRPr sz="1000"/>
          </a:pPr>
          <a:r>
            <a:rPr lang="nb-NO" sz="1200" b="0" i="0" strike="noStrike">
              <a:solidFill>
                <a:srgbClr val="000000"/>
              </a:solidFill>
              <a:latin typeface="Times New Roman"/>
              <a:cs typeface="Times New Roman"/>
            </a:rPr>
            <a:t>Frende Skadeforsikring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Gjensidige Forsikring (skadeselskap)</a:t>
          </a:r>
        </a:p>
        <a:p>
          <a:pPr algn="l" rtl="0">
            <a:lnSpc>
              <a:spcPts val="1600"/>
            </a:lnSpc>
            <a:defRPr sz="1000"/>
          </a:pPr>
          <a:r>
            <a:rPr lang="nb-NO" sz="1200" b="0" i="0" strike="noStrike">
              <a:solidFill>
                <a:srgbClr val="000000"/>
              </a:solidFill>
              <a:latin typeface="Times New Roman"/>
              <a:cs typeface="Times New Roman"/>
            </a:rPr>
            <a:t>Gjensidige Pensjonsforsikring</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If Skadeforsikring NUF (skadeselskap)</a:t>
          </a:r>
        </a:p>
        <a:p>
          <a:pPr algn="l" rtl="0">
            <a:lnSpc>
              <a:spcPts val="1600"/>
            </a:lnSpc>
            <a:defRPr sz="1000"/>
          </a:pPr>
          <a:r>
            <a:rPr lang="nb-NO" sz="1200" b="0" i="0" strike="noStrike">
              <a:solidFill>
                <a:srgbClr val="000000"/>
              </a:solidFill>
              <a:latin typeface="Times New Roman"/>
              <a:cs typeface="Times New Roman"/>
            </a:rPr>
            <a:t>KLP</a:t>
          </a:r>
        </a:p>
        <a:p>
          <a:pPr algn="l" rtl="0">
            <a:lnSpc>
              <a:spcPts val="1600"/>
            </a:lnSpc>
            <a:defRPr sz="1000"/>
          </a:pPr>
          <a:r>
            <a:rPr lang="nb-NO" sz="1200" b="0" i="0" strike="noStrike" baseline="0">
              <a:solidFill>
                <a:srgbClr val="000000"/>
              </a:solidFill>
              <a:latin typeface="Times New Roman"/>
              <a:cs typeface="Times New Roman"/>
            </a:rPr>
            <a:t>KLP Skadeforsikring AS</a:t>
          </a:r>
        </a:p>
        <a:p>
          <a:pPr algn="l" rtl="0">
            <a:lnSpc>
              <a:spcPts val="1600"/>
            </a:lnSpc>
            <a:defRPr sz="1000"/>
          </a:pPr>
          <a:r>
            <a:rPr lang="nb-NO" sz="1200" b="0" i="0" strike="noStrike" baseline="0">
              <a:solidFill>
                <a:srgbClr val="000000"/>
              </a:solidFill>
              <a:latin typeface="Times New Roman"/>
              <a:cs typeface="Times New Roman"/>
            </a:rPr>
            <a:t>Knif Trygghet Forsikring (skadeselskap)</a:t>
          </a:r>
        </a:p>
        <a:p>
          <a:pPr algn="l" rtl="0">
            <a:lnSpc>
              <a:spcPts val="1600"/>
            </a:lnSpc>
            <a:defRPr sz="1000"/>
          </a:pPr>
          <a:r>
            <a:rPr lang="nb-NO" sz="1200" b="0" i="0" strike="noStrike" baseline="0">
              <a:solidFill>
                <a:srgbClr val="000000"/>
              </a:solidFill>
              <a:latin typeface="Times New Roman"/>
              <a:cs typeface="Times New Roman"/>
            </a:rPr>
            <a:t>Landkreditt Forsikring (skadeselskap)</a:t>
          </a: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Nordea Liv Forsikring</a:t>
          </a:r>
        </a:p>
        <a:p>
          <a:pPr algn="l" rtl="0">
            <a:lnSpc>
              <a:spcPts val="1600"/>
            </a:lnSpc>
            <a:defRPr sz="1000"/>
          </a:pPr>
          <a:r>
            <a:rPr lang="nb-NO" sz="1200" b="0" i="0" strike="noStrike">
              <a:solidFill>
                <a:srgbClr val="000000"/>
              </a:solidFill>
              <a:latin typeface="Times New Roman"/>
              <a:cs typeface="Times New Roman"/>
            </a:rPr>
            <a:t>Ly Forsikring (skadeselskap)</a:t>
          </a:r>
        </a:p>
        <a:p>
          <a:pPr algn="l" rtl="0">
            <a:lnSpc>
              <a:spcPts val="1700"/>
            </a:lnSpc>
            <a:defRPr sz="1000"/>
          </a:pPr>
          <a:r>
            <a:rPr lang="nb-NO" sz="1200" b="0" i="0" strike="noStrike">
              <a:solidFill>
                <a:srgbClr val="000000"/>
              </a:solidFill>
              <a:latin typeface="Times New Roman"/>
              <a:cs typeface="Times New Roman"/>
            </a:rPr>
            <a:t>Oslo Pensjonsforsikring</a:t>
          </a:r>
        </a:p>
        <a:p>
          <a:pPr algn="l" rtl="0">
            <a:lnSpc>
              <a:spcPts val="1600"/>
            </a:lnSpc>
            <a:defRPr sz="1000"/>
          </a:pPr>
          <a:r>
            <a:rPr lang="nb-NO" sz="1200" b="0" i="0" strike="noStrike">
              <a:solidFill>
                <a:srgbClr val="000000"/>
              </a:solidFill>
              <a:latin typeface="Times New Roman"/>
              <a:cs typeface="Times New Roman"/>
            </a:rPr>
            <a:t>Protector Forsikring (skadeselskap)</a:t>
          </a:r>
        </a:p>
        <a:p>
          <a:pPr algn="l" rtl="0">
            <a:lnSpc>
              <a:spcPts val="1700"/>
            </a:lnSpc>
            <a:defRPr sz="1000"/>
          </a:pPr>
          <a:r>
            <a:rPr lang="nb-NO" sz="1200" b="0" i="0" strike="noStrike">
              <a:solidFill>
                <a:srgbClr val="000000"/>
              </a:solidFill>
              <a:latin typeface="Times New Roman"/>
              <a:cs typeface="Times New Roman"/>
            </a:rPr>
            <a:t>SpareBank 1 Forsikring</a:t>
          </a:r>
        </a:p>
        <a:p>
          <a:pPr algn="l" rtl="0">
            <a:lnSpc>
              <a:spcPts val="1600"/>
            </a:lnSpc>
            <a:defRPr sz="1000"/>
          </a:pPr>
          <a:r>
            <a:rPr lang="nb-NO" sz="1200" b="0" i="0" strike="noStrike">
              <a:solidFill>
                <a:srgbClr val="000000"/>
              </a:solidFill>
              <a:latin typeface="Times New Roman"/>
              <a:cs typeface="Times New Roman"/>
            </a:rPr>
            <a:t>Storebrand Livsforsikring</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Telenor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Tryg Forsikring (skadeselskap)</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WaterCircles Forsikring (Skadeforsikring)</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Times New Roman"/>
              <a:ea typeface="+mn-ea"/>
              <a:cs typeface="Times New Roman"/>
            </a:rPr>
            <a:t>Youplus Livsforsikring nuf</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700"/>
            </a:lnSpc>
            <a:defRPr sz="1000"/>
          </a:pPr>
          <a:r>
            <a:rPr lang="nb-NO" sz="1200" b="0" i="0" u="sng" strike="noStrike">
              <a:solidFill>
                <a:srgbClr val="000000"/>
              </a:solidFill>
              <a:latin typeface="Times New Roman"/>
              <a:cs typeface="Times New Roman"/>
            </a:rPr>
            <a:t>Produkter med investeringsvalg</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DNB Livsforsikring ASA</a:t>
          </a:r>
        </a:p>
        <a:p>
          <a:pPr algn="l" rtl="0">
            <a:lnSpc>
              <a:spcPts val="1600"/>
            </a:lnSpc>
            <a:defRPr sz="1000"/>
          </a:pPr>
          <a:r>
            <a:rPr lang="nb-NO" sz="1200" b="0" i="0" strike="noStrike">
              <a:solidFill>
                <a:srgbClr val="000000"/>
              </a:solidFill>
              <a:latin typeface="Times New Roman"/>
              <a:cs typeface="Times New Roman"/>
            </a:rPr>
            <a:t>Gjensidige Pensjonsforsikring</a:t>
          </a:r>
        </a:p>
        <a:p>
          <a:pPr algn="l" rtl="0">
            <a:lnSpc>
              <a:spcPts val="1700"/>
            </a:lnSpc>
            <a:defRPr sz="1000"/>
          </a:pPr>
          <a:r>
            <a:rPr lang="nb-NO" sz="1200" b="0" i="0" strike="noStrike">
              <a:solidFill>
                <a:srgbClr val="000000"/>
              </a:solidFill>
              <a:latin typeface="Times New Roman"/>
              <a:cs typeface="Times New Roman"/>
            </a:rPr>
            <a:t>KLP</a:t>
          </a:r>
        </a:p>
        <a:p>
          <a:pPr algn="l" rtl="0">
            <a:lnSpc>
              <a:spcPts val="1700"/>
            </a:lnSpc>
            <a:defRPr sz="1000"/>
          </a:pPr>
          <a:r>
            <a:rPr lang="nb-NO" sz="1200" b="0" i="0" strike="noStrike">
              <a:solidFill>
                <a:srgbClr val="000000"/>
              </a:solidFill>
              <a:latin typeface="Times New Roman"/>
              <a:cs typeface="Times New Roman"/>
            </a:rPr>
            <a:t>Nordea Liv Forsikring</a:t>
          </a:r>
          <a:endParaRPr kumimoji="0" lang="nb-NO" sz="1200" b="0" i="0" u="none" strike="noStrike" kern="0" cap="none" spc="0" normalizeH="0" baseline="0" noProof="0">
            <a:ln>
              <a:noFill/>
            </a:ln>
            <a:solidFill>
              <a:srgbClr val="000000"/>
            </a:solidFill>
            <a:effectLst/>
            <a:uLnTx/>
            <a:uFillTx/>
            <a:latin typeface="Times New Roman"/>
            <a:ea typeface="+mn-ea"/>
            <a:cs typeface="Times New Roman"/>
          </a:endParaRPr>
        </a:p>
        <a:p>
          <a:pPr algn="l" rtl="0">
            <a:lnSpc>
              <a:spcPts val="1600"/>
            </a:lnSpc>
            <a:defRPr sz="1000"/>
          </a:pPr>
          <a:r>
            <a:rPr lang="nb-NO" sz="1200" b="0" i="0" strike="noStrike">
              <a:solidFill>
                <a:srgbClr val="000000"/>
              </a:solidFill>
              <a:latin typeface="Times New Roman"/>
              <a:cs typeface="Times New Roman"/>
            </a:rPr>
            <a:t>SpareBank 1 Forsikring</a:t>
          </a:r>
        </a:p>
        <a:p>
          <a:pPr algn="l" rtl="0">
            <a:lnSpc>
              <a:spcPts val="1700"/>
            </a:lnSpc>
            <a:defRPr sz="1000"/>
          </a:pPr>
          <a:r>
            <a:rPr lang="nb-NO" sz="1200" b="0" i="0" strike="noStrike">
              <a:solidFill>
                <a:srgbClr val="000000"/>
              </a:solidFill>
              <a:latin typeface="Times New Roman"/>
              <a:cs typeface="Times New Roman"/>
            </a:rPr>
            <a:t>Storebrand Livsforsikring</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u="sng" strike="noStrike">
              <a:solidFill>
                <a:srgbClr val="000000"/>
              </a:solidFill>
              <a:latin typeface="Times New Roman"/>
              <a:cs typeface="Times New Roman"/>
            </a:rPr>
            <a:t>Utenlandske filialer</a:t>
          </a:r>
          <a:r>
            <a:rPr lang="nb-NO" sz="1200" b="0" i="0" strike="noStrike">
              <a:solidFill>
                <a:srgbClr val="000000"/>
              </a:solidFill>
              <a:latin typeface="Times New Roman"/>
              <a:cs typeface="Times New Roman"/>
            </a:rPr>
            <a:t>:</a:t>
          </a:r>
        </a:p>
        <a:p>
          <a:pPr algn="l" rtl="0">
            <a:lnSpc>
              <a:spcPts val="1700"/>
            </a:lnSpc>
            <a:defRPr sz="1000"/>
          </a:pPr>
          <a:r>
            <a:rPr lang="nb-NO" sz="1200" b="0" i="0" strike="noStrike">
              <a:solidFill>
                <a:srgbClr val="000000"/>
              </a:solidFill>
              <a:latin typeface="Times New Roman"/>
              <a:cs typeface="Times New Roman"/>
            </a:rPr>
            <a:t>Disse har ikke samme krav til regnskapsføring som norske livselskaper, og rapporterer derfor kun utvalgte</a:t>
          </a:r>
          <a:r>
            <a:rPr lang="nb-NO" sz="1200" b="0" i="0" strike="noStrike" baseline="0">
              <a:solidFill>
                <a:srgbClr val="000000"/>
              </a:solidFill>
              <a:latin typeface="Times New Roman"/>
              <a:cs typeface="Times New Roman"/>
            </a:rPr>
            <a:t> poster</a:t>
          </a:r>
          <a:r>
            <a:rPr lang="nb-NO" sz="1200" b="0" i="0" strike="noStrike">
              <a:solidFill>
                <a:srgbClr val="000000"/>
              </a:solidFill>
              <a:latin typeface="Times New Roman"/>
              <a:cs typeface="Times New Roman"/>
            </a:rPr>
            <a:t>.</a:t>
          </a:r>
        </a:p>
        <a:p>
          <a:pPr algn="l" rtl="0">
            <a:lnSpc>
              <a:spcPts val="1600"/>
            </a:lnSpc>
            <a:defRPr sz="1000"/>
          </a:pPr>
          <a:endParaRPr lang="nb-NO" sz="1200" b="0" i="0" strike="noStrike">
            <a:solidFill>
              <a:srgbClr val="000000"/>
            </a:solidFill>
            <a:latin typeface="Times New Roman"/>
            <a:cs typeface="Times New Roman"/>
          </a:endParaRPr>
        </a:p>
        <a:p>
          <a:pPr algn="l" rtl="0">
            <a:lnSpc>
              <a:spcPts val="1600"/>
            </a:lnSpc>
            <a:defRPr sz="1000"/>
          </a:pPr>
          <a:r>
            <a:rPr lang="nb-NO" sz="1200" b="0" i="0" strike="noStrike">
              <a:solidFill>
                <a:srgbClr val="000000"/>
              </a:solidFill>
              <a:latin typeface="Times New Roman"/>
              <a:cs typeface="Times New Roman"/>
            </a:rPr>
            <a:t>I figurer og tabeller har enkelte selskap "forkortede" navn.</a:t>
          </a:r>
        </a:p>
        <a:p>
          <a:pPr algn="l" rtl="0">
            <a:lnSpc>
              <a:spcPts val="13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400"/>
            </a:lnSpc>
            <a:defRPr sz="1000"/>
          </a:pPr>
          <a:endParaRPr lang="nb-NO" sz="1200" b="0" i="0" strike="noStrike">
            <a:solidFill>
              <a:srgbClr val="000000"/>
            </a:solidFill>
            <a:latin typeface="Times New Roman"/>
            <a:cs typeface="Times New Roman"/>
          </a:endParaRPr>
        </a:p>
        <a:p>
          <a:pPr algn="l" rtl="0">
            <a:lnSpc>
              <a:spcPts val="14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r>
            <a:rPr lang="nb-NO" sz="1200" b="0" i="0" strike="noStrike">
              <a:solidFill>
                <a:srgbClr val="000000"/>
              </a:solidFill>
              <a:latin typeface="Times New Roman"/>
              <a:cs typeface="Times New Roman"/>
            </a:rPr>
            <a:t>   </a:t>
          </a: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0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2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100"/>
            </a:lnSpc>
            <a:defRPr sz="1000"/>
          </a:pPr>
          <a:endParaRPr lang="nb-NO" sz="1400" b="0" i="0" strike="noStrike">
            <a:solidFill>
              <a:srgbClr val="000000"/>
            </a:solidFill>
            <a:latin typeface="Times New Roman"/>
            <a:cs typeface="Times New Roman"/>
          </a:endParaRPr>
        </a:p>
        <a:p>
          <a:pPr algn="l" rtl="0">
            <a:lnSpc>
              <a:spcPts val="1000"/>
            </a:lnSpc>
            <a:defRPr sz="1000"/>
          </a:pPr>
          <a:endParaRPr lang="nb-NO" sz="1400" b="0" i="0" strike="noStrike">
            <a:solidFill>
              <a:srgbClr val="000000"/>
            </a:solidFill>
            <a:latin typeface="Times New Roman"/>
            <a:cs typeface="Times New Roman"/>
          </a:endParaRPr>
        </a:p>
      </xdr:txBody>
    </xdr:sp>
    <xdr:clientData/>
  </xdr:twoCellAnchor>
  <xdr:twoCellAnchor>
    <xdr:from>
      <xdr:col>3</xdr:col>
      <xdr:colOff>455084</xdr:colOff>
      <xdr:row>5</xdr:row>
      <xdr:rowOff>10583</xdr:rowOff>
    </xdr:from>
    <xdr:to>
      <xdr:col>11</xdr:col>
      <xdr:colOff>349250</xdr:colOff>
      <xdr:row>29</xdr:row>
      <xdr:rowOff>63500</xdr:rowOff>
    </xdr:to>
    <xdr:sp macro="" textlink="">
      <xdr:nvSpPr>
        <xdr:cNvPr id="5" name="TekstSylinder 4">
          <a:extLst>
            <a:ext uri="{FF2B5EF4-FFF2-40B4-BE49-F238E27FC236}">
              <a16:creationId xmlns:a16="http://schemas.microsoft.com/office/drawing/2014/main" id="{00000000-0008-0000-2100-000005000000}"/>
            </a:ext>
          </a:extLst>
        </xdr:cNvPr>
        <xdr:cNvSpPr txBox="1"/>
      </xdr:nvSpPr>
      <xdr:spPr>
        <a:xfrm>
          <a:off x="12170834" y="804333"/>
          <a:ext cx="6413499" cy="828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endParaRPr lang="nb-NO">
            <a:effectLst/>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Kommentarer til dataene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u="sng"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u="sng" baseline="0">
              <a:solidFill>
                <a:schemeClr val="dk1"/>
              </a:solidFill>
              <a:effectLst/>
              <a:latin typeface="Times New Roman" panose="02020603050405020304" pitchFamily="18" charset="0"/>
              <a:ea typeface="+mn-ea"/>
              <a:cs typeface="Times New Roman" panose="02020603050405020304" pitchFamily="18" charset="0"/>
            </a:rPr>
            <a:t>Generelle kommentarer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Når det nedenfor står "Endring i 20xx-tall", menes endringer i forhold til tilsvarende periode året før.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Brutto forfalt premie kan regnskapstallene (Tabell 4) være høyere enn markedstallene (Tabell 2a) fordi de kan inneholde tall for skadeforsikring og utenlandsk virksomhet.</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For Overførte reserver til/fra andre i markedstallene inngår ikke overførte reserver som gjelder Gruppeliv. Disse vil imidlertid inngå i Tabell 4.</a:t>
          </a:r>
          <a:endParaRPr lang="nb-NO" sz="1100">
            <a:latin typeface="Times New Roman" panose="02020603050405020304" pitchFamily="18" charset="0"/>
            <a:cs typeface="Times New Roman" panose="02020603050405020304" pitchFamily="18" charset="0"/>
          </a:endParaRPr>
        </a:p>
        <a:p>
          <a:endParaRPr lang="nb-NO" sz="1100" u="sng">
            <a:latin typeface="Times New Roman" panose="02020603050405020304" pitchFamily="18" charset="0"/>
            <a:cs typeface="Times New Roman" panose="02020603050405020304" pitchFamily="18" charset="0"/>
          </a:endParaRPr>
        </a:p>
        <a:p>
          <a:pPr rtl="0" eaLnBrk="1" fontAlgn="auto" latinLnBrk="0" hangingPunct="1"/>
          <a:r>
            <a:rPr lang="nb-NO" sz="1100" u="sng">
              <a:solidFill>
                <a:schemeClr val="dk1"/>
              </a:solidFill>
              <a:effectLst/>
              <a:latin typeface="+mn-lt"/>
              <a:ea typeface="+mn-ea"/>
              <a:cs typeface="+mn-cs"/>
            </a:rPr>
            <a:t>Fremtind:</a:t>
          </a:r>
          <a:endParaRPr lang="nb-NO">
            <a:effectLst/>
          </a:endParaRPr>
        </a:p>
        <a:p>
          <a:pPr rtl="0" eaLnBrk="1" fontAlgn="auto" latinLnBrk="0" hangingPunct="1"/>
          <a:r>
            <a:rPr lang="nb-NO" sz="1100">
              <a:solidFill>
                <a:schemeClr val="dk1"/>
              </a:solidFill>
              <a:effectLst/>
              <a:latin typeface="+mn-lt"/>
              <a:ea typeface="+mn-ea"/>
              <a:cs typeface="+mn-cs"/>
            </a:rPr>
            <a:t>I</a:t>
          </a:r>
          <a:r>
            <a:rPr lang="nb-NO" sz="1100" baseline="0">
              <a:solidFill>
                <a:schemeClr val="dk1"/>
              </a:solidFill>
              <a:effectLst/>
              <a:latin typeface="+mn-lt"/>
              <a:ea typeface="+mn-ea"/>
              <a:cs typeface="+mn-cs"/>
            </a:rPr>
            <a:t> statistikken fra og med 1.kvartal 2026 inngår Fremtind Livsforsikring og Fremtind Forsikring samlet som Fremtind i markedsdelen. Forsikringsforpliktelser for 1.-3.kvartal omfatter kun Fremtind Livsforsikring. I regnskapsdelen inngår kun Fremtind Livsforsikring.</a:t>
          </a:r>
          <a:br>
            <a:rPr lang="nb-NO" sz="1100" baseline="0">
              <a:solidFill>
                <a:schemeClr val="dk1"/>
              </a:solidFill>
              <a:effectLst/>
              <a:latin typeface="+mn-lt"/>
              <a:ea typeface="+mn-ea"/>
              <a:cs typeface="+mn-cs"/>
            </a:rPr>
          </a:br>
          <a:endParaRPr lang="nb-NO" sz="1100" baseline="0">
            <a:solidFill>
              <a:schemeClr val="dk1"/>
            </a:solidFill>
            <a:effectLst/>
            <a:latin typeface="+mn-lt"/>
            <a:ea typeface="+mn-ea"/>
            <a:cs typeface="+mn-cs"/>
          </a:endParaRPr>
        </a:p>
        <a:p>
          <a:pPr rtl="0" eaLnBrk="1" fontAlgn="auto" latinLnBrk="0" hangingPunct="1"/>
          <a:r>
            <a:rPr lang="nb-NO" sz="1100" u="sng">
              <a:solidFill>
                <a:schemeClr val="dk1"/>
              </a:solidFill>
              <a:effectLst/>
              <a:latin typeface="+mn-lt"/>
              <a:ea typeface="+mn-ea"/>
              <a:cs typeface="+mn-cs"/>
            </a:rPr>
            <a:t>Oslo Pensjonsforsikring:</a:t>
          </a:r>
          <a:endParaRPr lang="nb-NO">
            <a:effectLst/>
          </a:endParaRPr>
        </a:p>
        <a:p>
          <a:r>
            <a:rPr lang="nb-NO" sz="1100">
              <a:effectLst/>
              <a:latin typeface="Aptos" panose="020B0004020202020204" pitchFamily="34" charset="0"/>
              <a:ea typeface="Aptos" panose="020B0004020202020204" pitchFamily="34" charset="0"/>
              <a:cs typeface="Calibri" panose="020F0502020204030204" pitchFamily="34" charset="0"/>
            </a:rPr>
            <a:t>Det tas forbehold om at tallene er foreløpige og vil kunne bli endret.</a:t>
          </a:r>
          <a:br>
            <a:rPr lang="nb-NO" sz="1100">
              <a:effectLst/>
              <a:latin typeface="Aptos" panose="020B0004020202020204" pitchFamily="34" charset="0"/>
              <a:ea typeface="Aptos" panose="020B0004020202020204" pitchFamily="34" charset="0"/>
              <a:cs typeface="Calibri" panose="020F0502020204030204" pitchFamily="34" charset="0"/>
            </a:rPr>
          </a:br>
          <a:br>
            <a:rPr lang="nb-NO" sz="1100">
              <a:effectLst/>
              <a:latin typeface="Aptos" panose="020B0004020202020204" pitchFamily="34" charset="0"/>
              <a:ea typeface="Aptos" panose="020B0004020202020204" pitchFamily="34" charset="0"/>
              <a:cs typeface="Calibri" panose="020F0502020204030204" pitchFamily="34" charset="0"/>
            </a:rPr>
          </a:br>
          <a:endParaRPr lang="nb-NO" sz="1100">
            <a:latin typeface="Times New Roman" panose="02020603050405020304" pitchFamily="18" charset="0"/>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Innsamlede data</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innsamlede data er identiske med det som forekommer i statistikken.</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 underliggende tallene for statistikken er med en desimal, men statistikktallene publiseres uten desimaler. </a:t>
          </a:r>
        </a:p>
        <a:p>
          <a:pPr rtl="0" eaLnBrk="1" fontAlgn="auto" latinLnBrk="0" hangingPunct="1"/>
          <a:endParaRPr lang="nb-NO" sz="1100" b="0"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Det betyr at sumtall i formler kan avvike fra de synlige summene.</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endParaRPr lang="nb-NO" sz="1100" b="1" i="0" baseline="0">
            <a:solidFill>
              <a:schemeClr val="dk1"/>
            </a:solidFill>
            <a:effectLst/>
            <a:latin typeface="Times New Roman" panose="02020603050405020304" pitchFamily="18" charset="0"/>
            <a:ea typeface="+mn-ea"/>
            <a:cs typeface="Times New Roman" panose="02020603050405020304" pitchFamily="18" charset="0"/>
          </a:endParaRPr>
        </a:p>
        <a:p>
          <a:pPr rtl="0" eaLnBrk="1" fontAlgn="auto" latinLnBrk="0" hangingPunct="1"/>
          <a:r>
            <a:rPr lang="nb-NO" sz="1100" b="1" i="0" baseline="0">
              <a:solidFill>
                <a:schemeClr val="dk1"/>
              </a:solidFill>
              <a:effectLst/>
              <a:latin typeface="Times New Roman" panose="02020603050405020304" pitchFamily="18" charset="0"/>
              <a:ea typeface="+mn-ea"/>
              <a:cs typeface="Times New Roman" panose="02020603050405020304" pitchFamily="18" charset="0"/>
            </a:rPr>
            <a:t>Prosentendringer</a:t>
          </a:r>
          <a:endParaRPr lang="nb-NO" sz="1100">
            <a:effectLst/>
            <a:latin typeface="Times New Roman" panose="02020603050405020304" pitchFamily="18" charset="0"/>
            <a:cs typeface="Times New Roman" panose="02020603050405020304" pitchFamily="18" charset="0"/>
          </a:endParaRPr>
        </a:p>
        <a:p>
          <a:pPr rtl="0" eaLnBrk="1" fontAlgn="auto" latinLnBrk="0" hangingPunct="1"/>
          <a:r>
            <a:rPr lang="nb-NO" sz="1100" b="0" i="0" baseline="0">
              <a:solidFill>
                <a:schemeClr val="dk1"/>
              </a:solidFill>
              <a:effectLst/>
              <a:latin typeface="Times New Roman" panose="02020603050405020304" pitchFamily="18" charset="0"/>
              <a:ea typeface="+mn-ea"/>
              <a:cs typeface="Times New Roman" panose="02020603050405020304" pitchFamily="18" charset="0"/>
            </a:rPr>
            <a:t>Prosentendringer med tallverdi ≥ 1000 gjengis som enten 999 eller - 999. Sammenligner vi tall med samme fortegn, vil vi få prosentøkning når vi går fra lavere tallverdi til høyere tallverdi. Sammenligner vi tall med ulike fortegn, vil vi få prosentøkning når vi går fra negative tall til positive tall. Prosentendringer fra negative tall til 0 (null) = + 100, mens prosentendringer fra positive tall til 0 (null) = - 100. Prosentendringer fra 0 til positive eller negative tall angis ikke (---). Det samme gjelder små tallstørrelser som vises som 0.</a:t>
          </a:r>
          <a:endParaRPr lang="nb-NO" sz="1100">
            <a:effectLst/>
            <a:latin typeface="Times New Roman" panose="02020603050405020304" pitchFamily="18" charset="0"/>
            <a:cs typeface="Times New Roman" panose="02020603050405020304" pitchFamily="18" charset="0"/>
          </a:endParaRPr>
        </a:p>
        <a:p>
          <a:endParaRPr lang="nb-NO" sz="11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ile01\finansnorge\SFA\Statistikk%20og%20analyse\Fellessaker\Ny%20presentasjon%20MA\Overset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at"/>
      <sheetName val="Oppslagstabeller"/>
      <sheetName val="Oversetter"/>
    </sheetNames>
    <sheetDataSet>
      <sheetData sheetId="0"/>
      <sheetData sheetId="1">
        <row r="1">
          <cell r="A1" t="str">
            <v>selskap_id</v>
          </cell>
          <cell r="B1" t="str">
            <v>sortering</v>
          </cell>
          <cell r="C1" t="str">
            <v>2a</v>
          </cell>
          <cell r="D1" t="str">
            <v>2b</v>
          </cell>
          <cell r="E1" t="str">
            <v>3a</v>
          </cell>
          <cell r="F1" t="str">
            <v>3b</v>
          </cell>
          <cell r="G1" t="str">
            <v>selskap_navn</v>
          </cell>
        </row>
        <row r="2">
          <cell r="A2" t="str">
            <v>19</v>
          </cell>
          <cell r="B2" t="str">
            <v>01</v>
          </cell>
          <cell r="C2">
            <v>3</v>
          </cell>
          <cell r="E2">
            <v>3</v>
          </cell>
          <cell r="G2" t="str">
            <v>ACE European Group Ltd</v>
          </cell>
        </row>
        <row r="3">
          <cell r="A3" t="str">
            <v>34</v>
          </cell>
          <cell r="B3" t="str">
            <v>02</v>
          </cell>
          <cell r="C3">
            <v>7</v>
          </cell>
          <cell r="D3">
            <v>3</v>
          </cell>
          <cell r="E3">
            <v>7</v>
          </cell>
          <cell r="F3">
            <v>3</v>
          </cell>
          <cell r="G3" t="str">
            <v>Danica Pensjonsforsikring</v>
          </cell>
        </row>
        <row r="4">
          <cell r="A4" t="str">
            <v>35</v>
          </cell>
          <cell r="B4" t="str">
            <v>03</v>
          </cell>
          <cell r="C4">
            <v>11</v>
          </cell>
          <cell r="D4">
            <v>7</v>
          </cell>
          <cell r="E4">
            <v>11</v>
          </cell>
          <cell r="F4">
            <v>7</v>
          </cell>
          <cell r="G4" t="str">
            <v>DNB Livsforsikring ASA</v>
          </cell>
          <cell r="N4">
            <v>16</v>
          </cell>
        </row>
        <row r="5">
          <cell r="A5" t="str">
            <v>15</v>
          </cell>
          <cell r="B5" t="str">
            <v>04</v>
          </cell>
          <cell r="C5">
            <v>15</v>
          </cell>
          <cell r="E5">
            <v>15</v>
          </cell>
          <cell r="G5" t="str">
            <v>Eika Gruppen AS</v>
          </cell>
          <cell r="N5" t="str">
            <v>4.-kvartal-2015-markedsandeler---endelige-tall-og-regnskapsstatistikk.xlsx</v>
          </cell>
        </row>
        <row r="6">
          <cell r="A6" t="str">
            <v>36</v>
          </cell>
          <cell r="B6" t="str">
            <v>05</v>
          </cell>
          <cell r="C6">
            <v>19</v>
          </cell>
          <cell r="D6">
            <v>11</v>
          </cell>
          <cell r="E6">
            <v>19</v>
          </cell>
          <cell r="F6">
            <v>11</v>
          </cell>
          <cell r="G6" t="str">
            <v>Frende Livsforsikring AS</v>
          </cell>
        </row>
        <row r="7">
          <cell r="A7" t="str">
            <v>20</v>
          </cell>
          <cell r="B7" t="str">
            <v>06</v>
          </cell>
          <cell r="C7">
            <v>23</v>
          </cell>
          <cell r="E7">
            <v>23</v>
          </cell>
          <cell r="G7" t="str">
            <v>Frende Skadeforsikring AS</v>
          </cell>
        </row>
        <row r="8">
          <cell r="A8" t="str">
            <v>4</v>
          </cell>
          <cell r="B8" t="str">
            <v>07</v>
          </cell>
          <cell r="C8">
            <v>27</v>
          </cell>
          <cell r="E8">
            <v>27</v>
          </cell>
          <cell r="G8" t="str">
            <v>Gjensidige Forsikring ASA</v>
          </cell>
        </row>
        <row r="9">
          <cell r="A9" t="str">
            <v>37</v>
          </cell>
          <cell r="B9" t="str">
            <v>08</v>
          </cell>
          <cell r="C9">
            <v>31</v>
          </cell>
          <cell r="D9">
            <v>15</v>
          </cell>
          <cell r="E9">
            <v>31</v>
          </cell>
          <cell r="F9">
            <v>15</v>
          </cell>
          <cell r="G9" t="str">
            <v>Gjensidige Pensjon og Sparing</v>
          </cell>
        </row>
        <row r="10">
          <cell r="A10" t="str">
            <v>38</v>
          </cell>
          <cell r="B10" t="str">
            <v>09</v>
          </cell>
          <cell r="C10">
            <v>35</v>
          </cell>
          <cell r="E10">
            <v>35</v>
          </cell>
          <cell r="G10" t="str">
            <v>Handelsbanken Liv</v>
          </cell>
        </row>
        <row r="11">
          <cell r="A11" t="str">
            <v>6</v>
          </cell>
          <cell r="B11" t="str">
            <v>10</v>
          </cell>
          <cell r="C11">
            <v>39</v>
          </cell>
          <cell r="E11">
            <v>39</v>
          </cell>
          <cell r="G11" t="str">
            <v>If Skadeforsikring nuf</v>
          </cell>
        </row>
        <row r="12">
          <cell r="A12" t="str">
            <v>39</v>
          </cell>
          <cell r="B12" t="str">
            <v>11</v>
          </cell>
          <cell r="C12">
            <v>47</v>
          </cell>
          <cell r="D12">
            <v>23</v>
          </cell>
          <cell r="E12">
            <v>47</v>
          </cell>
          <cell r="F12">
            <v>23</v>
          </cell>
          <cell r="G12" t="str">
            <v>KLP Bedriftspensjon AS</v>
          </cell>
        </row>
        <row r="13">
          <cell r="A13" t="str">
            <v>5</v>
          </cell>
          <cell r="B13" t="str">
            <v>12</v>
          </cell>
          <cell r="C13">
            <v>43</v>
          </cell>
          <cell r="D13">
            <v>19</v>
          </cell>
          <cell r="E13">
            <v>43</v>
          </cell>
          <cell r="F13">
            <v>19</v>
          </cell>
          <cell r="G13" t="str">
            <v>KLP</v>
          </cell>
        </row>
        <row r="14">
          <cell r="A14" t="str">
            <v>22</v>
          </cell>
          <cell r="B14" t="str">
            <v>13</v>
          </cell>
          <cell r="C14">
            <v>55</v>
          </cell>
          <cell r="E14">
            <v>55</v>
          </cell>
          <cell r="G14" t="str">
            <v>Landbruksforsikring AS</v>
          </cell>
        </row>
        <row r="15">
          <cell r="A15" t="str">
            <v>17</v>
          </cell>
          <cell r="B15" t="str">
            <v>14</v>
          </cell>
          <cell r="C15">
            <v>59</v>
          </cell>
          <cell r="E15">
            <v>59</v>
          </cell>
          <cell r="G15" t="str">
            <v>NEMI Forsikring AS</v>
          </cell>
        </row>
        <row r="16">
          <cell r="A16" t="str">
            <v>40</v>
          </cell>
          <cell r="B16" t="str">
            <v>15</v>
          </cell>
          <cell r="C16">
            <v>63</v>
          </cell>
          <cell r="D16">
            <v>27</v>
          </cell>
          <cell r="E16">
            <v>63</v>
          </cell>
          <cell r="F16">
            <v>27</v>
          </cell>
          <cell r="G16" t="str">
            <v>Livsforsikringsselskapet Nordea Liv Norge AS</v>
          </cell>
        </row>
        <row r="17">
          <cell r="A17" t="str">
            <v>41</v>
          </cell>
          <cell r="B17" t="str">
            <v>16</v>
          </cell>
          <cell r="C17">
            <v>67</v>
          </cell>
          <cell r="E17">
            <v>67</v>
          </cell>
          <cell r="G17" t="str">
            <v>Oslo Pensjonsforsikring</v>
          </cell>
        </row>
        <row r="18">
          <cell r="A18" t="str">
            <v>43</v>
          </cell>
          <cell r="B18" t="str">
            <v>17</v>
          </cell>
          <cell r="C18">
            <v>71</v>
          </cell>
          <cell r="D18">
            <v>35</v>
          </cell>
          <cell r="E18">
            <v>71</v>
          </cell>
          <cell r="F18">
            <v>35</v>
          </cell>
          <cell r="G18" t="str">
            <v>Silver Pensjonsforsikring  AS</v>
          </cell>
        </row>
        <row r="19">
          <cell r="A19" t="str">
            <v>49</v>
          </cell>
          <cell r="B19" t="str">
            <v>18</v>
          </cell>
          <cell r="C19">
            <v>75</v>
          </cell>
          <cell r="D19">
            <v>39</v>
          </cell>
          <cell r="E19">
            <v>75</v>
          </cell>
          <cell r="F19">
            <v>39</v>
          </cell>
          <cell r="G19" t="str">
            <v>Sparebank 1 Fondsforsikring</v>
          </cell>
        </row>
        <row r="20">
          <cell r="A20" t="str">
            <v>50</v>
          </cell>
          <cell r="B20" t="str">
            <v>19</v>
          </cell>
          <cell r="C20">
            <v>79</v>
          </cell>
          <cell r="D20">
            <v>43</v>
          </cell>
          <cell r="E20">
            <v>79</v>
          </cell>
          <cell r="F20">
            <v>43</v>
          </cell>
          <cell r="G20" t="str">
            <v>Storebrand Fondsforsikring</v>
          </cell>
        </row>
        <row r="21">
          <cell r="A21" t="str">
            <v>16</v>
          </cell>
          <cell r="B21" t="str">
            <v>20</v>
          </cell>
          <cell r="C21">
            <v>83</v>
          </cell>
          <cell r="E21">
            <v>83</v>
          </cell>
          <cell r="G21" t="str">
            <v>Telenor Forsikring AS</v>
          </cell>
        </row>
        <row r="22">
          <cell r="A22" t="str">
            <v>47</v>
          </cell>
          <cell r="B22" t="str">
            <v>21</v>
          </cell>
          <cell r="G22" t="str">
            <v>TrygVesta Forsikring</v>
          </cell>
        </row>
        <row r="23">
          <cell r="A23" t="str">
            <v>8</v>
          </cell>
          <cell r="B23" t="str">
            <v>22</v>
          </cell>
          <cell r="C23">
            <v>87</v>
          </cell>
          <cell r="E23">
            <v>87</v>
          </cell>
          <cell r="G23" t="str">
            <v>Tryg Forsikring</v>
          </cell>
        </row>
        <row r="24">
          <cell r="A24" t="str">
            <v>10</v>
          </cell>
          <cell r="B24" t="str">
            <v>23</v>
          </cell>
          <cell r="G24" t="str">
            <v>SpareBank 1 Forsikring AS</v>
          </cell>
        </row>
        <row r="25">
          <cell r="A25" t="str">
            <v>32</v>
          </cell>
          <cell r="B25" t="str">
            <v>24</v>
          </cell>
          <cell r="G25" t="str">
            <v>Storebrand ASA</v>
          </cell>
        </row>
        <row r="26">
          <cell r="A26" t="str">
            <v>33</v>
          </cell>
          <cell r="B26" t="str">
            <v>25</v>
          </cell>
          <cell r="G26" t="str">
            <v>Altraplan Luxembourg</v>
          </cell>
        </row>
        <row r="27">
          <cell r="A27" t="str">
            <v>42</v>
          </cell>
          <cell r="B27" t="str">
            <v>26</v>
          </cell>
          <cell r="D27">
            <v>31</v>
          </cell>
          <cell r="F27">
            <v>31</v>
          </cell>
          <cell r="G27" t="str">
            <v>SHB Liv</v>
          </cell>
        </row>
        <row r="28">
          <cell r="A28" t="str">
            <v>44</v>
          </cell>
          <cell r="B28" t="str">
            <v>27</v>
          </cell>
          <cell r="C28">
            <v>51</v>
          </cell>
          <cell r="E28">
            <v>51</v>
          </cell>
          <cell r="G28" t="str">
            <v>KLP Skadeforsikring</v>
          </cell>
        </row>
        <row r="29">
          <cell r="A29" t="str">
            <v>45</v>
          </cell>
          <cell r="B29" t="str">
            <v>28</v>
          </cell>
          <cell r="G29" t="str">
            <v>Commercial Union International Life</v>
          </cell>
        </row>
        <row r="30">
          <cell r="A30" t="str">
            <v>46</v>
          </cell>
          <cell r="B30" t="str">
            <v>29</v>
          </cell>
          <cell r="G30" t="str">
            <v>Gjensidige NOR Spareforsikring</v>
          </cell>
        </row>
        <row r="31">
          <cell r="A31" t="str">
            <v>48</v>
          </cell>
          <cell r="B31" t="str">
            <v>30</v>
          </cell>
          <cell r="G31" t="str">
            <v>Vesta</v>
          </cell>
        </row>
        <row r="32">
          <cell r="A32" t="str">
            <v>51</v>
          </cell>
          <cell r="B32" t="str">
            <v>31</v>
          </cell>
          <cell r="G32" t="str">
            <v>Danica Link</v>
          </cell>
        </row>
        <row r="33">
          <cell r="A33" t="str">
            <v>52</v>
          </cell>
          <cell r="B33" t="str">
            <v>32</v>
          </cell>
          <cell r="G33" t="str">
            <v>Danica Fondsforsikring</v>
          </cell>
        </row>
        <row r="34">
          <cell r="A34" t="str">
            <v>53</v>
          </cell>
          <cell r="B34" t="str">
            <v>33</v>
          </cell>
          <cell r="G34" t="str">
            <v>Gjensidige NOR Fondsforsikring</v>
          </cell>
        </row>
        <row r="35">
          <cell r="A35" t="str">
            <v>54</v>
          </cell>
          <cell r="B35" t="str">
            <v>34</v>
          </cell>
          <cell r="G35" t="str">
            <v>Vital Link</v>
          </cell>
        </row>
        <row r="36">
          <cell r="A36" t="str">
            <v>55</v>
          </cell>
          <cell r="B36" t="str">
            <v>35</v>
          </cell>
          <cell r="G36" t="str">
            <v>Nordea Link</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BF6A5-CA05-4275-B867-34D92981BF97}">
  <sheetPr codeName="Ark1"/>
  <dimension ref="A1:M38"/>
  <sheetViews>
    <sheetView showGridLines="0" zoomScale="90" zoomScaleNormal="90" workbookViewId="0">
      <selection activeCell="B25" sqref="B25"/>
    </sheetView>
  </sheetViews>
  <sheetFormatPr baseColWidth="10" defaultColWidth="11.44140625" defaultRowHeight="13.2" x14ac:dyDescent="0.25"/>
  <sheetData>
    <row r="1" spans="1:13" x14ac:dyDescent="0.25">
      <c r="A1" s="469"/>
      <c r="B1" s="469"/>
      <c r="C1" s="469"/>
      <c r="D1" s="469"/>
      <c r="E1" s="469"/>
      <c r="F1" s="469"/>
      <c r="G1" s="469"/>
      <c r="H1" s="469"/>
      <c r="I1" s="469"/>
      <c r="J1" s="469"/>
      <c r="K1" s="469"/>
      <c r="L1" s="469"/>
      <c r="M1" s="469"/>
    </row>
    <row r="2" spans="1:13" x14ac:dyDescent="0.25">
      <c r="A2" s="469"/>
      <c r="B2" s="469"/>
      <c r="C2" s="469"/>
      <c r="D2" s="469"/>
      <c r="E2" s="469"/>
      <c r="F2" s="469"/>
      <c r="G2" s="469"/>
      <c r="H2" s="469"/>
      <c r="I2" s="469"/>
      <c r="J2" s="469"/>
      <c r="K2" s="469"/>
      <c r="L2" s="469"/>
      <c r="M2" s="469"/>
    </row>
    <row r="3" spans="1:13" x14ac:dyDescent="0.25">
      <c r="A3" s="469"/>
      <c r="B3" s="469"/>
      <c r="C3" s="469"/>
      <c r="D3" s="469"/>
      <c r="E3" s="469"/>
      <c r="F3" s="469"/>
      <c r="G3" s="469"/>
      <c r="H3" s="469"/>
      <c r="I3" s="469"/>
      <c r="J3" s="469"/>
      <c r="K3" s="469"/>
      <c r="L3" s="469"/>
      <c r="M3" s="469"/>
    </row>
    <row r="4" spans="1:13" x14ac:dyDescent="0.25">
      <c r="A4" s="469"/>
      <c r="B4" s="469"/>
      <c r="C4" s="469"/>
      <c r="D4" s="469"/>
      <c r="E4" s="469"/>
      <c r="F4" s="469"/>
      <c r="G4" s="469"/>
      <c r="H4" s="469"/>
      <c r="I4" s="469"/>
      <c r="J4" s="469"/>
      <c r="K4" s="469"/>
      <c r="L4" s="469"/>
      <c r="M4" s="469"/>
    </row>
    <row r="5" spans="1:13" x14ac:dyDescent="0.25">
      <c r="A5" s="469"/>
      <c r="B5" s="470"/>
      <c r="C5" s="470"/>
      <c r="D5" s="470"/>
      <c r="E5" s="470"/>
      <c r="F5" s="470"/>
      <c r="G5" s="470"/>
      <c r="H5" s="470"/>
      <c r="I5" s="469"/>
      <c r="J5" s="469"/>
      <c r="K5" s="469"/>
      <c r="L5" s="469"/>
      <c r="M5" s="469"/>
    </row>
    <row r="6" spans="1:13" ht="22.8" x14ac:dyDescent="0.4">
      <c r="A6" s="469"/>
      <c r="B6" s="471"/>
      <c r="C6" s="470"/>
      <c r="D6" s="470"/>
      <c r="E6" s="470"/>
      <c r="F6" s="470"/>
      <c r="G6" s="470"/>
      <c r="H6" s="470"/>
      <c r="I6" s="472"/>
      <c r="J6" s="469"/>
      <c r="K6" s="469"/>
      <c r="L6" s="469"/>
      <c r="M6" s="469"/>
    </row>
    <row r="7" spans="1:13" x14ac:dyDescent="0.25">
      <c r="A7" s="469"/>
      <c r="B7" s="470"/>
      <c r="C7" s="470"/>
      <c r="D7" s="470"/>
      <c r="E7" s="470"/>
      <c r="F7" s="470"/>
      <c r="G7" s="470"/>
      <c r="H7" s="470"/>
      <c r="I7" s="470"/>
      <c r="J7" s="469"/>
      <c r="K7" s="469"/>
      <c r="L7" s="469"/>
      <c r="M7" s="469"/>
    </row>
    <row r="8" spans="1:13" x14ac:dyDescent="0.25">
      <c r="A8" s="469"/>
      <c r="B8" s="470"/>
      <c r="C8" s="470"/>
      <c r="D8" s="470"/>
      <c r="E8" s="469"/>
      <c r="F8" s="470"/>
      <c r="G8" s="470"/>
      <c r="H8" s="470"/>
      <c r="I8" s="469"/>
      <c r="J8" s="469"/>
      <c r="K8" s="469"/>
      <c r="L8" s="469"/>
      <c r="M8" s="469"/>
    </row>
    <row r="9" spans="1:13" x14ac:dyDescent="0.25">
      <c r="A9" s="469"/>
      <c r="B9" s="470"/>
      <c r="C9" s="470"/>
      <c r="D9" s="470"/>
      <c r="E9" s="470"/>
      <c r="F9" s="470"/>
      <c r="G9" s="470"/>
      <c r="H9" s="470"/>
      <c r="I9" s="469"/>
      <c r="J9" s="469"/>
      <c r="K9" s="469"/>
      <c r="L9" s="469"/>
      <c r="M9" s="469"/>
    </row>
    <row r="10" spans="1:13" ht="22.8" x14ac:dyDescent="0.4">
      <c r="A10" s="469"/>
      <c r="B10" s="470"/>
      <c r="C10" s="470"/>
      <c r="D10" s="470"/>
      <c r="E10" s="469"/>
      <c r="F10" s="469"/>
      <c r="G10" s="469"/>
      <c r="H10" s="469"/>
      <c r="I10" s="472"/>
      <c r="J10" s="469"/>
      <c r="K10" s="469"/>
      <c r="L10" s="469"/>
      <c r="M10" s="469"/>
    </row>
    <row r="11" spans="1:13" x14ac:dyDescent="0.25">
      <c r="A11" s="469"/>
      <c r="B11" s="470"/>
      <c r="C11" s="470"/>
      <c r="D11" s="470"/>
      <c r="E11" s="469"/>
      <c r="F11" s="469"/>
      <c r="G11" s="469"/>
      <c r="H11" s="469"/>
      <c r="I11" s="469"/>
      <c r="J11" s="469"/>
      <c r="K11" s="469"/>
      <c r="L11" s="469"/>
      <c r="M11" s="469"/>
    </row>
    <row r="12" spans="1:13" ht="22.8" x14ac:dyDescent="0.4">
      <c r="A12" s="469"/>
      <c r="B12" s="470"/>
      <c r="C12" s="470"/>
      <c r="D12" s="470"/>
      <c r="E12" s="470"/>
      <c r="F12" s="470"/>
      <c r="G12" s="470"/>
      <c r="H12" s="470"/>
      <c r="I12" s="472"/>
      <c r="J12" s="469"/>
      <c r="K12" s="469"/>
      <c r="L12" s="469"/>
      <c r="M12" s="469"/>
    </row>
    <row r="13" spans="1:13" ht="22.8" x14ac:dyDescent="0.4">
      <c r="A13" s="469"/>
      <c r="B13" s="470"/>
      <c r="C13" s="473"/>
      <c r="D13" s="473"/>
      <c r="E13" s="473"/>
      <c r="F13" s="473"/>
      <c r="G13" s="473"/>
      <c r="H13" s="473"/>
      <c r="I13" s="472"/>
      <c r="J13" s="469"/>
      <c r="K13" s="469"/>
      <c r="L13" s="469"/>
      <c r="M13" s="469"/>
    </row>
    <row r="14" spans="1:13" x14ac:dyDescent="0.25">
      <c r="A14" s="469"/>
      <c r="B14" s="470"/>
      <c r="C14" s="470"/>
      <c r="D14" s="470"/>
      <c r="E14" s="469"/>
      <c r="F14" s="470"/>
      <c r="G14" s="470"/>
      <c r="H14" s="470"/>
      <c r="I14" s="469"/>
      <c r="J14" s="469"/>
      <c r="K14" s="469"/>
      <c r="L14" s="469"/>
      <c r="M14" s="469"/>
    </row>
    <row r="15" spans="1:13" x14ac:dyDescent="0.25">
      <c r="A15" s="469"/>
      <c r="B15" s="470"/>
      <c r="C15" s="470"/>
      <c r="D15" s="470"/>
      <c r="E15" s="469"/>
      <c r="F15" s="470"/>
      <c r="G15" s="470"/>
      <c r="H15" s="470"/>
      <c r="I15" s="470"/>
      <c r="J15" s="469"/>
      <c r="K15" s="469"/>
      <c r="L15" s="469"/>
      <c r="M15" s="469"/>
    </row>
    <row r="16" spans="1:13" ht="34.799999999999997" x14ac:dyDescent="0.55000000000000004">
      <c r="A16" s="469"/>
      <c r="B16" s="470"/>
      <c r="C16" s="470"/>
      <c r="D16" s="470"/>
      <c r="E16" s="474"/>
      <c r="F16" s="470"/>
      <c r="G16" s="470"/>
      <c r="H16" s="470"/>
      <c r="I16" s="470"/>
      <c r="J16" s="469"/>
      <c r="K16" s="469"/>
      <c r="L16" s="469"/>
      <c r="M16" s="469"/>
    </row>
    <row r="17" spans="1:13" ht="32.4" x14ac:dyDescent="0.55000000000000004">
      <c r="A17" s="469"/>
      <c r="B17" s="470"/>
      <c r="C17" s="470"/>
      <c r="D17" s="470"/>
      <c r="E17" s="475"/>
      <c r="F17" s="470"/>
      <c r="G17" s="470"/>
      <c r="H17" s="470"/>
      <c r="I17" s="470"/>
      <c r="J17" s="469"/>
      <c r="K17" s="469"/>
      <c r="L17" s="469"/>
      <c r="M17" s="469"/>
    </row>
    <row r="18" spans="1:13" ht="32.4" x14ac:dyDescent="0.55000000000000004">
      <c r="A18" s="469"/>
      <c r="B18" s="469"/>
      <c r="C18" s="469"/>
      <c r="D18" s="475"/>
      <c r="E18" s="469"/>
      <c r="F18" s="469"/>
      <c r="G18" s="469"/>
      <c r="H18" s="469"/>
      <c r="I18" s="469"/>
      <c r="J18" s="469"/>
      <c r="K18" s="469"/>
      <c r="L18" s="469"/>
      <c r="M18" s="469"/>
    </row>
    <row r="19" spans="1:13" ht="18" x14ac:dyDescent="0.35">
      <c r="A19" s="469"/>
      <c r="B19" s="469"/>
      <c r="C19" s="469"/>
      <c r="D19" s="469"/>
      <c r="E19" s="476"/>
      <c r="F19" s="469"/>
      <c r="G19" s="469"/>
      <c r="H19" s="469"/>
      <c r="I19" s="477"/>
      <c r="J19" s="469"/>
      <c r="K19" s="469"/>
      <c r="L19" s="469"/>
      <c r="M19" s="469"/>
    </row>
    <row r="20" spans="1:13" x14ac:dyDescent="0.25">
      <c r="A20" s="469"/>
      <c r="B20" s="469"/>
      <c r="C20" s="469"/>
      <c r="D20" s="469"/>
      <c r="E20" s="469"/>
      <c r="F20" s="469"/>
      <c r="G20" s="469"/>
      <c r="H20" s="469"/>
      <c r="I20" s="469"/>
      <c r="J20" s="469"/>
      <c r="K20" s="469"/>
      <c r="L20" s="469"/>
      <c r="M20" s="469"/>
    </row>
    <row r="21" spans="1:13" x14ac:dyDescent="0.25">
      <c r="A21" s="469"/>
      <c r="B21" s="469"/>
      <c r="C21" s="469"/>
      <c r="D21" s="469"/>
      <c r="E21" s="478"/>
      <c r="F21" s="469"/>
      <c r="G21" s="469"/>
      <c r="H21" s="469"/>
      <c r="I21" s="469"/>
      <c r="J21" s="469"/>
      <c r="K21" s="469"/>
      <c r="L21" s="469"/>
      <c r="M21" s="469"/>
    </row>
    <row r="22" spans="1:13" ht="25.8" x14ac:dyDescent="0.5">
      <c r="A22" s="469"/>
      <c r="B22" s="469"/>
      <c r="C22" s="469"/>
      <c r="D22" s="469"/>
      <c r="E22" s="479"/>
      <c r="F22" s="469"/>
      <c r="G22" s="469"/>
      <c r="H22" s="469"/>
      <c r="I22" s="469"/>
      <c r="J22" s="469"/>
      <c r="K22" s="469"/>
      <c r="L22" s="469"/>
      <c r="M22" s="469"/>
    </row>
    <row r="23" spans="1:13" x14ac:dyDescent="0.25">
      <c r="A23" s="469"/>
      <c r="B23" s="469"/>
      <c r="C23" s="469"/>
      <c r="D23" s="469"/>
      <c r="E23" s="469"/>
      <c r="F23" s="469"/>
      <c r="G23" s="469"/>
      <c r="H23" s="469"/>
      <c r="I23" s="469"/>
      <c r="J23" s="469"/>
      <c r="K23" s="469"/>
      <c r="L23" s="469"/>
      <c r="M23" s="469"/>
    </row>
    <row r="24" spans="1:13" x14ac:dyDescent="0.25">
      <c r="A24" s="469"/>
      <c r="B24" s="469"/>
      <c r="C24" s="469"/>
      <c r="D24" s="469"/>
      <c r="E24" s="469"/>
      <c r="F24" s="469"/>
      <c r="G24" s="469"/>
      <c r="H24" s="469"/>
      <c r="I24" s="469"/>
      <c r="J24" s="469"/>
      <c r="K24" s="469"/>
      <c r="L24" s="469"/>
      <c r="M24" s="469"/>
    </row>
    <row r="25" spans="1:13" ht="18" x14ac:dyDescent="0.35">
      <c r="A25" s="469"/>
      <c r="B25" s="469"/>
      <c r="C25" s="469"/>
      <c r="D25" s="469"/>
      <c r="E25" s="480"/>
      <c r="F25" s="469"/>
      <c r="G25" s="469"/>
      <c r="H25" s="469"/>
      <c r="I25" s="469"/>
      <c r="J25" s="469"/>
      <c r="K25" s="469"/>
      <c r="L25" s="469"/>
      <c r="M25" s="469"/>
    </row>
    <row r="26" spans="1:13" ht="18" x14ac:dyDescent="0.35">
      <c r="A26" s="469"/>
      <c r="B26" s="469"/>
      <c r="C26" s="469"/>
      <c r="D26" s="469"/>
      <c r="E26" s="481"/>
      <c r="F26" s="469"/>
      <c r="G26" s="469"/>
      <c r="H26" s="469"/>
      <c r="I26" s="469"/>
      <c r="J26" s="469"/>
      <c r="K26" s="469"/>
      <c r="L26" s="469"/>
      <c r="M26" s="469"/>
    </row>
    <row r="27" spans="1:13" x14ac:dyDescent="0.25">
      <c r="A27" s="469"/>
      <c r="B27" s="469"/>
      <c r="C27" s="469"/>
      <c r="D27" s="469"/>
      <c r="E27" s="469"/>
      <c r="F27" s="469"/>
      <c r="G27" s="469"/>
      <c r="H27" s="469"/>
      <c r="I27" s="469"/>
      <c r="J27" s="469"/>
      <c r="K27" s="469"/>
      <c r="L27" s="469"/>
      <c r="M27" s="469"/>
    </row>
    <row r="28" spans="1:13" x14ac:dyDescent="0.25">
      <c r="A28" s="469"/>
      <c r="B28" s="469"/>
      <c r="C28" s="469"/>
      <c r="D28" s="473"/>
      <c r="E28" s="473"/>
      <c r="F28" s="473"/>
      <c r="G28" s="473"/>
      <c r="H28" s="473"/>
      <c r="I28" s="469"/>
      <c r="J28" s="469"/>
      <c r="K28" s="469"/>
      <c r="L28" s="469"/>
      <c r="M28" s="469"/>
    </row>
    <row r="29" spans="1:13" x14ac:dyDescent="0.25">
      <c r="A29" s="469"/>
      <c r="B29" s="469"/>
      <c r="C29" s="469"/>
      <c r="D29" s="469"/>
      <c r="E29" s="469"/>
      <c r="F29" s="469"/>
      <c r="G29" s="469"/>
      <c r="H29" s="469"/>
      <c r="I29" s="469"/>
      <c r="J29" s="469"/>
      <c r="K29" s="469"/>
      <c r="L29" s="469"/>
      <c r="M29" s="469"/>
    </row>
    <row r="30" spans="1:13" x14ac:dyDescent="0.25">
      <c r="A30" s="469"/>
      <c r="B30" s="469"/>
      <c r="C30" s="469"/>
      <c r="D30" s="469"/>
      <c r="E30" s="469"/>
      <c r="F30" s="469"/>
      <c r="G30" s="469"/>
      <c r="H30" s="469"/>
      <c r="I30" s="469"/>
      <c r="J30" s="469"/>
      <c r="K30" s="469"/>
      <c r="L30" s="469"/>
      <c r="M30" s="469"/>
    </row>
    <row r="31" spans="1:13" x14ac:dyDescent="0.25">
      <c r="A31" s="469"/>
      <c r="B31" s="469"/>
      <c r="C31" s="469"/>
      <c r="D31" s="469"/>
      <c r="E31" s="469"/>
      <c r="F31" s="469"/>
      <c r="G31" s="469"/>
      <c r="H31" s="469"/>
      <c r="I31" s="469"/>
      <c r="J31" s="469"/>
      <c r="K31" s="469"/>
      <c r="L31" s="469"/>
      <c r="M31" s="469"/>
    </row>
    <row r="32" spans="1:13" x14ac:dyDescent="0.25">
      <c r="A32" s="469"/>
      <c r="B32" s="469"/>
      <c r="C32" s="469"/>
      <c r="D32" s="469"/>
      <c r="E32" s="469"/>
      <c r="F32" s="469"/>
      <c r="G32" s="469"/>
      <c r="H32" s="469"/>
      <c r="I32" s="469"/>
      <c r="J32" s="469"/>
      <c r="K32" s="469"/>
      <c r="L32" s="469"/>
      <c r="M32" s="469"/>
    </row>
    <row r="33" spans="1:13" ht="35.4" x14ac:dyDescent="0.25">
      <c r="A33" s="482"/>
      <c r="B33" s="469"/>
      <c r="C33" s="469"/>
      <c r="D33" s="469"/>
      <c r="E33" s="469"/>
      <c r="F33" s="469"/>
      <c r="G33" s="469"/>
      <c r="H33" s="469"/>
      <c r="I33" s="469"/>
      <c r="J33" s="469"/>
      <c r="K33" s="469"/>
      <c r="L33" s="469"/>
      <c r="M33" s="469"/>
    </row>
    <row r="34" spans="1:13" x14ac:dyDescent="0.25">
      <c r="A34" s="469"/>
      <c r="B34" s="469"/>
      <c r="C34" s="469"/>
      <c r="D34" s="469"/>
      <c r="E34" s="469"/>
      <c r="F34" s="469"/>
      <c r="G34" s="469"/>
      <c r="H34" s="469"/>
      <c r="I34" s="469"/>
      <c r="J34" s="469"/>
      <c r="K34" s="469"/>
      <c r="L34" s="469"/>
      <c r="M34" s="469"/>
    </row>
    <row r="35" spans="1:13" x14ac:dyDescent="0.25">
      <c r="A35" s="469"/>
      <c r="B35" s="469"/>
      <c r="C35" s="469"/>
      <c r="D35" s="469"/>
      <c r="E35" s="469"/>
      <c r="F35" s="469"/>
      <c r="G35" s="469"/>
      <c r="H35" s="469"/>
      <c r="I35" s="469"/>
      <c r="J35" s="469"/>
      <c r="K35" s="469"/>
      <c r="L35" s="469"/>
      <c r="M35" s="469"/>
    </row>
    <row r="36" spans="1:13" ht="32.4" x14ac:dyDescent="0.25">
      <c r="A36" s="469"/>
      <c r="B36" s="483"/>
      <c r="C36" s="469"/>
      <c r="D36" s="469"/>
      <c r="E36" s="469"/>
      <c r="F36" s="469"/>
      <c r="G36" s="469"/>
      <c r="H36" s="469"/>
      <c r="I36" s="469"/>
      <c r="J36" s="469"/>
      <c r="K36" s="469"/>
      <c r="L36" s="469"/>
      <c r="M36" s="469"/>
    </row>
    <row r="37" spans="1:13" x14ac:dyDescent="0.25">
      <c r="A37" s="469"/>
      <c r="B37" s="469"/>
      <c r="C37" s="469"/>
      <c r="D37" s="469"/>
      <c r="E37" s="469"/>
      <c r="F37" s="469"/>
      <c r="G37" s="469"/>
      <c r="H37" s="469"/>
      <c r="I37" s="469"/>
      <c r="J37" s="469"/>
      <c r="K37" s="469"/>
      <c r="L37" s="469"/>
      <c r="M37" s="469"/>
    </row>
    <row r="38" spans="1:13" x14ac:dyDescent="0.25">
      <c r="A38" s="469"/>
      <c r="B38" s="469"/>
      <c r="C38" s="469"/>
      <c r="D38" s="469"/>
      <c r="E38" s="469"/>
      <c r="F38" s="469"/>
      <c r="G38" s="469"/>
      <c r="H38" s="469"/>
      <c r="I38" s="469"/>
      <c r="J38" s="469"/>
      <c r="K38" s="469"/>
      <c r="L38" s="469"/>
      <c r="M38" s="46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1DD8E-9B03-4DEF-9AA3-E8477D0D27F5}">
  <dimension ref="A1:P144"/>
  <sheetViews>
    <sheetView showGridLines="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6" x14ac:dyDescent="0.25">
      <c r="A1" s="128" t="s">
        <v>221</v>
      </c>
      <c r="B1" s="558"/>
      <c r="C1" s="531" t="s">
        <v>409</v>
      </c>
    </row>
    <row r="2" spans="1:16" ht="15.6" x14ac:dyDescent="0.3">
      <c r="A2" s="110" t="s">
        <v>166</v>
      </c>
      <c r="B2" s="242"/>
      <c r="C2" s="242"/>
      <c r="D2" s="242"/>
      <c r="E2" s="521"/>
      <c r="F2" s="242"/>
      <c r="G2" s="242"/>
      <c r="H2" s="242"/>
      <c r="I2" s="242"/>
      <c r="J2" s="242"/>
      <c r="K2" s="242"/>
      <c r="L2" s="242"/>
      <c r="M2" s="242"/>
    </row>
    <row r="3" spans="1:16" ht="15.6" x14ac:dyDescent="0.3">
      <c r="A3" s="122"/>
      <c r="B3" s="242"/>
      <c r="C3" s="242"/>
      <c r="D3" s="242"/>
      <c r="E3" s="521"/>
      <c r="F3" s="242"/>
      <c r="G3" s="242"/>
      <c r="H3" s="242"/>
      <c r="I3" s="242"/>
      <c r="J3" s="242"/>
      <c r="K3" s="242"/>
      <c r="L3" s="242"/>
      <c r="M3" s="242"/>
    </row>
    <row r="4" spans="1:16" x14ac:dyDescent="0.25">
      <c r="A4" s="108"/>
      <c r="B4" s="590" t="s">
        <v>46</v>
      </c>
      <c r="C4" s="591"/>
      <c r="D4" s="591"/>
      <c r="E4" s="244"/>
      <c r="F4" s="590" t="s">
        <v>69</v>
      </c>
      <c r="G4" s="591"/>
      <c r="H4" s="591"/>
      <c r="I4" s="246"/>
      <c r="J4" s="590" t="s">
        <v>120</v>
      </c>
      <c r="K4" s="591"/>
      <c r="L4" s="591"/>
      <c r="M4" s="246"/>
    </row>
    <row r="5" spans="1:16" x14ac:dyDescent="0.25">
      <c r="A5" s="117"/>
      <c r="B5" s="113" t="s">
        <v>418</v>
      </c>
      <c r="C5" s="113" t="s">
        <v>419</v>
      </c>
      <c r="D5" s="193" t="s">
        <v>167</v>
      </c>
      <c r="E5" s="247" t="s">
        <v>85</v>
      </c>
      <c r="F5" s="113" t="s">
        <v>418</v>
      </c>
      <c r="G5" s="113" t="s">
        <v>419</v>
      </c>
      <c r="H5" s="193" t="s">
        <v>167</v>
      </c>
      <c r="I5" s="247" t="s">
        <v>85</v>
      </c>
      <c r="J5" s="113" t="s">
        <v>418</v>
      </c>
      <c r="K5" s="113" t="s">
        <v>419</v>
      </c>
      <c r="L5" s="193" t="s">
        <v>167</v>
      </c>
      <c r="M5" s="121" t="s">
        <v>85</v>
      </c>
    </row>
    <row r="6" spans="1:16" x14ac:dyDescent="0.25">
      <c r="A6" s="556"/>
      <c r="B6" s="116"/>
      <c r="C6" s="116"/>
      <c r="D6" s="195" t="s">
        <v>168</v>
      </c>
      <c r="E6" s="116" t="s">
        <v>88</v>
      </c>
      <c r="F6" s="120"/>
      <c r="G6" s="120"/>
      <c r="H6" s="193" t="s">
        <v>168</v>
      </c>
      <c r="I6" s="116" t="s">
        <v>88</v>
      </c>
      <c r="J6" s="120"/>
      <c r="K6" s="120"/>
      <c r="L6" s="193" t="s">
        <v>168</v>
      </c>
      <c r="M6" s="116" t="s">
        <v>88</v>
      </c>
    </row>
    <row r="7" spans="1:16" ht="15.6" x14ac:dyDescent="0.25">
      <c r="A7" s="11" t="s">
        <v>169</v>
      </c>
      <c r="B7" s="290">
        <v>492164.23651000002</v>
      </c>
      <c r="C7" s="290">
        <v>513548.88023000001</v>
      </c>
      <c r="D7" s="299">
        <f t="shared" ref="D7:D10" si="0">IF(AND(_xlfn.NUMBERVALUE(B7)=0,_xlfn.NUMBERVALUE(C7)=0),,IF(B7=0, "    ---- ", IF(ABS(ROUND(100/B7*C7-100,1))&lt;999,IF(ROUND(100/B7*C7-100,1)=0,"    ---- ",ROUND(100/B7*C7-100,1)),IF(ROUND(100/B7*C7-100,1)&gt;999,999,-999))))</f>
        <v>4.3</v>
      </c>
      <c r="E7" s="300">
        <f>IFERROR(100/'Skjema total MA'!C7*C7,0)</f>
        <v>24.466131993629578</v>
      </c>
      <c r="F7" s="290"/>
      <c r="G7" s="290"/>
      <c r="H7" s="299"/>
      <c r="I7" s="300"/>
      <c r="J7" s="301">
        <f t="shared" ref="J7:K10" si="1">SUM(B7,F7)</f>
        <v>492164.23651000002</v>
      </c>
      <c r="K7" s="296">
        <f t="shared" si="1"/>
        <v>513548.88023000001</v>
      </c>
      <c r="L7" s="299">
        <f t="shared" ref="L7:L10" si="2">IF(AND(_xlfn.NUMBERVALUE(J7)=0,_xlfn.NUMBERVALUE(K7)=0),,IF(J7=0, "    ---- ", IF(ABS(ROUND(100/J7*K7-100,1))&lt;999,IF(ROUND(100/J7*K7-100,1)=0,"    ---- ",ROUND(100/J7*K7-100,1)),IF(ROUND(100/J7*K7-100,1)&gt;999,999,-999))))</f>
        <v>4.3</v>
      </c>
      <c r="M7" s="300">
        <f>IFERROR(100/'Skjema total MA'!I7*K7,0)</f>
        <v>8.7682725327949278</v>
      </c>
      <c r="P7" s="22"/>
    </row>
    <row r="8" spans="1:16" ht="15.6" x14ac:dyDescent="0.25">
      <c r="A8" s="18" t="s">
        <v>170</v>
      </c>
      <c r="B8" s="293">
        <v>390887.14295000001</v>
      </c>
      <c r="C8" s="294">
        <v>411920.59636999998</v>
      </c>
      <c r="D8" s="302">
        <f t="shared" si="0"/>
        <v>5.4</v>
      </c>
      <c r="E8" s="300">
        <f>IFERROR(100/'Skjema total MA'!C8*C8,0)</f>
        <v>28.686040130588239</v>
      </c>
      <c r="F8" s="303"/>
      <c r="G8" s="304"/>
      <c r="H8" s="302"/>
      <c r="I8" s="300"/>
      <c r="J8" s="305">
        <f t="shared" si="1"/>
        <v>390887.14295000001</v>
      </c>
      <c r="K8" s="294">
        <f t="shared" si="1"/>
        <v>411920.59636999998</v>
      </c>
      <c r="L8" s="302">
        <f t="shared" si="2"/>
        <v>5.4</v>
      </c>
      <c r="M8" s="300">
        <f>IFERROR(100/'Skjema total MA'!I8*K8,0)</f>
        <v>28.686040130588239</v>
      </c>
      <c r="P8" s="22"/>
    </row>
    <row r="9" spans="1:16" ht="15.6" x14ac:dyDescent="0.25">
      <c r="A9" s="18" t="s">
        <v>171</v>
      </c>
      <c r="B9" s="293">
        <v>101277.09355999999</v>
      </c>
      <c r="C9" s="294">
        <v>101628.28386</v>
      </c>
      <c r="D9" s="302">
        <f t="shared" si="0"/>
        <v>0.3</v>
      </c>
      <c r="E9" s="300">
        <f>IFERROR(100/'Skjema total MA'!C9*C9,0)</f>
        <v>23.783397990138081</v>
      </c>
      <c r="F9" s="303"/>
      <c r="G9" s="303"/>
      <c r="H9" s="302"/>
      <c r="I9" s="300"/>
      <c r="J9" s="305">
        <f t="shared" si="1"/>
        <v>101277.09355999999</v>
      </c>
      <c r="K9" s="294">
        <f t="shared" si="1"/>
        <v>101628.28386</v>
      </c>
      <c r="L9" s="302">
        <f t="shared" si="2"/>
        <v>0.3</v>
      </c>
      <c r="M9" s="300">
        <f>IFERROR(100/'Skjema total MA'!I9*K9,0)</f>
        <v>23.783397990138081</v>
      </c>
      <c r="P9" s="22"/>
    </row>
    <row r="10" spans="1:16" ht="15.6" x14ac:dyDescent="0.25">
      <c r="A10" s="10" t="s">
        <v>172</v>
      </c>
      <c r="B10" s="295">
        <v>708771.90668999997</v>
      </c>
      <c r="C10" s="296">
        <v>743148.88607999997</v>
      </c>
      <c r="D10" s="302">
        <f t="shared" si="0"/>
        <v>4.9000000000000004</v>
      </c>
      <c r="E10" s="300">
        <f>IFERROR(100/'Skjema total MA'!C10*C10,0)</f>
        <v>5.8167844652669034</v>
      </c>
      <c r="F10" s="295"/>
      <c r="G10" s="295"/>
      <c r="H10" s="302"/>
      <c r="I10" s="300"/>
      <c r="J10" s="301">
        <f t="shared" si="1"/>
        <v>708771.90668999997</v>
      </c>
      <c r="K10" s="296">
        <f t="shared" si="1"/>
        <v>743148.88607999997</v>
      </c>
      <c r="L10" s="302">
        <f t="shared" si="2"/>
        <v>4.9000000000000004</v>
      </c>
      <c r="M10" s="300">
        <f>IFERROR(100/'Skjema total MA'!I10*K10,0)</f>
        <v>0.61696675574589965</v>
      </c>
      <c r="P10" s="22"/>
    </row>
    <row r="11" spans="1:16" s="35" customFormat="1" ht="15.6" x14ac:dyDescent="0.25">
      <c r="A11" s="10" t="s">
        <v>173</v>
      </c>
      <c r="B11" s="295"/>
      <c r="C11" s="296"/>
      <c r="D11" s="302"/>
      <c r="E11" s="300"/>
      <c r="F11" s="295"/>
      <c r="G11" s="295"/>
      <c r="H11" s="302"/>
      <c r="I11" s="300"/>
      <c r="J11" s="301"/>
      <c r="K11" s="296"/>
      <c r="L11" s="302"/>
      <c r="M11" s="300"/>
      <c r="N11" s="107"/>
    </row>
    <row r="12" spans="1:16" s="35" customFormat="1" ht="15.6" x14ac:dyDescent="0.25">
      <c r="A12" s="33" t="s">
        <v>174</v>
      </c>
      <c r="B12" s="297"/>
      <c r="C12" s="298"/>
      <c r="D12" s="306"/>
      <c r="E12" s="306"/>
      <c r="F12" s="297"/>
      <c r="G12" s="297"/>
      <c r="H12" s="306"/>
      <c r="I12" s="306"/>
      <c r="J12" s="307"/>
      <c r="K12" s="298"/>
      <c r="L12" s="306"/>
      <c r="M12" s="306"/>
      <c r="N12" s="107"/>
    </row>
    <row r="13" spans="1:16" s="35" customFormat="1" x14ac:dyDescent="0.25">
      <c r="A13" s="107"/>
      <c r="B13" s="109"/>
      <c r="C13" s="27"/>
      <c r="D13" s="118"/>
      <c r="E13" s="118"/>
      <c r="F13" s="109"/>
      <c r="G13" s="27"/>
      <c r="H13" s="118"/>
      <c r="I13" s="118"/>
      <c r="J13" s="38"/>
      <c r="K13" s="38"/>
      <c r="L13" s="118"/>
      <c r="M13" s="118"/>
      <c r="N13" s="107"/>
    </row>
    <row r="14" spans="1:16" x14ac:dyDescent="0.25">
      <c r="A14" s="114" t="s">
        <v>175</v>
      </c>
    </row>
    <row r="16" spans="1:16" ht="15.6" x14ac:dyDescent="0.3">
      <c r="A16" s="115"/>
      <c r="C16" s="106"/>
      <c r="D16" s="106"/>
      <c r="E16" s="106"/>
      <c r="F16" s="106"/>
      <c r="G16" s="106"/>
      <c r="H16" s="106"/>
      <c r="I16" s="106"/>
      <c r="J16" s="106"/>
      <c r="K16" s="106"/>
      <c r="L16" s="106"/>
      <c r="M16" s="106"/>
    </row>
    <row r="17" spans="1:16" ht="15.6" x14ac:dyDescent="0.3">
      <c r="A17" s="110" t="s">
        <v>176</v>
      </c>
      <c r="B17" s="106"/>
      <c r="C17" s="106"/>
      <c r="D17" s="112"/>
      <c r="E17" s="112"/>
      <c r="F17" s="106"/>
      <c r="G17" s="106"/>
      <c r="H17" s="106"/>
      <c r="I17" s="106"/>
      <c r="J17" s="106"/>
      <c r="K17" s="106"/>
      <c r="L17" s="106"/>
      <c r="M17" s="106"/>
    </row>
    <row r="18" spans="1:16" ht="15.6" x14ac:dyDescent="0.3">
      <c r="B18" s="245"/>
      <c r="C18" s="245"/>
      <c r="D18" s="245"/>
      <c r="E18" s="242"/>
      <c r="F18" s="245"/>
      <c r="G18" s="245"/>
      <c r="H18" s="245"/>
      <c r="I18" s="242"/>
      <c r="J18" s="245"/>
      <c r="K18" s="245"/>
      <c r="L18" s="245"/>
      <c r="M18" s="242"/>
    </row>
    <row r="19" spans="1:16" x14ac:dyDescent="0.25">
      <c r="A19" s="108"/>
      <c r="B19" s="590" t="s">
        <v>46</v>
      </c>
      <c r="C19" s="591"/>
      <c r="D19" s="591"/>
      <c r="E19" s="244"/>
      <c r="F19" s="590" t="s">
        <v>69</v>
      </c>
      <c r="G19" s="591"/>
      <c r="H19" s="591"/>
      <c r="I19" s="246"/>
      <c r="J19" s="590" t="s">
        <v>120</v>
      </c>
      <c r="K19" s="591"/>
      <c r="L19" s="591"/>
      <c r="M19" s="246"/>
    </row>
    <row r="20" spans="1:16" x14ac:dyDescent="0.25">
      <c r="A20" s="105" t="s">
        <v>177</v>
      </c>
      <c r="B20" s="190" t="s">
        <v>418</v>
      </c>
      <c r="C20" s="190" t="s">
        <v>419</v>
      </c>
      <c r="D20" s="121" t="s">
        <v>167</v>
      </c>
      <c r="E20" s="247" t="s">
        <v>85</v>
      </c>
      <c r="F20" s="190" t="s">
        <v>418</v>
      </c>
      <c r="G20" s="190" t="s">
        <v>419</v>
      </c>
      <c r="H20" s="121" t="s">
        <v>167</v>
      </c>
      <c r="I20" s="247" t="s">
        <v>85</v>
      </c>
      <c r="J20" s="190" t="s">
        <v>418</v>
      </c>
      <c r="K20" s="190" t="s">
        <v>419</v>
      </c>
      <c r="L20" s="121" t="s">
        <v>167</v>
      </c>
      <c r="M20" s="121" t="s">
        <v>85</v>
      </c>
    </row>
    <row r="21" spans="1:16" x14ac:dyDescent="0.25">
      <c r="A21" s="557"/>
      <c r="B21" s="116"/>
      <c r="C21" s="116"/>
      <c r="D21" s="195" t="s">
        <v>168</v>
      </c>
      <c r="E21" s="116" t="s">
        <v>88</v>
      </c>
      <c r="F21" s="120"/>
      <c r="G21" s="120"/>
      <c r="H21" s="193" t="s">
        <v>168</v>
      </c>
      <c r="I21" s="116" t="s">
        <v>88</v>
      </c>
      <c r="J21" s="120"/>
      <c r="K21" s="120"/>
      <c r="L21" s="116" t="s">
        <v>168</v>
      </c>
      <c r="M21" s="116" t="s">
        <v>88</v>
      </c>
    </row>
    <row r="22" spans="1:16" ht="15.6" x14ac:dyDescent="0.25">
      <c r="A22" s="11" t="s">
        <v>169</v>
      </c>
      <c r="B22" s="393">
        <v>241165.76057000001</v>
      </c>
      <c r="C22" s="393">
        <v>259016.94068</v>
      </c>
      <c r="D22" s="299">
        <f t="shared" ref="D22:D30" si="3">IF(AND(_xlfn.NUMBERVALUE(B22)=0,_xlfn.NUMBERVALUE(C22)=0),,IF(B22=0, "    ---- ", IF(ABS(ROUND(100/B22*C22-100,1))&lt;999,IF(ROUND(100/B22*C22-100,1)=0,"    ---- ",ROUND(100/B22*C22-100,1)),IF(ROUND(100/B22*C22-100,1)&gt;999,999,-999))))</f>
        <v>7.4</v>
      </c>
      <c r="E22" s="300">
        <f>IFERROR(100/'Skjema total MA'!C22*C22,0)</f>
        <v>24.026334553972159</v>
      </c>
      <c r="F22" s="308"/>
      <c r="G22" s="308"/>
      <c r="H22" s="299"/>
      <c r="I22" s="300"/>
      <c r="J22" s="290">
        <f t="shared" ref="J22:K30" si="4">SUM(B22,F22)</f>
        <v>241165.76057000001</v>
      </c>
      <c r="K22" s="290">
        <f t="shared" si="4"/>
        <v>259016.94068</v>
      </c>
      <c r="L22" s="299">
        <f t="shared" ref="L22:L30" si="5">IF(AND(_xlfn.NUMBERVALUE(J22)=0,_xlfn.NUMBERVALUE(K22)=0),,IF(J22=0, "    ---- ", IF(ABS(ROUND(100/J22*K22-100,1))&lt;999,IF(ROUND(100/J22*K22-100,1)=0,"    ---- ",ROUND(100/J22*K22-100,1)),IF(ROUND(100/J22*K22-100,1)&gt;999,999,-999))))</f>
        <v>7.4</v>
      </c>
      <c r="M22" s="300">
        <f>IFERROR(100/'Skjema total MA'!I22*K22,0)</f>
        <v>16.991404748273307</v>
      </c>
      <c r="P22" s="22"/>
    </row>
    <row r="23" spans="1:16" ht="15.6" x14ac:dyDescent="0.25">
      <c r="A23" s="382" t="s">
        <v>178</v>
      </c>
      <c r="B23" s="292"/>
      <c r="C23" s="292"/>
      <c r="D23" s="302"/>
      <c r="E23" s="300"/>
      <c r="F23" s="292"/>
      <c r="G23" s="292"/>
      <c r="H23" s="302"/>
      <c r="I23" s="300"/>
      <c r="J23" s="292"/>
      <c r="K23" s="292"/>
      <c r="L23" s="302"/>
      <c r="M23" s="300"/>
      <c r="P23" s="22"/>
    </row>
    <row r="24" spans="1:16" ht="15.6" x14ac:dyDescent="0.25">
      <c r="A24" s="382" t="s">
        <v>179</v>
      </c>
      <c r="B24" s="292"/>
      <c r="C24" s="292"/>
      <c r="D24" s="302"/>
      <c r="E24" s="300"/>
      <c r="F24" s="292"/>
      <c r="G24" s="292"/>
      <c r="H24" s="302"/>
      <c r="I24" s="300"/>
      <c r="J24" s="292"/>
      <c r="K24" s="292"/>
      <c r="L24" s="302"/>
      <c r="M24" s="300"/>
      <c r="P24" s="22"/>
    </row>
    <row r="25" spans="1:16" ht="15.6" x14ac:dyDescent="0.25">
      <c r="A25" s="382" t="s">
        <v>180</v>
      </c>
      <c r="B25" s="292"/>
      <c r="C25" s="292"/>
      <c r="D25" s="302"/>
      <c r="E25" s="300"/>
      <c r="F25" s="292"/>
      <c r="G25" s="292"/>
      <c r="H25" s="302"/>
      <c r="I25" s="300"/>
      <c r="J25" s="292"/>
      <c r="K25" s="292"/>
      <c r="L25" s="302"/>
      <c r="M25" s="300"/>
      <c r="P25" s="22"/>
    </row>
    <row r="26" spans="1:16" ht="15.6" x14ac:dyDescent="0.25">
      <c r="A26" s="382" t="s">
        <v>181</v>
      </c>
      <c r="B26" s="292"/>
      <c r="C26" s="292"/>
      <c r="D26" s="302"/>
      <c r="E26" s="300"/>
      <c r="F26" s="292"/>
      <c r="G26" s="292"/>
      <c r="H26" s="302"/>
      <c r="I26" s="300"/>
      <c r="J26" s="292"/>
      <c r="K26" s="292"/>
      <c r="L26" s="302"/>
      <c r="M26" s="300"/>
    </row>
    <row r="27" spans="1:16" x14ac:dyDescent="0.25">
      <c r="A27" s="382" t="s">
        <v>182</v>
      </c>
      <c r="B27" s="292"/>
      <c r="C27" s="292"/>
      <c r="D27" s="302"/>
      <c r="E27" s="300"/>
      <c r="F27" s="292"/>
      <c r="G27" s="292"/>
      <c r="H27" s="302"/>
      <c r="I27" s="300"/>
      <c r="J27" s="292"/>
      <c r="K27" s="292"/>
      <c r="L27" s="302"/>
      <c r="M27" s="300"/>
    </row>
    <row r="28" spans="1:16" ht="15.6" x14ac:dyDescent="0.25">
      <c r="A28" s="39" t="s">
        <v>183</v>
      </c>
      <c r="B28" s="292">
        <v>241165.76057000001</v>
      </c>
      <c r="C28" s="292">
        <v>259067.94068</v>
      </c>
      <c r="D28" s="302">
        <f t="shared" si="3"/>
        <v>7.4</v>
      </c>
      <c r="E28" s="300">
        <f>IFERROR(100/'Skjema total MA'!C28*C28,0)</f>
        <v>19.220320933332534</v>
      </c>
      <c r="F28" s="305"/>
      <c r="G28" s="294"/>
      <c r="H28" s="302"/>
      <c r="I28" s="300"/>
      <c r="J28" s="293">
        <f t="shared" si="4"/>
        <v>241165.76057000001</v>
      </c>
      <c r="K28" s="293">
        <f t="shared" si="4"/>
        <v>259067.94068</v>
      </c>
      <c r="L28" s="302">
        <f t="shared" si="5"/>
        <v>7.4</v>
      </c>
      <c r="M28" s="300">
        <f>IFERROR(100/'Skjema total MA'!I28*K28,0)</f>
        <v>19.220320933332534</v>
      </c>
      <c r="P28" s="22"/>
    </row>
    <row r="29" spans="1:16" ht="15.6" x14ac:dyDescent="0.25">
      <c r="A29" s="10" t="s">
        <v>172</v>
      </c>
      <c r="B29" s="295">
        <v>5291723.2743300004</v>
      </c>
      <c r="C29" s="295">
        <v>5849609.3037700001</v>
      </c>
      <c r="D29" s="302">
        <f t="shared" si="3"/>
        <v>10.5</v>
      </c>
      <c r="E29" s="300">
        <f>IFERROR(100/'Skjema total MA'!C29*C29,0)</f>
        <v>13.143758143891166</v>
      </c>
      <c r="F29" s="301"/>
      <c r="G29" s="301"/>
      <c r="H29" s="302"/>
      <c r="I29" s="300"/>
      <c r="J29" s="295">
        <f t="shared" si="4"/>
        <v>5291723.2743300004</v>
      </c>
      <c r="K29" s="295">
        <f t="shared" si="4"/>
        <v>5849609.3037700001</v>
      </c>
      <c r="L29" s="302">
        <f t="shared" si="5"/>
        <v>10.5</v>
      </c>
      <c r="M29" s="300">
        <f>IFERROR(100/'Skjema total MA'!I29*K29,0)</f>
        <v>7.7286658304950846</v>
      </c>
      <c r="P29" s="22"/>
    </row>
    <row r="30" spans="1:16" ht="15.6" x14ac:dyDescent="0.25">
      <c r="A30" s="382" t="s">
        <v>178</v>
      </c>
      <c r="B30" s="292">
        <v>5291723.2743300004</v>
      </c>
      <c r="C30" s="292">
        <v>5849609.3037700001</v>
      </c>
      <c r="D30" s="302">
        <f t="shared" si="3"/>
        <v>10.5</v>
      </c>
      <c r="E30" s="300">
        <f>IFERROR(100/'Skjema total MA'!C30*C30,0)</f>
        <v>29.397945104954371</v>
      </c>
      <c r="F30" s="292"/>
      <c r="G30" s="292"/>
      <c r="H30" s="302"/>
      <c r="I30" s="300"/>
      <c r="J30" s="292">
        <f t="shared" si="4"/>
        <v>5291723.2743300004</v>
      </c>
      <c r="K30" s="292">
        <f t="shared" si="4"/>
        <v>5849609.3037700001</v>
      </c>
      <c r="L30" s="302">
        <f t="shared" si="5"/>
        <v>10.5</v>
      </c>
      <c r="M30" s="300">
        <f>IFERROR(100/'Skjema total MA'!I30*K30,0)</f>
        <v>24.949997564749935</v>
      </c>
      <c r="P30" s="22"/>
    </row>
    <row r="31" spans="1:16" ht="15.6" x14ac:dyDescent="0.25">
      <c r="A31" s="382" t="s">
        <v>179</v>
      </c>
      <c r="B31" s="292"/>
      <c r="C31" s="292"/>
      <c r="D31" s="302"/>
      <c r="E31" s="300"/>
      <c r="F31" s="292"/>
      <c r="G31" s="292"/>
      <c r="H31" s="302"/>
      <c r="I31" s="300"/>
      <c r="J31" s="292"/>
      <c r="K31" s="292"/>
      <c r="L31" s="302"/>
      <c r="M31" s="300"/>
    </row>
    <row r="32" spans="1:16" ht="15.6" x14ac:dyDescent="0.25">
      <c r="A32" s="382" t="s">
        <v>180</v>
      </c>
      <c r="B32" s="292"/>
      <c r="C32" s="292"/>
      <c r="D32" s="302"/>
      <c r="E32" s="300"/>
      <c r="F32" s="292"/>
      <c r="G32" s="292"/>
      <c r="H32" s="302"/>
      <c r="I32" s="300"/>
      <c r="J32" s="292"/>
      <c r="K32" s="292"/>
      <c r="L32" s="302"/>
      <c r="M32" s="300"/>
    </row>
    <row r="33" spans="1:14" ht="15.6" x14ac:dyDescent="0.25">
      <c r="A33" s="382" t="s">
        <v>181</v>
      </c>
      <c r="B33" s="292"/>
      <c r="C33" s="292"/>
      <c r="D33" s="302"/>
      <c r="E33" s="300"/>
      <c r="F33" s="292"/>
      <c r="G33" s="292"/>
      <c r="H33" s="302"/>
      <c r="I33" s="300"/>
      <c r="J33" s="292"/>
      <c r="K33" s="292"/>
      <c r="L33" s="302"/>
      <c r="M33" s="300"/>
    </row>
    <row r="34" spans="1:14" ht="15.6" x14ac:dyDescent="0.25">
      <c r="A34" s="10" t="s">
        <v>173</v>
      </c>
      <c r="B34" s="295"/>
      <c r="C34" s="296"/>
      <c r="D34" s="302"/>
      <c r="E34" s="300"/>
      <c r="F34" s="301"/>
      <c r="G34" s="296"/>
      <c r="H34" s="302"/>
      <c r="I34" s="300"/>
      <c r="J34" s="295"/>
      <c r="K34" s="295"/>
      <c r="L34" s="302"/>
      <c r="M34" s="300"/>
    </row>
    <row r="35" spans="1:14" ht="15.6" x14ac:dyDescent="0.25">
      <c r="A35" s="10" t="s">
        <v>174</v>
      </c>
      <c r="B35" s="295"/>
      <c r="C35" s="296"/>
      <c r="D35" s="302"/>
      <c r="E35" s="300"/>
      <c r="F35" s="301"/>
      <c r="G35" s="296"/>
      <c r="H35" s="302"/>
      <c r="I35" s="300"/>
      <c r="J35" s="295"/>
      <c r="K35" s="295"/>
      <c r="L35" s="302"/>
      <c r="M35" s="300"/>
    </row>
    <row r="36" spans="1:14" ht="15.6" x14ac:dyDescent="0.25">
      <c r="A36" s="9" t="s">
        <v>185</v>
      </c>
      <c r="B36" s="295"/>
      <c r="C36" s="296"/>
      <c r="D36" s="302"/>
      <c r="E36" s="300"/>
      <c r="F36" s="309"/>
      <c r="G36" s="310"/>
      <c r="H36" s="302"/>
      <c r="I36" s="300"/>
      <c r="J36" s="295"/>
      <c r="K36" s="295"/>
      <c r="L36" s="302"/>
      <c r="M36" s="300"/>
    </row>
    <row r="37" spans="1:14" ht="15.6" x14ac:dyDescent="0.25">
      <c r="A37" s="9" t="s">
        <v>186</v>
      </c>
      <c r="B37" s="295"/>
      <c r="C37" s="296"/>
      <c r="D37" s="302"/>
      <c r="E37" s="300"/>
      <c r="F37" s="309"/>
      <c r="G37" s="311"/>
      <c r="H37" s="302"/>
      <c r="I37" s="300"/>
      <c r="J37" s="295"/>
      <c r="K37" s="295"/>
      <c r="L37" s="302"/>
      <c r="M37" s="300"/>
    </row>
    <row r="38" spans="1:14" ht="15.6" x14ac:dyDescent="0.25">
      <c r="A38" s="9" t="s">
        <v>187</v>
      </c>
      <c r="B38" s="295"/>
      <c r="C38" s="296"/>
      <c r="D38" s="302"/>
      <c r="E38" s="123"/>
      <c r="F38" s="309"/>
      <c r="G38" s="310"/>
      <c r="H38" s="302"/>
      <c r="I38" s="300"/>
      <c r="J38" s="295"/>
      <c r="K38" s="295"/>
      <c r="L38" s="302"/>
      <c r="M38" s="300"/>
    </row>
    <row r="39" spans="1:14" ht="15.6" x14ac:dyDescent="0.25">
      <c r="A39" s="15" t="s">
        <v>188</v>
      </c>
      <c r="B39" s="297"/>
      <c r="C39" s="298"/>
      <c r="D39" s="306"/>
      <c r="E39" s="124"/>
      <c r="F39" s="312"/>
      <c r="G39" s="313"/>
      <c r="H39" s="306"/>
      <c r="I39" s="300"/>
      <c r="J39" s="295"/>
      <c r="K39" s="295"/>
      <c r="L39" s="306"/>
      <c r="M39" s="306"/>
    </row>
    <row r="40" spans="1:14" ht="15.6" x14ac:dyDescent="0.3">
      <c r="A40" s="35"/>
      <c r="B40" s="205"/>
      <c r="C40" s="205"/>
      <c r="D40" s="289"/>
      <c r="E40" s="289"/>
      <c r="F40" s="289"/>
      <c r="G40" s="289"/>
      <c r="H40" s="289"/>
      <c r="I40" s="289"/>
      <c r="J40" s="289"/>
      <c r="K40" s="289"/>
      <c r="L40" s="289"/>
      <c r="M40" s="242"/>
    </row>
    <row r="41" spans="1:14" x14ac:dyDescent="0.25">
      <c r="A41" s="115"/>
    </row>
    <row r="42" spans="1:14" ht="15.6" x14ac:dyDescent="0.3">
      <c r="A42" s="110" t="s">
        <v>189</v>
      </c>
      <c r="B42" s="242"/>
      <c r="C42" s="242"/>
      <c r="D42" s="242"/>
      <c r="E42" s="242"/>
      <c r="F42" s="242"/>
      <c r="G42" s="242"/>
      <c r="H42" s="242"/>
      <c r="I42" s="242"/>
      <c r="J42" s="242"/>
      <c r="K42" s="242"/>
      <c r="L42" s="242"/>
      <c r="M42" s="242"/>
    </row>
    <row r="43" spans="1:14" ht="15.6" x14ac:dyDescent="0.3">
      <c r="A43" s="122"/>
      <c r="B43" s="245"/>
      <c r="C43" s="245"/>
      <c r="D43" s="245"/>
      <c r="E43" s="245"/>
      <c r="F43" s="242"/>
      <c r="G43" s="242"/>
      <c r="H43" s="242"/>
      <c r="I43" s="242"/>
      <c r="J43" s="242"/>
      <c r="K43" s="242"/>
      <c r="L43" s="242"/>
      <c r="M43" s="242"/>
    </row>
    <row r="44" spans="1:14" ht="15.6" x14ac:dyDescent="0.3">
      <c r="A44" s="196"/>
      <c r="B44" s="590" t="s">
        <v>46</v>
      </c>
      <c r="C44" s="591"/>
      <c r="D44" s="591"/>
      <c r="E44" s="191"/>
      <c r="F44" s="242"/>
      <c r="G44" s="242"/>
      <c r="H44" s="242"/>
      <c r="I44" s="242"/>
      <c r="J44" s="242"/>
      <c r="K44" s="242"/>
      <c r="L44" s="242"/>
      <c r="M44" s="242"/>
    </row>
    <row r="45" spans="1:14" x14ac:dyDescent="0.25">
      <c r="A45" s="105"/>
      <c r="B45" s="129" t="s">
        <v>418</v>
      </c>
      <c r="C45" s="129" t="s">
        <v>419</v>
      </c>
      <c r="D45" s="121" t="s">
        <v>167</v>
      </c>
      <c r="E45" s="121" t="s">
        <v>85</v>
      </c>
      <c r="F45" s="131"/>
      <c r="G45" s="131"/>
      <c r="H45" s="130"/>
      <c r="I45" s="130"/>
      <c r="J45" s="131"/>
      <c r="K45" s="131"/>
      <c r="L45" s="130"/>
      <c r="M45" s="130"/>
    </row>
    <row r="46" spans="1:14" x14ac:dyDescent="0.25">
      <c r="A46" s="557"/>
      <c r="B46" s="192"/>
      <c r="C46" s="192"/>
      <c r="D46" s="193" t="s">
        <v>168</v>
      </c>
      <c r="E46" s="116" t="s">
        <v>88</v>
      </c>
      <c r="F46" s="130"/>
      <c r="G46" s="130"/>
      <c r="H46" s="130"/>
      <c r="I46" s="130"/>
      <c r="J46" s="130"/>
      <c r="K46" s="130"/>
      <c r="L46" s="130"/>
      <c r="M46" s="130"/>
    </row>
    <row r="47" spans="1:14" s="35" customFormat="1" ht="15.6" x14ac:dyDescent="0.25">
      <c r="A47" s="11" t="s">
        <v>169</v>
      </c>
      <c r="B47" s="295">
        <v>537807.34131000005</v>
      </c>
      <c r="C47" s="296">
        <v>447652.89</v>
      </c>
      <c r="D47" s="339">
        <f>IF(AND(_xlfn.NUMBERVALUE(B47)=0,_xlfn.NUMBERVALUE(C47)=0),,IF(B47=0, "    ---- ", IF(ABS(ROUND(100/B47*C47-100,1))&lt;999,IF(ROUND(100/B47*C47-100,1)=0,"    ---- ",ROUND(100/B47*C47-100,1)),IF(ROUND(100/B47*C47-100,1)&gt;999,999,-999))))</f>
        <v>-16.8</v>
      </c>
      <c r="E47" s="340">
        <f>IFERROR(100/'Skjema total MA'!C47*C47,0)</f>
        <v>9.0398868330934654</v>
      </c>
      <c r="F47" s="118"/>
      <c r="G47" s="130"/>
      <c r="H47" s="118"/>
      <c r="I47" s="118"/>
      <c r="J47" s="338"/>
      <c r="K47" s="338"/>
      <c r="L47" s="118"/>
      <c r="M47" s="118"/>
      <c r="N47" s="107"/>
    </row>
    <row r="48" spans="1:14" ht="15.6" x14ac:dyDescent="0.25">
      <c r="A48" s="18" t="s">
        <v>190</v>
      </c>
      <c r="B48" s="293">
        <v>125731.28853000001</v>
      </c>
      <c r="C48" s="294">
        <v>133041.48307000002</v>
      </c>
      <c r="D48" s="302">
        <f t="shared" ref="D48:D57" si="6">IF(AND(_xlfn.NUMBERVALUE(B48)=0,_xlfn.NUMBERVALUE(C48)=0),,IF(B48=0, "    ---- ", IF(ABS(ROUND(100/B48*C48-100,1))&lt;999,IF(ROUND(100/B48*C48-100,1)=0,"    ---- ",ROUND(100/B48*C48-100,1)),IF(ROUND(100/B48*C48-100,1)&gt;999,999,-999))))</f>
        <v>5.8</v>
      </c>
      <c r="E48" s="331">
        <f>IFERROR(100/'Skjema total MA'!C48*C48,0)</f>
        <v>5.5346623010160059</v>
      </c>
      <c r="F48" s="109"/>
      <c r="G48" s="27"/>
      <c r="H48" s="109"/>
      <c r="I48" s="109"/>
      <c r="J48" s="27"/>
      <c r="K48" s="27"/>
      <c r="L48" s="118"/>
      <c r="M48" s="118"/>
    </row>
    <row r="49" spans="1:13" ht="15.6" x14ac:dyDescent="0.25">
      <c r="A49" s="18" t="s">
        <v>191</v>
      </c>
      <c r="B49" s="293">
        <v>412076.05278000003</v>
      </c>
      <c r="C49" s="294">
        <v>314611.40693</v>
      </c>
      <c r="D49" s="302">
        <f t="shared" si="6"/>
        <v>-23.7</v>
      </c>
      <c r="E49" s="331">
        <f>IFERROR(100/'Skjema total MA'!C49*C49,0)</f>
        <v>12.346477099158703</v>
      </c>
      <c r="F49" s="109"/>
      <c r="G49" s="27"/>
      <c r="H49" s="109"/>
      <c r="I49" s="109"/>
      <c r="J49" s="31"/>
      <c r="K49" s="31"/>
      <c r="L49" s="118"/>
      <c r="M49" s="118"/>
    </row>
    <row r="50" spans="1:13" x14ac:dyDescent="0.25">
      <c r="A50" s="240" t="s">
        <v>192</v>
      </c>
      <c r="B50" s="320"/>
      <c r="C50" s="320"/>
      <c r="D50" s="302"/>
      <c r="E50" s="332"/>
      <c r="F50" s="109"/>
      <c r="G50" s="27"/>
      <c r="H50" s="109"/>
      <c r="I50" s="109"/>
      <c r="J50" s="27"/>
      <c r="K50" s="27"/>
      <c r="L50" s="118"/>
      <c r="M50" s="118"/>
    </row>
    <row r="51" spans="1:13" x14ac:dyDescent="0.25">
      <c r="A51" s="240" t="s">
        <v>193</v>
      </c>
      <c r="B51" s="320"/>
      <c r="C51" s="320"/>
      <c r="D51" s="302"/>
      <c r="E51" s="332"/>
      <c r="F51" s="109"/>
      <c r="G51" s="27"/>
      <c r="H51" s="109"/>
      <c r="I51" s="109"/>
      <c r="J51" s="27"/>
      <c r="K51" s="27"/>
      <c r="L51" s="118"/>
      <c r="M51" s="118"/>
    </row>
    <row r="52" spans="1:13" x14ac:dyDescent="0.25">
      <c r="A52" s="240" t="s">
        <v>194</v>
      </c>
      <c r="B52" s="320"/>
      <c r="C52" s="320"/>
      <c r="D52" s="302"/>
      <c r="E52" s="332"/>
      <c r="F52" s="109"/>
      <c r="G52" s="27"/>
      <c r="H52" s="109"/>
      <c r="I52" s="109"/>
      <c r="J52" s="27"/>
      <c r="K52" s="27"/>
      <c r="L52" s="118"/>
      <c r="M52" s="118"/>
    </row>
    <row r="53" spans="1:13" ht="15.6" x14ac:dyDescent="0.25">
      <c r="A53" s="10" t="s">
        <v>195</v>
      </c>
      <c r="B53" s="295">
        <v>977</v>
      </c>
      <c r="C53" s="296">
        <v>1015</v>
      </c>
      <c r="D53" s="302">
        <f t="shared" si="6"/>
        <v>3.9</v>
      </c>
      <c r="E53" s="331">
        <f>IFERROR(100/'Skjema total MA'!C53*C53,0)</f>
        <v>0.77541228900592341</v>
      </c>
      <c r="F53" s="109"/>
      <c r="G53" s="27"/>
      <c r="H53" s="109"/>
      <c r="I53" s="109"/>
      <c r="J53" s="27"/>
      <c r="K53" s="27"/>
      <c r="L53" s="118"/>
      <c r="M53" s="118"/>
    </row>
    <row r="54" spans="1:13" ht="15.6" x14ac:dyDescent="0.25">
      <c r="A54" s="18" t="s">
        <v>190</v>
      </c>
      <c r="B54" s="293">
        <v>977</v>
      </c>
      <c r="C54" s="294">
        <v>1015</v>
      </c>
      <c r="D54" s="302">
        <f t="shared" si="6"/>
        <v>3.9</v>
      </c>
      <c r="E54" s="331">
        <f>IFERROR(100/'Skjema total MA'!C54*C54,0)</f>
        <v>0.77684121681622287</v>
      </c>
      <c r="F54" s="109"/>
      <c r="G54" s="27"/>
      <c r="H54" s="109"/>
      <c r="I54" s="109"/>
      <c r="J54" s="27"/>
      <c r="K54" s="27"/>
      <c r="L54" s="118"/>
      <c r="M54" s="118"/>
    </row>
    <row r="55" spans="1:13" ht="15.6" x14ac:dyDescent="0.25">
      <c r="A55" s="18" t="s">
        <v>191</v>
      </c>
      <c r="B55" s="293"/>
      <c r="C55" s="294"/>
      <c r="D55" s="302"/>
      <c r="E55" s="331"/>
      <c r="F55" s="109"/>
      <c r="G55" s="27"/>
      <c r="H55" s="109"/>
      <c r="I55" s="109"/>
      <c r="J55" s="27"/>
      <c r="K55" s="27"/>
      <c r="L55" s="118"/>
      <c r="M55" s="118"/>
    </row>
    <row r="56" spans="1:13" ht="15.6" x14ac:dyDescent="0.25">
      <c r="A56" s="10" t="s">
        <v>196</v>
      </c>
      <c r="B56" s="295">
        <v>595</v>
      </c>
      <c r="C56" s="296">
        <v>471</v>
      </c>
      <c r="D56" s="302">
        <f t="shared" si="6"/>
        <v>-20.8</v>
      </c>
      <c r="E56" s="331">
        <f>IFERROR(100/'Skjema total MA'!C56*C56,0)</f>
        <v>0.42742794796715405</v>
      </c>
      <c r="F56" s="109"/>
      <c r="G56" s="27"/>
      <c r="H56" s="109"/>
      <c r="I56" s="109"/>
      <c r="J56" s="27"/>
      <c r="K56" s="27"/>
      <c r="L56" s="118"/>
      <c r="M56" s="118"/>
    </row>
    <row r="57" spans="1:13" ht="15.6" x14ac:dyDescent="0.25">
      <c r="A57" s="18" t="s">
        <v>190</v>
      </c>
      <c r="B57" s="293">
        <v>595</v>
      </c>
      <c r="C57" s="294">
        <v>471</v>
      </c>
      <c r="D57" s="302">
        <f t="shared" si="6"/>
        <v>-20.8</v>
      </c>
      <c r="E57" s="331">
        <f>IFERROR(100/'Skjema total MA'!C57*C57,0)</f>
        <v>0.46354612728321193</v>
      </c>
      <c r="F57" s="109"/>
      <c r="G57" s="27"/>
      <c r="H57" s="109"/>
      <c r="I57" s="109"/>
      <c r="J57" s="27"/>
      <c r="K57" s="27"/>
      <c r="L57" s="118"/>
      <c r="M57" s="118"/>
    </row>
    <row r="58" spans="1:13" ht="15.6" x14ac:dyDescent="0.25">
      <c r="A58" s="7" t="s">
        <v>191</v>
      </c>
      <c r="B58" s="314"/>
      <c r="C58" s="315"/>
      <c r="D58" s="306"/>
      <c r="E58" s="333"/>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245"/>
      <c r="C62" s="245"/>
      <c r="D62" s="245"/>
      <c r="E62" s="242"/>
      <c r="F62" s="245"/>
      <c r="G62" s="245"/>
      <c r="H62" s="245"/>
      <c r="I62" s="242"/>
      <c r="J62" s="245"/>
      <c r="K62" s="245"/>
      <c r="L62" s="245"/>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316"/>
      <c r="C66" s="316"/>
      <c r="D66" s="299"/>
      <c r="E66" s="299"/>
      <c r="F66" s="562"/>
      <c r="G66" s="316"/>
      <c r="H66" s="299"/>
      <c r="I66" s="299"/>
      <c r="J66" s="290"/>
      <c r="K66" s="290"/>
      <c r="L66" s="302"/>
      <c r="M66" s="300"/>
    </row>
    <row r="67" spans="1:13" x14ac:dyDescent="0.25">
      <c r="A67" s="18" t="s">
        <v>198</v>
      </c>
      <c r="B67" s="293"/>
      <c r="C67" s="317"/>
      <c r="D67" s="302"/>
      <c r="E67" s="302"/>
      <c r="F67" s="293"/>
      <c r="G67" s="317"/>
      <c r="H67" s="302"/>
      <c r="I67" s="302"/>
      <c r="J67" s="293"/>
      <c r="K67" s="293"/>
      <c r="L67" s="302"/>
      <c r="M67" s="300"/>
    </row>
    <row r="68" spans="1:13" x14ac:dyDescent="0.25">
      <c r="A68" s="18" t="s">
        <v>199</v>
      </c>
      <c r="B68" s="318"/>
      <c r="C68" s="319"/>
      <c r="D68" s="302"/>
      <c r="E68" s="302"/>
      <c r="F68" s="563"/>
      <c r="G68" s="319"/>
      <c r="H68" s="302"/>
      <c r="I68" s="302"/>
      <c r="J68" s="293"/>
      <c r="K68" s="293"/>
      <c r="L68" s="302"/>
      <c r="M68" s="300"/>
    </row>
    <row r="69" spans="1:13" ht="15.6" x14ac:dyDescent="0.25">
      <c r="A69" s="240" t="s">
        <v>200</v>
      </c>
      <c r="B69" s="320"/>
      <c r="C69" s="320"/>
      <c r="D69" s="302"/>
      <c r="E69" s="302"/>
      <c r="F69" s="564"/>
      <c r="G69" s="320"/>
      <c r="H69" s="302"/>
      <c r="I69" s="302"/>
      <c r="J69" s="564"/>
      <c r="K69" s="320"/>
      <c r="L69" s="302"/>
      <c r="M69" s="300"/>
    </row>
    <row r="70" spans="1:13" x14ac:dyDescent="0.25">
      <c r="A70" s="240" t="s">
        <v>201</v>
      </c>
      <c r="B70" s="320"/>
      <c r="C70" s="320"/>
      <c r="D70" s="302"/>
      <c r="E70" s="302"/>
      <c r="F70" s="564"/>
      <c r="G70" s="320"/>
      <c r="H70" s="302"/>
      <c r="I70" s="302"/>
      <c r="J70" s="564"/>
      <c r="K70" s="320"/>
      <c r="L70" s="302"/>
      <c r="M70" s="300"/>
    </row>
    <row r="71" spans="1:13" x14ac:dyDescent="0.25">
      <c r="A71" s="240" t="s">
        <v>202</v>
      </c>
      <c r="B71" s="320"/>
      <c r="C71" s="320"/>
      <c r="D71" s="302"/>
      <c r="E71" s="302"/>
      <c r="F71" s="564"/>
      <c r="G71" s="320"/>
      <c r="H71" s="302"/>
      <c r="I71" s="302"/>
      <c r="J71" s="564"/>
      <c r="K71" s="320"/>
      <c r="L71" s="302"/>
      <c r="M71" s="300"/>
    </row>
    <row r="72" spans="1:13" ht="15.6" x14ac:dyDescent="0.25">
      <c r="A72" s="240" t="s">
        <v>203</v>
      </c>
      <c r="B72" s="320"/>
      <c r="C72" s="320"/>
      <c r="D72" s="302"/>
      <c r="E72" s="302"/>
      <c r="F72" s="564"/>
      <c r="G72" s="320"/>
      <c r="H72" s="302"/>
      <c r="I72" s="302"/>
      <c r="J72" s="564"/>
      <c r="K72" s="320"/>
      <c r="L72" s="302"/>
      <c r="M72" s="300"/>
    </row>
    <row r="73" spans="1:13" x14ac:dyDescent="0.25">
      <c r="A73" s="240" t="s">
        <v>201</v>
      </c>
      <c r="B73" s="321"/>
      <c r="C73" s="322"/>
      <c r="D73" s="302"/>
      <c r="E73" s="302"/>
      <c r="F73" s="564"/>
      <c r="G73" s="320"/>
      <c r="H73" s="302"/>
      <c r="I73" s="302"/>
      <c r="J73" s="564"/>
      <c r="K73" s="320"/>
      <c r="L73" s="302"/>
      <c r="M73" s="300"/>
    </row>
    <row r="74" spans="1:13" x14ac:dyDescent="0.25">
      <c r="A74" s="240" t="s">
        <v>202</v>
      </c>
      <c r="B74" s="321"/>
      <c r="C74" s="322"/>
      <c r="D74" s="302"/>
      <c r="E74" s="302"/>
      <c r="F74" s="564"/>
      <c r="G74" s="320"/>
      <c r="H74" s="302"/>
      <c r="I74" s="302"/>
      <c r="J74" s="564"/>
      <c r="K74" s="320"/>
      <c r="L74" s="302"/>
      <c r="M74" s="300"/>
    </row>
    <row r="75" spans="1:13" x14ac:dyDescent="0.25">
      <c r="A75" s="18" t="s">
        <v>204</v>
      </c>
      <c r="B75" s="305"/>
      <c r="C75" s="317"/>
      <c r="D75" s="302"/>
      <c r="E75" s="302"/>
      <c r="F75" s="293"/>
      <c r="G75" s="317"/>
      <c r="H75" s="302"/>
      <c r="I75" s="302"/>
      <c r="J75" s="293"/>
      <c r="K75" s="293"/>
      <c r="L75" s="302"/>
      <c r="M75" s="300"/>
    </row>
    <row r="76" spans="1:13" ht="15.6" x14ac:dyDescent="0.25">
      <c r="A76" s="18" t="s">
        <v>410</v>
      </c>
      <c r="B76" s="305"/>
      <c r="C76" s="317"/>
      <c r="D76" s="302"/>
      <c r="E76" s="302"/>
      <c r="F76" s="293"/>
      <c r="G76" s="317"/>
      <c r="H76" s="302"/>
      <c r="I76" s="302"/>
      <c r="J76" s="293"/>
      <c r="K76" s="293"/>
      <c r="L76" s="302"/>
      <c r="M76" s="300"/>
    </row>
    <row r="77" spans="1:13" ht="15.6" x14ac:dyDescent="0.25">
      <c r="A77" s="18" t="s">
        <v>206</v>
      </c>
      <c r="B77" s="305"/>
      <c r="C77" s="305"/>
      <c r="D77" s="302"/>
      <c r="E77" s="302"/>
      <c r="F77" s="293"/>
      <c r="G77" s="317"/>
      <c r="H77" s="302"/>
      <c r="I77" s="302"/>
      <c r="J77" s="293"/>
      <c r="K77" s="293"/>
      <c r="L77" s="302"/>
      <c r="M77" s="300"/>
    </row>
    <row r="78" spans="1:13" x14ac:dyDescent="0.25">
      <c r="A78" s="18" t="s">
        <v>198</v>
      </c>
      <c r="B78" s="305"/>
      <c r="C78" s="317"/>
      <c r="D78" s="302"/>
      <c r="E78" s="302"/>
      <c r="F78" s="293"/>
      <c r="G78" s="317"/>
      <c r="H78" s="302"/>
      <c r="I78" s="302"/>
      <c r="J78" s="293"/>
      <c r="K78" s="293"/>
      <c r="L78" s="302"/>
      <c r="M78" s="300"/>
    </row>
    <row r="79" spans="1:13" x14ac:dyDescent="0.25">
      <c r="A79" s="18" t="s">
        <v>207</v>
      </c>
      <c r="B79" s="318"/>
      <c r="C79" s="319"/>
      <c r="D79" s="302"/>
      <c r="E79" s="302"/>
      <c r="F79" s="563"/>
      <c r="G79" s="319"/>
      <c r="H79" s="302"/>
      <c r="I79" s="302"/>
      <c r="J79" s="293"/>
      <c r="K79" s="293"/>
      <c r="L79" s="302"/>
      <c r="M79" s="300"/>
    </row>
    <row r="80" spans="1:13" ht="15.6" x14ac:dyDescent="0.25">
      <c r="A80" s="240" t="s">
        <v>200</v>
      </c>
      <c r="B80" s="320"/>
      <c r="C80" s="320"/>
      <c r="D80" s="302"/>
      <c r="E80" s="302"/>
      <c r="F80" s="564"/>
      <c r="G80" s="320"/>
      <c r="H80" s="302"/>
      <c r="I80" s="302"/>
      <c r="J80" s="564"/>
      <c r="K80" s="320"/>
      <c r="L80" s="302"/>
      <c r="M80" s="300"/>
    </row>
    <row r="81" spans="1:13" x14ac:dyDescent="0.25">
      <c r="A81" s="240" t="s">
        <v>201</v>
      </c>
      <c r="B81" s="320"/>
      <c r="C81" s="320"/>
      <c r="D81" s="302"/>
      <c r="E81" s="302"/>
      <c r="F81" s="564"/>
      <c r="G81" s="320"/>
      <c r="H81" s="302"/>
      <c r="I81" s="302"/>
      <c r="J81" s="564"/>
      <c r="K81" s="320"/>
      <c r="L81" s="302"/>
      <c r="M81" s="300"/>
    </row>
    <row r="82" spans="1:13" x14ac:dyDescent="0.25">
      <c r="A82" s="240" t="s">
        <v>202</v>
      </c>
      <c r="B82" s="320"/>
      <c r="C82" s="320"/>
      <c r="D82" s="302"/>
      <c r="E82" s="302"/>
      <c r="F82" s="564"/>
      <c r="G82" s="320"/>
      <c r="H82" s="302"/>
      <c r="I82" s="302"/>
      <c r="J82" s="564"/>
      <c r="K82" s="320"/>
      <c r="L82" s="302"/>
      <c r="M82" s="300"/>
    </row>
    <row r="83" spans="1:13" ht="15.6" x14ac:dyDescent="0.25">
      <c r="A83" s="240" t="s">
        <v>203</v>
      </c>
      <c r="B83" s="320"/>
      <c r="C83" s="320"/>
      <c r="D83" s="302"/>
      <c r="E83" s="302"/>
      <c r="F83" s="564"/>
      <c r="G83" s="320"/>
      <c r="H83" s="302"/>
      <c r="I83" s="302"/>
      <c r="J83" s="564"/>
      <c r="K83" s="320"/>
      <c r="L83" s="302"/>
      <c r="M83" s="300"/>
    </row>
    <row r="84" spans="1:13" x14ac:dyDescent="0.25">
      <c r="A84" s="240" t="s">
        <v>201</v>
      </c>
      <c r="B84" s="321"/>
      <c r="C84" s="322"/>
      <c r="D84" s="302"/>
      <c r="E84" s="302"/>
      <c r="F84" s="564"/>
      <c r="G84" s="320"/>
      <c r="H84" s="302"/>
      <c r="I84" s="302"/>
      <c r="J84" s="564"/>
      <c r="K84" s="320"/>
      <c r="L84" s="302"/>
      <c r="M84" s="300"/>
    </row>
    <row r="85" spans="1:13" x14ac:dyDescent="0.25">
      <c r="A85" s="240" t="s">
        <v>202</v>
      </c>
      <c r="B85" s="321"/>
      <c r="C85" s="322"/>
      <c r="D85" s="302"/>
      <c r="E85" s="302"/>
      <c r="F85" s="564"/>
      <c r="G85" s="320"/>
      <c r="H85" s="302"/>
      <c r="I85" s="302"/>
      <c r="J85" s="564"/>
      <c r="K85" s="320"/>
      <c r="L85" s="302"/>
      <c r="M85" s="300"/>
    </row>
    <row r="86" spans="1:13" ht="15.6" x14ac:dyDescent="0.25">
      <c r="A86" s="18" t="s">
        <v>208</v>
      </c>
      <c r="B86" s="305"/>
      <c r="C86" s="317"/>
      <c r="D86" s="302"/>
      <c r="E86" s="302"/>
      <c r="F86" s="293"/>
      <c r="G86" s="317"/>
      <c r="H86" s="302"/>
      <c r="I86" s="302"/>
      <c r="J86" s="293"/>
      <c r="K86" s="293"/>
      <c r="L86" s="302"/>
      <c r="M86" s="300"/>
    </row>
    <row r="87" spans="1:13" ht="15.6" x14ac:dyDescent="0.25">
      <c r="A87" s="10" t="s">
        <v>172</v>
      </c>
      <c r="B87" s="316"/>
      <c r="C87" s="316"/>
      <c r="D87" s="302"/>
      <c r="E87" s="302"/>
      <c r="F87" s="565"/>
      <c r="G87" s="316"/>
      <c r="H87" s="302"/>
      <c r="I87" s="302"/>
      <c r="J87" s="295"/>
      <c r="K87" s="295"/>
      <c r="L87" s="302"/>
      <c r="M87" s="300"/>
    </row>
    <row r="88" spans="1:13" x14ac:dyDescent="0.25">
      <c r="A88" s="18" t="s">
        <v>198</v>
      </c>
      <c r="B88" s="305"/>
      <c r="C88" s="317"/>
      <c r="D88" s="302"/>
      <c r="E88" s="302"/>
      <c r="F88" s="293"/>
      <c r="G88" s="317"/>
      <c r="H88" s="302"/>
      <c r="I88" s="302"/>
      <c r="J88" s="293"/>
      <c r="K88" s="293"/>
      <c r="L88" s="302"/>
      <c r="M88" s="300"/>
    </row>
    <row r="89" spans="1:13" x14ac:dyDescent="0.25">
      <c r="A89" s="18" t="s">
        <v>199</v>
      </c>
      <c r="B89" s="305"/>
      <c r="C89" s="317"/>
      <c r="D89" s="302"/>
      <c r="E89" s="302"/>
      <c r="F89" s="293"/>
      <c r="G89" s="317"/>
      <c r="H89" s="302"/>
      <c r="I89" s="302"/>
      <c r="J89" s="293"/>
      <c r="K89" s="293"/>
      <c r="L89" s="302"/>
      <c r="M89" s="300"/>
    </row>
    <row r="90" spans="1:13" ht="15.6" x14ac:dyDescent="0.25">
      <c r="A90" s="240" t="s">
        <v>200</v>
      </c>
      <c r="B90" s="320"/>
      <c r="C90" s="320"/>
      <c r="D90" s="302"/>
      <c r="E90" s="302"/>
      <c r="F90" s="564"/>
      <c r="G90" s="320"/>
      <c r="H90" s="302"/>
      <c r="I90" s="302"/>
      <c r="J90" s="564"/>
      <c r="K90" s="320"/>
      <c r="L90" s="302"/>
      <c r="M90" s="300"/>
    </row>
    <row r="91" spans="1:13" x14ac:dyDescent="0.25">
      <c r="A91" s="240" t="s">
        <v>201</v>
      </c>
      <c r="B91" s="320"/>
      <c r="C91" s="320"/>
      <c r="D91" s="302"/>
      <c r="E91" s="302"/>
      <c r="F91" s="564"/>
      <c r="G91" s="320"/>
      <c r="H91" s="302"/>
      <c r="I91" s="302"/>
      <c r="J91" s="564"/>
      <c r="K91" s="320"/>
      <c r="L91" s="302"/>
      <c r="M91" s="300"/>
    </row>
    <row r="92" spans="1:13" x14ac:dyDescent="0.25">
      <c r="A92" s="240" t="s">
        <v>202</v>
      </c>
      <c r="B92" s="320"/>
      <c r="C92" s="320"/>
      <c r="D92" s="302"/>
      <c r="E92" s="302"/>
      <c r="F92" s="564"/>
      <c r="G92" s="320"/>
      <c r="H92" s="302"/>
      <c r="I92" s="302"/>
      <c r="J92" s="564"/>
      <c r="K92" s="320"/>
      <c r="L92" s="302"/>
      <c r="M92" s="300"/>
    </row>
    <row r="93" spans="1:13" ht="15.6" x14ac:dyDescent="0.25">
      <c r="A93" s="240" t="s">
        <v>203</v>
      </c>
      <c r="B93" s="320"/>
      <c r="C93" s="320"/>
      <c r="D93" s="302"/>
      <c r="E93" s="302"/>
      <c r="F93" s="564"/>
      <c r="G93" s="320"/>
      <c r="H93" s="302"/>
      <c r="I93" s="302"/>
      <c r="J93" s="564"/>
      <c r="K93" s="320"/>
      <c r="L93" s="302"/>
      <c r="M93" s="300"/>
    </row>
    <row r="94" spans="1:13" x14ac:dyDescent="0.25">
      <c r="A94" s="240" t="s">
        <v>201</v>
      </c>
      <c r="B94" s="320"/>
      <c r="C94" s="320"/>
      <c r="D94" s="302"/>
      <c r="E94" s="302"/>
      <c r="F94" s="564"/>
      <c r="G94" s="320"/>
      <c r="H94" s="302"/>
      <c r="I94" s="302"/>
      <c r="J94" s="564"/>
      <c r="K94" s="320"/>
      <c r="L94" s="302"/>
      <c r="M94" s="300"/>
    </row>
    <row r="95" spans="1:13" x14ac:dyDescent="0.25">
      <c r="A95" s="240" t="s">
        <v>202</v>
      </c>
      <c r="B95" s="320"/>
      <c r="C95" s="320"/>
      <c r="D95" s="302"/>
      <c r="E95" s="302"/>
      <c r="F95" s="564"/>
      <c r="G95" s="320"/>
      <c r="H95" s="302"/>
      <c r="I95" s="302"/>
      <c r="J95" s="564"/>
      <c r="K95" s="320"/>
      <c r="L95" s="302"/>
      <c r="M95" s="300"/>
    </row>
    <row r="96" spans="1:13" x14ac:dyDescent="0.25">
      <c r="A96" s="18" t="s">
        <v>222</v>
      </c>
      <c r="B96" s="305"/>
      <c r="C96" s="317"/>
      <c r="D96" s="302"/>
      <c r="E96" s="302"/>
      <c r="F96" s="293"/>
      <c r="G96" s="317"/>
      <c r="H96" s="302"/>
      <c r="I96" s="302"/>
      <c r="J96" s="293"/>
      <c r="K96" s="293"/>
      <c r="L96" s="302"/>
      <c r="M96" s="300"/>
    </row>
    <row r="97" spans="1:13" x14ac:dyDescent="0.25">
      <c r="A97" s="18" t="s">
        <v>223</v>
      </c>
      <c r="B97" s="305"/>
      <c r="C97" s="317"/>
      <c r="D97" s="302"/>
      <c r="E97" s="302"/>
      <c r="F97" s="293"/>
      <c r="G97" s="317"/>
      <c r="H97" s="302"/>
      <c r="I97" s="302"/>
      <c r="J97" s="293"/>
      <c r="K97" s="293"/>
      <c r="L97" s="302"/>
      <c r="M97" s="300"/>
    </row>
    <row r="98" spans="1:13" ht="15.6" x14ac:dyDescent="0.25">
      <c r="A98" s="18" t="s">
        <v>206</v>
      </c>
      <c r="B98" s="305"/>
      <c r="C98" s="305"/>
      <c r="D98" s="302"/>
      <c r="E98" s="302"/>
      <c r="F98" s="563"/>
      <c r="G98" s="318"/>
      <c r="H98" s="302"/>
      <c r="I98" s="302"/>
      <c r="J98" s="293"/>
      <c r="K98" s="293"/>
      <c r="L98" s="302"/>
      <c r="M98" s="300"/>
    </row>
    <row r="99" spans="1:13" x14ac:dyDescent="0.25">
      <c r="A99" s="18" t="s">
        <v>198</v>
      </c>
      <c r="B99" s="318"/>
      <c r="C99" s="319"/>
      <c r="D99" s="302"/>
      <c r="E99" s="302"/>
      <c r="F99" s="293"/>
      <c r="G99" s="317"/>
      <c r="H99" s="302"/>
      <c r="I99" s="302"/>
      <c r="J99" s="293"/>
      <c r="K99" s="293"/>
      <c r="L99" s="302"/>
      <c r="M99" s="300"/>
    </row>
    <row r="100" spans="1:13" x14ac:dyDescent="0.25">
      <c r="A100" s="18" t="s">
        <v>207</v>
      </c>
      <c r="B100" s="318"/>
      <c r="C100" s="319"/>
      <c r="D100" s="302"/>
      <c r="E100" s="302"/>
      <c r="F100" s="293"/>
      <c r="G100" s="305"/>
      <c r="H100" s="302"/>
      <c r="I100" s="302"/>
      <c r="J100" s="293"/>
      <c r="K100" s="293"/>
      <c r="L100" s="302"/>
      <c r="M100" s="300"/>
    </row>
    <row r="101" spans="1:13" ht="15.6" x14ac:dyDescent="0.25">
      <c r="A101" s="240" t="s">
        <v>200</v>
      </c>
      <c r="B101" s="320"/>
      <c r="C101" s="320"/>
      <c r="D101" s="302"/>
      <c r="E101" s="302"/>
      <c r="F101" s="564"/>
      <c r="G101" s="320"/>
      <c r="H101" s="302"/>
      <c r="I101" s="302"/>
      <c r="J101" s="564"/>
      <c r="K101" s="320"/>
      <c r="L101" s="302"/>
      <c r="M101" s="300"/>
    </row>
    <row r="102" spans="1:13" x14ac:dyDescent="0.25">
      <c r="A102" s="240" t="s">
        <v>201</v>
      </c>
      <c r="B102" s="320"/>
      <c r="C102" s="320"/>
      <c r="D102" s="302"/>
      <c r="E102" s="302"/>
      <c r="F102" s="564"/>
      <c r="G102" s="320"/>
      <c r="H102" s="302"/>
      <c r="I102" s="302"/>
      <c r="J102" s="564"/>
      <c r="K102" s="320"/>
      <c r="L102" s="302"/>
      <c r="M102" s="300"/>
    </row>
    <row r="103" spans="1:13" x14ac:dyDescent="0.25">
      <c r="A103" s="240" t="s">
        <v>202</v>
      </c>
      <c r="B103" s="320"/>
      <c r="C103" s="320"/>
      <c r="D103" s="302"/>
      <c r="E103" s="302"/>
      <c r="F103" s="564"/>
      <c r="G103" s="320"/>
      <c r="H103" s="302"/>
      <c r="I103" s="302"/>
      <c r="J103" s="564"/>
      <c r="K103" s="320"/>
      <c r="L103" s="302"/>
      <c r="M103" s="300"/>
    </row>
    <row r="104" spans="1:13" ht="15.6" x14ac:dyDescent="0.25">
      <c r="A104" s="240" t="s">
        <v>203</v>
      </c>
      <c r="B104" s="320"/>
      <c r="C104" s="320"/>
      <c r="D104" s="302"/>
      <c r="E104" s="302"/>
      <c r="F104" s="564"/>
      <c r="G104" s="320"/>
      <c r="H104" s="302"/>
      <c r="I104" s="302"/>
      <c r="J104" s="564"/>
      <c r="K104" s="320"/>
      <c r="L104" s="302"/>
      <c r="M104" s="300"/>
    </row>
    <row r="105" spans="1:13" x14ac:dyDescent="0.25">
      <c r="A105" s="240" t="s">
        <v>201</v>
      </c>
      <c r="B105" s="321"/>
      <c r="C105" s="322"/>
      <c r="D105" s="302"/>
      <c r="E105" s="302"/>
      <c r="F105" s="564"/>
      <c r="G105" s="320"/>
      <c r="H105" s="302"/>
      <c r="I105" s="302"/>
      <c r="J105" s="564"/>
      <c r="K105" s="320"/>
      <c r="L105" s="302"/>
      <c r="M105" s="300"/>
    </row>
    <row r="106" spans="1:13" x14ac:dyDescent="0.25">
      <c r="A106" s="240" t="s">
        <v>202</v>
      </c>
      <c r="B106" s="321"/>
      <c r="C106" s="322"/>
      <c r="D106" s="302"/>
      <c r="E106" s="302"/>
      <c r="F106" s="564"/>
      <c r="G106" s="320"/>
      <c r="H106" s="302"/>
      <c r="I106" s="302"/>
      <c r="J106" s="564"/>
      <c r="K106" s="320"/>
      <c r="L106" s="302"/>
      <c r="M106" s="300"/>
    </row>
    <row r="107" spans="1:13" ht="15.6" x14ac:dyDescent="0.25">
      <c r="A107" s="18" t="s">
        <v>208</v>
      </c>
      <c r="B107" s="305"/>
      <c r="C107" s="317"/>
      <c r="D107" s="302"/>
      <c r="E107" s="302"/>
      <c r="F107" s="293"/>
      <c r="G107" s="317"/>
      <c r="H107" s="302"/>
      <c r="I107" s="302"/>
      <c r="J107" s="293"/>
      <c r="K107" s="293"/>
      <c r="L107" s="302"/>
      <c r="M107" s="300"/>
    </row>
    <row r="108" spans="1:13" ht="15.6" x14ac:dyDescent="0.25">
      <c r="A108" s="18" t="s">
        <v>209</v>
      </c>
      <c r="B108" s="305"/>
      <c r="C108" s="305"/>
      <c r="D108" s="302"/>
      <c r="E108" s="302"/>
      <c r="F108" s="293"/>
      <c r="G108" s="305"/>
      <c r="H108" s="302"/>
      <c r="I108" s="302"/>
      <c r="J108" s="293"/>
      <c r="K108" s="293"/>
      <c r="L108" s="302"/>
      <c r="M108" s="300"/>
    </row>
    <row r="109" spans="1:13" ht="15.6" x14ac:dyDescent="0.25">
      <c r="A109" s="18" t="s">
        <v>210</v>
      </c>
      <c r="B109" s="305"/>
      <c r="C109" s="305"/>
      <c r="D109" s="302"/>
      <c r="E109" s="302"/>
      <c r="F109" s="293"/>
      <c r="G109" s="305"/>
      <c r="H109" s="302"/>
      <c r="I109" s="302"/>
      <c r="J109" s="293"/>
      <c r="K109" s="293"/>
      <c r="L109" s="302"/>
      <c r="M109" s="300"/>
    </row>
    <row r="110" spans="1:13" ht="15.6" x14ac:dyDescent="0.25">
      <c r="A110" s="18" t="s">
        <v>211</v>
      </c>
      <c r="B110" s="305"/>
      <c r="C110" s="305"/>
      <c r="D110" s="302"/>
      <c r="E110" s="302"/>
      <c r="F110" s="293"/>
      <c r="G110" s="305"/>
      <c r="H110" s="302"/>
      <c r="I110" s="302"/>
      <c r="J110" s="293"/>
      <c r="K110" s="293"/>
      <c r="L110" s="302"/>
      <c r="M110" s="300"/>
    </row>
    <row r="111" spans="1:13" ht="15.6" x14ac:dyDescent="0.25">
      <c r="A111" s="10" t="s">
        <v>173</v>
      </c>
      <c r="B111" s="301"/>
      <c r="C111" s="323"/>
      <c r="D111" s="302"/>
      <c r="E111" s="302"/>
      <c r="F111" s="295"/>
      <c r="G111" s="323"/>
      <c r="H111" s="302"/>
      <c r="I111" s="302"/>
      <c r="J111" s="295"/>
      <c r="K111" s="295"/>
      <c r="L111" s="302"/>
      <c r="M111" s="300"/>
    </row>
    <row r="112" spans="1:13" x14ac:dyDescent="0.25">
      <c r="A112" s="18" t="s">
        <v>198</v>
      </c>
      <c r="B112" s="305"/>
      <c r="C112" s="317"/>
      <c r="D112" s="302"/>
      <c r="E112" s="302"/>
      <c r="F112" s="293"/>
      <c r="G112" s="317"/>
      <c r="H112" s="302"/>
      <c r="I112" s="302"/>
      <c r="J112" s="293"/>
      <c r="K112" s="293"/>
      <c r="L112" s="302"/>
      <c r="M112" s="300"/>
    </row>
    <row r="113" spans="1:13" x14ac:dyDescent="0.25">
      <c r="A113" s="18" t="s">
        <v>199</v>
      </c>
      <c r="B113" s="305"/>
      <c r="C113" s="317"/>
      <c r="D113" s="302"/>
      <c r="E113" s="302"/>
      <c r="F113" s="293"/>
      <c r="G113" s="317"/>
      <c r="H113" s="302"/>
      <c r="I113" s="302"/>
      <c r="J113" s="293"/>
      <c r="K113" s="293"/>
      <c r="L113" s="302"/>
      <c r="M113" s="300"/>
    </row>
    <row r="114" spans="1:13" x14ac:dyDescent="0.25">
      <c r="A114" s="18" t="s">
        <v>212</v>
      </c>
      <c r="B114" s="305"/>
      <c r="C114" s="317"/>
      <c r="D114" s="302"/>
      <c r="E114" s="302"/>
      <c r="F114" s="293"/>
      <c r="G114" s="317"/>
      <c r="H114" s="302"/>
      <c r="I114" s="302"/>
      <c r="J114" s="293"/>
      <c r="K114" s="293"/>
      <c r="L114" s="302"/>
      <c r="M114" s="300"/>
    </row>
    <row r="115" spans="1:13" x14ac:dyDescent="0.25">
      <c r="A115" s="555" t="s">
        <v>213</v>
      </c>
      <c r="B115" s="293"/>
      <c r="C115" s="293"/>
      <c r="D115" s="302"/>
      <c r="E115" s="302"/>
      <c r="F115" s="293"/>
      <c r="G115" s="293"/>
      <c r="H115" s="302"/>
      <c r="I115" s="302"/>
      <c r="J115" s="292"/>
      <c r="K115" s="292"/>
      <c r="L115" s="302"/>
      <c r="M115" s="300"/>
    </row>
    <row r="116" spans="1:13" ht="15.6" x14ac:dyDescent="0.25">
      <c r="A116" s="18" t="s">
        <v>214</v>
      </c>
      <c r="B116" s="305"/>
      <c r="C116" s="305"/>
      <c r="D116" s="302"/>
      <c r="E116" s="302"/>
      <c r="F116" s="293"/>
      <c r="G116" s="305"/>
      <c r="H116" s="302"/>
      <c r="I116" s="302"/>
      <c r="J116" s="293"/>
      <c r="K116" s="293"/>
      <c r="L116" s="302"/>
      <c r="M116" s="300"/>
    </row>
    <row r="117" spans="1:13" ht="15.6" x14ac:dyDescent="0.25">
      <c r="A117" s="18" t="s">
        <v>210</v>
      </c>
      <c r="B117" s="305"/>
      <c r="C117" s="305"/>
      <c r="D117" s="302"/>
      <c r="E117" s="302"/>
      <c r="F117" s="293"/>
      <c r="G117" s="305"/>
      <c r="H117" s="302"/>
      <c r="I117" s="302"/>
      <c r="J117" s="293"/>
      <c r="K117" s="293"/>
      <c r="L117" s="302"/>
      <c r="M117" s="300"/>
    </row>
    <row r="118" spans="1:13" ht="15.6" x14ac:dyDescent="0.25">
      <c r="A118" s="18" t="s">
        <v>211</v>
      </c>
      <c r="B118" s="305"/>
      <c r="C118" s="305"/>
      <c r="D118" s="302"/>
      <c r="E118" s="302"/>
      <c r="F118" s="293"/>
      <c r="G118" s="305"/>
      <c r="H118" s="302"/>
      <c r="I118" s="302"/>
      <c r="J118" s="293"/>
      <c r="K118" s="293"/>
      <c r="L118" s="302"/>
      <c r="M118" s="300"/>
    </row>
    <row r="119" spans="1:13" ht="15.6" x14ac:dyDescent="0.25">
      <c r="A119" s="10" t="s">
        <v>174</v>
      </c>
      <c r="B119" s="301"/>
      <c r="C119" s="323"/>
      <c r="D119" s="302"/>
      <c r="E119" s="302"/>
      <c r="F119" s="295"/>
      <c r="G119" s="323"/>
      <c r="H119" s="302"/>
      <c r="I119" s="302"/>
      <c r="J119" s="295"/>
      <c r="K119" s="295"/>
      <c r="L119" s="302"/>
      <c r="M119" s="300"/>
    </row>
    <row r="120" spans="1:13" x14ac:dyDescent="0.25">
      <c r="A120" s="18" t="s">
        <v>198</v>
      </c>
      <c r="B120" s="305"/>
      <c r="C120" s="317"/>
      <c r="D120" s="302"/>
      <c r="E120" s="302"/>
      <c r="F120" s="293"/>
      <c r="G120" s="317"/>
      <c r="H120" s="302"/>
      <c r="I120" s="302"/>
      <c r="J120" s="293"/>
      <c r="K120" s="293"/>
      <c r="L120" s="302"/>
      <c r="M120" s="300"/>
    </row>
    <row r="121" spans="1:13" x14ac:dyDescent="0.25">
      <c r="A121" s="18" t="s">
        <v>199</v>
      </c>
      <c r="B121" s="305"/>
      <c r="C121" s="317"/>
      <c r="D121" s="302"/>
      <c r="E121" s="302"/>
      <c r="F121" s="293"/>
      <c r="G121" s="317"/>
      <c r="H121" s="302"/>
      <c r="I121" s="302"/>
      <c r="J121" s="293"/>
      <c r="K121" s="293"/>
      <c r="L121" s="302"/>
      <c r="M121" s="300"/>
    </row>
    <row r="122" spans="1:13" x14ac:dyDescent="0.25">
      <c r="A122" s="18" t="s">
        <v>212</v>
      </c>
      <c r="B122" s="305"/>
      <c r="C122" s="317"/>
      <c r="D122" s="302"/>
      <c r="E122" s="302"/>
      <c r="F122" s="293"/>
      <c r="G122" s="317"/>
      <c r="H122" s="302"/>
      <c r="I122" s="302"/>
      <c r="J122" s="293"/>
      <c r="K122" s="293"/>
      <c r="L122" s="302"/>
      <c r="M122" s="300"/>
    </row>
    <row r="123" spans="1:13" x14ac:dyDescent="0.25">
      <c r="A123" s="555" t="s">
        <v>215</v>
      </c>
      <c r="B123" s="293"/>
      <c r="C123" s="293"/>
      <c r="D123" s="302"/>
      <c r="E123" s="302"/>
      <c r="F123" s="293"/>
      <c r="G123" s="293"/>
      <c r="H123" s="302"/>
      <c r="I123" s="302"/>
      <c r="J123" s="292"/>
      <c r="K123" s="292"/>
      <c r="L123" s="302"/>
      <c r="M123" s="300"/>
    </row>
    <row r="124" spans="1:13" ht="15.6" x14ac:dyDescent="0.25">
      <c r="A124" s="18" t="s">
        <v>224</v>
      </c>
      <c r="B124" s="305"/>
      <c r="C124" s="305"/>
      <c r="D124" s="302"/>
      <c r="E124" s="302"/>
      <c r="F124" s="293"/>
      <c r="G124" s="305"/>
      <c r="H124" s="302"/>
      <c r="I124" s="302"/>
      <c r="J124" s="293"/>
      <c r="K124" s="293"/>
      <c r="L124" s="302"/>
      <c r="M124" s="300"/>
    </row>
    <row r="125" spans="1:13" ht="15.6" x14ac:dyDescent="0.25">
      <c r="A125" s="18" t="s">
        <v>210</v>
      </c>
      <c r="B125" s="305"/>
      <c r="C125" s="305"/>
      <c r="D125" s="302"/>
      <c r="E125" s="302"/>
      <c r="F125" s="293"/>
      <c r="G125" s="305"/>
      <c r="H125" s="302"/>
      <c r="I125" s="302"/>
      <c r="J125" s="293"/>
      <c r="K125" s="293"/>
      <c r="L125" s="302"/>
      <c r="M125" s="300"/>
    </row>
    <row r="126" spans="1:13" ht="15.6" x14ac:dyDescent="0.25">
      <c r="A126" s="7" t="s">
        <v>211</v>
      </c>
      <c r="B126" s="314"/>
      <c r="C126" s="314"/>
      <c r="D126" s="306"/>
      <c r="E126" s="306"/>
      <c r="F126" s="314"/>
      <c r="G126" s="314"/>
      <c r="H126" s="306"/>
      <c r="I126" s="306"/>
      <c r="J126" s="314"/>
      <c r="K126" s="314"/>
      <c r="L126" s="306"/>
      <c r="M126" s="306"/>
    </row>
    <row r="127" spans="1:13" x14ac:dyDescent="0.25">
      <c r="A127" s="115"/>
    </row>
    <row r="129" spans="1:14" ht="15.6" x14ac:dyDescent="0.3">
      <c r="A129" s="110" t="s">
        <v>216</v>
      </c>
    </row>
    <row r="130" spans="1:14" ht="15.6" x14ac:dyDescent="0.3">
      <c r="B130" s="245"/>
      <c r="C130" s="245"/>
      <c r="D130" s="245"/>
      <c r="E130" s="242"/>
      <c r="F130" s="245"/>
      <c r="G130" s="245"/>
      <c r="H130" s="245"/>
      <c r="I130" s="242"/>
      <c r="J130" s="245"/>
      <c r="K130" s="245"/>
      <c r="L130" s="245"/>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247"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295"/>
      <c r="C134" s="296"/>
      <c r="D134" s="299"/>
      <c r="E134" s="300"/>
      <c r="F134" s="290"/>
      <c r="G134" s="291"/>
      <c r="H134" s="325"/>
      <c r="I134" s="300"/>
      <c r="J134" s="308"/>
      <c r="K134" s="308"/>
      <c r="L134" s="299"/>
      <c r="M134" s="300"/>
    </row>
    <row r="135" spans="1:14" ht="15.6" x14ac:dyDescent="0.25">
      <c r="A135" s="10" t="s">
        <v>225</v>
      </c>
      <c r="B135" s="295"/>
      <c r="C135" s="296"/>
      <c r="D135" s="302"/>
      <c r="E135" s="300"/>
      <c r="F135" s="295"/>
      <c r="G135" s="296"/>
      <c r="H135" s="326"/>
      <c r="I135" s="300"/>
      <c r="J135" s="301"/>
      <c r="K135" s="301"/>
      <c r="L135" s="302"/>
      <c r="M135" s="300"/>
    </row>
    <row r="136" spans="1:14" ht="15.6" x14ac:dyDescent="0.25">
      <c r="A136" s="10" t="s">
        <v>219</v>
      </c>
      <c r="B136" s="295"/>
      <c r="C136" s="296"/>
      <c r="D136" s="302"/>
      <c r="E136" s="300"/>
      <c r="F136" s="295"/>
      <c r="G136" s="296"/>
      <c r="H136" s="326"/>
      <c r="I136" s="300"/>
      <c r="J136" s="301"/>
      <c r="K136" s="301"/>
      <c r="L136" s="302"/>
      <c r="M136" s="300"/>
    </row>
    <row r="137" spans="1:14" ht="15.6" x14ac:dyDescent="0.25">
      <c r="A137" s="33" t="s">
        <v>220</v>
      </c>
      <c r="B137" s="297"/>
      <c r="C137" s="298"/>
      <c r="D137" s="306"/>
      <c r="E137" s="324"/>
      <c r="F137" s="297"/>
      <c r="G137" s="298"/>
      <c r="H137" s="327"/>
      <c r="I137" s="324"/>
      <c r="J137" s="307"/>
      <c r="K137" s="307"/>
      <c r="L137" s="306"/>
      <c r="M137" s="306"/>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13">
    <mergeCell ref="B44:D44"/>
    <mergeCell ref="B63:D63"/>
    <mergeCell ref="F63:H63"/>
    <mergeCell ref="J63:L63"/>
    <mergeCell ref="B131:D131"/>
    <mergeCell ref="F131:H131"/>
    <mergeCell ref="J131:L131"/>
    <mergeCell ref="B4:D4"/>
    <mergeCell ref="F4:H4"/>
    <mergeCell ref="J4:L4"/>
    <mergeCell ref="B19:D19"/>
    <mergeCell ref="F19:H19"/>
    <mergeCell ref="J19:L19"/>
  </mergeCells>
  <conditionalFormatting sqref="A50:A52">
    <cfRule type="expression" dxfId="449" priority="7">
      <formula>kvartal &lt; 4</formula>
    </cfRule>
  </conditionalFormatting>
  <conditionalFormatting sqref="A69:A74">
    <cfRule type="expression" dxfId="448" priority="6">
      <formula>kvartal &lt; 4</formula>
    </cfRule>
  </conditionalFormatting>
  <conditionalFormatting sqref="A80:A85">
    <cfRule type="expression" dxfId="447" priority="5">
      <formula>kvartal &lt; 4</formula>
    </cfRule>
  </conditionalFormatting>
  <conditionalFormatting sqref="A90:A95">
    <cfRule type="expression" dxfId="446" priority="4">
      <formula>kvartal &lt; 4</formula>
    </cfRule>
  </conditionalFormatting>
  <conditionalFormatting sqref="A101:A106">
    <cfRule type="expression" dxfId="445" priority="3">
      <formula>kvartal &lt; 4</formula>
    </cfRule>
  </conditionalFormatting>
  <conditionalFormatting sqref="A115:C115">
    <cfRule type="expression" dxfId="444" priority="2">
      <formula>kvartal &lt; 4</formula>
    </cfRule>
  </conditionalFormatting>
  <conditionalFormatting sqref="A123:C123">
    <cfRule type="expression" dxfId="443" priority="1">
      <formula>kvartal &lt; 4</formula>
    </cfRule>
  </conditionalFormatting>
  <conditionalFormatting sqref="B69:C69">
    <cfRule type="expression" dxfId="442" priority="57">
      <formula>kvartal &lt; 4</formula>
    </cfRule>
  </conditionalFormatting>
  <conditionalFormatting sqref="B72:C72">
    <cfRule type="expression" dxfId="441" priority="55">
      <formula>kvartal &lt; 4</formula>
    </cfRule>
  </conditionalFormatting>
  <conditionalFormatting sqref="F115:G115">
    <cfRule type="expression" dxfId="440" priority="27">
      <formula>kvartal &lt; 4</formula>
    </cfRule>
  </conditionalFormatting>
  <conditionalFormatting sqref="F123:G123">
    <cfRule type="expression" dxfId="439" priority="26">
      <formula>kvartal &lt; 4</formula>
    </cfRule>
  </conditionalFormatting>
  <conditionalFormatting sqref="J115:K115">
    <cfRule type="expression" dxfId="438" priority="9">
      <formula>kvartal &lt; 4</formula>
    </cfRule>
  </conditionalFormatting>
  <conditionalFormatting sqref="J123:K123">
    <cfRule type="expression" dxfId="437" priority="8">
      <formula>kvartal &lt; 4</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4"/>
  <dimension ref="A1:Q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7" x14ac:dyDescent="0.25">
      <c r="A1" s="128" t="s">
        <v>221</v>
      </c>
      <c r="B1" s="558"/>
      <c r="C1" s="197" t="s">
        <v>400</v>
      </c>
    </row>
    <row r="2" spans="1:17" ht="15.6" x14ac:dyDescent="0.3">
      <c r="A2" s="110" t="s">
        <v>166</v>
      </c>
      <c r="B2" s="594"/>
      <c r="C2" s="594"/>
      <c r="D2" s="594"/>
      <c r="E2" s="242"/>
      <c r="F2" s="594"/>
      <c r="G2" s="594"/>
      <c r="H2" s="594"/>
      <c r="I2" s="242"/>
      <c r="J2" s="594"/>
      <c r="K2" s="594"/>
      <c r="L2" s="594"/>
      <c r="M2" s="242"/>
    </row>
    <row r="3" spans="1:17" ht="15.6" x14ac:dyDescent="0.3">
      <c r="A3" s="122"/>
      <c r="B3" s="242"/>
      <c r="C3" s="242"/>
      <c r="D3" s="242"/>
      <c r="E3" s="242"/>
      <c r="F3" s="242"/>
      <c r="G3" s="242"/>
      <c r="H3" s="242"/>
      <c r="I3" s="242"/>
      <c r="J3" s="242"/>
      <c r="K3" s="242"/>
      <c r="L3" s="242"/>
      <c r="M3" s="242"/>
    </row>
    <row r="4" spans="1:17" x14ac:dyDescent="0.25">
      <c r="A4" s="108"/>
      <c r="B4" s="590" t="s">
        <v>46</v>
      </c>
      <c r="C4" s="591"/>
      <c r="D4" s="591"/>
      <c r="E4" s="244"/>
      <c r="F4" s="590" t="s">
        <v>69</v>
      </c>
      <c r="G4" s="591"/>
      <c r="H4" s="591"/>
      <c r="I4" s="246"/>
      <c r="J4" s="590" t="s">
        <v>120</v>
      </c>
      <c r="K4" s="591"/>
      <c r="L4" s="591"/>
      <c r="M4" s="246"/>
    </row>
    <row r="5" spans="1:17"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7" x14ac:dyDescent="0.25">
      <c r="A6" s="556"/>
      <c r="B6" s="116"/>
      <c r="C6" s="116"/>
      <c r="D6" s="195" t="s">
        <v>168</v>
      </c>
      <c r="E6" s="116" t="s">
        <v>88</v>
      </c>
      <c r="F6" s="120"/>
      <c r="G6" s="120"/>
      <c r="H6" s="193" t="s">
        <v>168</v>
      </c>
      <c r="I6" s="116" t="s">
        <v>88</v>
      </c>
      <c r="J6" s="120"/>
      <c r="K6" s="120"/>
      <c r="L6" s="193" t="s">
        <v>168</v>
      </c>
      <c r="M6" s="116" t="s">
        <v>88</v>
      </c>
    </row>
    <row r="7" spans="1:17" ht="15.6" x14ac:dyDescent="0.25">
      <c r="A7" s="11" t="s">
        <v>169</v>
      </c>
      <c r="B7" s="248">
        <v>307454</v>
      </c>
      <c r="C7" s="249">
        <v>313067</v>
      </c>
      <c r="D7" s="285">
        <f>IF(B7=0, "    ---- ", IF(ABS(ROUND(100/B7*C7-100,1))&lt;999,ROUND(100/B7*C7-100,1),IF(ROUND(100/B7*C7-100,1)&gt;999,999,-999)))</f>
        <v>1.8</v>
      </c>
      <c r="E7" s="8">
        <f>IFERROR(100/'Skjema total MA'!C7*C7,0)</f>
        <v>14.914916261562482</v>
      </c>
      <c r="F7" s="248"/>
      <c r="G7" s="249"/>
      <c r="H7" s="285"/>
      <c r="I7" s="119"/>
      <c r="J7" s="250">
        <f t="shared" ref="J7:K10" si="0">SUM(B7,F7)</f>
        <v>307454</v>
      </c>
      <c r="K7" s="251">
        <f t="shared" si="0"/>
        <v>313067</v>
      </c>
      <c r="L7" s="341">
        <f>IF(J7=0, "    ---- ", IF(ABS(ROUND(100/J7*K7-100,1))&lt;999,ROUND(100/J7*K7-100,1),IF(ROUND(100/J7*K7-100,1)&gt;999,999,-999)))</f>
        <v>1.8</v>
      </c>
      <c r="M7" s="8">
        <f>IFERROR(100/'Skjema total MA'!I7*K7,0)</f>
        <v>5.3452687420817622</v>
      </c>
    </row>
    <row r="8" spans="1:17" ht="15.6" x14ac:dyDescent="0.25">
      <c r="A8" s="18" t="s">
        <v>170</v>
      </c>
      <c r="B8" s="228">
        <v>273399</v>
      </c>
      <c r="C8" s="229">
        <v>276568</v>
      </c>
      <c r="D8" s="123">
        <f t="shared" ref="D8:D10" si="1">IF(B8=0, "    ---- ", IF(ABS(ROUND(100/B8*C8-100,1))&lt;999,ROUND(100/B8*C8-100,1),IF(ROUND(100/B8*C8-100,1)&gt;999,999,-999)))</f>
        <v>1.2</v>
      </c>
      <c r="E8" s="23">
        <f>IFERROR(100/'Skjema total MA'!C8*C8,0)</f>
        <v>19.260121530097717</v>
      </c>
      <c r="F8" s="232"/>
      <c r="G8" s="233"/>
      <c r="H8" s="123"/>
      <c r="I8" s="132"/>
      <c r="J8" s="181">
        <f t="shared" si="0"/>
        <v>273399</v>
      </c>
      <c r="K8" s="234">
        <f t="shared" si="0"/>
        <v>276568</v>
      </c>
      <c r="L8" s="123">
        <f t="shared" ref="L8:L9" si="2">IF(J8=0, "    ---- ", IF(ABS(ROUND(100/J8*K8-100,1))&lt;999,ROUND(100/J8*K8-100,1),IF(ROUND(100/J8*K8-100,1)&gt;999,999,-999)))</f>
        <v>1.2</v>
      </c>
      <c r="M8" s="23">
        <f>IFERROR(100/'Skjema total MA'!I8*K8,0)</f>
        <v>19.260121530097717</v>
      </c>
    </row>
    <row r="9" spans="1:17" ht="15.6" x14ac:dyDescent="0.25">
      <c r="A9" s="18" t="s">
        <v>171</v>
      </c>
      <c r="B9" s="228">
        <v>34055</v>
      </c>
      <c r="C9" s="229">
        <v>36499</v>
      </c>
      <c r="D9" s="123">
        <f t="shared" si="1"/>
        <v>7.2</v>
      </c>
      <c r="E9" s="23">
        <f>IFERROR(100/'Skjema total MA'!C9*C9,0)</f>
        <v>8.5416206027632686</v>
      </c>
      <c r="F9" s="232"/>
      <c r="G9" s="233"/>
      <c r="H9" s="123"/>
      <c r="I9" s="132"/>
      <c r="J9" s="181">
        <f t="shared" si="0"/>
        <v>34055</v>
      </c>
      <c r="K9" s="234">
        <f t="shared" si="0"/>
        <v>36499</v>
      </c>
      <c r="L9" s="123">
        <f t="shared" si="2"/>
        <v>7.2</v>
      </c>
      <c r="M9" s="23">
        <f>IFERROR(100/'Skjema total MA'!I9*K9,0)</f>
        <v>8.5416206027632686</v>
      </c>
    </row>
    <row r="10" spans="1:17" ht="15.6" x14ac:dyDescent="0.25">
      <c r="A10" s="10" t="s">
        <v>172</v>
      </c>
      <c r="B10" s="252">
        <v>318557</v>
      </c>
      <c r="C10" s="253">
        <v>324244</v>
      </c>
      <c r="D10" s="127">
        <f t="shared" si="1"/>
        <v>1.8</v>
      </c>
      <c r="E10" s="8">
        <f>IFERROR(100/'Skjema total MA'!C10*C10,0)</f>
        <v>2.5379267835610637</v>
      </c>
      <c r="F10" s="252"/>
      <c r="G10" s="253"/>
      <c r="H10" s="127"/>
      <c r="I10" s="119"/>
      <c r="J10" s="250">
        <f t="shared" si="0"/>
        <v>318557</v>
      </c>
      <c r="K10" s="251">
        <f t="shared" si="0"/>
        <v>324244</v>
      </c>
      <c r="L10" s="342">
        <f t="shared" ref="L10" si="3">IF(J10=0, "    ---- ", IF(ABS(ROUND(100/J10*K10-100,1))&lt;999,ROUND(100/J10*K10-100,1),IF(ROUND(100/J10*K10-100,1)&gt;999,999,-999)))</f>
        <v>1.8</v>
      </c>
      <c r="M10" s="8">
        <f>IFERROR(100/'Skjema total MA'!I10*K10,0)</f>
        <v>0.26918935424272217</v>
      </c>
    </row>
    <row r="11" spans="1:17" s="35" customFormat="1" ht="15.6" x14ac:dyDescent="0.25">
      <c r="A11" s="10" t="s">
        <v>173</v>
      </c>
      <c r="B11" s="252"/>
      <c r="C11" s="253"/>
      <c r="D11" s="127"/>
      <c r="E11" s="8"/>
      <c r="F11" s="252"/>
      <c r="G11" s="253"/>
      <c r="H11" s="127"/>
      <c r="I11" s="119"/>
      <c r="J11" s="250"/>
      <c r="K11" s="251"/>
      <c r="L11" s="342"/>
      <c r="M11" s="8"/>
      <c r="N11" s="107"/>
      <c r="Q11" s="107"/>
    </row>
    <row r="12" spans="1:17" s="35" customFormat="1" ht="15.6" x14ac:dyDescent="0.25">
      <c r="A12" s="33" t="s">
        <v>174</v>
      </c>
      <c r="B12" s="254"/>
      <c r="C12" s="255"/>
      <c r="D12" s="125"/>
      <c r="E12" s="30"/>
      <c r="F12" s="254"/>
      <c r="G12" s="255"/>
      <c r="H12" s="125"/>
      <c r="I12" s="125"/>
      <c r="J12" s="256"/>
      <c r="K12" s="257"/>
      <c r="L12" s="343"/>
      <c r="M12" s="30"/>
      <c r="N12" s="107"/>
    </row>
    <row r="13" spans="1:17" s="35" customFormat="1" x14ac:dyDescent="0.25">
      <c r="A13" s="107"/>
      <c r="B13" s="109"/>
      <c r="C13" s="27"/>
      <c r="D13" s="118"/>
      <c r="E13" s="118"/>
      <c r="F13" s="109"/>
      <c r="G13" s="27"/>
      <c r="H13" s="118"/>
      <c r="I13" s="118"/>
      <c r="J13" s="38"/>
      <c r="K13" s="38"/>
      <c r="L13" s="118"/>
      <c r="M13" s="118"/>
      <c r="N13" s="107"/>
    </row>
    <row r="14" spans="1:17" x14ac:dyDescent="0.25">
      <c r="A14" s="114" t="s">
        <v>175</v>
      </c>
    </row>
    <row r="16" spans="1:17"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v>352812</v>
      </c>
      <c r="C22" s="252">
        <v>415492</v>
      </c>
      <c r="D22" s="285">
        <f t="shared" ref="D22:D30" si="4">IF(B22=0, "    ---- ", IF(ABS(ROUND(100/B22*C22-100,1))&lt;999,ROUND(100/B22*C22-100,1),IF(ROUND(100/B22*C22-100,1)&gt;999,999,-999)))</f>
        <v>17.8</v>
      </c>
      <c r="E22" s="8">
        <f>IFERROR(100/'Skjema total MA'!C22*C22,0)</f>
        <v>38.540914622384079</v>
      </c>
      <c r="F22" s="260"/>
      <c r="G22" s="260"/>
      <c r="H22" s="285"/>
      <c r="I22" s="8"/>
      <c r="J22" s="258">
        <f t="shared" ref="J22:K29" si="5">SUM(B22,F22)</f>
        <v>352812</v>
      </c>
      <c r="K22" s="258">
        <f t="shared" si="5"/>
        <v>415492</v>
      </c>
      <c r="L22" s="341">
        <f t="shared" ref="L22:L30" si="6">IF(J22=0, "    ---- ", IF(ABS(ROUND(100/J22*K22-100,1))&lt;999,ROUND(100/J22*K22-100,1),IF(ROUND(100/J22*K22-100,1)&gt;999,999,-999)))</f>
        <v>17.8</v>
      </c>
      <c r="M22" s="21">
        <f>IFERROR(100/'Skjema total MA'!I22*K22,0)</f>
        <v>27.256104265363579</v>
      </c>
    </row>
    <row r="23" spans="1:13" ht="15.6" x14ac:dyDescent="0.25">
      <c r="A23" s="382" t="s">
        <v>178</v>
      </c>
      <c r="B23" s="228">
        <v>352812</v>
      </c>
      <c r="C23" s="228">
        <v>415492</v>
      </c>
      <c r="D23" s="123">
        <f t="shared" si="4"/>
        <v>17.8</v>
      </c>
      <c r="E23" s="8">
        <f>IFERROR(100/'Skjema total MA'!C23*C23,0)</f>
        <v>52.065767923717736</v>
      </c>
      <c r="F23" s="236"/>
      <c r="G23" s="236"/>
      <c r="H23" s="123"/>
      <c r="I23" s="335"/>
      <c r="J23" s="236">
        <f t="shared" ref="J23" si="7">SUM(B23,F23)</f>
        <v>352812</v>
      </c>
      <c r="K23" s="236">
        <f t="shared" ref="K23" si="8">SUM(C23,G23)</f>
        <v>415492</v>
      </c>
      <c r="L23" s="123">
        <f t="shared" si="6"/>
        <v>17.8</v>
      </c>
      <c r="M23" s="20">
        <f>IFERROR(100/'Skjema total MA'!I23*K23,0)</f>
        <v>51.507297720298816</v>
      </c>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v>352812</v>
      </c>
      <c r="C28" s="234">
        <v>415492</v>
      </c>
      <c r="D28" s="123">
        <f t="shared" si="4"/>
        <v>17.8</v>
      </c>
      <c r="E28" s="8">
        <f>IFERROR(100/'Skjema total MA'!C28*C28,0)</f>
        <v>30.82546441011144</v>
      </c>
      <c r="F28" s="181"/>
      <c r="G28" s="234"/>
      <c r="H28" s="123"/>
      <c r="I28" s="23"/>
      <c r="J28" s="36">
        <f t="shared" si="5"/>
        <v>352812</v>
      </c>
      <c r="K28" s="36">
        <f t="shared" si="5"/>
        <v>415492</v>
      </c>
      <c r="L28" s="206">
        <f t="shared" si="6"/>
        <v>17.8</v>
      </c>
      <c r="M28" s="20">
        <f>IFERROR(100/'Skjema total MA'!I28*K28,0)</f>
        <v>30.82546441011144</v>
      </c>
    </row>
    <row r="29" spans="1:13" ht="15.6" x14ac:dyDescent="0.25">
      <c r="A29" s="10" t="s">
        <v>172</v>
      </c>
      <c r="B29" s="183">
        <v>2118931</v>
      </c>
      <c r="C29" s="183">
        <v>2470065</v>
      </c>
      <c r="D29" s="127">
        <f t="shared" si="4"/>
        <v>16.600000000000001</v>
      </c>
      <c r="E29" s="8">
        <f>IFERROR(100/'Skjema total MA'!C29*C29,0)</f>
        <v>5.5501034810592635</v>
      </c>
      <c r="F29" s="250"/>
      <c r="G29" s="250"/>
      <c r="H29" s="127"/>
      <c r="I29" s="8"/>
      <c r="J29" s="183">
        <f t="shared" si="5"/>
        <v>2118931</v>
      </c>
      <c r="K29" s="183">
        <f t="shared" si="5"/>
        <v>2470065</v>
      </c>
      <c r="L29" s="342">
        <f t="shared" si="6"/>
        <v>16.600000000000001</v>
      </c>
      <c r="M29" s="21">
        <f>IFERROR(100/'Skjema total MA'!I29*K29,0)</f>
        <v>3.2635182921188219</v>
      </c>
    </row>
    <row r="30" spans="1:13" ht="15.6" x14ac:dyDescent="0.25">
      <c r="A30" s="382" t="s">
        <v>178</v>
      </c>
      <c r="B30" s="228">
        <v>2118931</v>
      </c>
      <c r="C30" s="228">
        <v>2470065</v>
      </c>
      <c r="D30" s="123">
        <f t="shared" si="4"/>
        <v>16.600000000000001</v>
      </c>
      <c r="E30" s="8">
        <f>IFERROR(100/'Skjema total MA'!C30*C30,0)</f>
        <v>12.413621406966405</v>
      </c>
      <c r="F30" s="236"/>
      <c r="G30" s="236"/>
      <c r="H30" s="123"/>
      <c r="I30" s="335"/>
      <c r="J30" s="236">
        <f t="shared" ref="J30" si="9">SUM(B30,F30)</f>
        <v>2118931</v>
      </c>
      <c r="K30" s="236">
        <f t="shared" ref="K30" si="10">SUM(C30,G30)</f>
        <v>2470065</v>
      </c>
      <c r="L30" s="123">
        <f t="shared" si="6"/>
        <v>16.600000000000001</v>
      </c>
      <c r="M30" s="20">
        <f>IFERROR(100/'Skjema total MA'!I30*K30,0)</f>
        <v>10.535424253899402</v>
      </c>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53559</v>
      </c>
      <c r="C47" s="253">
        <v>58684</v>
      </c>
      <c r="D47" s="341">
        <f t="shared" ref="D47:D54" si="11">IF(B47=0, "    ---- ", IF(ABS(ROUND(100/B47*C47-100,1))&lt;999,ROUND(100/B47*C47-100,1),IF(ROUND(100/B47*C47-100,1)&gt;999,999,-999)))</f>
        <v>9.6</v>
      </c>
      <c r="E47" s="8">
        <f>IFERROR(100/'Skjema total MA'!C47*C47,0)</f>
        <v>1.1850626473410166</v>
      </c>
      <c r="F47" s="109"/>
      <c r="G47" s="27"/>
      <c r="H47" s="118"/>
      <c r="I47" s="118"/>
      <c r="J47" s="31"/>
      <c r="K47" s="31"/>
      <c r="L47" s="118"/>
      <c r="M47" s="118"/>
    </row>
    <row r="48" spans="1:13" ht="15.6" x14ac:dyDescent="0.25">
      <c r="A48" s="18" t="s">
        <v>190</v>
      </c>
      <c r="B48" s="228">
        <v>53559</v>
      </c>
      <c r="C48" s="229">
        <v>58684</v>
      </c>
      <c r="D48" s="206">
        <f t="shared" si="11"/>
        <v>9.6</v>
      </c>
      <c r="E48" s="23">
        <f>IFERROR(100/'Skjema total MA'!C48*C48,0)</f>
        <v>2.4413146559853907</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v>1063</v>
      </c>
      <c r="C53" s="253">
        <v>0</v>
      </c>
      <c r="D53" s="342">
        <f t="shared" si="11"/>
        <v>-100</v>
      </c>
      <c r="E53" s="8">
        <f>IFERROR(100/'Skjema total MA'!C53*C53,0)</f>
        <v>0</v>
      </c>
      <c r="F53" s="109"/>
      <c r="G53" s="27"/>
      <c r="H53" s="109"/>
      <c r="I53" s="109"/>
      <c r="J53" s="27"/>
      <c r="K53" s="27"/>
      <c r="L53" s="118"/>
      <c r="M53" s="118"/>
    </row>
    <row r="54" spans="1:13" ht="15.6" x14ac:dyDescent="0.25">
      <c r="A54" s="18" t="s">
        <v>190</v>
      </c>
      <c r="B54" s="228">
        <v>1063</v>
      </c>
      <c r="C54" s="229">
        <v>0</v>
      </c>
      <c r="D54" s="206">
        <f t="shared" si="11"/>
        <v>-100</v>
      </c>
      <c r="E54" s="23">
        <f>IFERROR(100/'Skjema total MA'!C54*C54,0)</f>
        <v>0</v>
      </c>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436" priority="12">
      <formula>kvartal &lt; 4</formula>
    </cfRule>
  </conditionalFormatting>
  <conditionalFormatting sqref="A69:A74">
    <cfRule type="expression" dxfId="435" priority="10">
      <formula>kvartal &lt; 4</formula>
    </cfRule>
  </conditionalFormatting>
  <conditionalFormatting sqref="A80:A85">
    <cfRule type="expression" dxfId="434" priority="9">
      <formula>kvartal &lt; 4</formula>
    </cfRule>
  </conditionalFormatting>
  <conditionalFormatting sqref="A90:A95">
    <cfRule type="expression" dxfId="433" priority="6">
      <formula>kvartal &lt; 4</formula>
    </cfRule>
  </conditionalFormatting>
  <conditionalFormatting sqref="A101:A106">
    <cfRule type="expression" dxfId="432" priority="5">
      <formula>kvartal &lt; 4</formula>
    </cfRule>
  </conditionalFormatting>
  <conditionalFormatting sqref="A115:C115">
    <cfRule type="expression" dxfId="431" priority="4">
      <formula>kvartal &lt; 4</formula>
    </cfRule>
  </conditionalFormatting>
  <conditionalFormatting sqref="A123:C123">
    <cfRule type="expression" dxfId="430" priority="3">
      <formula>kvartal &lt; 4</formula>
    </cfRule>
  </conditionalFormatting>
  <conditionalFormatting sqref="B69:C69">
    <cfRule type="expression" dxfId="429" priority="99">
      <formula>kvartal &lt; 4</formula>
    </cfRule>
  </conditionalFormatting>
  <conditionalFormatting sqref="B72:C72">
    <cfRule type="expression" dxfId="428" priority="97">
      <formula>kvartal &lt; 4</formula>
    </cfRule>
  </conditionalFormatting>
  <conditionalFormatting sqref="F115:G115">
    <cfRule type="expression" dxfId="427" priority="57">
      <formula>kvartal &lt; 4</formula>
    </cfRule>
  </conditionalFormatting>
  <conditionalFormatting sqref="F123:G123">
    <cfRule type="expression" dxfId="426" priority="56">
      <formula>kvartal &lt; 4</formula>
    </cfRule>
  </conditionalFormatting>
  <conditionalFormatting sqref="J115:K115">
    <cfRule type="expression" dxfId="425" priority="32">
      <formula>kvartal &lt; 4</formula>
    </cfRule>
  </conditionalFormatting>
  <conditionalFormatting sqref="J123:K123">
    <cfRule type="expression" dxfId="424" priority="31">
      <formula>kvartal &lt; 4</formula>
    </cfRule>
  </conditionalFormatting>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401</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c r="G7" s="249"/>
      <c r="H7" s="285"/>
      <c r="I7" s="119"/>
      <c r="J7" s="250"/>
      <c r="K7" s="251"/>
      <c r="L7" s="341"/>
      <c r="M7" s="8"/>
    </row>
    <row r="8" spans="1:14" ht="15.6" x14ac:dyDescent="0.25">
      <c r="A8" s="18" t="s">
        <v>170</v>
      </c>
      <c r="B8" s="228"/>
      <c r="C8" s="229"/>
      <c r="D8" s="123"/>
      <c r="E8" s="23"/>
      <c r="F8" s="232"/>
      <c r="G8" s="233"/>
      <c r="H8" s="123"/>
      <c r="I8" s="132"/>
      <c r="J8" s="181"/>
      <c r="K8" s="234"/>
      <c r="L8" s="123"/>
      <c r="M8" s="23"/>
    </row>
    <row r="9" spans="1:14" ht="15.6" x14ac:dyDescent="0.25">
      <c r="A9" s="18" t="s">
        <v>171</v>
      </c>
      <c r="B9" s="228"/>
      <c r="C9" s="229"/>
      <c r="D9" s="123"/>
      <c r="E9" s="23"/>
      <c r="F9" s="232"/>
      <c r="G9" s="233"/>
      <c r="H9" s="123"/>
      <c r="I9" s="132"/>
      <c r="J9" s="181"/>
      <c r="K9" s="234"/>
      <c r="L9" s="123"/>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287.33699999999999</v>
      </c>
      <c r="C47" s="253">
        <v>25.518999999999998</v>
      </c>
      <c r="D47" s="341">
        <f t="shared" ref="D47:D57" si="0">IF(B47=0, "    ---- ", IF(ABS(ROUND(100/B47*C47-100,1))&lt;999,ROUND(100/B47*C47-100,1),IF(ROUND(100/B47*C47-100,1)&gt;999,999,-999)))</f>
        <v>-91.1</v>
      </c>
      <c r="E47" s="8">
        <f>IFERROR(100/'Skjema total MA'!C47*C47,0)</f>
        <v>5.153297951314736E-4</v>
      </c>
      <c r="F47" s="109"/>
      <c r="G47" s="27"/>
      <c r="H47" s="118"/>
      <c r="I47" s="118"/>
      <c r="J47" s="31"/>
      <c r="K47" s="31"/>
      <c r="L47" s="118"/>
      <c r="M47" s="118"/>
    </row>
    <row r="48" spans="1:13" ht="15.6" x14ac:dyDescent="0.25">
      <c r="A48" s="18" t="s">
        <v>190</v>
      </c>
      <c r="B48" s="228">
        <v>287.33699999999999</v>
      </c>
      <c r="C48" s="229">
        <v>25.518999999999998</v>
      </c>
      <c r="D48" s="206">
        <f t="shared" si="0"/>
        <v>-91.1</v>
      </c>
      <c r="E48" s="23">
        <f>IFERROR(100/'Skjema total MA'!C48*C48,0)</f>
        <v>1.0616166025848816E-3</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v>1063.0060000000001</v>
      </c>
      <c r="C56" s="253"/>
      <c r="D56" s="342">
        <f t="shared" si="0"/>
        <v>-100</v>
      </c>
      <c r="E56" s="8">
        <f>IFERROR(100/'Skjema total MA'!C56*C56,0)</f>
        <v>0</v>
      </c>
      <c r="F56" s="109"/>
      <c r="G56" s="27"/>
      <c r="H56" s="109"/>
      <c r="I56" s="109"/>
      <c r="J56" s="27"/>
      <c r="K56" s="27"/>
      <c r="L56" s="118"/>
      <c r="M56" s="118"/>
    </row>
    <row r="57" spans="1:13" ht="15.6" x14ac:dyDescent="0.25">
      <c r="A57" s="18" t="s">
        <v>190</v>
      </c>
      <c r="B57" s="228">
        <v>1063.0060000000001</v>
      </c>
      <c r="C57" s="229"/>
      <c r="D57" s="206">
        <f t="shared" si="0"/>
        <v>-100</v>
      </c>
      <c r="E57" s="23">
        <f>IFERROR(100/'Skjema total MA'!C57*C57,0)</f>
        <v>0</v>
      </c>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423" priority="12">
      <formula>kvartal &lt; 4</formula>
    </cfRule>
  </conditionalFormatting>
  <conditionalFormatting sqref="A69:A74">
    <cfRule type="expression" dxfId="422" priority="10">
      <formula>kvartal &lt; 4</formula>
    </cfRule>
  </conditionalFormatting>
  <conditionalFormatting sqref="A80:A85">
    <cfRule type="expression" dxfId="421" priority="9">
      <formula>kvartal &lt; 4</formula>
    </cfRule>
  </conditionalFormatting>
  <conditionalFormatting sqref="A90:A95">
    <cfRule type="expression" dxfId="420" priority="6">
      <formula>kvartal &lt; 4</formula>
    </cfRule>
  </conditionalFormatting>
  <conditionalFormatting sqref="A101:A106">
    <cfRule type="expression" dxfId="419" priority="5">
      <formula>kvartal &lt; 4</formula>
    </cfRule>
  </conditionalFormatting>
  <conditionalFormatting sqref="A115:C115">
    <cfRule type="expression" dxfId="418" priority="4">
      <formula>kvartal &lt; 4</formula>
    </cfRule>
  </conditionalFormatting>
  <conditionalFormatting sqref="A123:C123">
    <cfRule type="expression" dxfId="417" priority="3">
      <formula>kvartal &lt; 4</formula>
    </cfRule>
  </conditionalFormatting>
  <conditionalFormatting sqref="B69:C69">
    <cfRule type="expression" dxfId="416" priority="99">
      <formula>kvartal &lt; 4</formula>
    </cfRule>
  </conditionalFormatting>
  <conditionalFormatting sqref="B72:C72">
    <cfRule type="expression" dxfId="415" priority="97">
      <formula>kvartal &lt; 4</formula>
    </cfRule>
  </conditionalFormatting>
  <conditionalFormatting sqref="F115:G115">
    <cfRule type="expression" dxfId="414" priority="57">
      <formula>kvartal &lt; 4</formula>
    </cfRule>
  </conditionalFormatting>
  <conditionalFormatting sqref="F123:G123">
    <cfRule type="expression" dxfId="413" priority="56">
      <formula>kvartal &lt; 4</formula>
    </cfRule>
  </conditionalFormatting>
  <conditionalFormatting sqref="J115:K115">
    <cfRule type="expression" dxfId="412" priority="32">
      <formula>kvartal &lt; 4</formula>
    </cfRule>
  </conditionalFormatting>
  <conditionalFormatting sqref="J123:K123">
    <cfRule type="expression" dxfId="411" priority="31">
      <formula>kvartal &lt; 4</formula>
    </cfRule>
  </conditionalFormatting>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N144"/>
  <sheetViews>
    <sheetView showGridLines="0" zoomScaleNormal="100" zoomScaleSheetLayoutView="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402</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v>522793.69199999998</v>
      </c>
      <c r="C7" s="249">
        <v>508783.15299999999</v>
      </c>
      <c r="D7" s="285">
        <f>IF(B7=0, "    ---- ", IF(ABS(ROUND(100/B7*C7-100,1))&lt;999,ROUND(100/B7*C7-100,1),IF(ROUND(100/B7*C7-100,1)&gt;999,999,-999)))</f>
        <v>-2.7</v>
      </c>
      <c r="E7" s="8">
        <f>IFERROR(100/'Skjema total MA'!C7*C7,0)</f>
        <v>24.23908659261031</v>
      </c>
      <c r="F7" s="248"/>
      <c r="G7" s="249"/>
      <c r="H7" s="285"/>
      <c r="I7" s="119"/>
      <c r="J7" s="250">
        <f t="shared" ref="J7:K9" si="0">SUM(B7,F7)</f>
        <v>522793.69199999998</v>
      </c>
      <c r="K7" s="251">
        <f t="shared" si="0"/>
        <v>508783.15299999999</v>
      </c>
      <c r="L7" s="341">
        <f>IF(J7=0, "    ---- ", IF(ABS(ROUND(100/J7*K7-100,1))&lt;999,ROUND(100/J7*K7-100,1),IF(ROUND(100/J7*K7-100,1)&gt;999,999,-999)))</f>
        <v>-2.7</v>
      </c>
      <c r="M7" s="8">
        <f>IFERROR(100/'Skjema total MA'!I7*K7,0)</f>
        <v>8.6869030725969285</v>
      </c>
    </row>
    <row r="8" spans="1:14" ht="15.6" x14ac:dyDescent="0.25">
      <c r="A8" s="18" t="s">
        <v>170</v>
      </c>
      <c r="B8" s="228">
        <v>331396.93199999997</v>
      </c>
      <c r="C8" s="229">
        <v>341237.87900000002</v>
      </c>
      <c r="D8" s="123">
        <f t="shared" ref="D8:D9" si="1">IF(B8=0, "    ---- ", IF(ABS(ROUND(100/B8*C8-100,1))&lt;999,ROUND(100/B8*C8-100,1),IF(ROUND(100/B8*C8-100,1)&gt;999,999,-999)))</f>
        <v>3</v>
      </c>
      <c r="E8" s="23">
        <f>IFERROR(100/'Skjema total MA'!C8*C8,0)</f>
        <v>23.763714602603265</v>
      </c>
      <c r="F8" s="232"/>
      <c r="G8" s="233"/>
      <c r="H8" s="123"/>
      <c r="I8" s="132"/>
      <c r="J8" s="181">
        <f t="shared" si="0"/>
        <v>331396.93199999997</v>
      </c>
      <c r="K8" s="234">
        <f t="shared" si="0"/>
        <v>341237.87900000002</v>
      </c>
      <c r="L8" s="123">
        <f t="shared" ref="L8:L9" si="2">IF(J8=0, "    ---- ", IF(ABS(ROUND(100/J8*K8-100,1))&lt;999,ROUND(100/J8*K8-100,1),IF(ROUND(100/J8*K8-100,1)&gt;999,999,-999)))</f>
        <v>3</v>
      </c>
      <c r="M8" s="23">
        <f>IFERROR(100/'Skjema total MA'!I8*K8,0)</f>
        <v>23.763714602603265</v>
      </c>
    </row>
    <row r="9" spans="1:14" ht="15.6" x14ac:dyDescent="0.25">
      <c r="A9" s="18" t="s">
        <v>171</v>
      </c>
      <c r="B9" s="228">
        <v>191396.76</v>
      </c>
      <c r="C9" s="229">
        <v>167545.274</v>
      </c>
      <c r="D9" s="123">
        <f t="shared" si="1"/>
        <v>-12.5</v>
      </c>
      <c r="E9" s="23">
        <f>IFERROR(100/'Skjema total MA'!C9*C9,0)</f>
        <v>39.209517090715288</v>
      </c>
      <c r="F9" s="232"/>
      <c r="G9" s="233"/>
      <c r="H9" s="123"/>
      <c r="I9" s="132"/>
      <c r="J9" s="181">
        <f t="shared" si="0"/>
        <v>191396.76</v>
      </c>
      <c r="K9" s="234">
        <f t="shared" si="0"/>
        <v>167545.274</v>
      </c>
      <c r="L9" s="123">
        <f t="shared" si="2"/>
        <v>-12.5</v>
      </c>
      <c r="M9" s="23">
        <f>IFERROR(100/'Skjema total MA'!I9*K9,0)</f>
        <v>39.209517090715288</v>
      </c>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1088601.5478000001</v>
      </c>
      <c r="C47" s="253">
        <v>1053431.3694200001</v>
      </c>
      <c r="D47" s="341">
        <f t="shared" ref="D47:D57" si="3">IF(B47=0, "    ---- ", IF(ABS(ROUND(100/B47*C47-100,1))&lt;999,ROUND(100/B47*C47-100,1),IF(ROUND(100/B47*C47-100,1)&gt;999,999,-999)))</f>
        <v>-3.2</v>
      </c>
      <c r="E47" s="8">
        <f>IFERROR(100/'Skjema total MA'!C47*C47,0)</f>
        <v>21.272956298768619</v>
      </c>
      <c r="F47" s="109"/>
      <c r="G47" s="27"/>
      <c r="H47" s="118"/>
      <c r="I47" s="118"/>
      <c r="J47" s="31"/>
      <c r="K47" s="31"/>
      <c r="L47" s="118"/>
      <c r="M47" s="118"/>
    </row>
    <row r="48" spans="1:13" ht="15.6" x14ac:dyDescent="0.25">
      <c r="A48" s="18" t="s">
        <v>190</v>
      </c>
      <c r="B48" s="228">
        <v>664879.13580000005</v>
      </c>
      <c r="C48" s="229">
        <v>578297.23042000004</v>
      </c>
      <c r="D48" s="206">
        <f t="shared" si="3"/>
        <v>-13</v>
      </c>
      <c r="E48" s="23">
        <f>IFERROR(100/'Skjema total MA'!C48*C48,0)</f>
        <v>24.057758573718676</v>
      </c>
      <c r="F48" s="109"/>
      <c r="G48" s="27"/>
      <c r="H48" s="109"/>
      <c r="I48" s="109"/>
      <c r="J48" s="27"/>
      <c r="K48" s="27"/>
      <c r="L48" s="118"/>
      <c r="M48" s="118"/>
    </row>
    <row r="49" spans="1:13" ht="15.6" x14ac:dyDescent="0.25">
      <c r="A49" s="18" t="s">
        <v>191</v>
      </c>
      <c r="B49" s="36">
        <v>423722.41200000001</v>
      </c>
      <c r="C49" s="234">
        <v>475134.13900000002</v>
      </c>
      <c r="D49" s="206">
        <f>IF(B49=0, "    ---- ", IF(ABS(ROUND(100/B49*C49-100,1))&lt;999,ROUND(100/B49*C49-100,1),IF(ROUND(100/B49*C49-100,1)&gt;999,999,-999)))</f>
        <v>12.1</v>
      </c>
      <c r="E49" s="23">
        <f>IFERROR(100/'Skjema total MA'!C49*C49,0)</f>
        <v>18.645963359800255</v>
      </c>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v>14021</v>
      </c>
      <c r="C53" s="253">
        <v>21389</v>
      </c>
      <c r="D53" s="342">
        <f t="shared" si="3"/>
        <v>52.5</v>
      </c>
      <c r="E53" s="8">
        <f>IFERROR(100/'Skjema total MA'!C53*C53,0)</f>
        <v>16.340190590687385</v>
      </c>
      <c r="F53" s="109"/>
      <c r="G53" s="27"/>
      <c r="H53" s="109"/>
      <c r="I53" s="109"/>
      <c r="J53" s="27"/>
      <c r="K53" s="27"/>
      <c r="L53" s="118"/>
      <c r="M53" s="118"/>
    </row>
    <row r="54" spans="1:13" ht="15.6" x14ac:dyDescent="0.25">
      <c r="A54" s="18" t="s">
        <v>190</v>
      </c>
      <c r="B54" s="228">
        <v>14021</v>
      </c>
      <c r="C54" s="229">
        <v>21389</v>
      </c>
      <c r="D54" s="206">
        <f t="shared" si="3"/>
        <v>52.5</v>
      </c>
      <c r="E54" s="23">
        <f>IFERROR(100/'Skjema total MA'!C54*C54,0)</f>
        <v>16.370302252691815</v>
      </c>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v>7862</v>
      </c>
      <c r="C56" s="253">
        <v>58839</v>
      </c>
      <c r="D56" s="342">
        <f t="shared" si="3"/>
        <v>648.4</v>
      </c>
      <c r="E56" s="8">
        <f>IFERROR(100/'Skjema total MA'!C56*C56,0)</f>
        <v>53.395823843820331</v>
      </c>
      <c r="F56" s="109"/>
      <c r="G56" s="27"/>
      <c r="H56" s="109"/>
      <c r="I56" s="109"/>
      <c r="J56" s="27"/>
      <c r="K56" s="27"/>
      <c r="L56" s="118"/>
      <c r="M56" s="118"/>
    </row>
    <row r="57" spans="1:13" ht="15.6" x14ac:dyDescent="0.25">
      <c r="A57" s="18" t="s">
        <v>190</v>
      </c>
      <c r="B57" s="228">
        <v>7862</v>
      </c>
      <c r="C57" s="229">
        <v>58839</v>
      </c>
      <c r="D57" s="206">
        <f t="shared" si="3"/>
        <v>648.4</v>
      </c>
      <c r="E57" s="23">
        <f>IFERROR(100/'Skjema total MA'!C57*C57,0)</f>
        <v>57.907835633156914</v>
      </c>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410" priority="12">
      <formula>kvartal &lt; 4</formula>
    </cfRule>
  </conditionalFormatting>
  <conditionalFormatting sqref="A69:A74">
    <cfRule type="expression" dxfId="409" priority="10">
      <formula>kvartal &lt; 4</formula>
    </cfRule>
  </conditionalFormatting>
  <conditionalFormatting sqref="A80:A85">
    <cfRule type="expression" dxfId="408" priority="9">
      <formula>kvartal &lt; 4</formula>
    </cfRule>
  </conditionalFormatting>
  <conditionalFormatting sqref="A90:A95">
    <cfRule type="expression" dxfId="407" priority="6">
      <formula>kvartal &lt; 4</formula>
    </cfRule>
  </conditionalFormatting>
  <conditionalFormatting sqref="A101:A106">
    <cfRule type="expression" dxfId="406" priority="5">
      <formula>kvartal &lt; 4</formula>
    </cfRule>
  </conditionalFormatting>
  <conditionalFormatting sqref="A115:C115">
    <cfRule type="expression" dxfId="405" priority="4">
      <formula>kvartal &lt; 4</formula>
    </cfRule>
  </conditionalFormatting>
  <conditionalFormatting sqref="A123:C123">
    <cfRule type="expression" dxfId="404" priority="3">
      <formula>kvartal &lt; 4</formula>
    </cfRule>
  </conditionalFormatting>
  <conditionalFormatting sqref="B69:C69">
    <cfRule type="expression" dxfId="403" priority="99">
      <formula>kvartal &lt; 4</formula>
    </cfRule>
  </conditionalFormatting>
  <conditionalFormatting sqref="B72:C72">
    <cfRule type="expression" dxfId="402" priority="97">
      <formula>kvartal &lt; 4</formula>
    </cfRule>
  </conditionalFormatting>
  <conditionalFormatting sqref="F115:G115">
    <cfRule type="expression" dxfId="401" priority="57">
      <formula>kvartal &lt; 4</formula>
    </cfRule>
  </conditionalFormatting>
  <conditionalFormatting sqref="F123:G123">
    <cfRule type="expression" dxfId="400" priority="56">
      <formula>kvartal &lt; 4</formula>
    </cfRule>
  </conditionalFormatting>
  <conditionalFormatting sqref="J115:K115">
    <cfRule type="expression" dxfId="399" priority="32">
      <formula>kvartal &lt; 4</formula>
    </cfRule>
  </conditionalFormatting>
  <conditionalFormatting sqref="J123:K123">
    <cfRule type="expression" dxfId="398" priority="31">
      <formula>kvartal &lt; 4</formula>
    </cfRule>
  </conditionalFormatting>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101</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v>76996</v>
      </c>
      <c r="G7" s="249">
        <v>79379</v>
      </c>
      <c r="H7" s="285">
        <f>IF(F7=0, "    ---- ", IF(ABS(ROUND(100/F7*G7-100,1))&lt;999,ROUND(100/F7*G7-100,1),IF(ROUND(100/F7*G7-100,1)&gt;999,999,-999)))</f>
        <v>3.1</v>
      </c>
      <c r="I7" s="119">
        <f>IFERROR(100/'Skjema total MA'!F7*G7,0)</f>
        <v>2.1123348031050369</v>
      </c>
      <c r="J7" s="250">
        <f t="shared" ref="J7:K12" si="0">SUM(B7,F7)</f>
        <v>76996</v>
      </c>
      <c r="K7" s="251">
        <f t="shared" si="0"/>
        <v>79379</v>
      </c>
      <c r="L7" s="341">
        <f>IF(J7=0, "    ---- ", IF(ABS(ROUND(100/J7*K7-100,1))&lt;999,ROUND(100/J7*K7-100,1),IF(ROUND(100/J7*K7-100,1)&gt;999,999,-999)))</f>
        <v>3.1</v>
      </c>
      <c r="M7" s="8">
        <f>IFERROR(100/'Skjema total MA'!I7*K7,0)</f>
        <v>1.3553076098014425</v>
      </c>
    </row>
    <row r="8" spans="1:14" ht="15.6" x14ac:dyDescent="0.25">
      <c r="A8" s="18" t="s">
        <v>170</v>
      </c>
      <c r="B8" s="228"/>
      <c r="C8" s="229"/>
      <c r="D8" s="123"/>
      <c r="E8" s="23"/>
      <c r="F8" s="232"/>
      <c r="G8" s="233"/>
      <c r="H8" s="123"/>
      <c r="I8" s="132"/>
      <c r="J8" s="181"/>
      <c r="K8" s="234"/>
      <c r="L8" s="123"/>
      <c r="M8" s="23"/>
    </row>
    <row r="9" spans="1:14" ht="15.6" x14ac:dyDescent="0.25">
      <c r="A9" s="18" t="s">
        <v>171</v>
      </c>
      <c r="B9" s="228"/>
      <c r="C9" s="229"/>
      <c r="D9" s="123"/>
      <c r="E9" s="23"/>
      <c r="F9" s="232"/>
      <c r="G9" s="233"/>
      <c r="H9" s="123"/>
      <c r="I9" s="132"/>
      <c r="J9" s="181"/>
      <c r="K9" s="234"/>
      <c r="L9" s="123"/>
      <c r="M9" s="23"/>
    </row>
    <row r="10" spans="1:14" ht="15.6" x14ac:dyDescent="0.25">
      <c r="A10" s="10" t="s">
        <v>172</v>
      </c>
      <c r="B10" s="252"/>
      <c r="C10" s="253"/>
      <c r="D10" s="127"/>
      <c r="E10" s="8"/>
      <c r="F10" s="252">
        <v>2759213</v>
      </c>
      <c r="G10" s="253">
        <v>3114562</v>
      </c>
      <c r="H10" s="127">
        <f t="shared" ref="H10:H12" si="1">IF(F10=0, "    ---- ", IF(ABS(ROUND(100/F10*G10-100,1))&lt;999,ROUND(100/F10*G10-100,1),IF(ROUND(100/F10*G10-100,1)&gt;999,999,-999)))</f>
        <v>12.9</v>
      </c>
      <c r="I10" s="119">
        <f>IFERROR(100/'Skjema total MA'!F10*G10,0)</f>
        <v>2.8925292930382525</v>
      </c>
      <c r="J10" s="250">
        <f t="shared" si="0"/>
        <v>2759213</v>
      </c>
      <c r="K10" s="251">
        <f t="shared" si="0"/>
        <v>3114562</v>
      </c>
      <c r="L10" s="342">
        <f t="shared" ref="L10:L12" si="2">IF(J10=0, "    ---- ", IF(ABS(ROUND(100/J10*K10-100,1))&lt;999,ROUND(100/J10*K10-100,1),IF(ROUND(100/J10*K10-100,1)&gt;999,999,-999)))</f>
        <v>12.9</v>
      </c>
      <c r="M10" s="8">
        <f>IFERROR(100/'Skjema total MA'!I10*K10,0)</f>
        <v>2.5857284437920862</v>
      </c>
    </row>
    <row r="11" spans="1:14" s="35" customFormat="1" ht="15.6" x14ac:dyDescent="0.25">
      <c r="A11" s="10" t="s">
        <v>173</v>
      </c>
      <c r="B11" s="252"/>
      <c r="C11" s="253"/>
      <c r="D11" s="127"/>
      <c r="E11" s="8"/>
      <c r="F11" s="252">
        <v>17906</v>
      </c>
      <c r="G11" s="253">
        <v>19148</v>
      </c>
      <c r="H11" s="127">
        <f t="shared" si="1"/>
        <v>6.9</v>
      </c>
      <c r="I11" s="119">
        <f>IFERROR(100/'Skjema total MA'!F11*G11,0)</f>
        <v>17.902321842781383</v>
      </c>
      <c r="J11" s="250">
        <f t="shared" si="0"/>
        <v>17906</v>
      </c>
      <c r="K11" s="251">
        <f t="shared" si="0"/>
        <v>19148</v>
      </c>
      <c r="L11" s="342">
        <f t="shared" si="2"/>
        <v>6.9</v>
      </c>
      <c r="M11" s="8">
        <f>IFERROR(100/'Skjema total MA'!I11*K11,0)</f>
        <v>17.902321842781383</v>
      </c>
      <c r="N11" s="107"/>
    </row>
    <row r="12" spans="1:14" s="35" customFormat="1" ht="15.6" x14ac:dyDescent="0.25">
      <c r="A12" s="33" t="s">
        <v>174</v>
      </c>
      <c r="B12" s="254"/>
      <c r="C12" s="255"/>
      <c r="D12" s="125"/>
      <c r="E12" s="30"/>
      <c r="F12" s="254">
        <v>5987</v>
      </c>
      <c r="G12" s="255">
        <v>10690</v>
      </c>
      <c r="H12" s="125">
        <f t="shared" si="1"/>
        <v>78.599999999999994</v>
      </c>
      <c r="I12" s="125">
        <f>IFERROR(100/'Skjema total MA'!F12*G12,0)</f>
        <v>8.5258713262181871</v>
      </c>
      <c r="J12" s="256">
        <f t="shared" si="0"/>
        <v>5987</v>
      </c>
      <c r="K12" s="257">
        <f t="shared" si="0"/>
        <v>10690</v>
      </c>
      <c r="L12" s="343">
        <f t="shared" si="2"/>
        <v>78.599999999999994</v>
      </c>
      <c r="M12" s="30">
        <f>IFERROR(100/'Skjema total MA'!I12*K12,0)</f>
        <v>9.8117246936744511</v>
      </c>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v>242935</v>
      </c>
      <c r="C22" s="252">
        <v>251383</v>
      </c>
      <c r="D22" s="285">
        <f t="shared" ref="D22:D30" si="3">IF(B22=0, "    ---- ", IF(ABS(ROUND(100/B22*C22-100,1))&lt;999,ROUND(100/B22*C22-100,1),IF(ROUND(100/B22*C22-100,1)&gt;999,999,-999)))</f>
        <v>3.5</v>
      </c>
      <c r="E22" s="8">
        <f>IFERROR(100/'Skjema total MA'!C22*C22,0)</f>
        <v>23.318212481873964</v>
      </c>
      <c r="F22" s="260">
        <v>21135</v>
      </c>
      <c r="G22" s="260">
        <v>29701</v>
      </c>
      <c r="H22" s="285">
        <f t="shared" ref="H22:H35" si="4">IF(F22=0, "    ---- ", IF(ABS(ROUND(100/F22*G22-100,1))&lt;999,ROUND(100/F22*G22-100,1),IF(ROUND(100/F22*G22-100,1)&gt;999,999,-999)))</f>
        <v>40.5</v>
      </c>
      <c r="I22" s="8">
        <f>IFERROR(100/'Skjema total MA'!F22*G22,0)</f>
        <v>6.6542626549217871</v>
      </c>
      <c r="J22" s="258">
        <f t="shared" ref="J22:K35" si="5">SUM(B22,F22)</f>
        <v>264070</v>
      </c>
      <c r="K22" s="258">
        <f t="shared" si="5"/>
        <v>281084</v>
      </c>
      <c r="L22" s="341">
        <f t="shared" ref="L22:L35" si="6">IF(J22=0, "    ---- ", IF(ABS(ROUND(100/J22*K22-100,1))&lt;999,ROUND(100/J22*K22-100,1),IF(ROUND(100/J22*K22-100,1)&gt;999,999,-999)))</f>
        <v>6.4</v>
      </c>
      <c r="M22" s="21">
        <f>IFERROR(100/'Skjema total MA'!I22*K22,0)</f>
        <v>18.438994761211902</v>
      </c>
    </row>
    <row r="23" spans="1:13" ht="15.6" x14ac:dyDescent="0.25">
      <c r="A23" s="382" t="s">
        <v>178</v>
      </c>
      <c r="B23" s="228">
        <v>242935</v>
      </c>
      <c r="C23" s="228">
        <v>251383</v>
      </c>
      <c r="D23" s="123">
        <f t="shared" si="3"/>
        <v>3.5</v>
      </c>
      <c r="E23" s="8">
        <f>IFERROR(100/'Skjema total MA'!C23*C23,0)</f>
        <v>31.501085310831343</v>
      </c>
      <c r="F23" s="236">
        <v>20</v>
      </c>
      <c r="G23" s="236">
        <v>0</v>
      </c>
      <c r="H23" s="123">
        <f t="shared" si="4"/>
        <v>-100</v>
      </c>
      <c r="I23" s="335">
        <f>IFERROR(100/'Skjema total MA'!F23*G23,0)</f>
        <v>0</v>
      </c>
      <c r="J23" s="236">
        <f t="shared" ref="J23:J26" si="7">SUM(B23,F23)</f>
        <v>242955</v>
      </c>
      <c r="K23" s="236">
        <f t="shared" ref="K23:K26" si="8">SUM(C23,G23)</f>
        <v>251383</v>
      </c>
      <c r="L23" s="123">
        <f t="shared" si="6"/>
        <v>3.5</v>
      </c>
      <c r="M23" s="20">
        <f>IFERROR(100/'Skjema total MA'!I23*K23,0)</f>
        <v>31.163196939584584</v>
      </c>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v>21115</v>
      </c>
      <c r="G26" s="236">
        <v>29701</v>
      </c>
      <c r="H26" s="123">
        <f t="shared" si="4"/>
        <v>40.700000000000003</v>
      </c>
      <c r="I26" s="335">
        <f>IFERROR(100/'Skjema total MA'!F26*G26,0)</f>
        <v>6.8980872717174622</v>
      </c>
      <c r="J26" s="236">
        <f t="shared" si="7"/>
        <v>21115</v>
      </c>
      <c r="K26" s="236">
        <f t="shared" si="8"/>
        <v>29701</v>
      </c>
      <c r="L26" s="123">
        <f t="shared" si="6"/>
        <v>40.700000000000003</v>
      </c>
      <c r="M26" s="20">
        <f>IFERROR(100/'Skjema total MA'!I26*K26,0)</f>
        <v>6.8980872717174622</v>
      </c>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v>242935</v>
      </c>
      <c r="C28" s="234">
        <v>251383</v>
      </c>
      <c r="D28" s="123">
        <f t="shared" si="3"/>
        <v>3.5</v>
      </c>
      <c r="E28" s="8">
        <f>IFERROR(100/'Skjema total MA'!C28*C28,0)</f>
        <v>18.650173095527819</v>
      </c>
      <c r="F28" s="181"/>
      <c r="G28" s="234"/>
      <c r="H28" s="123"/>
      <c r="I28" s="23"/>
      <c r="J28" s="36">
        <f t="shared" si="5"/>
        <v>242935</v>
      </c>
      <c r="K28" s="36">
        <f t="shared" si="5"/>
        <v>251383</v>
      </c>
      <c r="L28" s="206">
        <f t="shared" si="6"/>
        <v>3.5</v>
      </c>
      <c r="M28" s="20">
        <f>IFERROR(100/'Skjema total MA'!I28*K28,0)</f>
        <v>18.650173095527819</v>
      </c>
    </row>
    <row r="29" spans="1:13" ht="15.6" x14ac:dyDescent="0.25">
      <c r="A29" s="10" t="s">
        <v>172</v>
      </c>
      <c r="B29" s="183">
        <v>4697635</v>
      </c>
      <c r="C29" s="183">
        <v>5295198</v>
      </c>
      <c r="D29" s="127">
        <f t="shared" si="3"/>
        <v>12.7</v>
      </c>
      <c r="E29" s="8">
        <f>IFERROR(100/'Skjema total MA'!C29*C29,0)</f>
        <v>11.898025700820847</v>
      </c>
      <c r="F29" s="250">
        <v>2462386</v>
      </c>
      <c r="G29" s="250">
        <v>2588939</v>
      </c>
      <c r="H29" s="127">
        <f t="shared" si="4"/>
        <v>5.0999999999999996</v>
      </c>
      <c r="I29" s="8">
        <f>IFERROR(100/'Skjema total MA'!F29*G29,0)</f>
        <v>8.3025821544973937</v>
      </c>
      <c r="J29" s="183">
        <f t="shared" si="5"/>
        <v>7160021</v>
      </c>
      <c r="K29" s="183">
        <f t="shared" si="5"/>
        <v>7884137</v>
      </c>
      <c r="L29" s="342">
        <f t="shared" si="6"/>
        <v>10.1</v>
      </c>
      <c r="M29" s="21">
        <f>IFERROR(100/'Skjema total MA'!I29*K29,0)</f>
        <v>10.416740173667822</v>
      </c>
    </row>
    <row r="30" spans="1:13" ht="15.6" x14ac:dyDescent="0.25">
      <c r="A30" s="382" t="s">
        <v>178</v>
      </c>
      <c r="B30" s="228">
        <v>4697635</v>
      </c>
      <c r="C30" s="228">
        <v>5295198</v>
      </c>
      <c r="D30" s="123">
        <f t="shared" si="3"/>
        <v>12.7</v>
      </c>
      <c r="E30" s="8">
        <f>IFERROR(100/'Skjema total MA'!C30*C30,0)</f>
        <v>26.611681573936593</v>
      </c>
      <c r="F30" s="236">
        <v>16913</v>
      </c>
      <c r="G30" s="236">
        <v>16039</v>
      </c>
      <c r="H30" s="123">
        <f t="shared" si="4"/>
        <v>-5.2</v>
      </c>
      <c r="I30" s="335">
        <f>IFERROR(100/'Skjema total MA'!F30*G30,0)</f>
        <v>0.45214554140725799</v>
      </c>
      <c r="J30" s="236">
        <f t="shared" ref="J30:J33" si="9">SUM(B30,F30)</f>
        <v>4714548</v>
      </c>
      <c r="K30" s="236">
        <f t="shared" ref="K30:K33" si="10">SUM(C30,G30)</f>
        <v>5311237</v>
      </c>
      <c r="L30" s="123">
        <f t="shared" si="6"/>
        <v>12.7</v>
      </c>
      <c r="M30" s="20">
        <f>IFERROR(100/'Skjema total MA'!I30*K30,0)</f>
        <v>22.65370956149247</v>
      </c>
    </row>
    <row r="31" spans="1:13" ht="15.6" x14ac:dyDescent="0.25">
      <c r="A31" s="382" t="s">
        <v>179</v>
      </c>
      <c r="B31" s="228"/>
      <c r="C31" s="228"/>
      <c r="D31" s="123"/>
      <c r="E31" s="8"/>
      <c r="F31" s="236">
        <v>1068203</v>
      </c>
      <c r="G31" s="236">
        <v>1009044</v>
      </c>
      <c r="H31" s="123">
        <f t="shared" si="4"/>
        <v>-5.5</v>
      </c>
      <c r="I31" s="335">
        <f>IFERROR(100/'Skjema total MA'!F31*G31,0)</f>
        <v>14.408358040654978</v>
      </c>
      <c r="J31" s="236">
        <f t="shared" si="9"/>
        <v>1068203</v>
      </c>
      <c r="K31" s="236">
        <f t="shared" si="10"/>
        <v>1009044</v>
      </c>
      <c r="L31" s="123">
        <f t="shared" si="6"/>
        <v>-5.5</v>
      </c>
      <c r="M31" s="20">
        <f>IFERROR(100/'Skjema total MA'!I31*K31,0)</f>
        <v>3.5301800157269705</v>
      </c>
    </row>
    <row r="32" spans="1:13" ht="15.6" x14ac:dyDescent="0.25">
      <c r="A32" s="382" t="s">
        <v>180</v>
      </c>
      <c r="B32" s="228"/>
      <c r="C32" s="228"/>
      <c r="D32" s="123"/>
      <c r="E32" s="8"/>
      <c r="F32" s="236">
        <v>118665</v>
      </c>
      <c r="G32" s="236">
        <v>120140</v>
      </c>
      <c r="H32" s="123">
        <f t="shared" si="4"/>
        <v>1.2</v>
      </c>
      <c r="I32" s="335">
        <f>IFERROR(100/'Skjema total MA'!F32*G32,0)</f>
        <v>1.6521486125120746</v>
      </c>
      <c r="J32" s="236">
        <f t="shared" si="9"/>
        <v>118665</v>
      </c>
      <c r="K32" s="236">
        <f t="shared" si="10"/>
        <v>120140</v>
      </c>
      <c r="L32" s="123">
        <f t="shared" si="6"/>
        <v>1.2</v>
      </c>
      <c r="M32" s="20">
        <f>IFERROR(100/'Skjema total MA'!I32*K32,0)</f>
        <v>1.1933609503927256</v>
      </c>
    </row>
    <row r="33" spans="1:13" ht="15.6" x14ac:dyDescent="0.25">
      <c r="A33" s="382" t="s">
        <v>181</v>
      </c>
      <c r="B33" s="228"/>
      <c r="C33" s="228"/>
      <c r="D33" s="123"/>
      <c r="E33" s="8"/>
      <c r="F33" s="236">
        <v>1258605</v>
      </c>
      <c r="G33" s="236">
        <v>1443716</v>
      </c>
      <c r="H33" s="123">
        <f t="shared" si="4"/>
        <v>14.7</v>
      </c>
      <c r="I33" s="335">
        <f>IFERROR(100/'Skjema total MA'!F33*G33,0)</f>
        <v>10.806178246977641</v>
      </c>
      <c r="J33" s="236">
        <f t="shared" si="9"/>
        <v>1258605</v>
      </c>
      <c r="K33" s="236">
        <f t="shared" si="10"/>
        <v>1443716</v>
      </c>
      <c r="L33" s="123">
        <f t="shared" si="6"/>
        <v>14.7</v>
      </c>
      <c r="M33" s="20">
        <f>IFERROR(100/'Skjema total MA'!I33*K33,0)</f>
        <v>10.806178246977641</v>
      </c>
    </row>
    <row r="34" spans="1:13" ht="15.6" x14ac:dyDescent="0.25">
      <c r="A34" s="10" t="s">
        <v>173</v>
      </c>
      <c r="B34" s="183"/>
      <c r="C34" s="251"/>
      <c r="D34" s="127"/>
      <c r="E34" s="8"/>
      <c r="F34" s="250">
        <v>10685</v>
      </c>
      <c r="G34" s="251">
        <v>13455</v>
      </c>
      <c r="H34" s="127">
        <f t="shared" si="4"/>
        <v>25.9</v>
      </c>
      <c r="I34" s="8">
        <f>IFERROR(100/'Skjema total MA'!F34*G34,0)</f>
        <v>17.177503849137423</v>
      </c>
      <c r="J34" s="183">
        <f t="shared" si="5"/>
        <v>10685</v>
      </c>
      <c r="K34" s="183">
        <f t="shared" si="5"/>
        <v>13455</v>
      </c>
      <c r="L34" s="342">
        <f t="shared" si="6"/>
        <v>25.9</v>
      </c>
      <c r="M34" s="21">
        <f>IFERROR(100/'Skjema total MA'!I34*K34,0)</f>
        <v>16.278316373146659</v>
      </c>
    </row>
    <row r="35" spans="1:13" ht="15.6" x14ac:dyDescent="0.25">
      <c r="A35" s="10" t="s">
        <v>174</v>
      </c>
      <c r="B35" s="183"/>
      <c r="C35" s="251"/>
      <c r="D35" s="127"/>
      <c r="E35" s="8"/>
      <c r="F35" s="250">
        <v>11308</v>
      </c>
      <c r="G35" s="251">
        <v>13792</v>
      </c>
      <c r="H35" s="127">
        <f t="shared" si="4"/>
        <v>22</v>
      </c>
      <c r="I35" s="8">
        <f>IFERROR(100/'Skjema total MA'!F35*G35,0)</f>
        <v>12.57272882297792</v>
      </c>
      <c r="J35" s="183">
        <f t="shared" si="5"/>
        <v>11308</v>
      </c>
      <c r="K35" s="183">
        <f t="shared" si="5"/>
        <v>13792</v>
      </c>
      <c r="L35" s="342">
        <f t="shared" si="6"/>
        <v>22</v>
      </c>
      <c r="M35" s="21">
        <f>IFERROR(100/'Skjema total MA'!I35*K35,0)</f>
        <v>-1.2002422280200475</v>
      </c>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c r="C47" s="253"/>
      <c r="D47" s="341"/>
      <c r="E47" s="8"/>
      <c r="F47" s="109"/>
      <c r="G47" s="27"/>
      <c r="H47" s="118"/>
      <c r="I47" s="118"/>
      <c r="J47" s="31"/>
      <c r="K47" s="31"/>
      <c r="L47" s="118"/>
      <c r="M47" s="118"/>
    </row>
    <row r="48" spans="1:13" ht="15.6" x14ac:dyDescent="0.25">
      <c r="A48" s="18" t="s">
        <v>190</v>
      </c>
      <c r="B48" s="228"/>
      <c r="C48" s="229"/>
      <c r="D48" s="206"/>
      <c r="E48" s="23"/>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v>118419</v>
      </c>
      <c r="C66" s="288">
        <v>134564</v>
      </c>
      <c r="D66" s="285">
        <f t="shared" ref="D66:D111" si="11">IF(B66=0, "    ---- ", IF(ABS(ROUND(100/B66*C66-100,1))&lt;999,ROUND(100/B66*C66-100,1),IF(ROUND(100/B66*C66-100,1)&gt;999,999,-999)))</f>
        <v>13.6</v>
      </c>
      <c r="E66" s="559">
        <f>IFERROR(100/'Skjema total MA'!C66*C66,0)</f>
        <v>4.4267071079360729</v>
      </c>
      <c r="F66" s="560">
        <v>1643178</v>
      </c>
      <c r="G66" s="287">
        <v>1803422</v>
      </c>
      <c r="H66" s="285">
        <f t="shared" ref="H66:H111" si="12">IF(F66=0, "    ---- ", IF(ABS(ROUND(100/F66*G66-100,1))&lt;999,ROUND(100/F66*G66-100,1),IF(ROUND(100/F66*G66-100,1)&gt;999,999,-999)))</f>
        <v>9.8000000000000007</v>
      </c>
      <c r="I66" s="559">
        <f>IFERROR(100/'Skjema total MA'!F66*G66,0)</f>
        <v>11.848560880004797</v>
      </c>
      <c r="J66" s="258">
        <f t="shared" ref="J66:K86" si="13">SUM(B66,F66)</f>
        <v>1761597</v>
      </c>
      <c r="K66" s="258">
        <f t="shared" si="13"/>
        <v>1937986</v>
      </c>
      <c r="L66" s="342">
        <f t="shared" ref="L66:L111" si="14">IF(J66=0, "    ---- ", IF(ABS(ROUND(100/J66*K66-100,1))&lt;999,ROUND(100/J66*K66-100,1),IF(ROUND(100/J66*K66-100,1)&gt;999,999,-999)))</f>
        <v>10</v>
      </c>
      <c r="M66" s="8">
        <f>IFERROR(100/'Skjema total MA'!I66*K66,0)</f>
        <v>10.613041095039996</v>
      </c>
    </row>
    <row r="67" spans="1:13" x14ac:dyDescent="0.25">
      <c r="A67" s="39" t="s">
        <v>198</v>
      </c>
      <c r="B67" s="36">
        <v>118419</v>
      </c>
      <c r="C67" s="109">
        <v>134564</v>
      </c>
      <c r="D67" s="123">
        <f t="shared" si="11"/>
        <v>13.6</v>
      </c>
      <c r="E67" s="20">
        <f>IFERROR(100/'Skjema total MA'!C67*C67,0)</f>
        <v>7.8865529309063795</v>
      </c>
      <c r="F67" s="36"/>
      <c r="G67" s="109"/>
      <c r="H67" s="123"/>
      <c r="I67" s="20"/>
      <c r="J67" s="36">
        <f t="shared" si="13"/>
        <v>118419</v>
      </c>
      <c r="K67" s="36">
        <f t="shared" si="13"/>
        <v>134564</v>
      </c>
      <c r="L67" s="206">
        <f t="shared" si="14"/>
        <v>13.6</v>
      </c>
      <c r="M67" s="23">
        <f>IFERROR(100/'Skjema total MA'!I67*K67,0)</f>
        <v>7.8865529309063795</v>
      </c>
    </row>
    <row r="68" spans="1:13" x14ac:dyDescent="0.25">
      <c r="A68" s="18" t="s">
        <v>199</v>
      </c>
      <c r="B68" s="237"/>
      <c r="C68" s="238"/>
      <c r="D68" s="123"/>
      <c r="E68" s="20"/>
      <c r="F68" s="142">
        <v>1643178</v>
      </c>
      <c r="G68" s="237">
        <v>1803422</v>
      </c>
      <c r="H68" s="123">
        <f t="shared" si="12"/>
        <v>9.8000000000000007</v>
      </c>
      <c r="I68" s="20">
        <f>IFERROR(100/'Skjema total MA'!F68*G68,0)</f>
        <v>12.296856824876739</v>
      </c>
      <c r="J68" s="36">
        <f t="shared" si="13"/>
        <v>1643178</v>
      </c>
      <c r="K68" s="36">
        <f t="shared" si="13"/>
        <v>1803422</v>
      </c>
      <c r="L68" s="206">
        <f t="shared" si="14"/>
        <v>9.8000000000000007</v>
      </c>
      <c r="M68" s="23">
        <f>IFERROR(100/'Skjema total MA'!I68*K68,0)</f>
        <v>12.293055112842998</v>
      </c>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v>118019</v>
      </c>
      <c r="C77" s="181">
        <v>134179</v>
      </c>
      <c r="D77" s="123">
        <f t="shared" si="11"/>
        <v>13.7</v>
      </c>
      <c r="E77" s="20">
        <f>IFERROR(100/'Skjema total MA'!C77*C77,0)</f>
        <v>8.2033356576460292</v>
      </c>
      <c r="F77" s="36">
        <v>1643148</v>
      </c>
      <c r="G77" s="109">
        <v>1803422</v>
      </c>
      <c r="H77" s="123">
        <f t="shared" si="12"/>
        <v>9.8000000000000007</v>
      </c>
      <c r="I77" s="20">
        <f>IFERROR(100/'Skjema total MA'!F77*G77,0)</f>
        <v>12.300648447164196</v>
      </c>
      <c r="J77" s="36">
        <f t="shared" si="13"/>
        <v>1761167</v>
      </c>
      <c r="K77" s="36">
        <f t="shared" si="13"/>
        <v>1937601</v>
      </c>
      <c r="L77" s="206">
        <f t="shared" si="14"/>
        <v>10</v>
      </c>
      <c r="M77" s="23">
        <f>IFERROR(100/'Skjema total MA'!I77*K77,0)</f>
        <v>11.889414181438125</v>
      </c>
    </row>
    <row r="78" spans="1:13" x14ac:dyDescent="0.25">
      <c r="A78" s="18" t="s">
        <v>198</v>
      </c>
      <c r="B78" s="181">
        <v>118019</v>
      </c>
      <c r="C78" s="109">
        <v>134179</v>
      </c>
      <c r="D78" s="123">
        <f t="shared" si="11"/>
        <v>13.7</v>
      </c>
      <c r="E78" s="20">
        <f>IFERROR(100/'Skjema total MA'!C78*C78,0)</f>
        <v>8.2261456406200502</v>
      </c>
      <c r="F78" s="36"/>
      <c r="G78" s="109"/>
      <c r="H78" s="123"/>
      <c r="I78" s="20"/>
      <c r="J78" s="36">
        <f t="shared" si="13"/>
        <v>118019</v>
      </c>
      <c r="K78" s="36">
        <f t="shared" si="13"/>
        <v>134179</v>
      </c>
      <c r="L78" s="206">
        <f t="shared" si="14"/>
        <v>13.7</v>
      </c>
      <c r="M78" s="23">
        <f>IFERROR(100/'Skjema total MA'!I78*K78,0)</f>
        <v>8.2261456406200502</v>
      </c>
    </row>
    <row r="79" spans="1:13" x14ac:dyDescent="0.25">
      <c r="A79" s="18" t="s">
        <v>207</v>
      </c>
      <c r="B79" s="237"/>
      <c r="C79" s="238"/>
      <c r="D79" s="123"/>
      <c r="E79" s="20"/>
      <c r="F79" s="142">
        <v>1643148</v>
      </c>
      <c r="G79" s="238">
        <v>1803422</v>
      </c>
      <c r="H79" s="123">
        <f t="shared" si="12"/>
        <v>9.8000000000000007</v>
      </c>
      <c r="I79" s="20">
        <f>IFERROR(100/'Skjema total MA'!F79*G79,0)</f>
        <v>12.300648447164196</v>
      </c>
      <c r="J79" s="36">
        <f t="shared" si="13"/>
        <v>1643148</v>
      </c>
      <c r="K79" s="36">
        <f t="shared" si="13"/>
        <v>1803422</v>
      </c>
      <c r="L79" s="206">
        <f t="shared" si="14"/>
        <v>9.8000000000000007</v>
      </c>
      <c r="M79" s="23">
        <f>IFERROR(100/'Skjema total MA'!I79*K79,0)</f>
        <v>12.296844390686017</v>
      </c>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v>400</v>
      </c>
      <c r="C86" s="109">
        <v>385</v>
      </c>
      <c r="D86" s="123">
        <f t="shared" si="11"/>
        <v>-3.8</v>
      </c>
      <c r="E86" s="20">
        <f>IFERROR(100/'Skjema total MA'!C86*C86,0)</f>
        <v>0.51253259341199386</v>
      </c>
      <c r="F86" s="36">
        <v>30</v>
      </c>
      <c r="G86" s="109">
        <v>0</v>
      </c>
      <c r="H86" s="123">
        <f t="shared" si="12"/>
        <v>-100</v>
      </c>
      <c r="I86" s="20">
        <f>IFERROR(100/'Skjema total MA'!F86*G86,0)</f>
        <v>0</v>
      </c>
      <c r="J86" s="36">
        <f t="shared" si="13"/>
        <v>430</v>
      </c>
      <c r="K86" s="36">
        <f t="shared" si="13"/>
        <v>385</v>
      </c>
      <c r="L86" s="206">
        <f t="shared" si="14"/>
        <v>-10.5</v>
      </c>
      <c r="M86" s="23">
        <f>IFERROR(100/'Skjema total MA'!I86*K86,0)</f>
        <v>0.48343865975835748</v>
      </c>
    </row>
    <row r="87" spans="1:13" ht="15.6" x14ac:dyDescent="0.25">
      <c r="A87" s="10" t="s">
        <v>172</v>
      </c>
      <c r="B87" s="288">
        <v>6581394</v>
      </c>
      <c r="C87" s="288">
        <v>6791077</v>
      </c>
      <c r="D87" s="127">
        <f t="shared" si="11"/>
        <v>3.2</v>
      </c>
      <c r="E87" s="21">
        <f>IFERROR(100/'Skjema total MA'!C87*C87,0)</f>
        <v>1.6379830701157165</v>
      </c>
      <c r="F87" s="225">
        <v>71747392</v>
      </c>
      <c r="G87" s="287">
        <v>85297307</v>
      </c>
      <c r="H87" s="127">
        <f t="shared" si="12"/>
        <v>18.899999999999999</v>
      </c>
      <c r="I87" s="21">
        <f>IFERROR(100/'Skjema total MA'!F87*G87,0)</f>
        <v>10.732523584493777</v>
      </c>
      <c r="J87" s="183">
        <f t="shared" ref="J87:K111" si="15">SUM(B87,F87)</f>
        <v>78328786</v>
      </c>
      <c r="K87" s="183">
        <f t="shared" si="15"/>
        <v>92088384</v>
      </c>
      <c r="L87" s="342">
        <f t="shared" si="14"/>
        <v>17.600000000000001</v>
      </c>
      <c r="M87" s="8">
        <f>IFERROR(100/'Skjema total MA'!I87*K87,0)</f>
        <v>7.6146673191242007</v>
      </c>
    </row>
    <row r="88" spans="1:13" x14ac:dyDescent="0.25">
      <c r="A88" s="18" t="s">
        <v>198</v>
      </c>
      <c r="B88" s="181">
        <v>6581394</v>
      </c>
      <c r="C88" s="109">
        <v>6791077</v>
      </c>
      <c r="D88" s="123">
        <f t="shared" si="11"/>
        <v>3.2</v>
      </c>
      <c r="E88" s="20">
        <f>IFERROR(100/'Skjema total MA'!C88*C88,0)</f>
        <v>1.755983757692668</v>
      </c>
      <c r="F88" s="36"/>
      <c r="G88" s="109"/>
      <c r="H88" s="123"/>
      <c r="I88" s="20"/>
      <c r="J88" s="36">
        <f t="shared" si="15"/>
        <v>6581394</v>
      </c>
      <c r="K88" s="36">
        <f t="shared" si="15"/>
        <v>6791077</v>
      </c>
      <c r="L88" s="206">
        <f t="shared" si="14"/>
        <v>3.2</v>
      </c>
      <c r="M88" s="23">
        <f>IFERROR(100/'Skjema total MA'!I88*K88,0)</f>
        <v>1.755983757692668</v>
      </c>
    </row>
    <row r="89" spans="1:13" x14ac:dyDescent="0.25">
      <c r="A89" s="18" t="s">
        <v>199</v>
      </c>
      <c r="B89" s="181"/>
      <c r="C89" s="109"/>
      <c r="D89" s="123"/>
      <c r="E89" s="20"/>
      <c r="F89" s="36">
        <v>71747392</v>
      </c>
      <c r="G89" s="109">
        <v>85297307</v>
      </c>
      <c r="H89" s="123">
        <f t="shared" si="12"/>
        <v>18.899999999999999</v>
      </c>
      <c r="I89" s="20">
        <f>IFERROR(100/'Skjema total MA'!F89*G89,0)</f>
        <v>10.908975263130008</v>
      </c>
      <c r="J89" s="36">
        <f t="shared" si="15"/>
        <v>71747392</v>
      </c>
      <c r="K89" s="36">
        <f t="shared" si="15"/>
        <v>85297307</v>
      </c>
      <c r="L89" s="206">
        <f t="shared" si="14"/>
        <v>18.899999999999999</v>
      </c>
      <c r="M89" s="23">
        <f>IFERROR(100/'Skjema total MA'!I89*K89,0)</f>
        <v>10.850195406309323</v>
      </c>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v>6575675</v>
      </c>
      <c r="C98" s="181">
        <v>6783850</v>
      </c>
      <c r="D98" s="123">
        <f t="shared" si="11"/>
        <v>3.2</v>
      </c>
      <c r="E98" s="20">
        <f>IFERROR(100/'Skjema total MA'!C98*C98,0)</f>
        <v>1.7545402554868963</v>
      </c>
      <c r="F98" s="142">
        <v>71747290</v>
      </c>
      <c r="G98" s="237">
        <v>85297203</v>
      </c>
      <c r="H98" s="123">
        <f t="shared" si="12"/>
        <v>18.899999999999999</v>
      </c>
      <c r="I98" s="20">
        <f>IFERROR(100/'Skjema total MA'!F98*G98,0)</f>
        <v>10.914671119358804</v>
      </c>
      <c r="J98" s="36">
        <f t="shared" si="15"/>
        <v>78322965</v>
      </c>
      <c r="K98" s="36">
        <f t="shared" si="15"/>
        <v>92081053</v>
      </c>
      <c r="L98" s="206">
        <f t="shared" si="14"/>
        <v>17.600000000000001</v>
      </c>
      <c r="M98" s="23">
        <f>IFERROR(100/'Skjema total MA'!I98*K98,0)</f>
        <v>7.8827290470923819</v>
      </c>
    </row>
    <row r="99" spans="1:13" x14ac:dyDescent="0.25">
      <c r="A99" s="18" t="s">
        <v>198</v>
      </c>
      <c r="B99" s="237">
        <v>6575675</v>
      </c>
      <c r="C99" s="238">
        <v>6783850</v>
      </c>
      <c r="D99" s="123">
        <f t="shared" si="11"/>
        <v>3.2</v>
      </c>
      <c r="E99" s="20">
        <f>IFERROR(100/'Skjema total MA'!C99*C99,0)</f>
        <v>1.7739749134397531</v>
      </c>
      <c r="F99" s="36"/>
      <c r="G99" s="109"/>
      <c r="H99" s="123"/>
      <c r="I99" s="20"/>
      <c r="J99" s="36">
        <f t="shared" si="15"/>
        <v>6575675</v>
      </c>
      <c r="K99" s="36">
        <f t="shared" si="15"/>
        <v>6783850</v>
      </c>
      <c r="L99" s="206">
        <f t="shared" si="14"/>
        <v>3.2</v>
      </c>
      <c r="M99" s="23">
        <f>IFERROR(100/'Skjema total MA'!I99*K99,0)</f>
        <v>1.7739749134397531</v>
      </c>
    </row>
    <row r="100" spans="1:13" x14ac:dyDescent="0.25">
      <c r="A100" s="18" t="s">
        <v>207</v>
      </c>
      <c r="B100" s="237"/>
      <c r="C100" s="238"/>
      <c r="D100" s="123"/>
      <c r="E100" s="20"/>
      <c r="F100" s="36">
        <v>71747290</v>
      </c>
      <c r="G100" s="181">
        <v>85297203</v>
      </c>
      <c r="H100" s="123">
        <f t="shared" si="12"/>
        <v>18.899999999999999</v>
      </c>
      <c r="I100" s="20">
        <f>IFERROR(100/'Skjema total MA'!F100*G100,0)</f>
        <v>10.914671119358804</v>
      </c>
      <c r="J100" s="36">
        <f t="shared" si="15"/>
        <v>71747290</v>
      </c>
      <c r="K100" s="36">
        <f t="shared" si="15"/>
        <v>85297203</v>
      </c>
      <c r="L100" s="206">
        <f t="shared" si="14"/>
        <v>18.899999999999999</v>
      </c>
      <c r="M100" s="23">
        <f>IFERROR(100/'Skjema total MA'!I100*K100,0)</f>
        <v>10.85582995975013</v>
      </c>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v>5719</v>
      </c>
      <c r="C107" s="109">
        <v>7227</v>
      </c>
      <c r="D107" s="123">
        <f t="shared" si="11"/>
        <v>26.4</v>
      </c>
      <c r="E107" s="20">
        <f>IFERROR(100/'Skjema total MA'!C107*C107,0)</f>
        <v>0.16692110451937378</v>
      </c>
      <c r="F107" s="36">
        <v>102</v>
      </c>
      <c r="G107" s="109">
        <v>104</v>
      </c>
      <c r="H107" s="123">
        <f t="shared" si="12"/>
        <v>2</v>
      </c>
      <c r="I107" s="20">
        <f>IFERROR(100/'Skjema total MA'!F107*G107,0)</f>
        <v>2.5428493557978351E-2</v>
      </c>
      <c r="J107" s="36">
        <f t="shared" si="15"/>
        <v>5821</v>
      </c>
      <c r="K107" s="36">
        <f t="shared" si="15"/>
        <v>7331</v>
      </c>
      <c r="L107" s="206">
        <f t="shared" si="14"/>
        <v>25.9</v>
      </c>
      <c r="M107" s="23">
        <f>IFERROR(100/'Skjema total MA'!I107*K107,0)</f>
        <v>0.15470878330480439</v>
      </c>
    </row>
    <row r="108" spans="1:13" ht="15.6" x14ac:dyDescent="0.25">
      <c r="A108" s="18" t="s">
        <v>209</v>
      </c>
      <c r="B108" s="181">
        <v>3958367</v>
      </c>
      <c r="C108" s="181">
        <v>3901223</v>
      </c>
      <c r="D108" s="123">
        <f t="shared" si="11"/>
        <v>-1.4</v>
      </c>
      <c r="E108" s="20">
        <f>IFERROR(100/'Skjema total MA'!C108*C108,0)</f>
        <v>1.182806453975368</v>
      </c>
      <c r="F108" s="36"/>
      <c r="G108" s="181"/>
      <c r="H108" s="123"/>
      <c r="I108" s="20"/>
      <c r="J108" s="36">
        <f t="shared" si="15"/>
        <v>3958367</v>
      </c>
      <c r="K108" s="36">
        <f t="shared" si="15"/>
        <v>3901223</v>
      </c>
      <c r="L108" s="206">
        <f t="shared" si="14"/>
        <v>-1.4</v>
      </c>
      <c r="M108" s="23">
        <f>IFERROR(100/'Skjema total MA'!I108*K108,0)</f>
        <v>1.0966409128225574</v>
      </c>
    </row>
    <row r="109" spans="1:13" ht="15.6" x14ac:dyDescent="0.25">
      <c r="A109" s="18" t="s">
        <v>210</v>
      </c>
      <c r="B109" s="181"/>
      <c r="C109" s="181"/>
      <c r="D109" s="123"/>
      <c r="E109" s="20"/>
      <c r="F109" s="36">
        <v>31353595</v>
      </c>
      <c r="G109" s="181">
        <v>38229701</v>
      </c>
      <c r="H109" s="123">
        <f t="shared" si="12"/>
        <v>21.9</v>
      </c>
      <c r="I109" s="20">
        <f>IFERROR(100/'Skjema total MA'!F109*G109,0)</f>
        <v>12.10542610354346</v>
      </c>
      <c r="J109" s="36">
        <f t="shared" si="15"/>
        <v>31353595</v>
      </c>
      <c r="K109" s="36">
        <f t="shared" si="15"/>
        <v>38229701</v>
      </c>
      <c r="L109" s="206">
        <f t="shared" si="14"/>
        <v>21.9</v>
      </c>
      <c r="M109" s="23">
        <f>IFERROR(100/'Skjema total MA'!I109*K109,0)</f>
        <v>11.982230119478501</v>
      </c>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v>111541</v>
      </c>
      <c r="C111" s="118">
        <v>35500</v>
      </c>
      <c r="D111" s="127">
        <f t="shared" si="11"/>
        <v>-68.2</v>
      </c>
      <c r="E111" s="21">
        <f>IFERROR(100/'Skjema total MA'!C111*C111,0)</f>
        <v>11.850130680270263</v>
      </c>
      <c r="F111" s="183">
        <v>4008788</v>
      </c>
      <c r="G111" s="118">
        <v>3146887</v>
      </c>
      <c r="H111" s="127">
        <f t="shared" si="12"/>
        <v>-21.5</v>
      </c>
      <c r="I111" s="21">
        <f>IFERROR(100/'Skjema total MA'!F111*G111,0)</f>
        <v>13.047214955276273</v>
      </c>
      <c r="J111" s="183">
        <f t="shared" si="15"/>
        <v>4120329</v>
      </c>
      <c r="K111" s="183">
        <f t="shared" si="15"/>
        <v>3182387</v>
      </c>
      <c r="L111" s="342">
        <f t="shared" si="14"/>
        <v>-22.8</v>
      </c>
      <c r="M111" s="8">
        <f>IFERROR(100/'Skjema total MA'!I111*K111,0)</f>
        <v>13.032528883591786</v>
      </c>
    </row>
    <row r="112" spans="1:13" x14ac:dyDescent="0.25">
      <c r="A112" s="18" t="s">
        <v>198</v>
      </c>
      <c r="B112" s="181">
        <v>111541</v>
      </c>
      <c r="C112" s="109">
        <v>35500</v>
      </c>
      <c r="D112" s="123">
        <f t="shared" ref="D112:D120" si="16">IF(B112=0, "    ---- ", IF(ABS(ROUND(100/B112*C112-100,1))&lt;999,ROUND(100/B112*C112-100,1),IF(ROUND(100/B112*C112-100,1)&gt;999,999,-999)))</f>
        <v>-68.2</v>
      </c>
      <c r="E112" s="20">
        <f>IFERROR(100/'Skjema total MA'!C112*C112,0)</f>
        <v>16.155903723114506</v>
      </c>
      <c r="F112" s="36"/>
      <c r="G112" s="109"/>
      <c r="H112" s="123"/>
      <c r="I112" s="20"/>
      <c r="J112" s="36">
        <f t="shared" ref="J112:K125" si="17">SUM(B112,F112)</f>
        <v>111541</v>
      </c>
      <c r="K112" s="36">
        <f t="shared" si="17"/>
        <v>35500</v>
      </c>
      <c r="L112" s="206">
        <f t="shared" ref="L112:L125" si="18">IF(J112=0, "    ---- ", IF(ABS(ROUND(100/J112*K112-100,1))&lt;999,ROUND(100/J112*K112-100,1),IF(ROUND(100/J112*K112-100,1)&gt;999,999,-999)))</f>
        <v>-68.2</v>
      </c>
      <c r="M112" s="23">
        <f>IFERROR(100/'Skjema total MA'!I112*K112,0)</f>
        <v>15.97474312868645</v>
      </c>
    </row>
    <row r="113" spans="1:13" x14ac:dyDescent="0.25">
      <c r="A113" s="18" t="s">
        <v>199</v>
      </c>
      <c r="B113" s="181"/>
      <c r="C113" s="109"/>
      <c r="D113" s="123"/>
      <c r="E113" s="20"/>
      <c r="F113" s="36">
        <v>4008788</v>
      </c>
      <c r="G113" s="109">
        <v>3146887</v>
      </c>
      <c r="H113" s="123">
        <f t="shared" ref="H113:H125" si="19">IF(F113=0, "    ---- ", IF(ABS(ROUND(100/F113*G113-100,1))&lt;999,ROUND(100/F113*G113-100,1),IF(ROUND(100/F113*G113-100,1)&gt;999,999,-999)))</f>
        <v>-21.5</v>
      </c>
      <c r="I113" s="20">
        <f>IFERROR(100/'Skjema total MA'!F113*G113,0)</f>
        <v>13.050320263443652</v>
      </c>
      <c r="J113" s="36">
        <f t="shared" si="17"/>
        <v>4008788</v>
      </c>
      <c r="K113" s="36">
        <f t="shared" si="17"/>
        <v>3146887</v>
      </c>
      <c r="L113" s="206">
        <f t="shared" si="18"/>
        <v>-21.5</v>
      </c>
      <c r="M113" s="23">
        <f>IFERROR(100/'Skjema total MA'!I113*K113,0)</f>
        <v>13.044541281578752</v>
      </c>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v>1509812</v>
      </c>
      <c r="G117" s="181">
        <v>1180958</v>
      </c>
      <c r="H117" s="123">
        <f t="shared" si="19"/>
        <v>-21.8</v>
      </c>
      <c r="I117" s="20">
        <f>IFERROR(100/'Skjema total MA'!F117*G117,0)</f>
        <v>8.7274121200613042</v>
      </c>
      <c r="J117" s="36">
        <f t="shared" si="17"/>
        <v>1509812</v>
      </c>
      <c r="K117" s="36">
        <f t="shared" si="17"/>
        <v>1180958</v>
      </c>
      <c r="L117" s="206">
        <f t="shared" si="18"/>
        <v>-21.8</v>
      </c>
      <c r="M117" s="23">
        <f>IFERROR(100/'Skjema total MA'!I117*K117,0)</f>
        <v>8.7274121200613042</v>
      </c>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v>10487</v>
      </c>
      <c r="C119" s="118">
        <v>36979</v>
      </c>
      <c r="D119" s="127">
        <f t="shared" si="16"/>
        <v>252.6</v>
      </c>
      <c r="E119" s="21">
        <f>IFERROR(100/'Skjema total MA'!C119*C119,0)</f>
        <v>10.771058194698107</v>
      </c>
      <c r="F119" s="183">
        <v>2808637</v>
      </c>
      <c r="G119" s="118">
        <v>3078862</v>
      </c>
      <c r="H119" s="127">
        <f t="shared" si="19"/>
        <v>9.6</v>
      </c>
      <c r="I119" s="21">
        <f>IFERROR(100/'Skjema total MA'!F119*G119,0)</f>
        <v>12.335283225167723</v>
      </c>
      <c r="J119" s="183">
        <f t="shared" si="17"/>
        <v>2819124</v>
      </c>
      <c r="K119" s="183">
        <f t="shared" si="17"/>
        <v>3115841</v>
      </c>
      <c r="L119" s="342">
        <f t="shared" si="18"/>
        <v>10.5</v>
      </c>
      <c r="M119" s="8">
        <f>IFERROR(100/'Skjema total MA'!I119*K119,0)</f>
        <v>12.314059482036635</v>
      </c>
    </row>
    <row r="120" spans="1:13" x14ac:dyDescent="0.25">
      <c r="A120" s="18" t="s">
        <v>198</v>
      </c>
      <c r="B120" s="181">
        <v>10487</v>
      </c>
      <c r="C120" s="109">
        <v>36979</v>
      </c>
      <c r="D120" s="123">
        <f t="shared" si="16"/>
        <v>252.6</v>
      </c>
      <c r="E120" s="20">
        <f>IFERROR(100/'Skjema total MA'!C120*C120,0)</f>
        <v>63.047130726828229</v>
      </c>
      <c r="F120" s="36"/>
      <c r="G120" s="109"/>
      <c r="H120" s="123"/>
      <c r="I120" s="20"/>
      <c r="J120" s="36">
        <f t="shared" si="17"/>
        <v>10487</v>
      </c>
      <c r="K120" s="36">
        <f t="shared" si="17"/>
        <v>36979</v>
      </c>
      <c r="L120" s="206">
        <f t="shared" si="18"/>
        <v>252.6</v>
      </c>
      <c r="M120" s="23">
        <f>IFERROR(100/'Skjema total MA'!I120*K120,0)</f>
        <v>63.047130726828229</v>
      </c>
    </row>
    <row r="121" spans="1:13" x14ac:dyDescent="0.25">
      <c r="A121" s="18" t="s">
        <v>199</v>
      </c>
      <c r="B121" s="181"/>
      <c r="C121" s="109"/>
      <c r="D121" s="123"/>
      <c r="E121" s="20"/>
      <c r="F121" s="36">
        <v>2808637</v>
      </c>
      <c r="G121" s="109">
        <v>3078862</v>
      </c>
      <c r="H121" s="123">
        <f t="shared" si="19"/>
        <v>9.6</v>
      </c>
      <c r="I121" s="20">
        <f>IFERROR(100/'Skjema total MA'!F121*G121,0)</f>
        <v>12.335283225167723</v>
      </c>
      <c r="J121" s="36">
        <f t="shared" si="17"/>
        <v>2808637</v>
      </c>
      <c r="K121" s="36">
        <f t="shared" si="17"/>
        <v>3078862</v>
      </c>
      <c r="L121" s="206">
        <f t="shared" si="18"/>
        <v>9.6</v>
      </c>
      <c r="M121" s="23">
        <f>IFERROR(100/'Skjema total MA'!I121*K121,0)</f>
        <v>12.316858117396018</v>
      </c>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v>1150944</v>
      </c>
      <c r="G125" s="181">
        <v>868927</v>
      </c>
      <c r="H125" s="123">
        <f t="shared" si="19"/>
        <v>-24.5</v>
      </c>
      <c r="I125" s="20">
        <f>IFERROR(100/'Skjema total MA'!F125*G125,0)</f>
        <v>7.2212832242550364</v>
      </c>
      <c r="J125" s="36">
        <f t="shared" si="17"/>
        <v>1150944</v>
      </c>
      <c r="K125" s="36">
        <f t="shared" si="17"/>
        <v>868927</v>
      </c>
      <c r="L125" s="206">
        <f t="shared" si="18"/>
        <v>-24.5</v>
      </c>
      <c r="M125" s="23">
        <f>IFERROR(100/'Skjema total MA'!I125*K125,0)</f>
        <v>7.2210831664530142</v>
      </c>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97" priority="13">
      <formula>kvartal &lt; 4</formula>
    </cfRule>
  </conditionalFormatting>
  <conditionalFormatting sqref="A69:A74">
    <cfRule type="expression" dxfId="396" priority="11">
      <formula>kvartal &lt; 4</formula>
    </cfRule>
  </conditionalFormatting>
  <conditionalFormatting sqref="A80:A85">
    <cfRule type="expression" dxfId="395" priority="10">
      <formula>kvartal &lt; 4</formula>
    </cfRule>
  </conditionalFormatting>
  <conditionalFormatting sqref="A90:A95">
    <cfRule type="expression" dxfId="394" priority="7">
      <formula>kvartal &lt; 4</formula>
    </cfRule>
  </conditionalFormatting>
  <conditionalFormatting sqref="A101:A106">
    <cfRule type="expression" dxfId="393" priority="6">
      <formula>kvartal &lt; 4</formula>
    </cfRule>
  </conditionalFormatting>
  <conditionalFormatting sqref="A115:C115">
    <cfRule type="expression" dxfId="392" priority="5">
      <formula>kvartal &lt; 4</formula>
    </cfRule>
  </conditionalFormatting>
  <conditionalFormatting sqref="A123:C123">
    <cfRule type="expression" dxfId="391" priority="4">
      <formula>kvartal &lt; 4</formula>
    </cfRule>
  </conditionalFormatting>
  <conditionalFormatting sqref="B69:C69">
    <cfRule type="expression" dxfId="390" priority="100">
      <formula>kvartal &lt; 4</formula>
    </cfRule>
  </conditionalFormatting>
  <conditionalFormatting sqref="B72:C72">
    <cfRule type="expression" dxfId="389" priority="98">
      <formula>kvartal &lt; 4</formula>
    </cfRule>
  </conditionalFormatting>
  <conditionalFormatting sqref="F115:G115">
    <cfRule type="expression" dxfId="388" priority="58">
      <formula>kvartal &lt; 4</formula>
    </cfRule>
  </conditionalFormatting>
  <conditionalFormatting sqref="F123:G123">
    <cfRule type="expression" dxfId="387" priority="57">
      <formula>kvartal &lt; 4</formula>
    </cfRule>
  </conditionalFormatting>
  <conditionalFormatting sqref="J115:K115">
    <cfRule type="expression" dxfId="386" priority="33">
      <formula>kvartal &lt; 4</formula>
    </cfRule>
  </conditionalFormatting>
  <conditionalFormatting sqref="J123:K123">
    <cfRule type="expression" dxfId="385" priority="32">
      <formula>kvartal &lt; 4</formula>
    </cfRule>
  </conditionalFormatting>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9"/>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403</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v>150963.54931210299</v>
      </c>
      <c r="C7" s="249">
        <v>163923.01800000001</v>
      </c>
      <c r="D7" s="285">
        <f>IF(B7=0, "    ---- ", IF(ABS(ROUND(100/B7*C7-100,1))&lt;999,ROUND(100/B7*C7-100,1),IF(ROUND(100/B7*C7-100,1)&gt;999,999,-999)))</f>
        <v>8.6</v>
      </c>
      <c r="E7" s="8">
        <f>IFERROR(100/'Skjema total MA'!C7*C7,0)</f>
        <v>7.8095043131744948</v>
      </c>
      <c r="F7" s="248"/>
      <c r="G7" s="249"/>
      <c r="H7" s="285"/>
      <c r="I7" s="119"/>
      <c r="J7" s="250">
        <f t="shared" ref="J7:K9" si="0">SUM(B7,F7)</f>
        <v>150963.54931210299</v>
      </c>
      <c r="K7" s="251">
        <f t="shared" si="0"/>
        <v>163923.01800000001</v>
      </c>
      <c r="L7" s="341">
        <f>IF(J7=0, "    ---- ", IF(ABS(ROUND(100/J7*K7-100,1))&lt;999,ROUND(100/J7*K7-100,1),IF(ROUND(100/J7*K7-100,1)&gt;999,999,-999)))</f>
        <v>8.6</v>
      </c>
      <c r="M7" s="8">
        <f>IFERROR(100/'Skjema total MA'!I7*K7,0)</f>
        <v>2.7988021229420736</v>
      </c>
    </row>
    <row r="8" spans="1:14" ht="15.6" x14ac:dyDescent="0.25">
      <c r="A8" s="18" t="s">
        <v>170</v>
      </c>
      <c r="B8" s="228">
        <v>118859.857137567</v>
      </c>
      <c r="C8" s="229">
        <v>131902.98199999999</v>
      </c>
      <c r="D8" s="123">
        <f t="shared" ref="D8:D9" si="1">IF(B8=0, "    ---- ", IF(ABS(ROUND(100/B8*C8-100,1))&lt;999,ROUND(100/B8*C8-100,1),IF(ROUND(100/B8*C8-100,1)&gt;999,999,-999)))</f>
        <v>11</v>
      </c>
      <c r="E8" s="23">
        <f>IFERROR(100/'Skjema total MA'!C8*C8,0)</f>
        <v>9.1856883786348789</v>
      </c>
      <c r="F8" s="232"/>
      <c r="G8" s="233"/>
      <c r="H8" s="123"/>
      <c r="I8" s="132"/>
      <c r="J8" s="181">
        <f t="shared" si="0"/>
        <v>118859.857137567</v>
      </c>
      <c r="K8" s="234">
        <f t="shared" si="0"/>
        <v>131902.98199999999</v>
      </c>
      <c r="L8" s="123">
        <f t="shared" ref="L8:L9" si="2">IF(J8=0, "    ---- ", IF(ABS(ROUND(100/J8*K8-100,1))&lt;999,ROUND(100/J8*K8-100,1),IF(ROUND(100/J8*K8-100,1)&gt;999,999,-999)))</f>
        <v>11</v>
      </c>
      <c r="M8" s="23">
        <f>IFERROR(100/'Skjema total MA'!I8*K8,0)</f>
        <v>9.1856883786348789</v>
      </c>
    </row>
    <row r="9" spans="1:14" ht="15.6" x14ac:dyDescent="0.25">
      <c r="A9" s="18" t="s">
        <v>171</v>
      </c>
      <c r="B9" s="228">
        <v>32103.692174536402</v>
      </c>
      <c r="C9" s="229">
        <v>32020.036</v>
      </c>
      <c r="D9" s="123">
        <f t="shared" si="1"/>
        <v>-0.3</v>
      </c>
      <c r="E9" s="23">
        <f>IFERROR(100/'Skjema total MA'!C9*C9,0)</f>
        <v>7.4934381544376993</v>
      </c>
      <c r="F9" s="232"/>
      <c r="G9" s="233"/>
      <c r="H9" s="123"/>
      <c r="I9" s="132"/>
      <c r="J9" s="181">
        <f t="shared" si="0"/>
        <v>32103.692174536402</v>
      </c>
      <c r="K9" s="234">
        <f t="shared" si="0"/>
        <v>32020.036</v>
      </c>
      <c r="L9" s="123">
        <f t="shared" si="2"/>
        <v>-0.3</v>
      </c>
      <c r="M9" s="23">
        <f>IFERROR(100/'Skjema total MA'!I9*K9,0)</f>
        <v>7.4934381544376993</v>
      </c>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v>109226.525563376</v>
      </c>
      <c r="C28" s="234">
        <v>140694.64199999999</v>
      </c>
      <c r="D28" s="123">
        <f t="shared" ref="D28" si="3">IF(B28=0, "    ---- ", IF(ABS(ROUND(100/B28*C28-100,1))&lt;999,ROUND(100/B28*C28-100,1),IF(ROUND(100/B28*C28-100,1)&gt;999,999,-999)))</f>
        <v>28.8</v>
      </c>
      <c r="E28" s="8">
        <f>IFERROR(100/'Skjema total MA'!C28*C28,0)</f>
        <v>10.438173730575727</v>
      </c>
      <c r="F28" s="181"/>
      <c r="G28" s="234"/>
      <c r="H28" s="123"/>
      <c r="I28" s="23"/>
      <c r="J28" s="36">
        <f t="shared" ref="J28:K28" si="4">SUM(B28,F28)</f>
        <v>109226.525563376</v>
      </c>
      <c r="K28" s="36">
        <f t="shared" si="4"/>
        <v>140694.64199999999</v>
      </c>
      <c r="L28" s="206">
        <f t="shared" ref="L28" si="5">IF(J28=0, "    ---- ", IF(ABS(ROUND(100/J28*K28-100,1))&lt;999,ROUND(100/J28*K28-100,1),IF(ROUND(100/J28*K28-100,1)&gt;999,999,-999)))</f>
        <v>28.8</v>
      </c>
      <c r="M28" s="20">
        <f>IFERROR(100/'Skjema total MA'!I28*K28,0)</f>
        <v>10.438173730575727</v>
      </c>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87994</v>
      </c>
      <c r="C47" s="253">
        <v>97931.245160000006</v>
      </c>
      <c r="D47" s="341">
        <f t="shared" ref="D47:D57" si="6">IF(B47=0, "    ---- ", IF(ABS(ROUND(100/B47*C47-100,1))&lt;999,ROUND(100/B47*C47-100,1),IF(ROUND(100/B47*C47-100,1)&gt;999,999,-999)))</f>
        <v>11.3</v>
      </c>
      <c r="E47" s="8">
        <f>IFERROR(100/'Skjema total MA'!C47*C47,0)</f>
        <v>1.9776201459803646</v>
      </c>
      <c r="F47" s="109"/>
      <c r="G47" s="27"/>
      <c r="H47" s="118"/>
      <c r="I47" s="118"/>
      <c r="J47" s="31"/>
      <c r="K47" s="31"/>
      <c r="L47" s="118"/>
      <c r="M47" s="118"/>
    </row>
    <row r="48" spans="1:13" ht="15.6" x14ac:dyDescent="0.25">
      <c r="A48" s="18" t="s">
        <v>190</v>
      </c>
      <c r="B48" s="228">
        <v>87994</v>
      </c>
      <c r="C48" s="229">
        <v>97931.245160000006</v>
      </c>
      <c r="D48" s="206">
        <f t="shared" si="6"/>
        <v>11.3</v>
      </c>
      <c r="E48" s="23">
        <f>IFERROR(100/'Skjema total MA'!C48*C48,0)</f>
        <v>4.074040353213932</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v>374.56700000000001</v>
      </c>
      <c r="C53" s="253">
        <v>446</v>
      </c>
      <c r="D53" s="342">
        <f t="shared" si="6"/>
        <v>19.100000000000001</v>
      </c>
      <c r="E53" s="8">
        <f>IFERROR(100/'Skjema total MA'!C53*C53,0)</f>
        <v>0.34072303536614962</v>
      </c>
      <c r="F53" s="109"/>
      <c r="G53" s="27"/>
      <c r="H53" s="109"/>
      <c r="I53" s="109"/>
      <c r="J53" s="27"/>
      <c r="K53" s="27"/>
      <c r="L53" s="118"/>
      <c r="M53" s="118"/>
    </row>
    <row r="54" spans="1:13" ht="15.6" x14ac:dyDescent="0.25">
      <c r="A54" s="18" t="s">
        <v>190</v>
      </c>
      <c r="B54" s="228">
        <v>374.56700000000001</v>
      </c>
      <c r="C54" s="229">
        <v>446</v>
      </c>
      <c r="D54" s="206">
        <f t="shared" si="6"/>
        <v>19.100000000000001</v>
      </c>
      <c r="E54" s="23">
        <f>IFERROR(100/'Skjema total MA'!C54*C54,0)</f>
        <v>0.34135091891629105</v>
      </c>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v>363.12400000000002</v>
      </c>
      <c r="C56" s="253">
        <v>116</v>
      </c>
      <c r="D56" s="342">
        <f t="shared" si="6"/>
        <v>-68.099999999999994</v>
      </c>
      <c r="E56" s="8">
        <f>IFERROR(100/'Skjema total MA'!C56*C56,0)</f>
        <v>0.10526887890486172</v>
      </c>
      <c r="F56" s="109"/>
      <c r="G56" s="27"/>
      <c r="H56" s="109"/>
      <c r="I56" s="109"/>
      <c r="J56" s="27"/>
      <c r="K56" s="27"/>
      <c r="L56" s="118"/>
      <c r="M56" s="118"/>
    </row>
    <row r="57" spans="1:13" ht="15.6" x14ac:dyDescent="0.25">
      <c r="A57" s="18" t="s">
        <v>190</v>
      </c>
      <c r="B57" s="228">
        <v>363.12400000000002</v>
      </c>
      <c r="C57" s="229">
        <v>116</v>
      </c>
      <c r="D57" s="206">
        <f t="shared" si="6"/>
        <v>-68.099999999999994</v>
      </c>
      <c r="E57" s="23">
        <f>IFERROR(100/'Skjema total MA'!C57*C57,0)</f>
        <v>0.11416422667696939</v>
      </c>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84" priority="12">
      <formula>kvartal &lt; 4</formula>
    </cfRule>
  </conditionalFormatting>
  <conditionalFormatting sqref="A69:A74">
    <cfRule type="expression" dxfId="383" priority="10">
      <formula>kvartal &lt; 4</formula>
    </cfRule>
  </conditionalFormatting>
  <conditionalFormatting sqref="A80:A85">
    <cfRule type="expression" dxfId="382" priority="9">
      <formula>kvartal &lt; 4</formula>
    </cfRule>
  </conditionalFormatting>
  <conditionalFormatting sqref="A90:A95">
    <cfRule type="expression" dxfId="381" priority="6">
      <formula>kvartal &lt; 4</formula>
    </cfRule>
  </conditionalFormatting>
  <conditionalFormatting sqref="A101:A106">
    <cfRule type="expression" dxfId="380" priority="5">
      <formula>kvartal &lt; 4</formula>
    </cfRule>
  </conditionalFormatting>
  <conditionalFormatting sqref="A115:C115">
    <cfRule type="expression" dxfId="379" priority="4">
      <formula>kvartal &lt; 4</formula>
    </cfRule>
  </conditionalFormatting>
  <conditionalFormatting sqref="A123:C123">
    <cfRule type="expression" dxfId="378" priority="3">
      <formula>kvartal &lt; 4</formula>
    </cfRule>
  </conditionalFormatting>
  <conditionalFormatting sqref="B69:C69">
    <cfRule type="expression" dxfId="377" priority="99">
      <formula>kvartal &lt; 4</formula>
    </cfRule>
  </conditionalFormatting>
  <conditionalFormatting sqref="B72:C72">
    <cfRule type="expression" dxfId="376" priority="97">
      <formula>kvartal &lt; 4</formula>
    </cfRule>
  </conditionalFormatting>
  <conditionalFormatting sqref="F115:G115">
    <cfRule type="expression" dxfId="375" priority="57">
      <formula>kvartal &lt; 4</formula>
    </cfRule>
  </conditionalFormatting>
  <conditionalFormatting sqref="F123:G123">
    <cfRule type="expression" dxfId="374" priority="56">
      <formula>kvartal &lt; 4</formula>
    </cfRule>
  </conditionalFormatting>
  <conditionalFormatting sqref="J115:K115">
    <cfRule type="expression" dxfId="373" priority="32">
      <formula>kvartal &lt; 4</formula>
    </cfRule>
  </conditionalFormatting>
  <conditionalFormatting sqref="J123:K123">
    <cfRule type="expression" dxfId="372" priority="31">
      <formula>kvartal &lt; 4</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0"/>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54</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c r="G7" s="249"/>
      <c r="H7" s="285"/>
      <c r="I7" s="119"/>
      <c r="J7" s="250"/>
      <c r="K7" s="251"/>
      <c r="L7" s="341"/>
      <c r="M7" s="8"/>
    </row>
    <row r="8" spans="1:14" ht="15.6" x14ac:dyDescent="0.25">
      <c r="A8" s="18" t="s">
        <v>170</v>
      </c>
      <c r="B8" s="228"/>
      <c r="C8" s="229"/>
      <c r="D8" s="123"/>
      <c r="E8" s="23"/>
      <c r="F8" s="232"/>
      <c r="G8" s="233"/>
      <c r="H8" s="123"/>
      <c r="I8" s="132"/>
      <c r="J8" s="181"/>
      <c r="K8" s="234"/>
      <c r="L8" s="123"/>
      <c r="M8" s="23"/>
    </row>
    <row r="9" spans="1:14" ht="15.6" x14ac:dyDescent="0.25">
      <c r="A9" s="18" t="s">
        <v>171</v>
      </c>
      <c r="B9" s="228"/>
      <c r="C9" s="229"/>
      <c r="D9" s="123"/>
      <c r="E9" s="23"/>
      <c r="F9" s="232"/>
      <c r="G9" s="233"/>
      <c r="H9" s="123"/>
      <c r="I9" s="132"/>
      <c r="J9" s="181"/>
      <c r="K9" s="234"/>
      <c r="L9" s="123"/>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517"/>
      <c r="H45" s="130"/>
      <c r="I45" s="130"/>
      <c r="J45" s="131"/>
      <c r="K45" s="131"/>
      <c r="L45" s="130"/>
      <c r="M45" s="130"/>
    </row>
    <row r="46" spans="1:13" x14ac:dyDescent="0.25">
      <c r="A46" s="557"/>
      <c r="B46" s="192"/>
      <c r="C46" s="192"/>
      <c r="D46" s="193" t="s">
        <v>168</v>
      </c>
      <c r="E46" s="116" t="s">
        <v>88</v>
      </c>
      <c r="F46" s="130"/>
      <c r="G46" s="518"/>
      <c r="H46" s="130"/>
      <c r="I46" s="130"/>
      <c r="J46" s="130"/>
      <c r="K46" s="130"/>
      <c r="L46" s="130"/>
      <c r="M46" s="130"/>
    </row>
    <row r="47" spans="1:13" ht="15.6" x14ac:dyDescent="0.25">
      <c r="A47" s="11" t="s">
        <v>169</v>
      </c>
      <c r="B47" s="252">
        <v>-76.77655</v>
      </c>
      <c r="C47" s="253">
        <v>-91.777479999999699</v>
      </c>
      <c r="D47" s="341">
        <f t="shared" ref="D47" si="0">IF(B47=0, "    ---- ", IF(ABS(ROUND(100/B47*C47-100,1))&lt;999,ROUND(100/B47*C47-100,1),IF(ROUND(100/B47*C47-100,1)&gt;999,999,-999)))</f>
        <v>19.5</v>
      </c>
      <c r="E47" s="8">
        <f>IFERROR(100/'Skjema total MA'!C47*C47,0)</f>
        <v>-1.8533512271673173E-3</v>
      </c>
      <c r="F47" s="109"/>
      <c r="G47" s="115"/>
      <c r="H47" s="118"/>
      <c r="I47" s="118"/>
      <c r="J47" s="31"/>
      <c r="K47" s="31"/>
      <c r="L47" s="118"/>
      <c r="M47" s="118"/>
    </row>
    <row r="48" spans="1:13" ht="15.6" x14ac:dyDescent="0.25">
      <c r="A48" s="18" t="s">
        <v>190</v>
      </c>
      <c r="B48" s="229"/>
      <c r="C48" s="229"/>
      <c r="D48" s="206"/>
      <c r="E48" s="23"/>
      <c r="F48" s="109"/>
      <c r="G48" s="519"/>
      <c r="H48" s="109"/>
      <c r="I48" s="109"/>
      <c r="J48" s="27"/>
      <c r="K48" s="27"/>
      <c r="L48" s="118"/>
      <c r="M48" s="118"/>
    </row>
    <row r="49" spans="1:13" ht="15.6" x14ac:dyDescent="0.25">
      <c r="A49" s="18" t="s">
        <v>191</v>
      </c>
      <c r="B49" s="36">
        <v>-76.77655</v>
      </c>
      <c r="C49" s="234">
        <v>-91.777479999999699</v>
      </c>
      <c r="D49" s="206">
        <f>IF(B49=0, "    ---- ", IF(ABS(ROUND(100/B49*C49-100,1))&lt;999,ROUND(100/B49*C49-100,1),IF(ROUND(100/B49*C49-100,1)&gt;999,999,-999)))</f>
        <v>19.5</v>
      </c>
      <c r="E49" s="23">
        <f>IFERROR(100/'Skjema total MA'!C49*C49,0)</f>
        <v>-3.6016766400673115E-3</v>
      </c>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v>8049456.5729599996</v>
      </c>
      <c r="C134" s="251">
        <v>8744715.6826399993</v>
      </c>
      <c r="D134" s="285">
        <f t="shared" ref="D134:D137" si="1">IF(B134=0, "    ---- ", IF(ABS(ROUND(100/B134*C134-100,1))&lt;999,ROUND(100/B134*C134-100,1),IF(ROUND(100/B134*C134-100,1)&gt;999,999,-999)))</f>
        <v>8.6</v>
      </c>
      <c r="E134" s="8">
        <f>IFERROR(100/'Skjema total MA'!C134*C134,0)</f>
        <v>88.377483675110213</v>
      </c>
      <c r="F134" s="258">
        <v>20929.275000000001</v>
      </c>
      <c r="G134" s="259">
        <v>30212.771000000001</v>
      </c>
      <c r="H134" s="345">
        <f t="shared" ref="H134:H136" si="2">IF(F134=0, "    ---- ", IF(ABS(ROUND(100/F134*G134-100,1))&lt;999,ROUND(100/F134*G134-100,1),IF(ROUND(100/F134*G134-100,1)&gt;999,999,-999)))</f>
        <v>44.4</v>
      </c>
      <c r="I134" s="21">
        <f>IFERROR(100/'Skjema total MA'!F134*G134,0)</f>
        <v>100</v>
      </c>
      <c r="J134" s="260">
        <f t="shared" ref="J134:K137" si="3">SUM(B134,F134)</f>
        <v>8070385.8479599999</v>
      </c>
      <c r="K134" s="260">
        <f t="shared" si="3"/>
        <v>8774928.453639999</v>
      </c>
      <c r="L134" s="341">
        <f t="shared" ref="L134:L137" si="4">IF(J134=0, "    ---- ", IF(ABS(ROUND(100/J134*K134-100,1))&lt;999,ROUND(100/J134*K134-100,1),IF(ROUND(100/J134*K134-100,1)&gt;999,999,-999)))</f>
        <v>8.6999999999999993</v>
      </c>
      <c r="M134" s="8">
        <f>IFERROR(100/'Skjema total MA'!I134*K134,0)</f>
        <v>88.412864063743754</v>
      </c>
    </row>
    <row r="135" spans="1:14" ht="15.6" x14ac:dyDescent="0.25">
      <c r="A135" s="10" t="s">
        <v>225</v>
      </c>
      <c r="B135" s="183">
        <v>794812677.44805002</v>
      </c>
      <c r="C135" s="251">
        <v>876265272.58194005</v>
      </c>
      <c r="D135" s="127">
        <f t="shared" si="1"/>
        <v>10.199999999999999</v>
      </c>
      <c r="E135" s="8">
        <f>IFERROR(100/'Skjema total MA'!C135*C135,0)</f>
        <v>86.658732684388823</v>
      </c>
      <c r="F135" s="183">
        <v>2888738.0707899998</v>
      </c>
      <c r="G135" s="251">
        <v>2410575.5415099999</v>
      </c>
      <c r="H135" s="346">
        <f t="shared" si="2"/>
        <v>-16.600000000000001</v>
      </c>
      <c r="I135" s="21">
        <f>IFERROR(100/'Skjema total MA'!F135*G135,0)</f>
        <v>100</v>
      </c>
      <c r="J135" s="250">
        <f t="shared" si="3"/>
        <v>797701415.51884007</v>
      </c>
      <c r="K135" s="250">
        <f t="shared" si="3"/>
        <v>878675848.12345004</v>
      </c>
      <c r="L135" s="342">
        <f t="shared" si="4"/>
        <v>10.199999999999999</v>
      </c>
      <c r="M135" s="8">
        <f>IFERROR(100/'Skjema total MA'!I135*K135,0)</f>
        <v>86.690461982123765</v>
      </c>
    </row>
    <row r="136" spans="1:14" ht="15.6" x14ac:dyDescent="0.25">
      <c r="A136" s="10" t="s">
        <v>219</v>
      </c>
      <c r="B136" s="183">
        <v>39561.440999999999</v>
      </c>
      <c r="C136" s="251">
        <v>3286404.3163800002</v>
      </c>
      <c r="D136" s="127">
        <f t="shared" si="1"/>
        <v>999</v>
      </c>
      <c r="E136" s="8">
        <f>IFERROR(100/'Skjema total MA'!C136*C136,0)</f>
        <v>96.30303992148464</v>
      </c>
      <c r="F136" s="183"/>
      <c r="G136" s="251">
        <v>-516456.22738</v>
      </c>
      <c r="H136" s="346" t="str">
        <f t="shared" si="2"/>
        <v xml:space="preserve">    ---- </v>
      </c>
      <c r="I136" s="21">
        <f>IFERROR(100/'Skjema total MA'!F136*G136,0)</f>
        <v>100</v>
      </c>
      <c r="J136" s="250">
        <f t="shared" si="3"/>
        <v>39561.440999999999</v>
      </c>
      <c r="K136" s="250">
        <f t="shared" si="3"/>
        <v>2769948.0890000002</v>
      </c>
      <c r="L136" s="342">
        <f t="shared" si="4"/>
        <v>999</v>
      </c>
      <c r="M136" s="8">
        <f>IFERROR(100/'Skjema total MA'!I136*K136,0)</f>
        <v>95.643769888897708</v>
      </c>
    </row>
    <row r="137" spans="1:14" ht="15.6" x14ac:dyDescent="0.25">
      <c r="A137" s="33" t="s">
        <v>220</v>
      </c>
      <c r="B137" s="223">
        <v>4289073.5640000002</v>
      </c>
      <c r="C137" s="257">
        <v>890230.09900000005</v>
      </c>
      <c r="D137" s="125">
        <f t="shared" si="1"/>
        <v>-79.2</v>
      </c>
      <c r="E137" s="6">
        <f>IFERROR(100/'Skjema total MA'!C137*C137,0)</f>
        <v>99.912154686278512</v>
      </c>
      <c r="F137" s="223"/>
      <c r="G137" s="257"/>
      <c r="H137" s="347"/>
      <c r="I137" s="30"/>
      <c r="J137" s="256">
        <f t="shared" si="3"/>
        <v>4289073.5640000002</v>
      </c>
      <c r="K137" s="256">
        <f t="shared" si="3"/>
        <v>890230.09900000005</v>
      </c>
      <c r="L137" s="343">
        <f t="shared" si="4"/>
        <v>-79.2</v>
      </c>
      <c r="M137" s="30">
        <f>IFERROR(100/'Skjema total MA'!I137*K137,0)</f>
        <v>99.912154686278512</v>
      </c>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71" priority="12">
      <formula>kvartal &lt; 4</formula>
    </cfRule>
  </conditionalFormatting>
  <conditionalFormatting sqref="A69:A74">
    <cfRule type="expression" dxfId="370" priority="10">
      <formula>kvartal &lt; 4</formula>
    </cfRule>
  </conditionalFormatting>
  <conditionalFormatting sqref="A80:A85">
    <cfRule type="expression" dxfId="369" priority="9">
      <formula>kvartal &lt; 4</formula>
    </cfRule>
  </conditionalFormatting>
  <conditionalFormatting sqref="A90:A95">
    <cfRule type="expression" dxfId="368" priority="6">
      <formula>kvartal &lt; 4</formula>
    </cfRule>
  </conditionalFormatting>
  <conditionalFormatting sqref="A101:A106">
    <cfRule type="expression" dxfId="367" priority="5">
      <formula>kvartal &lt; 4</formula>
    </cfRule>
  </conditionalFormatting>
  <conditionalFormatting sqref="A115:C115">
    <cfRule type="expression" dxfId="366" priority="4">
      <formula>kvartal &lt; 4</formula>
    </cfRule>
  </conditionalFormatting>
  <conditionalFormatting sqref="A123:C123">
    <cfRule type="expression" dxfId="365" priority="3">
      <formula>kvartal &lt; 4</formula>
    </cfRule>
  </conditionalFormatting>
  <conditionalFormatting sqref="B69:C69">
    <cfRule type="expression" dxfId="364" priority="99">
      <formula>kvartal &lt; 4</formula>
    </cfRule>
  </conditionalFormatting>
  <conditionalFormatting sqref="B72:C72">
    <cfRule type="expression" dxfId="363" priority="97">
      <formula>kvartal &lt; 4</formula>
    </cfRule>
  </conditionalFormatting>
  <conditionalFormatting sqref="F115:G115">
    <cfRule type="expression" dxfId="362" priority="57">
      <formula>kvartal &lt; 4</formula>
    </cfRule>
  </conditionalFormatting>
  <conditionalFormatting sqref="F123:G123">
    <cfRule type="expression" dxfId="361" priority="56">
      <formula>kvartal &lt; 4</formula>
    </cfRule>
  </conditionalFormatting>
  <conditionalFormatting sqref="J115:K115">
    <cfRule type="expression" dxfId="360" priority="32">
      <formula>kvartal &lt; 4</formula>
    </cfRule>
  </conditionalFormatting>
  <conditionalFormatting sqref="J123:K123">
    <cfRule type="expression" dxfId="359" priority="31">
      <formula>kvartal &lt; 4</formula>
    </cfRule>
  </conditionalFormatting>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2"/>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407</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v>11608.009</v>
      </c>
      <c r="C7" s="249">
        <v>14296.754000000001</v>
      </c>
      <c r="D7" s="285">
        <f>IF(B7=0, "    ---- ", IF(ABS(ROUND(100/B7*C7-100,1))&lt;999,ROUND(100/B7*C7-100,1),IF(ROUND(100/B7*C7-100,1)&gt;999,999,-999)))</f>
        <v>23.2</v>
      </c>
      <c r="E7" s="8">
        <f>IFERROR(100/'Skjema total MA'!C7*C7,0)</f>
        <v>0.68111582735375642</v>
      </c>
      <c r="F7" s="248"/>
      <c r="G7" s="249"/>
      <c r="H7" s="285"/>
      <c r="I7" s="119"/>
      <c r="J7" s="250">
        <f t="shared" ref="J7:K10" si="0">SUM(B7,F7)</f>
        <v>11608.009</v>
      </c>
      <c r="K7" s="251">
        <f t="shared" si="0"/>
        <v>14296.754000000001</v>
      </c>
      <c r="L7" s="341">
        <f>IF(J7=0, "    ---- ", IF(ABS(ROUND(100/J7*K7-100,1))&lt;999,ROUND(100/J7*K7-100,1),IF(ROUND(100/J7*K7-100,1)&gt;999,999,-999)))</f>
        <v>23.2</v>
      </c>
      <c r="M7" s="8">
        <f>IFERROR(100/'Skjema total MA'!I7*K7,0)</f>
        <v>0.24410107826577829</v>
      </c>
    </row>
    <row r="8" spans="1:14" ht="15.6" x14ac:dyDescent="0.25">
      <c r="A8" s="18" t="s">
        <v>170</v>
      </c>
      <c r="B8" s="228">
        <v>11189.424999999999</v>
      </c>
      <c r="C8" s="229">
        <v>12830.907999999999</v>
      </c>
      <c r="D8" s="123">
        <f t="shared" ref="D8:D10" si="1">IF(B8=0, "    ---- ", IF(ABS(ROUND(100/B8*C8-100,1))&lt;999,ROUND(100/B8*C8-100,1),IF(ROUND(100/B8*C8-100,1)&gt;999,999,-999)))</f>
        <v>14.7</v>
      </c>
      <c r="E8" s="23">
        <f>IFERROR(100/'Skjema total MA'!C8*C8,0)</f>
        <v>0.89354100048271323</v>
      </c>
      <c r="F8" s="232"/>
      <c r="G8" s="233"/>
      <c r="H8" s="123"/>
      <c r="I8" s="132"/>
      <c r="J8" s="181">
        <f t="shared" si="0"/>
        <v>11189.424999999999</v>
      </c>
      <c r="K8" s="234">
        <f t="shared" si="0"/>
        <v>12830.907999999999</v>
      </c>
      <c r="L8" s="123">
        <f t="shared" ref="L8:L9" si="2">IF(J8=0, "    ---- ", IF(ABS(ROUND(100/J8*K8-100,1))&lt;999,ROUND(100/J8*K8-100,1),IF(ROUND(100/J8*K8-100,1)&gt;999,999,-999)))</f>
        <v>14.7</v>
      </c>
      <c r="M8" s="23">
        <f>IFERROR(100/'Skjema total MA'!I8*K8,0)</f>
        <v>0.89354100048271323</v>
      </c>
    </row>
    <row r="9" spans="1:14" ht="15.6" x14ac:dyDescent="0.25">
      <c r="A9" s="18" t="s">
        <v>171</v>
      </c>
      <c r="B9" s="228">
        <v>418.584</v>
      </c>
      <c r="C9" s="229">
        <v>1465.84600000002</v>
      </c>
      <c r="D9" s="123">
        <f t="shared" si="1"/>
        <v>250.2</v>
      </c>
      <c r="E9" s="23">
        <f>IFERROR(100/'Skjema total MA'!C9*C9,0)</f>
        <v>0.34304228592778702</v>
      </c>
      <c r="F9" s="232"/>
      <c r="G9" s="233"/>
      <c r="H9" s="123"/>
      <c r="I9" s="132"/>
      <c r="J9" s="181">
        <f t="shared" si="0"/>
        <v>418.584</v>
      </c>
      <c r="K9" s="234">
        <f t="shared" si="0"/>
        <v>1465.84600000002</v>
      </c>
      <c r="L9" s="123">
        <f t="shared" si="2"/>
        <v>250.2</v>
      </c>
      <c r="M9" s="23">
        <f>IFERROR(100/'Skjema total MA'!I9*K9,0)</f>
        <v>0.34304228592778702</v>
      </c>
    </row>
    <row r="10" spans="1:14" ht="15.6" x14ac:dyDescent="0.25">
      <c r="A10" s="10" t="s">
        <v>172</v>
      </c>
      <c r="B10" s="252">
        <v>27164.18</v>
      </c>
      <c r="C10" s="253">
        <v>53664.461000000003</v>
      </c>
      <c r="D10" s="127">
        <f t="shared" si="1"/>
        <v>97.6</v>
      </c>
      <c r="E10" s="8">
        <f>IFERROR(100/'Skjema total MA'!C10*C10,0)</f>
        <v>0.42004315545474447</v>
      </c>
      <c r="F10" s="252"/>
      <c r="G10" s="253"/>
      <c r="H10" s="127"/>
      <c r="I10" s="119"/>
      <c r="J10" s="250">
        <f t="shared" si="0"/>
        <v>27164.18</v>
      </c>
      <c r="K10" s="251">
        <f t="shared" si="0"/>
        <v>53664.461000000003</v>
      </c>
      <c r="L10" s="342">
        <f t="shared" ref="L10" si="3">IF(J10=0, "    ---- ", IF(ABS(ROUND(100/J10*K10-100,1))&lt;999,ROUND(100/J10*K10-100,1),IF(ROUND(100/J10*K10-100,1)&gt;999,999,-999)))</f>
        <v>97.6</v>
      </c>
      <c r="M10" s="8">
        <f>IFERROR(100/'Skjema total MA'!I10*K10,0)</f>
        <v>4.4552564125700862E-2</v>
      </c>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v>11275.386</v>
      </c>
      <c r="C22" s="252">
        <v>13308.222</v>
      </c>
      <c r="D22" s="285">
        <f t="shared" ref="D22:D29" si="4">IF(B22=0, "    ---- ", IF(ABS(ROUND(100/B22*C22-100,1))&lt;999,ROUND(100/B22*C22-100,1),IF(ROUND(100/B22*C22-100,1)&gt;999,999,-999)))</f>
        <v>18</v>
      </c>
      <c r="E22" s="8">
        <f>IFERROR(100/'Skjema total MA'!C22*C22,0)</f>
        <v>1.234466723493433</v>
      </c>
      <c r="F22" s="260"/>
      <c r="G22" s="260"/>
      <c r="H22" s="285"/>
      <c r="I22" s="8"/>
      <c r="J22" s="258">
        <f t="shared" ref="J22:K29" si="5">SUM(B22,F22)</f>
        <v>11275.386</v>
      </c>
      <c r="K22" s="258">
        <f t="shared" si="5"/>
        <v>13308.222</v>
      </c>
      <c r="L22" s="341">
        <f t="shared" ref="L22:L29" si="6">IF(J22=0, "    ---- ", IF(ABS(ROUND(100/J22*K22-100,1))&lt;999,ROUND(100/J22*K22-100,1),IF(ROUND(100/J22*K22-100,1)&gt;999,999,-999)))</f>
        <v>18</v>
      </c>
      <c r="M22" s="21">
        <f>IFERROR(100/'Skjema total MA'!I22*K22,0)</f>
        <v>0.8730138881581484</v>
      </c>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v>11275.386</v>
      </c>
      <c r="C28" s="234">
        <v>13308.222</v>
      </c>
      <c r="D28" s="123">
        <f t="shared" si="4"/>
        <v>18</v>
      </c>
      <c r="E28" s="8">
        <f>IFERROR(100/'Skjema total MA'!C28*C28,0)</f>
        <v>0.98734060733506801</v>
      </c>
      <c r="F28" s="181"/>
      <c r="G28" s="234"/>
      <c r="H28" s="123"/>
      <c r="I28" s="23"/>
      <c r="J28" s="36">
        <f t="shared" si="5"/>
        <v>11275.386</v>
      </c>
      <c r="K28" s="36">
        <f t="shared" si="5"/>
        <v>13308.222</v>
      </c>
      <c r="L28" s="206">
        <f t="shared" si="6"/>
        <v>18</v>
      </c>
      <c r="M28" s="20">
        <f>IFERROR(100/'Skjema total MA'!I28*K28,0)</f>
        <v>0.98734060733506801</v>
      </c>
    </row>
    <row r="29" spans="1:13" ht="15.6" x14ac:dyDescent="0.25">
      <c r="A29" s="10" t="s">
        <v>172</v>
      </c>
      <c r="B29" s="183">
        <v>146439.67300000001</v>
      </c>
      <c r="C29" s="183">
        <v>231029.97</v>
      </c>
      <c r="D29" s="127">
        <f t="shared" si="4"/>
        <v>57.8</v>
      </c>
      <c r="E29" s="8">
        <f>IFERROR(100/'Skjema total MA'!C29*C29,0)</f>
        <v>0.51911194269220329</v>
      </c>
      <c r="F29" s="250"/>
      <c r="G29" s="250"/>
      <c r="H29" s="127"/>
      <c r="I29" s="8"/>
      <c r="J29" s="183">
        <f t="shared" si="5"/>
        <v>146439.67300000001</v>
      </c>
      <c r="K29" s="183">
        <f t="shared" si="5"/>
        <v>231029.97</v>
      </c>
      <c r="L29" s="342">
        <f t="shared" si="6"/>
        <v>57.8</v>
      </c>
      <c r="M29" s="21">
        <f>IFERROR(100/'Skjema total MA'!I29*K29,0)</f>
        <v>0.30524319526921867</v>
      </c>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211817.16</v>
      </c>
      <c r="C47" s="253">
        <v>668743.88599999994</v>
      </c>
      <c r="D47" s="341">
        <f t="shared" ref="D47:D48" si="7">IF(B47=0, "    ---- ", IF(ABS(ROUND(100/B47*C47-100,1))&lt;999,ROUND(100/B47*C47-100,1),IF(ROUND(100/B47*C47-100,1)&gt;999,999,-999)))</f>
        <v>215.7</v>
      </c>
      <c r="E47" s="8">
        <f>IFERROR(100/'Skjema total MA'!C47*C47,0)</f>
        <v>13.504590688028745</v>
      </c>
      <c r="F47" s="109"/>
      <c r="G47" s="27"/>
      <c r="H47" s="118"/>
      <c r="I47" s="118"/>
      <c r="J47" s="31"/>
      <c r="K47" s="31"/>
      <c r="L47" s="118"/>
      <c r="M47" s="118"/>
    </row>
    <row r="48" spans="1:13" ht="15.6" x14ac:dyDescent="0.25">
      <c r="A48" s="18" t="s">
        <v>190</v>
      </c>
      <c r="B48" s="228">
        <v>211817.16</v>
      </c>
      <c r="C48" s="229">
        <v>218594.62599999999</v>
      </c>
      <c r="D48" s="206">
        <f t="shared" si="7"/>
        <v>3.2</v>
      </c>
      <c r="E48" s="23">
        <f>IFERROR(100/'Skjema total MA'!C48*C48,0)</f>
        <v>9.0937608917838784</v>
      </c>
      <c r="F48" s="109"/>
      <c r="G48" s="27"/>
      <c r="H48" s="109"/>
      <c r="I48" s="109"/>
      <c r="J48" s="27"/>
      <c r="K48" s="27"/>
      <c r="L48" s="118"/>
      <c r="M48" s="118"/>
    </row>
    <row r="49" spans="1:13" ht="15.6" x14ac:dyDescent="0.25">
      <c r="A49" s="18" t="s">
        <v>191</v>
      </c>
      <c r="B49" s="36"/>
      <c r="C49" s="234">
        <v>450149.26</v>
      </c>
      <c r="D49" s="206" t="str">
        <f>IF(B49=0, "    ---- ", IF(ABS(ROUND(100/B49*C49-100,1))&lt;999,ROUND(100/B49*C49-100,1),IF(ROUND(100/B49*C49-100,1)&gt;999,999,-999)))</f>
        <v xml:space="preserve">    ---- </v>
      </c>
      <c r="E49" s="23">
        <f>IFERROR(100/'Skjema total MA'!C49*C49,0)</f>
        <v>17.665467326904075</v>
      </c>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58" priority="12">
      <formula>kvartal &lt; 4</formula>
    </cfRule>
  </conditionalFormatting>
  <conditionalFormatting sqref="A69:A74">
    <cfRule type="expression" dxfId="357" priority="10">
      <formula>kvartal &lt; 4</formula>
    </cfRule>
  </conditionalFormatting>
  <conditionalFormatting sqref="A80:A85">
    <cfRule type="expression" dxfId="356" priority="9">
      <formula>kvartal &lt; 4</formula>
    </cfRule>
  </conditionalFormatting>
  <conditionalFormatting sqref="A90:A95">
    <cfRule type="expression" dxfId="355" priority="6">
      <formula>kvartal &lt; 4</formula>
    </cfRule>
  </conditionalFormatting>
  <conditionalFormatting sqref="A101:A106">
    <cfRule type="expression" dxfId="354" priority="5">
      <formula>kvartal &lt; 4</formula>
    </cfRule>
  </conditionalFormatting>
  <conditionalFormatting sqref="A115:C115">
    <cfRule type="expression" dxfId="353" priority="4">
      <formula>kvartal &lt; 4</formula>
    </cfRule>
  </conditionalFormatting>
  <conditionalFormatting sqref="A123:C123">
    <cfRule type="expression" dxfId="352" priority="3">
      <formula>kvartal &lt; 4</formula>
    </cfRule>
  </conditionalFormatting>
  <conditionalFormatting sqref="B69:C69">
    <cfRule type="expression" dxfId="351" priority="99">
      <formula>kvartal &lt; 4</formula>
    </cfRule>
  </conditionalFormatting>
  <conditionalFormatting sqref="B72:C72">
    <cfRule type="expression" dxfId="350" priority="97">
      <formula>kvartal &lt; 4</formula>
    </cfRule>
  </conditionalFormatting>
  <conditionalFormatting sqref="F115:G115">
    <cfRule type="expression" dxfId="349" priority="57">
      <formula>kvartal &lt; 4</formula>
    </cfRule>
  </conditionalFormatting>
  <conditionalFormatting sqref="F123:G123">
    <cfRule type="expression" dxfId="348" priority="56">
      <formula>kvartal &lt; 4</formula>
    </cfRule>
  </conditionalFormatting>
  <conditionalFormatting sqref="J115:K115">
    <cfRule type="expression" dxfId="347" priority="32">
      <formula>kvartal &lt; 4</formula>
    </cfRule>
  </conditionalFormatting>
  <conditionalFormatting sqref="J123:K123">
    <cfRule type="expression" dxfId="346" priority="31">
      <formula>kvartal &lt; 4</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2C72C-4223-43EB-9734-94FDC1E0B514}">
  <sheetPr codeName="Ark18"/>
  <dimension ref="A1:N144"/>
  <sheetViews>
    <sheetView showGridLines="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104</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v>17164</v>
      </c>
      <c r="D7" s="285" t="str">
        <f>IF(B7=0, "    ---- ", IF(ABS(ROUND(100/B7*C7-100,1))&lt;999,ROUND(100/B7*C7-100,1),IF(ROUND(100/B7*C7-100,1)&gt;999,999,-999)))</f>
        <v xml:space="preserve">    ---- </v>
      </c>
      <c r="E7" s="8">
        <f>IFERROR(100/'Skjema total MA'!C7*C7,0)</f>
        <v>0.81771513035055898</v>
      </c>
      <c r="F7" s="248"/>
      <c r="G7" s="249"/>
      <c r="H7" s="285"/>
      <c r="I7" s="119"/>
      <c r="J7" s="250"/>
      <c r="K7" s="251">
        <f t="shared" ref="J7:K10" si="0">SUM(C7,G7)</f>
        <v>17164</v>
      </c>
      <c r="L7" s="341" t="str">
        <f>IF(J7=0, "    ---- ", IF(ABS(ROUND(100/J7*K7-100,1))&lt;999,ROUND(100/J7*K7-100,1),IF(ROUND(100/J7*K7-100,1)&gt;999,999,-999)))</f>
        <v xml:space="preserve">    ---- </v>
      </c>
      <c r="M7" s="8">
        <f>IFERROR(100/'Skjema total MA'!I7*K7,0)</f>
        <v>0.29305609562519003</v>
      </c>
    </row>
    <row r="8" spans="1:14" ht="15.6" x14ac:dyDescent="0.25">
      <c r="A8" s="18" t="s">
        <v>170</v>
      </c>
      <c r="B8" s="228"/>
      <c r="C8" s="229"/>
      <c r="D8" s="123"/>
      <c r="E8" s="23"/>
      <c r="F8" s="232"/>
      <c r="G8" s="233"/>
      <c r="H8" s="123"/>
      <c r="I8" s="132"/>
      <c r="J8" s="181"/>
      <c r="K8" s="234"/>
      <c r="L8" s="123"/>
      <c r="M8" s="23"/>
    </row>
    <row r="9" spans="1:14" ht="15.6" x14ac:dyDescent="0.25">
      <c r="A9" s="18" t="s">
        <v>171</v>
      </c>
      <c r="B9" s="228"/>
      <c r="C9" s="229">
        <v>17164</v>
      </c>
      <c r="D9" s="123" t="str">
        <f t="shared" ref="D9:D10" si="1">IF(B9=0, "    ---- ", IF(ABS(ROUND(100/B9*C9-100,1))&lt;999,ROUND(100/B9*C9-100,1),IF(ROUND(100/B9*C9-100,1)&gt;999,999,-999)))</f>
        <v xml:space="preserve">    ---- </v>
      </c>
      <c r="E9" s="23">
        <f>IFERROR(100/'Skjema total MA'!C9*C9,0)</f>
        <v>4.0167778850332541</v>
      </c>
      <c r="F9" s="232"/>
      <c r="G9" s="233"/>
      <c r="H9" s="123"/>
      <c r="I9" s="132"/>
      <c r="J9" s="181"/>
      <c r="K9" s="234">
        <f t="shared" si="0"/>
        <v>17164</v>
      </c>
      <c r="L9" s="123" t="str">
        <f t="shared" ref="L9:L10" si="2">IF(J9=0, "    ---- ", IF(ABS(ROUND(100/J9*K9-100,1))&lt;999,ROUND(100/J9*K9-100,1),IF(ROUND(100/J9*K9-100,1)&gt;999,999,-999)))</f>
        <v xml:space="preserve">    ---- </v>
      </c>
      <c r="M9" s="23">
        <f>IFERROR(100/'Skjema total MA'!I9*K9,0)</f>
        <v>4.0167778850332541</v>
      </c>
    </row>
    <row r="10" spans="1:14" ht="15.6" x14ac:dyDescent="0.25">
      <c r="A10" s="10" t="s">
        <v>172</v>
      </c>
      <c r="B10" s="252"/>
      <c r="C10" s="253">
        <v>3595</v>
      </c>
      <c r="D10" s="127" t="str">
        <f t="shared" si="1"/>
        <v xml:space="preserve">    ---- </v>
      </c>
      <c r="E10" s="8">
        <f>IFERROR(100/'Skjema total MA'!C10*C10,0)</f>
        <v>2.8138829976505422E-2</v>
      </c>
      <c r="F10" s="252"/>
      <c r="G10" s="253"/>
      <c r="H10" s="127"/>
      <c r="I10" s="119"/>
      <c r="J10" s="250"/>
      <c r="K10" s="251">
        <f t="shared" si="0"/>
        <v>3595</v>
      </c>
      <c r="L10" s="342" t="str">
        <f t="shared" si="2"/>
        <v xml:space="preserve">    ---- </v>
      </c>
      <c r="M10" s="8">
        <f>IFERROR(100/'Skjema total MA'!I10*K10,0)</f>
        <v>2.9845910132572577E-3</v>
      </c>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c r="C47" s="253">
        <v>35927</v>
      </c>
      <c r="D47" s="341" t="str">
        <f t="shared" ref="D47:D57" si="3">IF(B47=0, "    ---- ", IF(ABS(ROUND(100/B47*C47-100,1))&lt;999,ROUND(100/B47*C47-100,1),IF(ROUND(100/B47*C47-100,1)&gt;999,999,-999)))</f>
        <v xml:space="preserve">    ---- </v>
      </c>
      <c r="E47" s="8">
        <f>IFERROR(100/'Skjema total MA'!C47*C47,0)</f>
        <v>0.72550858378809735</v>
      </c>
      <c r="F47" s="109"/>
      <c r="G47" s="27"/>
      <c r="H47" s="118"/>
      <c r="I47" s="118"/>
      <c r="J47" s="31"/>
      <c r="K47" s="31"/>
      <c r="L47" s="118"/>
      <c r="M47" s="118"/>
    </row>
    <row r="48" spans="1:13" ht="15.6" x14ac:dyDescent="0.25">
      <c r="A48" s="18" t="s">
        <v>190</v>
      </c>
      <c r="B48" s="228"/>
      <c r="C48" s="229">
        <v>35927</v>
      </c>
      <c r="D48" s="206" t="str">
        <f t="shared" si="3"/>
        <v xml:space="preserve">    ---- </v>
      </c>
      <c r="E48" s="23">
        <f>IFERROR(100/'Skjema total MA'!C48*C48,0)</f>
        <v>1.4946000893870073</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v>3171</v>
      </c>
      <c r="D53" s="342" t="str">
        <f t="shared" si="3"/>
        <v xml:space="preserve">    ---- </v>
      </c>
      <c r="E53" s="8">
        <f>IFERROR(100/'Skjema total MA'!C53*C53,0)</f>
        <v>2.4224949442736783</v>
      </c>
      <c r="F53" s="109"/>
      <c r="G53" s="27"/>
      <c r="H53" s="109"/>
      <c r="I53" s="109"/>
      <c r="J53" s="27"/>
      <c r="K53" s="27"/>
      <c r="L53" s="118"/>
      <c r="M53" s="118"/>
    </row>
    <row r="54" spans="1:13" ht="15.6" x14ac:dyDescent="0.25">
      <c r="A54" s="18" t="s">
        <v>190</v>
      </c>
      <c r="B54" s="228"/>
      <c r="C54" s="229">
        <v>3171</v>
      </c>
      <c r="D54" s="206" t="str">
        <f t="shared" si="3"/>
        <v xml:space="preserve">    ---- </v>
      </c>
      <c r="E54" s="23">
        <f>IFERROR(100/'Skjema total MA'!C54*C54,0)</f>
        <v>2.4269591118465446</v>
      </c>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v>110</v>
      </c>
      <c r="D56" s="342" t="str">
        <f t="shared" si="3"/>
        <v xml:space="preserve">    ---- </v>
      </c>
      <c r="E56" s="8">
        <f>IFERROR(100/'Skjema total MA'!C56*C56,0)</f>
        <v>9.9823936892541279E-2</v>
      </c>
      <c r="F56" s="109"/>
      <c r="G56" s="27"/>
      <c r="H56" s="109"/>
      <c r="I56" s="109"/>
      <c r="J56" s="27"/>
      <c r="K56" s="27"/>
      <c r="L56" s="118"/>
      <c r="M56" s="118"/>
    </row>
    <row r="57" spans="1:13" ht="15.6" x14ac:dyDescent="0.25">
      <c r="A57" s="18" t="s">
        <v>190</v>
      </c>
      <c r="B57" s="228"/>
      <c r="C57" s="229">
        <v>110</v>
      </c>
      <c r="D57" s="206" t="str">
        <f t="shared" si="3"/>
        <v xml:space="preserve">    ---- </v>
      </c>
      <c r="E57" s="23">
        <f>IFERROR(100/'Skjema total MA'!C57*C57,0)</f>
        <v>0.10825918046953995</v>
      </c>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50:A52">
    <cfRule type="expression" dxfId="345" priority="7">
      <formula>kvartal &lt; 4</formula>
    </cfRule>
  </conditionalFormatting>
  <conditionalFormatting sqref="A69:A74">
    <cfRule type="expression" dxfId="344" priority="6">
      <formula>kvartal &lt; 4</formula>
    </cfRule>
  </conditionalFormatting>
  <conditionalFormatting sqref="A80:A85">
    <cfRule type="expression" dxfId="343" priority="5">
      <formula>kvartal &lt; 4</formula>
    </cfRule>
  </conditionalFormatting>
  <conditionalFormatting sqref="A90:A95">
    <cfRule type="expression" dxfId="342" priority="4">
      <formula>kvartal &lt; 4</formula>
    </cfRule>
  </conditionalFormatting>
  <conditionalFormatting sqref="A101:A106">
    <cfRule type="expression" dxfId="341" priority="3">
      <formula>kvartal &lt; 4</formula>
    </cfRule>
  </conditionalFormatting>
  <conditionalFormatting sqref="A115:C115">
    <cfRule type="expression" dxfId="340" priority="2">
      <formula>kvartal &lt; 4</formula>
    </cfRule>
  </conditionalFormatting>
  <conditionalFormatting sqref="A123:C123">
    <cfRule type="expression" dxfId="339" priority="1">
      <formula>kvartal &lt; 4</formula>
    </cfRule>
  </conditionalFormatting>
  <conditionalFormatting sqref="B69:C69">
    <cfRule type="expression" dxfId="338" priority="57">
      <formula>kvartal &lt; 4</formula>
    </cfRule>
  </conditionalFormatting>
  <conditionalFormatting sqref="B72:C72">
    <cfRule type="expression" dxfId="337" priority="55">
      <formula>kvartal &lt; 4</formula>
    </cfRule>
  </conditionalFormatting>
  <conditionalFormatting sqref="F115:G115">
    <cfRule type="expression" dxfId="336" priority="27">
      <formula>kvartal &lt; 4</formula>
    </cfRule>
  </conditionalFormatting>
  <conditionalFormatting sqref="F123:G123">
    <cfRule type="expression" dxfId="335" priority="26">
      <formula>kvartal &lt; 4</formula>
    </cfRule>
  </conditionalFormatting>
  <conditionalFormatting sqref="J115:K115">
    <cfRule type="expression" dxfId="334" priority="9">
      <formula>kvartal &lt; 4</formula>
    </cfRule>
  </conditionalFormatting>
  <conditionalFormatting sqref="J123:K123">
    <cfRule type="expression" dxfId="333" priority="8">
      <formula>kvartal &lt; 4</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3"/>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105</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c r="G7" s="249"/>
      <c r="H7" s="285"/>
      <c r="I7" s="119"/>
      <c r="J7" s="250"/>
      <c r="K7" s="251"/>
      <c r="L7" s="341"/>
      <c r="M7" s="8"/>
    </row>
    <row r="8" spans="1:14" ht="15.6" x14ac:dyDescent="0.25">
      <c r="A8" s="18" t="s">
        <v>170</v>
      </c>
      <c r="B8" s="228"/>
      <c r="C8" s="229"/>
      <c r="D8" s="123"/>
      <c r="E8" s="23"/>
      <c r="F8" s="232"/>
      <c r="G8" s="233"/>
      <c r="H8" s="123"/>
      <c r="I8" s="132"/>
      <c r="J8" s="181"/>
      <c r="K8" s="234"/>
      <c r="L8" s="123"/>
      <c r="M8" s="23"/>
    </row>
    <row r="9" spans="1:14" ht="15.6" x14ac:dyDescent="0.25">
      <c r="A9" s="18" t="s">
        <v>171</v>
      </c>
      <c r="B9" s="228"/>
      <c r="C9" s="229"/>
      <c r="D9" s="123"/>
      <c r="E9" s="23"/>
      <c r="F9" s="232"/>
      <c r="G9" s="233"/>
      <c r="H9" s="123"/>
      <c r="I9" s="132"/>
      <c r="J9" s="181"/>
      <c r="K9" s="234"/>
      <c r="L9" s="123"/>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82536</v>
      </c>
      <c r="C47" s="253">
        <v>71658</v>
      </c>
      <c r="D47" s="341">
        <f t="shared" ref="D47:D57" si="0">IF(B47=0, "    ---- ", IF(ABS(ROUND(100/B47*C47-100,1))&lt;999,ROUND(100/B47*C47-100,1),IF(ROUND(100/B47*C47-100,1)&gt;999,999,-999)))</f>
        <v>-13.2</v>
      </c>
      <c r="E47" s="8">
        <f>IFERROR(100/'Skjema total MA'!C47*C47,0)</f>
        <v>1.4470591504185564</v>
      </c>
      <c r="F47" s="109"/>
      <c r="G47" s="27"/>
      <c r="H47" s="118"/>
      <c r="I47" s="118"/>
      <c r="J47" s="31"/>
      <c r="K47" s="31"/>
      <c r="L47" s="118"/>
      <c r="M47" s="118"/>
    </row>
    <row r="48" spans="1:13" ht="15.6" x14ac:dyDescent="0.25">
      <c r="A48" s="18" t="s">
        <v>190</v>
      </c>
      <c r="B48" s="228">
        <v>82536</v>
      </c>
      <c r="C48" s="229">
        <v>71658</v>
      </c>
      <c r="D48" s="206">
        <f t="shared" si="0"/>
        <v>-13.2</v>
      </c>
      <c r="E48" s="23">
        <f>IFERROR(100/'Skjema total MA'!C48*C48,0)</f>
        <v>2.9810463775237057</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v>56480</v>
      </c>
      <c r="C53" s="253">
        <v>1211</v>
      </c>
      <c r="D53" s="342">
        <f t="shared" si="0"/>
        <v>-97.9</v>
      </c>
      <c r="E53" s="8">
        <f>IFERROR(100/'Skjema total MA'!C53*C53,0)</f>
        <v>0.92514707584844658</v>
      </c>
      <c r="F53" s="109"/>
      <c r="G53" s="27"/>
      <c r="H53" s="109"/>
      <c r="I53" s="109"/>
      <c r="J53" s="27"/>
      <c r="K53" s="27"/>
      <c r="L53" s="118"/>
      <c r="M53" s="118"/>
    </row>
    <row r="54" spans="1:13" ht="15.6" x14ac:dyDescent="0.25">
      <c r="A54" s="18" t="s">
        <v>190</v>
      </c>
      <c r="B54" s="228">
        <v>56480</v>
      </c>
      <c r="C54" s="229">
        <v>1211</v>
      </c>
      <c r="D54" s="206">
        <f t="shared" si="0"/>
        <v>-97.9</v>
      </c>
      <c r="E54" s="23">
        <f>IFERROR(100/'Skjema total MA'!C54*C54,0)</f>
        <v>0.92685193454625214</v>
      </c>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v>270</v>
      </c>
      <c r="C56" s="253">
        <v>2664</v>
      </c>
      <c r="D56" s="342">
        <f t="shared" si="0"/>
        <v>886.7</v>
      </c>
      <c r="E56" s="8">
        <f>IFERROR(100/'Skjema total MA'!C56*C56,0)</f>
        <v>2.4175542534702728</v>
      </c>
      <c r="F56" s="109"/>
      <c r="G56" s="27"/>
      <c r="H56" s="109"/>
      <c r="I56" s="109"/>
      <c r="J56" s="27"/>
      <c r="K56" s="27"/>
      <c r="L56" s="118"/>
      <c r="M56" s="118"/>
    </row>
    <row r="57" spans="1:13" ht="15.6" x14ac:dyDescent="0.25">
      <c r="A57" s="18" t="s">
        <v>190</v>
      </c>
      <c r="B57" s="228">
        <v>270</v>
      </c>
      <c r="C57" s="229">
        <v>2664</v>
      </c>
      <c r="D57" s="206">
        <f t="shared" si="0"/>
        <v>886.7</v>
      </c>
      <c r="E57" s="23">
        <f>IFERROR(100/'Skjema total MA'!C57*C57,0)</f>
        <v>2.6218405160986764</v>
      </c>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32" priority="12">
      <formula>kvartal &lt; 4</formula>
    </cfRule>
  </conditionalFormatting>
  <conditionalFormatting sqref="A69:A74">
    <cfRule type="expression" dxfId="331" priority="10">
      <formula>kvartal &lt; 4</formula>
    </cfRule>
  </conditionalFormatting>
  <conditionalFormatting sqref="A80:A85">
    <cfRule type="expression" dxfId="330" priority="9">
      <formula>kvartal &lt; 4</formula>
    </cfRule>
  </conditionalFormatting>
  <conditionalFormatting sqref="A90:A95">
    <cfRule type="expression" dxfId="329" priority="6">
      <formula>kvartal &lt; 4</formula>
    </cfRule>
  </conditionalFormatting>
  <conditionalFormatting sqref="A101:A106">
    <cfRule type="expression" dxfId="328" priority="5">
      <formula>kvartal &lt; 4</formula>
    </cfRule>
  </conditionalFormatting>
  <conditionalFormatting sqref="A115:C115">
    <cfRule type="expression" dxfId="327" priority="4">
      <formula>kvartal &lt; 4</formula>
    </cfRule>
  </conditionalFormatting>
  <conditionalFormatting sqref="A123:C123">
    <cfRule type="expression" dxfId="326" priority="3">
      <formula>kvartal &lt; 4</formula>
    </cfRule>
  </conditionalFormatting>
  <conditionalFormatting sqref="B69:C69">
    <cfRule type="expression" dxfId="325" priority="99">
      <formula>kvartal &lt; 4</formula>
    </cfRule>
  </conditionalFormatting>
  <conditionalFormatting sqref="B72:C72">
    <cfRule type="expression" dxfId="324" priority="97">
      <formula>kvartal &lt; 4</formula>
    </cfRule>
  </conditionalFormatting>
  <conditionalFormatting sqref="F115:G115">
    <cfRule type="expression" dxfId="323" priority="57">
      <formula>kvartal &lt; 4</formula>
    </cfRule>
  </conditionalFormatting>
  <conditionalFormatting sqref="F123:G123">
    <cfRule type="expression" dxfId="322" priority="56">
      <formula>kvartal &lt; 4</formula>
    </cfRule>
  </conditionalFormatting>
  <conditionalFormatting sqref="J115:K115">
    <cfRule type="expression" dxfId="321" priority="32">
      <formula>kvartal &lt; 4</formula>
    </cfRule>
  </conditionalFormatting>
  <conditionalFormatting sqref="J123:K123">
    <cfRule type="expression" dxfId="320" priority="31">
      <formula>kvartal &lt; 4</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N58"/>
  <sheetViews>
    <sheetView showGridLines="0" tabSelected="1" zoomScale="70" zoomScaleNormal="70" workbookViewId="0"/>
  </sheetViews>
  <sheetFormatPr baseColWidth="10" defaultColWidth="11.44140625" defaultRowHeight="24.6" x14ac:dyDescent="0.4"/>
  <cols>
    <col min="1" max="1" width="11.44140625" style="41"/>
    <col min="2" max="2" width="25" style="41" customWidth="1"/>
    <col min="3" max="3" width="141.6640625" style="41" customWidth="1"/>
    <col min="4" max="16384" width="11.44140625" style="41"/>
  </cols>
  <sheetData>
    <row r="1" spans="1:14" ht="20.100000000000001" customHeight="1" x14ac:dyDescent="0.4">
      <c r="C1" s="42"/>
      <c r="D1" s="43"/>
      <c r="E1" s="43"/>
      <c r="F1" s="43"/>
      <c r="G1" s="43"/>
      <c r="H1" s="43"/>
      <c r="I1" s="43"/>
      <c r="J1" s="43"/>
      <c r="K1" s="43"/>
      <c r="L1" s="43"/>
      <c r="M1" s="43"/>
      <c r="N1" s="43"/>
    </row>
    <row r="2" spans="1:14" ht="20.100000000000001" customHeight="1" x14ac:dyDescent="0.4">
      <c r="C2" s="222" t="s">
        <v>0</v>
      </c>
      <c r="D2" s="43"/>
      <c r="E2" s="43"/>
      <c r="F2" s="43"/>
      <c r="G2" s="43"/>
      <c r="H2" s="43"/>
      <c r="I2" s="43"/>
      <c r="J2" s="43"/>
      <c r="K2" s="43"/>
      <c r="L2" s="43"/>
      <c r="M2" s="43"/>
      <c r="N2" s="43"/>
    </row>
    <row r="3" spans="1:14" ht="20.100000000000001" customHeight="1" x14ac:dyDescent="0.4">
      <c r="C3" s="44"/>
      <c r="D3" s="43"/>
      <c r="E3" s="43"/>
      <c r="F3" s="43"/>
      <c r="G3" s="43"/>
      <c r="H3" s="43"/>
      <c r="I3" s="43"/>
      <c r="J3" s="43"/>
      <c r="K3" s="43"/>
      <c r="L3" s="43"/>
      <c r="M3" s="43"/>
      <c r="N3" s="43"/>
    </row>
    <row r="4" spans="1:14" ht="20.100000000000001" customHeight="1" x14ac:dyDescent="0.4">
      <c r="C4" s="44"/>
      <c r="D4" s="43"/>
      <c r="E4" s="43"/>
      <c r="F4" s="43"/>
      <c r="G4" s="43"/>
      <c r="H4" s="43"/>
      <c r="I4" s="43"/>
      <c r="J4" s="43"/>
      <c r="K4" s="43"/>
      <c r="L4" s="43"/>
      <c r="M4" s="43"/>
      <c r="N4" s="43"/>
    </row>
    <row r="5" spans="1:14" ht="20.100000000000001" customHeight="1" x14ac:dyDescent="0.4">
      <c r="A5" s="44"/>
      <c r="B5" s="44"/>
      <c r="C5" s="44"/>
      <c r="D5" s="43"/>
      <c r="E5" s="43"/>
      <c r="F5" s="43"/>
      <c r="G5" s="43"/>
      <c r="H5" s="43"/>
      <c r="I5" s="43"/>
      <c r="J5" s="43"/>
      <c r="K5" s="43"/>
      <c r="L5" s="43"/>
      <c r="M5" s="43"/>
      <c r="N5" s="43"/>
    </row>
    <row r="6" spans="1:14" ht="20.100000000000001" customHeight="1" x14ac:dyDescent="0.4">
      <c r="A6" s="45" t="s">
        <v>1</v>
      </c>
      <c r="B6" s="45"/>
      <c r="C6" s="44"/>
      <c r="D6" s="43"/>
      <c r="E6" s="43"/>
      <c r="F6" s="43"/>
      <c r="G6" s="43"/>
      <c r="H6" s="43"/>
      <c r="I6" s="43"/>
      <c r="J6" s="43"/>
      <c r="K6" s="43"/>
      <c r="L6" s="43"/>
      <c r="M6" s="43"/>
      <c r="N6" s="43"/>
    </row>
    <row r="7" spans="1:14" ht="20.100000000000001" customHeight="1" x14ac:dyDescent="0.4">
      <c r="A7" s="44"/>
      <c r="B7" s="44" t="s">
        <v>2</v>
      </c>
      <c r="C7" s="44" t="s">
        <v>3</v>
      </c>
      <c r="D7" s="43"/>
      <c r="E7" s="43"/>
      <c r="F7" s="43"/>
      <c r="G7" s="43"/>
      <c r="H7" s="43"/>
      <c r="I7" s="43"/>
      <c r="J7" s="43"/>
      <c r="K7" s="43"/>
      <c r="L7" s="43"/>
      <c r="M7" s="43"/>
      <c r="N7" s="43"/>
    </row>
    <row r="8" spans="1:14" ht="20.100000000000001" customHeight="1" x14ac:dyDescent="0.4">
      <c r="A8" s="44"/>
      <c r="B8" s="44" t="s">
        <v>4</v>
      </c>
      <c r="C8" s="44" t="s">
        <v>5</v>
      </c>
      <c r="D8" s="43"/>
      <c r="E8" s="43"/>
      <c r="F8" s="43"/>
      <c r="G8" s="43"/>
      <c r="H8" s="43"/>
      <c r="I8" s="43"/>
      <c r="J8" s="43"/>
      <c r="K8" s="43"/>
      <c r="L8" s="43"/>
      <c r="M8" s="43"/>
      <c r="N8" s="43"/>
    </row>
    <row r="9" spans="1:14" ht="20.100000000000001" customHeight="1" x14ac:dyDescent="0.4">
      <c r="A9" s="44"/>
      <c r="B9" s="44" t="s">
        <v>6</v>
      </c>
      <c r="C9" s="44" t="s">
        <v>7</v>
      </c>
      <c r="D9" s="43"/>
      <c r="E9" s="43"/>
      <c r="F9" s="43"/>
      <c r="G9" s="43"/>
      <c r="H9" s="43"/>
      <c r="I9" s="43"/>
      <c r="J9" s="43"/>
      <c r="K9" s="43"/>
      <c r="L9" s="43"/>
      <c r="M9" s="43"/>
      <c r="N9" s="43"/>
    </row>
    <row r="10" spans="1:14" ht="20.100000000000001" customHeight="1" x14ac:dyDescent="0.4">
      <c r="A10" s="44"/>
      <c r="B10" s="44" t="s">
        <v>8</v>
      </c>
      <c r="C10" s="44" t="s">
        <v>9</v>
      </c>
      <c r="D10" s="43"/>
      <c r="E10" s="43"/>
      <c r="F10" s="43"/>
      <c r="G10" s="43"/>
      <c r="H10" s="43"/>
      <c r="I10" s="43"/>
      <c r="J10" s="43"/>
      <c r="K10" s="43"/>
      <c r="L10" s="43"/>
      <c r="M10" s="43"/>
      <c r="N10" s="43"/>
    </row>
    <row r="11" spans="1:14" ht="20.100000000000001" customHeight="1" x14ac:dyDescent="0.4">
      <c r="A11" s="44"/>
      <c r="B11" s="44" t="s">
        <v>10</v>
      </c>
      <c r="C11" s="44" t="s">
        <v>11</v>
      </c>
      <c r="D11" s="43"/>
      <c r="E11" s="43"/>
      <c r="F11" s="43"/>
      <c r="G11" s="43"/>
      <c r="H11" s="43"/>
      <c r="I11" s="43"/>
      <c r="J11" s="43"/>
      <c r="K11" s="43"/>
      <c r="L11" s="43"/>
      <c r="M11" s="43"/>
      <c r="N11" s="43"/>
    </row>
    <row r="12" spans="1:14" ht="20.100000000000001" customHeight="1" x14ac:dyDescent="0.4">
      <c r="A12" s="44"/>
      <c r="B12" s="44" t="s">
        <v>12</v>
      </c>
      <c r="C12" s="44" t="s">
        <v>13</v>
      </c>
      <c r="D12" s="43"/>
      <c r="E12" s="43"/>
      <c r="F12" s="43"/>
      <c r="G12" s="43"/>
      <c r="H12" s="43"/>
      <c r="I12" s="43"/>
      <c r="J12" s="43"/>
      <c r="K12" s="43"/>
      <c r="L12" s="43"/>
      <c r="M12" s="43"/>
      <c r="N12" s="43"/>
    </row>
    <row r="13" spans="1:14" ht="18.75" customHeight="1" x14ac:dyDescent="0.4">
      <c r="A13" s="44"/>
      <c r="B13" s="44"/>
      <c r="C13" s="44"/>
      <c r="D13" s="43"/>
      <c r="E13" s="43"/>
      <c r="F13" s="43"/>
      <c r="G13" s="43"/>
      <c r="H13" s="43"/>
      <c r="I13" s="43"/>
      <c r="J13" s="43"/>
      <c r="K13" s="43"/>
      <c r="L13" s="43"/>
      <c r="M13" s="43"/>
      <c r="N13" s="43"/>
    </row>
    <row r="14" spans="1:14" ht="20.100000000000001" customHeight="1" x14ac:dyDescent="0.4">
      <c r="A14" s="221" t="s">
        <v>14</v>
      </c>
      <c r="B14" s="45"/>
      <c r="C14" s="44"/>
      <c r="D14" s="43"/>
      <c r="E14" s="43"/>
      <c r="F14" s="43"/>
      <c r="G14" s="43"/>
      <c r="H14" s="43"/>
      <c r="I14" s="43"/>
      <c r="J14" s="43"/>
      <c r="K14" s="43"/>
      <c r="L14" s="43"/>
      <c r="M14" s="43"/>
      <c r="N14" s="43"/>
    </row>
    <row r="15" spans="1:14" ht="20.100000000000001" customHeight="1" x14ac:dyDescent="0.4">
      <c r="A15" s="44"/>
      <c r="B15" s="44" t="s">
        <v>15</v>
      </c>
      <c r="C15" s="44"/>
      <c r="D15" s="43"/>
      <c r="E15" s="43"/>
      <c r="F15" s="43"/>
      <c r="G15" s="43"/>
      <c r="H15" s="43"/>
      <c r="I15" s="43"/>
      <c r="J15" s="43"/>
      <c r="K15" s="43"/>
      <c r="L15" s="43"/>
      <c r="M15" s="43"/>
      <c r="N15" s="43"/>
    </row>
    <row r="16" spans="1:14" ht="20.100000000000001" customHeight="1" x14ac:dyDescent="0.4">
      <c r="A16" s="44"/>
      <c r="B16" s="45" t="s">
        <v>16</v>
      </c>
      <c r="C16" s="44" t="s">
        <v>17</v>
      </c>
      <c r="D16" s="43"/>
      <c r="E16" s="43"/>
      <c r="F16" s="43"/>
      <c r="G16" s="43"/>
      <c r="H16" s="43"/>
      <c r="I16" s="43"/>
      <c r="J16" s="43"/>
      <c r="K16" s="43"/>
      <c r="L16" s="43"/>
      <c r="M16" s="43"/>
      <c r="N16" s="43"/>
    </row>
    <row r="17" spans="1:14" ht="20.100000000000001" customHeight="1" x14ac:dyDescent="0.4">
      <c r="A17" s="44"/>
      <c r="B17" s="45" t="s">
        <v>18</v>
      </c>
      <c r="C17" s="44" t="s">
        <v>19</v>
      </c>
      <c r="D17" s="43"/>
      <c r="E17" s="43"/>
      <c r="F17" s="43"/>
      <c r="G17" s="43"/>
      <c r="H17" s="43"/>
      <c r="I17" s="43"/>
      <c r="J17" s="43"/>
      <c r="K17" s="43"/>
      <c r="L17" s="43"/>
      <c r="M17" s="43"/>
      <c r="N17" s="43"/>
    </row>
    <row r="18" spans="1:14" ht="20.100000000000001" customHeight="1" x14ac:dyDescent="0.4">
      <c r="A18" s="44"/>
      <c r="B18" s="45" t="s">
        <v>20</v>
      </c>
      <c r="C18" s="44" t="s">
        <v>21</v>
      </c>
      <c r="D18" s="43"/>
      <c r="E18" s="43"/>
      <c r="F18" s="43"/>
      <c r="G18" s="43"/>
      <c r="H18" s="43"/>
      <c r="I18" s="43"/>
      <c r="J18" s="43"/>
      <c r="K18" s="43"/>
      <c r="L18" s="43"/>
      <c r="M18" s="43"/>
      <c r="N18" s="43"/>
    </row>
    <row r="19" spans="1:14" ht="20.100000000000001" customHeight="1" x14ac:dyDescent="0.4">
      <c r="A19" s="44"/>
      <c r="B19" s="44" t="s">
        <v>22</v>
      </c>
      <c r="C19" s="44" t="s">
        <v>23</v>
      </c>
      <c r="D19" s="43"/>
      <c r="E19" s="43"/>
      <c r="F19" s="43"/>
      <c r="G19" s="43"/>
      <c r="H19" s="43"/>
      <c r="I19" s="43"/>
      <c r="J19" s="43"/>
      <c r="K19" s="43"/>
      <c r="L19" s="43"/>
      <c r="M19" s="43"/>
      <c r="N19" s="43"/>
    </row>
    <row r="20" spans="1:14" ht="20.100000000000001" customHeight="1" x14ac:dyDescent="0.4">
      <c r="A20" s="44"/>
      <c r="B20" s="44" t="s">
        <v>24</v>
      </c>
      <c r="C20" s="44" t="s">
        <v>25</v>
      </c>
      <c r="D20" s="43"/>
      <c r="E20" s="43"/>
      <c r="F20" s="43"/>
      <c r="G20" s="43"/>
      <c r="H20" s="43"/>
      <c r="I20" s="43"/>
      <c r="J20" s="43"/>
      <c r="K20" s="43"/>
      <c r="L20" s="43"/>
      <c r="M20" s="43"/>
      <c r="N20" s="43"/>
    </row>
    <row r="21" spans="1:14" ht="20.100000000000001" customHeight="1" x14ac:dyDescent="0.4">
      <c r="A21" s="44"/>
      <c r="B21" s="44"/>
      <c r="C21" s="44"/>
    </row>
    <row r="22" spans="1:14" ht="18.75" customHeight="1" x14ac:dyDescent="0.4">
      <c r="A22" s="44"/>
      <c r="B22" s="44" t="s">
        <v>26</v>
      </c>
      <c r="C22" s="44"/>
    </row>
    <row r="23" spans="1:14" ht="20.100000000000001" customHeight="1" x14ac:dyDescent="0.4">
      <c r="A23" s="44"/>
      <c r="B23" s="284" t="s">
        <v>27</v>
      </c>
      <c r="C23" s="44" t="s">
        <v>28</v>
      </c>
    </row>
    <row r="24" spans="1:14" ht="20.100000000000001" hidden="1" customHeight="1" x14ac:dyDescent="0.4">
      <c r="A24" s="44"/>
      <c r="B24" s="284" t="s">
        <v>29</v>
      </c>
      <c r="C24" s="44" t="s">
        <v>30</v>
      </c>
    </row>
    <row r="25" spans="1:14" ht="20.100000000000001" hidden="1" customHeight="1" x14ac:dyDescent="0.4">
      <c r="A25" s="44"/>
      <c r="B25" s="284" t="s">
        <v>31</v>
      </c>
      <c r="C25" s="44" t="s">
        <v>32</v>
      </c>
    </row>
    <row r="26" spans="1:14" ht="20.100000000000001" hidden="1" customHeight="1" x14ac:dyDescent="0.4">
      <c r="A26" s="44"/>
      <c r="B26" s="284" t="s">
        <v>33</v>
      </c>
      <c r="C26" s="44" t="s">
        <v>34</v>
      </c>
    </row>
    <row r="27" spans="1:14" ht="20.100000000000001" customHeight="1" x14ac:dyDescent="0.4">
      <c r="A27" s="44"/>
      <c r="B27" s="284" t="s">
        <v>35</v>
      </c>
      <c r="C27" s="44" t="s">
        <v>36</v>
      </c>
    </row>
    <row r="28" spans="1:14" ht="20.100000000000001" hidden="1" customHeight="1" x14ac:dyDescent="0.4">
      <c r="A28" s="44"/>
      <c r="B28" s="281" t="s">
        <v>37</v>
      </c>
      <c r="C28" s="220" t="s">
        <v>38</v>
      </c>
    </row>
    <row r="29" spans="1:14" ht="20.100000000000001" hidden="1" customHeight="1" x14ac:dyDescent="0.4">
      <c r="A29" s="44"/>
      <c r="B29" s="281" t="s">
        <v>39</v>
      </c>
      <c r="C29" s="220" t="s">
        <v>40</v>
      </c>
    </row>
    <row r="30" spans="1:14" ht="18.75" customHeight="1" x14ac:dyDescent="0.4">
      <c r="A30" s="44"/>
      <c r="B30" s="284" t="s">
        <v>41</v>
      </c>
      <c r="C30" s="44" t="s">
        <v>42</v>
      </c>
    </row>
    <row r="31" spans="1:14" ht="18.75" customHeight="1" x14ac:dyDescent="0.4">
      <c r="A31" s="44"/>
      <c r="B31" s="284"/>
      <c r="C31" s="44"/>
    </row>
    <row r="32" spans="1:14" ht="20.100000000000001" customHeight="1" x14ac:dyDescent="0.4">
      <c r="A32" s="44"/>
      <c r="B32" s="44"/>
      <c r="C32" s="44"/>
    </row>
    <row r="33" spans="1:4" x14ac:dyDescent="0.4">
      <c r="A33" s="45" t="s">
        <v>43</v>
      </c>
      <c r="B33" s="44"/>
      <c r="C33" s="44"/>
    </row>
    <row r="34" spans="1:4" ht="26.25" hidden="1" customHeight="1" x14ac:dyDescent="0.45">
      <c r="C34" s="46"/>
    </row>
    <row r="35" spans="1:4" ht="26.25" hidden="1" customHeight="1" x14ac:dyDescent="0.45">
      <c r="C35" s="46"/>
    </row>
    <row r="36" spans="1:4" ht="18.75" customHeight="1" x14ac:dyDescent="0.45">
      <c r="C36" s="282"/>
      <c r="D36" s="283"/>
    </row>
    <row r="37" spans="1:4" ht="25.2" x14ac:dyDescent="0.45">
      <c r="C37" s="46"/>
    </row>
    <row r="38" spans="1:4" ht="25.2" x14ac:dyDescent="0.45">
      <c r="C38" s="46"/>
    </row>
    <row r="39" spans="1:4" ht="25.2" x14ac:dyDescent="0.45">
      <c r="C39" s="282"/>
    </row>
    <row r="40" spans="1:4" ht="25.2" x14ac:dyDescent="0.45">
      <c r="C40" s="46"/>
    </row>
    <row r="41" spans="1:4" ht="25.2" x14ac:dyDescent="0.45">
      <c r="C41" s="46"/>
    </row>
    <row r="42" spans="1:4" ht="25.2" x14ac:dyDescent="0.45">
      <c r="C42" s="46"/>
    </row>
    <row r="43" spans="1:4" ht="25.2" x14ac:dyDescent="0.45">
      <c r="C43" s="46"/>
    </row>
    <row r="44" spans="1:4" ht="25.2" x14ac:dyDescent="0.45">
      <c r="C44" s="46"/>
    </row>
    <row r="45" spans="1:4" ht="25.2" x14ac:dyDescent="0.45">
      <c r="C45" s="46"/>
    </row>
    <row r="46" spans="1:4" ht="25.2" x14ac:dyDescent="0.45">
      <c r="C46" s="46"/>
    </row>
    <row r="47" spans="1:4" ht="25.2" x14ac:dyDescent="0.45">
      <c r="C47" s="46"/>
    </row>
    <row r="48" spans="1:4" ht="25.2" x14ac:dyDescent="0.45">
      <c r="C48" s="46"/>
    </row>
    <row r="49" spans="3:3" ht="25.2" x14ac:dyDescent="0.45">
      <c r="C49" s="46"/>
    </row>
    <row r="50" spans="3:3" ht="25.2" x14ac:dyDescent="0.45">
      <c r="C50" s="46"/>
    </row>
    <row r="51" spans="3:3" ht="25.2" x14ac:dyDescent="0.45">
      <c r="C51" s="46"/>
    </row>
    <row r="52" spans="3:3" ht="25.2" x14ac:dyDescent="0.45">
      <c r="C52" s="46"/>
    </row>
    <row r="53" spans="3:3" ht="25.2" x14ac:dyDescent="0.45">
      <c r="C53" s="46"/>
    </row>
    <row r="54" spans="3:3" ht="25.2" x14ac:dyDescent="0.45">
      <c r="C54" s="46"/>
    </row>
    <row r="55" spans="3:3" ht="25.2" x14ac:dyDescent="0.45">
      <c r="C55" s="46"/>
    </row>
    <row r="56" spans="3:3" ht="25.2" x14ac:dyDescent="0.45">
      <c r="C56" s="46"/>
    </row>
    <row r="57" spans="3:3" ht="25.2" x14ac:dyDescent="0.45">
      <c r="C57" s="46"/>
    </row>
    <row r="58" spans="3:3" ht="25.2" x14ac:dyDescent="0.45">
      <c r="C58" s="46"/>
    </row>
  </sheetData>
  <hyperlinks>
    <hyperlink ref="A6" location="Figurer!A1" display="FIGURER" xr:uid="{00000000-0004-0000-0100-000000000000}"/>
    <hyperlink ref="A14" location="'Tabel 1.1'!A1" display="TABELLER" xr:uid="{00000000-0004-0000-0100-000001000000}"/>
    <hyperlink ref="B16" location="'Tabell 1.1'!A1" display="Tabell 1.1" xr:uid="{00000000-0004-0000-0100-000002000000}"/>
    <hyperlink ref="B17" location="'Tabell 1.2'!A1" display="Tabell 1.2" xr:uid="{00000000-0004-0000-0100-000003000000}"/>
    <hyperlink ref="A33" location="'Noter og kommentarer'!A1" display="NOTER OG KOMMENTARER" xr:uid="{00000000-0004-0000-0100-000004000000}"/>
    <hyperlink ref="B23" location="'Tabell 4'!A1" display="Tabell 4" xr:uid="{00000000-0004-0000-0100-000005000000}"/>
    <hyperlink ref="B27" location="'Tabell 6'!A1" display="Tabell 6" xr:uid="{00000000-0004-0000-0100-000006000000}"/>
    <hyperlink ref="B30" location="'Tabell 8'!A1" display="Tabell 8" xr:uid="{00000000-0004-0000-0100-000007000000}"/>
    <hyperlink ref="B24" location="'Tabell 5.1'!A1" display="Tabell 5.1" xr:uid="{00000000-0004-0000-0100-000008000000}"/>
    <hyperlink ref="B25" location="'Tabell 5.2'!A1" display="Tabell 5.2" xr:uid="{00000000-0004-0000-0100-000009000000}"/>
    <hyperlink ref="B26" location="'Tabell 5.3'!A1" display="Tabell 5.3" xr:uid="{00000000-0004-0000-0100-00000A000000}"/>
    <hyperlink ref="B28" location="'Tabell 7a'!A1" display="Tabell 7a" xr:uid="{00000000-0004-0000-0100-00000B000000}"/>
    <hyperlink ref="B29" location="'Tabell 7b'!A1" display="Tabell 7b" xr:uid="{00000000-0004-0000-0100-00000C000000}"/>
  </hyperlink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D853-0DF0-4C61-8584-51A962037551}">
  <sheetPr codeName="Ark21"/>
  <dimension ref="A1:N144"/>
  <sheetViews>
    <sheetView showGridLines="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58</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c r="G7" s="249"/>
      <c r="H7" s="285"/>
      <c r="I7" s="119"/>
      <c r="J7" s="250"/>
      <c r="K7" s="251"/>
      <c r="L7" s="341"/>
      <c r="M7" s="8"/>
    </row>
    <row r="8" spans="1:14" ht="15.6" x14ac:dyDescent="0.25">
      <c r="A8" s="18" t="s">
        <v>170</v>
      </c>
      <c r="B8" s="228"/>
      <c r="C8" s="229"/>
      <c r="D8" s="123"/>
      <c r="E8" s="23"/>
      <c r="F8" s="232"/>
      <c r="G8" s="233"/>
      <c r="H8" s="123"/>
      <c r="I8" s="132"/>
      <c r="J8" s="181"/>
      <c r="K8" s="234"/>
      <c r="L8" s="123"/>
      <c r="M8" s="23"/>
    </row>
    <row r="9" spans="1:14" ht="15.6" x14ac:dyDescent="0.25">
      <c r="A9" s="18" t="s">
        <v>171</v>
      </c>
      <c r="B9" s="228"/>
      <c r="C9" s="229"/>
      <c r="D9" s="123"/>
      <c r="E9" s="23"/>
      <c r="F9" s="232"/>
      <c r="G9" s="233"/>
      <c r="H9" s="123"/>
      <c r="I9" s="132"/>
      <c r="J9" s="181"/>
      <c r="K9" s="234"/>
      <c r="L9" s="123"/>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15177</v>
      </c>
      <c r="C47" s="253">
        <v>16314</v>
      </c>
      <c r="D47" s="341">
        <f t="shared" ref="D47:D48" si="0">IF(B47=0, "    ---- ", IF(ABS(ROUND(100/B47*C47-100,1))&lt;999,ROUND(100/B47*C47-100,1),IF(ROUND(100/B47*C47-100,1)&gt;999,999,-999)))</f>
        <v>7.5</v>
      </c>
      <c r="E47" s="8">
        <f>IFERROR(100/'Skjema total MA'!C47*C47,0)</f>
        <v>0.32944434647810894</v>
      </c>
      <c r="F47" s="109"/>
      <c r="G47" s="27"/>
      <c r="H47" s="118"/>
      <c r="I47" s="118"/>
      <c r="J47" s="31"/>
      <c r="K47" s="31"/>
      <c r="L47" s="118"/>
      <c r="M47" s="118"/>
    </row>
    <row r="48" spans="1:13" ht="15.6" x14ac:dyDescent="0.25">
      <c r="A48" s="18" t="s">
        <v>190</v>
      </c>
      <c r="B48" s="228">
        <v>15177</v>
      </c>
      <c r="C48" s="229">
        <v>16314</v>
      </c>
      <c r="D48" s="206">
        <f t="shared" si="0"/>
        <v>7.5</v>
      </c>
      <c r="E48" s="23">
        <f>IFERROR(100/'Skjema total MA'!C48*C48,0)</f>
        <v>0.67867915100786702</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319" priority="7">
      <formula>kvartal &lt; 4</formula>
    </cfRule>
  </conditionalFormatting>
  <conditionalFormatting sqref="A69:A74">
    <cfRule type="expression" dxfId="318" priority="6">
      <formula>kvartal &lt; 4</formula>
    </cfRule>
  </conditionalFormatting>
  <conditionalFormatting sqref="A80:A85">
    <cfRule type="expression" dxfId="317" priority="5">
      <formula>kvartal &lt; 4</formula>
    </cfRule>
  </conditionalFormatting>
  <conditionalFormatting sqref="A90:A95">
    <cfRule type="expression" dxfId="316" priority="4">
      <formula>kvartal &lt; 4</formula>
    </cfRule>
  </conditionalFormatting>
  <conditionalFormatting sqref="A101:A106">
    <cfRule type="expression" dxfId="315" priority="3">
      <formula>kvartal &lt; 4</formula>
    </cfRule>
  </conditionalFormatting>
  <conditionalFormatting sqref="A115:C115">
    <cfRule type="expression" dxfId="314" priority="2">
      <formula>kvartal &lt; 4</formula>
    </cfRule>
  </conditionalFormatting>
  <conditionalFormatting sqref="A123:C123">
    <cfRule type="expression" dxfId="313" priority="1">
      <formula>kvartal &lt; 4</formula>
    </cfRule>
  </conditionalFormatting>
  <conditionalFormatting sqref="B69:C69">
    <cfRule type="expression" dxfId="312" priority="57">
      <formula>kvartal &lt; 4</formula>
    </cfRule>
  </conditionalFormatting>
  <conditionalFormatting sqref="B72:C72">
    <cfRule type="expression" dxfId="311" priority="55">
      <formula>kvartal &lt; 4</formula>
    </cfRule>
  </conditionalFormatting>
  <conditionalFormatting sqref="F115:G115">
    <cfRule type="expression" dxfId="310" priority="27">
      <formula>kvartal &lt; 4</formula>
    </cfRule>
  </conditionalFormatting>
  <conditionalFormatting sqref="F123:G123">
    <cfRule type="expression" dxfId="309" priority="26">
      <formula>kvartal &lt; 4</formula>
    </cfRule>
  </conditionalFormatting>
  <conditionalFormatting sqref="J115:K115">
    <cfRule type="expression" dxfId="308" priority="9">
      <formula>kvartal &lt; 4</formula>
    </cfRule>
  </conditionalFormatting>
  <conditionalFormatting sqref="J123:K123">
    <cfRule type="expression" dxfId="307" priority="8">
      <formula>kvartal &lt; 4</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5"/>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404</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v>144697.81383615299</v>
      </c>
      <c r="C7" s="249">
        <v>152338.02843611699</v>
      </c>
      <c r="D7" s="285">
        <f>IF(B7=0, "    ---- ", IF(ABS(ROUND(100/B7*C7-100,1))&lt;999,ROUND(100/B7*C7-100,1),IF(ROUND(100/B7*C7-100,1)&gt;999,999,-999)))</f>
        <v>5.3</v>
      </c>
      <c r="E7" s="8">
        <f>IFERROR(100/'Skjema total MA'!C7*C7,0)</f>
        <v>7.2575804462821347</v>
      </c>
      <c r="F7" s="248">
        <v>2333704.6928300001</v>
      </c>
      <c r="G7" s="249">
        <v>3104153.3135700002</v>
      </c>
      <c r="H7" s="285">
        <f>IF(F7=0, "    ---- ", IF(ABS(ROUND(100/F7*G7-100,1))&lt;999,ROUND(100/F7*G7-100,1),IF(ROUND(100/F7*G7-100,1)&gt;999,999,-999)))</f>
        <v>33</v>
      </c>
      <c r="I7" s="119">
        <f>IFERROR(100/'Skjema total MA'!F7*G7,0)</f>
        <v>82.603850872746378</v>
      </c>
      <c r="J7" s="250">
        <f t="shared" ref="J7:K12" si="0">SUM(B7,F7)</f>
        <v>2478402.5066661532</v>
      </c>
      <c r="K7" s="251">
        <f t="shared" si="0"/>
        <v>3256491.3420061171</v>
      </c>
      <c r="L7" s="341">
        <f>IF(J7=0, "    ---- ", IF(ABS(ROUND(100/J7*K7-100,1))&lt;999,ROUND(100/J7*K7-100,1),IF(ROUND(100/J7*K7-100,1)&gt;999,999,-999)))</f>
        <v>31.4</v>
      </c>
      <c r="M7" s="8">
        <f>IFERROR(100/'Skjema total MA'!I7*K7,0)</f>
        <v>55.600946057186441</v>
      </c>
    </row>
    <row r="8" spans="1:14" ht="15.6" x14ac:dyDescent="0.25">
      <c r="A8" s="18" t="s">
        <v>170</v>
      </c>
      <c r="B8" s="228">
        <v>127697.625118914</v>
      </c>
      <c r="C8" s="229">
        <v>135783.172920201</v>
      </c>
      <c r="D8" s="123">
        <f t="shared" ref="D8:D10" si="1">IF(B8=0, "    ---- ", IF(ABS(ROUND(100/B8*C8-100,1))&lt;999,ROUND(100/B8*C8-100,1),IF(ROUND(100/B8*C8-100,1)&gt;999,999,-999)))</f>
        <v>6.3</v>
      </c>
      <c r="E8" s="23">
        <f>IFERROR(100/'Skjema total MA'!C8*C8,0)</f>
        <v>9.4559038362548975</v>
      </c>
      <c r="F8" s="232"/>
      <c r="G8" s="233"/>
      <c r="H8" s="123"/>
      <c r="I8" s="132"/>
      <c r="J8" s="181">
        <f t="shared" si="0"/>
        <v>127697.625118914</v>
      </c>
      <c r="K8" s="234">
        <f t="shared" si="0"/>
        <v>135783.172920201</v>
      </c>
      <c r="L8" s="123">
        <f t="shared" ref="L8:L9" si="2">IF(J8=0, "    ---- ", IF(ABS(ROUND(100/J8*K8-100,1))&lt;999,ROUND(100/J8*K8-100,1),IF(ROUND(100/J8*K8-100,1)&gt;999,999,-999)))</f>
        <v>6.3</v>
      </c>
      <c r="M8" s="23">
        <f>IFERROR(100/'Skjema total MA'!I8*K8,0)</f>
        <v>9.4559038362548975</v>
      </c>
    </row>
    <row r="9" spans="1:14" ht="15.6" x14ac:dyDescent="0.25">
      <c r="A9" s="18" t="s">
        <v>171</v>
      </c>
      <c r="B9" s="228">
        <v>15811.367581008401</v>
      </c>
      <c r="C9" s="229">
        <v>15462.353701053</v>
      </c>
      <c r="D9" s="123">
        <f t="shared" si="1"/>
        <v>-2.2000000000000002</v>
      </c>
      <c r="E9" s="23">
        <f>IFERROR(100/'Skjema total MA'!C9*C9,0)</f>
        <v>3.6185528080256226</v>
      </c>
      <c r="F9" s="232"/>
      <c r="G9" s="233"/>
      <c r="H9" s="123"/>
      <c r="I9" s="132"/>
      <c r="J9" s="181">
        <f t="shared" si="0"/>
        <v>15811.367581008401</v>
      </c>
      <c r="K9" s="234">
        <f t="shared" si="0"/>
        <v>15462.353701053</v>
      </c>
      <c r="L9" s="123">
        <f t="shared" si="2"/>
        <v>-2.2000000000000002</v>
      </c>
      <c r="M9" s="23">
        <f>IFERROR(100/'Skjema total MA'!I9*K9,0)</f>
        <v>3.6185528080256226</v>
      </c>
    </row>
    <row r="10" spans="1:14" ht="15.6" x14ac:dyDescent="0.25">
      <c r="A10" s="10" t="s">
        <v>172</v>
      </c>
      <c r="B10" s="252">
        <v>532491.32548198197</v>
      </c>
      <c r="C10" s="253">
        <v>493328.42843060102</v>
      </c>
      <c r="D10" s="127">
        <f t="shared" si="1"/>
        <v>-7.4</v>
      </c>
      <c r="E10" s="8">
        <f>IFERROR(100/'Skjema total MA'!C10*C10,0)</f>
        <v>3.861386584196191</v>
      </c>
      <c r="F10" s="252">
        <v>60719071.941565</v>
      </c>
      <c r="G10" s="253">
        <v>69911684.634550005</v>
      </c>
      <c r="H10" s="127">
        <f t="shared" ref="H10:H12" si="3">IF(F10=0, "    ---- ", IF(ABS(ROUND(100/F10*G10-100,1))&lt;999,ROUND(100/F10*G10-100,1),IF(ROUND(100/F10*G10-100,1)&gt;999,999,-999)))</f>
        <v>15.1</v>
      </c>
      <c r="I10" s="119">
        <f>IFERROR(100/'Skjema total MA'!F10*G10,0)</f>
        <v>64.927779806948195</v>
      </c>
      <c r="J10" s="250">
        <f t="shared" si="0"/>
        <v>61251563.267046981</v>
      </c>
      <c r="K10" s="251">
        <f t="shared" si="0"/>
        <v>70405013.062980607</v>
      </c>
      <c r="L10" s="342">
        <f t="shared" ref="L10:L12" si="4">IF(J10=0, "    ---- ", IF(ABS(ROUND(100/J10*K10-100,1))&lt;999,ROUND(100/J10*K10-100,1),IF(ROUND(100/J10*K10-100,1)&gt;999,999,-999)))</f>
        <v>14.9</v>
      </c>
      <c r="M10" s="8">
        <f>IFERROR(100/'Skjema total MA'!I10*K10,0)</f>
        <v>58.450672955780739</v>
      </c>
    </row>
    <row r="11" spans="1:14" s="35" customFormat="1" ht="15.6" x14ac:dyDescent="0.25">
      <c r="A11" s="10" t="s">
        <v>173</v>
      </c>
      <c r="B11" s="252"/>
      <c r="C11" s="253"/>
      <c r="D11" s="127"/>
      <c r="E11" s="8"/>
      <c r="F11" s="252">
        <v>112624.36655000001</v>
      </c>
      <c r="G11" s="253">
        <v>55619.200270000001</v>
      </c>
      <c r="H11" s="127">
        <f t="shared" si="3"/>
        <v>-50.6</v>
      </c>
      <c r="I11" s="119">
        <f>IFERROR(100/'Skjema total MA'!F11*G11,0)</f>
        <v>52.000878622919018</v>
      </c>
      <c r="J11" s="250">
        <f t="shared" si="0"/>
        <v>112624.36655000001</v>
      </c>
      <c r="K11" s="251">
        <f t="shared" si="0"/>
        <v>55619.200270000001</v>
      </c>
      <c r="L11" s="342">
        <f t="shared" si="4"/>
        <v>-50.6</v>
      </c>
      <c r="M11" s="8">
        <f>IFERROR(100/'Skjema total MA'!I11*K11,0)</f>
        <v>52.000878622919018</v>
      </c>
      <c r="N11" s="107"/>
    </row>
    <row r="12" spans="1:14" s="35" customFormat="1" ht="15.6" x14ac:dyDescent="0.25">
      <c r="A12" s="33" t="s">
        <v>174</v>
      </c>
      <c r="B12" s="254"/>
      <c r="C12" s="255"/>
      <c r="D12" s="125"/>
      <c r="E12" s="30"/>
      <c r="F12" s="254">
        <v>17492.829269999998</v>
      </c>
      <c r="G12" s="255">
        <v>26103.98862</v>
      </c>
      <c r="H12" s="125">
        <f t="shared" si="3"/>
        <v>49.2</v>
      </c>
      <c r="I12" s="125">
        <f>IFERROR(100/'Skjema total MA'!F12*G12,0)</f>
        <v>20.819387097772108</v>
      </c>
      <c r="J12" s="256">
        <f t="shared" si="0"/>
        <v>17492.829269999998</v>
      </c>
      <c r="K12" s="257">
        <f t="shared" si="0"/>
        <v>26103.98862</v>
      </c>
      <c r="L12" s="343">
        <f t="shared" si="4"/>
        <v>49.2</v>
      </c>
      <c r="M12" s="30">
        <f>IFERROR(100/'Skjema total MA'!I12*K12,0)</f>
        <v>23.959321772334036</v>
      </c>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v>66869.210272487893</v>
      </c>
      <c r="C22" s="252">
        <v>78905.507392795698</v>
      </c>
      <c r="D22" s="285">
        <f t="shared" ref="D22:D34" si="5">IF(B22=0, "    ---- ", IF(ABS(ROUND(100/B22*C22-100,1))&lt;999,ROUND(100/B22*C22-100,1),IF(ROUND(100/B22*C22-100,1)&gt;999,999,-999)))</f>
        <v>18</v>
      </c>
      <c r="E22" s="8">
        <f>IFERROR(100/'Skjema total MA'!C22*C22,0)</f>
        <v>7.3192514504771085</v>
      </c>
      <c r="F22" s="260">
        <v>78012.202350000007</v>
      </c>
      <c r="G22" s="260">
        <v>123146.79386000001</v>
      </c>
      <c r="H22" s="285">
        <f t="shared" ref="H22:H35" si="6">IF(F22=0, "    ---- ", IF(ABS(ROUND(100/F22*G22-100,1))&lt;999,ROUND(100/F22*G22-100,1),IF(ROUND(100/F22*G22-100,1)&gt;999,999,-999)))</f>
        <v>57.9</v>
      </c>
      <c r="I22" s="8">
        <f>IFERROR(100/'Skjema total MA'!F22*G22,0)</f>
        <v>27.590017556848242</v>
      </c>
      <c r="J22" s="258">
        <f t="shared" ref="J22:K35" si="7">SUM(B22,F22)</f>
        <v>144881.4126224879</v>
      </c>
      <c r="K22" s="258">
        <f t="shared" si="7"/>
        <v>202052.3012527957</v>
      </c>
      <c r="L22" s="341">
        <f t="shared" ref="L22:L35" si="8">IF(J22=0, "    ---- ", IF(ABS(ROUND(100/J22*K22-100,1))&lt;999,ROUND(100/J22*K22-100,1),IF(ROUND(100/J22*K22-100,1)&gt;999,999,-999)))</f>
        <v>39.5</v>
      </c>
      <c r="M22" s="21">
        <f>IFERROR(100/'Skjema total MA'!I22*K22,0)</f>
        <v>13.254547837269675</v>
      </c>
    </row>
    <row r="23" spans="1:13" ht="15.6" x14ac:dyDescent="0.25">
      <c r="A23" s="382" t="s">
        <v>178</v>
      </c>
      <c r="B23" s="228">
        <v>66829.044272487896</v>
      </c>
      <c r="C23" s="228">
        <v>78872.980392795696</v>
      </c>
      <c r="D23" s="123">
        <f t="shared" si="5"/>
        <v>18</v>
      </c>
      <c r="E23" s="8">
        <f>IFERROR(100/'Skjema total MA'!C23*C23,0)</f>
        <v>9.8836615207590999</v>
      </c>
      <c r="F23" s="236">
        <v>416.02499999999998</v>
      </c>
      <c r="G23" s="236">
        <v>316.26</v>
      </c>
      <c r="H23" s="123">
        <f t="shared" si="6"/>
        <v>-24</v>
      </c>
      <c r="I23" s="335">
        <f>IFERROR(100/'Skjema total MA'!F23*G23,0)</f>
        <v>3.6551283981330336</v>
      </c>
      <c r="J23" s="236">
        <f t="shared" ref="J23:J26" si="9">SUM(B23,F23)</f>
        <v>67245.06927248789</v>
      </c>
      <c r="K23" s="236">
        <f t="shared" ref="K23:K26" si="10">SUM(C23,G23)</f>
        <v>79189.240392795691</v>
      </c>
      <c r="L23" s="123">
        <f t="shared" si="8"/>
        <v>17.8</v>
      </c>
      <c r="M23" s="20">
        <f>IFERROR(100/'Skjema total MA'!I23*K23,0)</f>
        <v>9.8168527460361226</v>
      </c>
    </row>
    <row r="24" spans="1:13" ht="15.6" x14ac:dyDescent="0.25">
      <c r="A24" s="382" t="s">
        <v>179</v>
      </c>
      <c r="B24" s="228">
        <v>40.165999999999997</v>
      </c>
      <c r="C24" s="228">
        <v>32.527000000000001</v>
      </c>
      <c r="D24" s="123">
        <f t="shared" si="5"/>
        <v>-19</v>
      </c>
      <c r="E24" s="8">
        <f>IFERROR(100/'Skjema total MA'!C24*C24,0)</f>
        <v>0.96239704920108671</v>
      </c>
      <c r="F24" s="236"/>
      <c r="G24" s="236"/>
      <c r="H24" s="123"/>
      <c r="I24" s="335"/>
      <c r="J24" s="236">
        <f t="shared" si="9"/>
        <v>40.165999999999997</v>
      </c>
      <c r="K24" s="236">
        <f t="shared" si="10"/>
        <v>32.527000000000001</v>
      </c>
      <c r="L24" s="123">
        <f t="shared" si="8"/>
        <v>-19</v>
      </c>
      <c r="M24" s="20">
        <f>IFERROR(100/'Skjema total MA'!I24*K24,0)</f>
        <v>0.94416802701601488</v>
      </c>
    </row>
    <row r="25" spans="1:13" ht="15.6" x14ac:dyDescent="0.25">
      <c r="A25" s="382" t="s">
        <v>180</v>
      </c>
      <c r="B25" s="228"/>
      <c r="C25" s="228"/>
      <c r="D25" s="123"/>
      <c r="E25" s="8"/>
      <c r="F25" s="236">
        <v>192.26499999999999</v>
      </c>
      <c r="G25" s="236">
        <v>171.803</v>
      </c>
      <c r="H25" s="123">
        <f t="shared" si="6"/>
        <v>-10.6</v>
      </c>
      <c r="I25" s="335">
        <f>IFERROR(100/'Skjema total MA'!F25*G25,0)</f>
        <v>2.4337855956619876</v>
      </c>
      <c r="J25" s="236">
        <f t="shared" si="9"/>
        <v>192.26499999999999</v>
      </c>
      <c r="K25" s="236">
        <f t="shared" si="10"/>
        <v>171.803</v>
      </c>
      <c r="L25" s="123">
        <f t="shared" si="8"/>
        <v>-10.6</v>
      </c>
      <c r="M25" s="20">
        <f>IFERROR(100/'Skjema total MA'!I25*K25,0)</f>
        <v>1.5077460861598928</v>
      </c>
    </row>
    <row r="26" spans="1:13" ht="15.6" x14ac:dyDescent="0.25">
      <c r="A26" s="382" t="s">
        <v>181</v>
      </c>
      <c r="B26" s="228"/>
      <c r="C26" s="228"/>
      <c r="D26" s="123"/>
      <c r="E26" s="8"/>
      <c r="F26" s="236">
        <v>77403.912349999999</v>
      </c>
      <c r="G26" s="236">
        <v>122658.73086</v>
      </c>
      <c r="H26" s="123">
        <f t="shared" si="6"/>
        <v>58.5</v>
      </c>
      <c r="I26" s="335">
        <f>IFERROR(100/'Skjema total MA'!F26*G26,0)</f>
        <v>28.487614225459879</v>
      </c>
      <c r="J26" s="236">
        <f t="shared" si="9"/>
        <v>77403.912349999999</v>
      </c>
      <c r="K26" s="236">
        <f t="shared" si="10"/>
        <v>122658.73086</v>
      </c>
      <c r="L26" s="123">
        <f t="shared" si="8"/>
        <v>58.5</v>
      </c>
      <c r="M26" s="20">
        <f>IFERROR(100/'Skjema total MA'!I26*K26,0)</f>
        <v>28.487614225459879</v>
      </c>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v>69210.684177278701</v>
      </c>
      <c r="C28" s="234">
        <v>81395.159404875099</v>
      </c>
      <c r="D28" s="123">
        <f t="shared" si="5"/>
        <v>17.600000000000001</v>
      </c>
      <c r="E28" s="8">
        <f>IFERROR(100/'Skjema total MA'!C28*C28,0)</f>
        <v>6.0387289993316955</v>
      </c>
      <c r="F28" s="181"/>
      <c r="G28" s="234"/>
      <c r="H28" s="123"/>
      <c r="I28" s="23"/>
      <c r="J28" s="36">
        <f t="shared" si="7"/>
        <v>69210.684177278701</v>
      </c>
      <c r="K28" s="36">
        <f t="shared" si="7"/>
        <v>81395.159404875099</v>
      </c>
      <c r="L28" s="206">
        <f t="shared" si="8"/>
        <v>17.600000000000001</v>
      </c>
      <c r="M28" s="20">
        <f>IFERROR(100/'Skjema total MA'!I28*K28,0)</f>
        <v>6.0387289993316955</v>
      </c>
    </row>
    <row r="29" spans="1:13" ht="15.6" x14ac:dyDescent="0.25">
      <c r="A29" s="10" t="s">
        <v>172</v>
      </c>
      <c r="B29" s="183">
        <v>4167589.2331875102</v>
      </c>
      <c r="C29" s="183">
        <v>4414426.9700778499</v>
      </c>
      <c r="D29" s="127">
        <f t="shared" si="5"/>
        <v>5.9</v>
      </c>
      <c r="E29" s="8">
        <f>IFERROR(100/'Skjema total MA'!C29*C29,0)</f>
        <v>9.9189804695467405</v>
      </c>
      <c r="F29" s="250">
        <v>6716333.7000000002</v>
      </c>
      <c r="G29" s="250">
        <v>7432027.3700000001</v>
      </c>
      <c r="H29" s="127">
        <f t="shared" si="6"/>
        <v>10.7</v>
      </c>
      <c r="I29" s="8">
        <f>IFERROR(100/'Skjema total MA'!F29*G29,0)</f>
        <v>23.834094899067995</v>
      </c>
      <c r="J29" s="183">
        <f t="shared" si="7"/>
        <v>10883922.933187511</v>
      </c>
      <c r="K29" s="183">
        <f t="shared" si="7"/>
        <v>11846454.340077851</v>
      </c>
      <c r="L29" s="342">
        <f t="shared" si="8"/>
        <v>8.8000000000000007</v>
      </c>
      <c r="M29" s="21">
        <f>IFERROR(100/'Skjema total MA'!I29*K29,0)</f>
        <v>15.651863588850686</v>
      </c>
    </row>
    <row r="30" spans="1:13" ht="15.6" x14ac:dyDescent="0.25">
      <c r="A30" s="382" t="s">
        <v>178</v>
      </c>
      <c r="B30" s="228">
        <v>442616.81837501097</v>
      </c>
      <c r="C30" s="228">
        <v>432410.22674981499</v>
      </c>
      <c r="D30" s="123">
        <f t="shared" si="5"/>
        <v>-2.2999999999999998</v>
      </c>
      <c r="E30" s="8">
        <f>IFERROR(100/'Skjema total MA'!C30*C30,0)</f>
        <v>2.1731318193540252</v>
      </c>
      <c r="F30" s="236">
        <v>356937.45812312502</v>
      </c>
      <c r="G30" s="236">
        <v>336788.02782358503</v>
      </c>
      <c r="H30" s="123">
        <f t="shared" si="6"/>
        <v>-5.6</v>
      </c>
      <c r="I30" s="335">
        <f>IFERROR(100/'Skjema total MA'!F30*G30,0)</f>
        <v>9.4941832520592015</v>
      </c>
      <c r="J30" s="236">
        <f t="shared" ref="J30:J33" si="11">SUM(B30,F30)</f>
        <v>799554.27649813599</v>
      </c>
      <c r="K30" s="236">
        <f t="shared" ref="K30:K33" si="12">SUM(C30,G30)</f>
        <v>769198.25457340002</v>
      </c>
      <c r="L30" s="123">
        <f t="shared" si="8"/>
        <v>-3.8</v>
      </c>
      <c r="M30" s="20">
        <f>IFERROR(100/'Skjema total MA'!I30*K30,0)</f>
        <v>3.28081647539222</v>
      </c>
    </row>
    <row r="31" spans="1:13" ht="15.6" x14ac:dyDescent="0.25">
      <c r="A31" s="382" t="s">
        <v>179</v>
      </c>
      <c r="B31" s="228">
        <v>2726188.97060264</v>
      </c>
      <c r="C31" s="228">
        <v>2768587.8252483699</v>
      </c>
      <c r="D31" s="123">
        <f t="shared" si="5"/>
        <v>1.6</v>
      </c>
      <c r="E31" s="8">
        <f>IFERROR(100/'Skjema total MA'!C31*C31,0)</f>
        <v>12.829312459702626</v>
      </c>
      <c r="F31" s="236">
        <v>630999.74736001005</v>
      </c>
      <c r="G31" s="236">
        <v>594703.13555406197</v>
      </c>
      <c r="H31" s="123">
        <f t="shared" si="6"/>
        <v>-5.8</v>
      </c>
      <c r="I31" s="335">
        <f>IFERROR(100/'Skjema total MA'!F31*G31,0)</f>
        <v>8.491895006524091</v>
      </c>
      <c r="J31" s="236">
        <f t="shared" si="11"/>
        <v>3357188.7179626501</v>
      </c>
      <c r="K31" s="236">
        <f t="shared" si="12"/>
        <v>3363290.9608024321</v>
      </c>
      <c r="L31" s="123">
        <f t="shared" si="8"/>
        <v>0.2</v>
      </c>
      <c r="M31" s="20">
        <f>IFERROR(100/'Skjema total MA'!I31*K31,0)</f>
        <v>11.766605358041778</v>
      </c>
    </row>
    <row r="32" spans="1:13" ht="15.6" x14ac:dyDescent="0.25">
      <c r="A32" s="382" t="s">
        <v>180</v>
      </c>
      <c r="B32" s="228">
        <v>998783.44420986006</v>
      </c>
      <c r="C32" s="228">
        <v>1213428.91807966</v>
      </c>
      <c r="D32" s="123">
        <f t="shared" si="5"/>
        <v>21.5</v>
      </c>
      <c r="E32" s="8">
        <f>IFERROR(100/'Skjema total MA'!C32*C32,0)</f>
        <v>43.404615711875678</v>
      </c>
      <c r="F32" s="236">
        <v>2675393.95386818</v>
      </c>
      <c r="G32" s="236">
        <v>2785996.5809084</v>
      </c>
      <c r="H32" s="123">
        <f t="shared" si="6"/>
        <v>4.0999999999999996</v>
      </c>
      <c r="I32" s="335">
        <f>IFERROR(100/'Skjema total MA'!F32*G32,0)</f>
        <v>38.312638468546666</v>
      </c>
      <c r="J32" s="236">
        <f t="shared" si="11"/>
        <v>3674177.3980780402</v>
      </c>
      <c r="K32" s="236">
        <f t="shared" si="12"/>
        <v>3999425.4989880603</v>
      </c>
      <c r="L32" s="123">
        <f t="shared" si="8"/>
        <v>8.9</v>
      </c>
      <c r="M32" s="20">
        <f>IFERROR(100/'Skjema total MA'!I32*K32,0)</f>
        <v>39.726637377204035</v>
      </c>
    </row>
    <row r="33" spans="1:13" ht="15.6" x14ac:dyDescent="0.25">
      <c r="A33" s="382" t="s">
        <v>181</v>
      </c>
      <c r="B33" s="228"/>
      <c r="C33" s="228"/>
      <c r="D33" s="123"/>
      <c r="E33" s="8"/>
      <c r="F33" s="236">
        <v>3053002.5406486802</v>
      </c>
      <c r="G33" s="236">
        <v>3714539.62571395</v>
      </c>
      <c r="H33" s="123">
        <f t="shared" si="6"/>
        <v>21.7</v>
      </c>
      <c r="I33" s="335">
        <f>IFERROR(100/'Skjema total MA'!F33*G33,0)</f>
        <v>27.803236440495606</v>
      </c>
      <c r="J33" s="236">
        <f t="shared" si="11"/>
        <v>3053002.5406486802</v>
      </c>
      <c r="K33" s="236">
        <f t="shared" si="12"/>
        <v>3714539.62571395</v>
      </c>
      <c r="L33" s="123">
        <f t="shared" si="8"/>
        <v>21.7</v>
      </c>
      <c r="M33" s="20">
        <f>IFERROR(100/'Skjema total MA'!I33*K33,0)</f>
        <v>27.803236440495606</v>
      </c>
    </row>
    <row r="34" spans="1:13" ht="15.6" x14ac:dyDescent="0.25">
      <c r="A34" s="10" t="s">
        <v>173</v>
      </c>
      <c r="B34" s="183">
        <v>2215</v>
      </c>
      <c r="C34" s="251">
        <v>0</v>
      </c>
      <c r="D34" s="127">
        <f t="shared" si="5"/>
        <v>-100</v>
      </c>
      <c r="E34" s="8">
        <f>IFERROR(100/'Skjema total MA'!C34*C34,0)</f>
        <v>0</v>
      </c>
      <c r="F34" s="250">
        <v>17000.669440000001</v>
      </c>
      <c r="G34" s="251">
        <v>28892.134959999999</v>
      </c>
      <c r="H34" s="127">
        <f t="shared" si="6"/>
        <v>69.900000000000006</v>
      </c>
      <c r="I34" s="8">
        <f>IFERROR(100/'Skjema total MA'!F34*G34,0)</f>
        <v>36.885526531787278</v>
      </c>
      <c r="J34" s="183">
        <f t="shared" si="7"/>
        <v>19215.669440000001</v>
      </c>
      <c r="K34" s="183">
        <f t="shared" si="7"/>
        <v>28892.134959999999</v>
      </c>
      <c r="L34" s="342">
        <f t="shared" si="8"/>
        <v>50.4</v>
      </c>
      <c r="M34" s="21">
        <f>IFERROR(100/'Skjema total MA'!I34*K34,0)</f>
        <v>34.95468699922192</v>
      </c>
    </row>
    <row r="35" spans="1:13" ht="15.6" x14ac:dyDescent="0.25">
      <c r="A35" s="10" t="s">
        <v>174</v>
      </c>
      <c r="B35" s="183"/>
      <c r="C35" s="251"/>
      <c r="D35" s="127"/>
      <c r="E35" s="8"/>
      <c r="F35" s="250">
        <v>15494.852059999999</v>
      </c>
      <c r="G35" s="251">
        <v>22928.983349999999</v>
      </c>
      <c r="H35" s="127">
        <f t="shared" si="6"/>
        <v>48</v>
      </c>
      <c r="I35" s="8">
        <f>IFERROR(100/'Skjema total MA'!F35*G35,0)</f>
        <v>20.901964170977799</v>
      </c>
      <c r="J35" s="183">
        <f t="shared" si="7"/>
        <v>15494.852059999999</v>
      </c>
      <c r="K35" s="183">
        <f t="shared" si="7"/>
        <v>22928.983349999999</v>
      </c>
      <c r="L35" s="342">
        <f t="shared" si="8"/>
        <v>48</v>
      </c>
      <c r="M35" s="21">
        <f>IFERROR(100/'Skjema total MA'!I35*K35,0)</f>
        <v>-1.9953838502203141</v>
      </c>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c r="C47" s="253"/>
      <c r="D47" s="341"/>
      <c r="E47" s="8"/>
      <c r="F47" s="109"/>
      <c r="G47" s="27"/>
      <c r="H47" s="118"/>
      <c r="I47" s="118"/>
      <c r="J47" s="31"/>
      <c r="K47" s="31"/>
      <c r="L47" s="118"/>
      <c r="M47" s="118"/>
    </row>
    <row r="48" spans="1:13" ht="15.6" x14ac:dyDescent="0.25">
      <c r="A48" s="18" t="s">
        <v>190</v>
      </c>
      <c r="B48" s="228"/>
      <c r="C48" s="229"/>
      <c r="D48" s="206"/>
      <c r="E48" s="23"/>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v>600171</v>
      </c>
      <c r="C66" s="288">
        <v>624323</v>
      </c>
      <c r="D66" s="285">
        <f t="shared" ref="D66:D109" si="13">IF(B66=0, "    ---- ", IF(ABS(ROUND(100/B66*C66-100,1))&lt;999,ROUND(100/B66*C66-100,1),IF(ROUND(100/B66*C66-100,1)&gt;999,999,-999)))</f>
        <v>4</v>
      </c>
      <c r="E66" s="559">
        <f>IFERROR(100/'Skjema total MA'!C66*C66,0)</f>
        <v>20.53814587666815</v>
      </c>
      <c r="F66" s="560">
        <v>2369950.2519999999</v>
      </c>
      <c r="G66" s="287">
        <v>2642456.7689999999</v>
      </c>
      <c r="H66" s="285">
        <f t="shared" ref="H66:H111" si="14">IF(F66=0, "    ---- ", IF(ABS(ROUND(100/F66*G66-100,1))&lt;999,ROUND(100/F66*G66-100,1),IF(ROUND(100/F66*G66-100,1)&gt;999,999,-999)))</f>
        <v>11.5</v>
      </c>
      <c r="I66" s="559">
        <f>IFERROR(100/'Skjema total MA'!F66*G66,0)</f>
        <v>17.3610557597042</v>
      </c>
      <c r="J66" s="258">
        <f t="shared" ref="J66:K86" si="15">SUM(B66,F66)</f>
        <v>2970121.2519999999</v>
      </c>
      <c r="K66" s="258">
        <f t="shared" si="15"/>
        <v>3266779.7689999999</v>
      </c>
      <c r="L66" s="342">
        <f t="shared" ref="L66:L111" si="16">IF(J66=0, "    ---- ", IF(ABS(ROUND(100/J66*K66-100,1))&lt;999,ROUND(100/J66*K66-100,1),IF(ROUND(100/J66*K66-100,1)&gt;999,999,-999)))</f>
        <v>10</v>
      </c>
      <c r="M66" s="8">
        <f>IFERROR(100/'Skjema total MA'!I66*K66,0)</f>
        <v>17.889947572811291</v>
      </c>
    </row>
    <row r="67" spans="1:13" x14ac:dyDescent="0.25">
      <c r="A67" s="39" t="s">
        <v>198</v>
      </c>
      <c r="B67" s="36">
        <v>468512.72461736202</v>
      </c>
      <c r="C67" s="109">
        <v>474992.30355457502</v>
      </c>
      <c r="D67" s="123">
        <f t="shared" si="13"/>
        <v>1.4</v>
      </c>
      <c r="E67" s="20">
        <f>IFERROR(100/'Skjema total MA'!C67*C67,0)</f>
        <v>27.83844076986643</v>
      </c>
      <c r="F67" s="36"/>
      <c r="G67" s="109"/>
      <c r="H67" s="123"/>
      <c r="I67" s="20"/>
      <c r="J67" s="36">
        <f t="shared" si="15"/>
        <v>468512.72461736202</v>
      </c>
      <c r="K67" s="36">
        <f t="shared" si="15"/>
        <v>474992.30355457502</v>
      </c>
      <c r="L67" s="206">
        <f t="shared" si="16"/>
        <v>1.4</v>
      </c>
      <c r="M67" s="23">
        <f>IFERROR(100/'Skjema total MA'!I67*K67,0)</f>
        <v>27.83844076986643</v>
      </c>
    </row>
    <row r="68" spans="1:13" x14ac:dyDescent="0.25">
      <c r="A68" s="18" t="s">
        <v>199</v>
      </c>
      <c r="B68" s="237">
        <v>1511</v>
      </c>
      <c r="C68" s="238">
        <v>16</v>
      </c>
      <c r="D68" s="123">
        <f t="shared" si="13"/>
        <v>-98.9</v>
      </c>
      <c r="E68" s="20">
        <f>IFERROR(100/'Skjema total MA'!C68*C68,0)</f>
        <v>0.35277463156702549</v>
      </c>
      <c r="F68" s="142">
        <v>2369950.2519999999</v>
      </c>
      <c r="G68" s="238">
        <v>2642456.7689999999</v>
      </c>
      <c r="H68" s="123">
        <f t="shared" si="14"/>
        <v>11.5</v>
      </c>
      <c r="I68" s="20">
        <f>IFERROR(100/'Skjema total MA'!F68*G68,0)</f>
        <v>18.017919574186955</v>
      </c>
      <c r="J68" s="36">
        <f t="shared" si="15"/>
        <v>2371461.2519999999</v>
      </c>
      <c r="K68" s="36">
        <f t="shared" si="15"/>
        <v>2642472.7689999999</v>
      </c>
      <c r="L68" s="206">
        <f t="shared" si="16"/>
        <v>11.4</v>
      </c>
      <c r="M68" s="23">
        <f>IFERROR(100/'Skjema total MA'!I68*K68,0)</f>
        <v>18.012458195310828</v>
      </c>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v>130147.27538263801</v>
      </c>
      <c r="C76" s="109">
        <v>149314.69644542501</v>
      </c>
      <c r="D76" s="123">
        <f t="shared" ref="D76" si="17">IF(B76=0, "    ---- ", IF(ABS(ROUND(100/B76*C76-100,1))&lt;999,ROUND(100/B76*C76-100,1),IF(ROUND(100/B76*C76-100,1)&gt;999,999,-999)))</f>
        <v>14.7</v>
      </c>
      <c r="E76" s="20">
        <f>IFERROR(100/'Skjema total MA'!C76*C76,0)</f>
        <v>13.251787885964188</v>
      </c>
      <c r="F76" s="36"/>
      <c r="G76" s="109"/>
      <c r="H76" s="123"/>
      <c r="I76" s="20"/>
      <c r="J76" s="36">
        <f t="shared" ref="J76" si="18">SUM(B76,F76)</f>
        <v>130147.27538263801</v>
      </c>
      <c r="K76" s="36">
        <f t="shared" ref="K76" si="19">SUM(C76,G76)</f>
        <v>149314.69644542501</v>
      </c>
      <c r="L76" s="206">
        <f t="shared" ref="L76" si="20">IF(J76=0, "    ---- ", IF(ABS(ROUND(100/J76*K76-100,1))&lt;999,ROUND(100/J76*K76-100,1),IF(ROUND(100/J76*K76-100,1)&gt;999,999,-999)))</f>
        <v>14.7</v>
      </c>
      <c r="M76" s="23">
        <f>IFERROR(100/'Skjema total MA'!I76*K76,0)</f>
        <v>13.251787885964188</v>
      </c>
    </row>
    <row r="77" spans="1:13" ht="15.6" x14ac:dyDescent="0.25">
      <c r="A77" s="18" t="s">
        <v>206</v>
      </c>
      <c r="B77" s="181">
        <v>465093.31861736201</v>
      </c>
      <c r="C77" s="181">
        <v>469949.70855457499</v>
      </c>
      <c r="D77" s="123">
        <f t="shared" si="13"/>
        <v>1</v>
      </c>
      <c r="E77" s="20">
        <f>IFERROR(100/'Skjema total MA'!C77*C77,0)</f>
        <v>28.731434885385227</v>
      </c>
      <c r="F77" s="36">
        <v>2368942.852</v>
      </c>
      <c r="G77" s="109">
        <v>2641021.9130000002</v>
      </c>
      <c r="H77" s="123">
        <f t="shared" si="14"/>
        <v>11.5</v>
      </c>
      <c r="I77" s="20">
        <f>IFERROR(100/'Skjema total MA'!F77*G77,0)</f>
        <v>18.013688472842222</v>
      </c>
      <c r="J77" s="36">
        <f t="shared" si="15"/>
        <v>2834036.170617362</v>
      </c>
      <c r="K77" s="36">
        <f t="shared" si="15"/>
        <v>3110971.6215545749</v>
      </c>
      <c r="L77" s="206">
        <f t="shared" si="16"/>
        <v>9.8000000000000007</v>
      </c>
      <c r="M77" s="23">
        <f>IFERROR(100/'Skjema total MA'!I77*K77,0)</f>
        <v>19.089394625293092</v>
      </c>
    </row>
    <row r="78" spans="1:13" x14ac:dyDescent="0.25">
      <c r="A78" s="18" t="s">
        <v>198</v>
      </c>
      <c r="B78" s="181">
        <v>463582.31861736201</v>
      </c>
      <c r="C78" s="109">
        <v>469933.70855457499</v>
      </c>
      <c r="D78" s="123">
        <f t="shared" si="13"/>
        <v>1.4</v>
      </c>
      <c r="E78" s="20">
        <f>IFERROR(100/'Skjema total MA'!C78*C78,0)</f>
        <v>28.810343854154748</v>
      </c>
      <c r="F78" s="36"/>
      <c r="G78" s="109"/>
      <c r="H78" s="123"/>
      <c r="I78" s="20"/>
      <c r="J78" s="36">
        <f t="shared" si="15"/>
        <v>463582.31861736201</v>
      </c>
      <c r="K78" s="36">
        <f t="shared" si="15"/>
        <v>469933.70855457499</v>
      </c>
      <c r="L78" s="206">
        <f t="shared" si="16"/>
        <v>1.4</v>
      </c>
      <c r="M78" s="23">
        <f>IFERROR(100/'Skjema total MA'!I78*K78,0)</f>
        <v>28.810343854154748</v>
      </c>
    </row>
    <row r="79" spans="1:13" x14ac:dyDescent="0.25">
      <c r="A79" s="18" t="s">
        <v>207</v>
      </c>
      <c r="B79" s="237">
        <v>1511</v>
      </c>
      <c r="C79" s="238">
        <v>16</v>
      </c>
      <c r="D79" s="123">
        <f t="shared" si="13"/>
        <v>-98.9</v>
      </c>
      <c r="E79" s="20">
        <f>IFERROR(100/'Skjema total MA'!C79*C79,0)</f>
        <v>0.35277463156702549</v>
      </c>
      <c r="F79" s="142">
        <v>2368942.852</v>
      </c>
      <c r="G79" s="238">
        <v>2641021.9130000002</v>
      </c>
      <c r="H79" s="123">
        <f t="shared" si="14"/>
        <v>11.5</v>
      </c>
      <c r="I79" s="20">
        <f>IFERROR(100/'Skjema total MA'!F79*G79,0)</f>
        <v>18.013688472842222</v>
      </c>
      <c r="J79" s="36">
        <f t="shared" si="15"/>
        <v>2370453.852</v>
      </c>
      <c r="K79" s="36">
        <f t="shared" si="15"/>
        <v>2641037.9130000002</v>
      </c>
      <c r="L79" s="206">
        <f t="shared" si="16"/>
        <v>11.4</v>
      </c>
      <c r="M79" s="23">
        <f>IFERROR(100/'Skjema total MA'!I79*K79,0)</f>
        <v>18.008226719017046</v>
      </c>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v>4930.4059999999999</v>
      </c>
      <c r="C86" s="109">
        <v>5058.5950000000003</v>
      </c>
      <c r="D86" s="123">
        <f t="shared" si="13"/>
        <v>2.6</v>
      </c>
      <c r="E86" s="20">
        <f>IFERROR(100/'Skjema total MA'!C86*C86,0)</f>
        <v>6.7342722451193389</v>
      </c>
      <c r="F86" s="36">
        <v>1007.4</v>
      </c>
      <c r="G86" s="109">
        <v>1434.856</v>
      </c>
      <c r="H86" s="123">
        <f t="shared" si="14"/>
        <v>42.4</v>
      </c>
      <c r="I86" s="20">
        <f>IFERROR(100/'Skjema total MA'!F86*G86,0)</f>
        <v>31.740079510795361</v>
      </c>
      <c r="J86" s="36">
        <f t="shared" si="15"/>
        <v>5937.8059999999996</v>
      </c>
      <c r="K86" s="36">
        <f t="shared" si="15"/>
        <v>6493.451</v>
      </c>
      <c r="L86" s="206">
        <f t="shared" si="16"/>
        <v>9.4</v>
      </c>
      <c r="M86" s="23">
        <f>IFERROR(100/'Skjema total MA'!I86*K86,0)</f>
        <v>8.1537279185625096</v>
      </c>
    </row>
    <row r="87" spans="1:13" ht="15.6" x14ac:dyDescent="0.25">
      <c r="A87" s="10" t="s">
        <v>172</v>
      </c>
      <c r="B87" s="288">
        <v>50264559.441332296</v>
      </c>
      <c r="C87" s="288">
        <v>51526394.601492301</v>
      </c>
      <c r="D87" s="127">
        <f t="shared" si="13"/>
        <v>2.5</v>
      </c>
      <c r="E87" s="21">
        <f>IFERROR(100/'Skjema total MA'!C87*C87,0)</f>
        <v>12.427978952579428</v>
      </c>
      <c r="F87" s="225">
        <v>110015624.358435</v>
      </c>
      <c r="G87" s="287">
        <v>140107377.99544999</v>
      </c>
      <c r="H87" s="127">
        <f t="shared" si="14"/>
        <v>27.4</v>
      </c>
      <c r="I87" s="21">
        <f>IFERROR(100/'Skjema total MA'!F87*G87,0)</f>
        <v>17.628994297531001</v>
      </c>
      <c r="J87" s="183">
        <f t="shared" ref="J87:K111" si="21">SUM(B87,F87)</f>
        <v>160280183.79976732</v>
      </c>
      <c r="K87" s="183">
        <f t="shared" si="21"/>
        <v>191633772.59694231</v>
      </c>
      <c r="L87" s="342">
        <f t="shared" si="16"/>
        <v>19.600000000000001</v>
      </c>
      <c r="M87" s="8">
        <f>IFERROR(100/'Skjema total MA'!I87*K87,0)</f>
        <v>15.845944537743385</v>
      </c>
    </row>
    <row r="88" spans="1:13" x14ac:dyDescent="0.25">
      <c r="A88" s="18" t="s">
        <v>198</v>
      </c>
      <c r="B88" s="181">
        <v>48285762.813332297</v>
      </c>
      <c r="C88" s="109">
        <v>49393377.071492299</v>
      </c>
      <c r="D88" s="123">
        <f t="shared" si="13"/>
        <v>2.2999999999999998</v>
      </c>
      <c r="E88" s="20">
        <f>IFERROR(100/'Skjema total MA'!C88*C88,0)</f>
        <v>12.77175444706781</v>
      </c>
      <c r="F88" s="36"/>
      <c r="G88" s="109"/>
      <c r="H88" s="123"/>
      <c r="I88" s="20"/>
      <c r="J88" s="36">
        <f t="shared" si="21"/>
        <v>48285762.813332297</v>
      </c>
      <c r="K88" s="36">
        <f t="shared" si="21"/>
        <v>49393377.071492299</v>
      </c>
      <c r="L88" s="206">
        <f t="shared" si="16"/>
        <v>2.2999999999999998</v>
      </c>
      <c r="M88" s="23">
        <f>IFERROR(100/'Skjema total MA'!I88*K88,0)</f>
        <v>12.77175444706781</v>
      </c>
    </row>
    <row r="89" spans="1:13" x14ac:dyDescent="0.25">
      <c r="A89" s="18" t="s">
        <v>199</v>
      </c>
      <c r="B89" s="181">
        <v>1603098.2279999999</v>
      </c>
      <c r="C89" s="109">
        <v>1742460.7860000001</v>
      </c>
      <c r="D89" s="123">
        <f t="shared" si="13"/>
        <v>8.6999999999999993</v>
      </c>
      <c r="E89" s="20">
        <f>IFERROR(100/'Skjema total MA'!C89*C89,0)</f>
        <v>41.135869922841515</v>
      </c>
      <c r="F89" s="36">
        <v>110015624.358435</v>
      </c>
      <c r="G89" s="109">
        <v>140107377.99544999</v>
      </c>
      <c r="H89" s="123">
        <f t="shared" si="14"/>
        <v>27.4</v>
      </c>
      <c r="I89" s="20">
        <f>IFERROR(100/'Skjema total MA'!F89*G89,0)</f>
        <v>17.91882973203796</v>
      </c>
      <c r="J89" s="36">
        <f t="shared" si="21"/>
        <v>111618722.58643501</v>
      </c>
      <c r="K89" s="36">
        <f t="shared" si="21"/>
        <v>141849838.78145</v>
      </c>
      <c r="L89" s="206">
        <f t="shared" si="16"/>
        <v>27.1</v>
      </c>
      <c r="M89" s="23">
        <f>IFERROR(100/'Skjema total MA'!I89*K89,0)</f>
        <v>18.043928035526456</v>
      </c>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v>375698.4</v>
      </c>
      <c r="C97" s="109">
        <v>390556.74400000001</v>
      </c>
      <c r="D97" s="123">
        <f t="shared" ref="D97" si="22">IF(B97=0, "    ---- ", IF(ABS(ROUND(100/B97*C97-100,1))&lt;999,ROUND(100/B97*C97-100,1),IF(ROUND(100/B97*C97-100,1)&gt;999,999,-999)))</f>
        <v>4</v>
      </c>
      <c r="E97" s="20">
        <f>IFERROR(100/'Skjema total MA'!C98*C97,0)</f>
        <v>0.10101159804534157</v>
      </c>
      <c r="F97" s="36"/>
      <c r="G97" s="109"/>
      <c r="H97" s="123"/>
      <c r="I97" s="20"/>
      <c r="J97" s="36">
        <f t="shared" ref="J97" si="23">SUM(B97,F97)</f>
        <v>375698.4</v>
      </c>
      <c r="K97" s="36">
        <f t="shared" ref="K97" si="24">SUM(C97,G97)</f>
        <v>390556.74400000001</v>
      </c>
      <c r="L97" s="206">
        <f t="shared" ref="L97" si="25">IF(J97=0, "    ---- ", IF(ABS(ROUND(100/J97*K97-100,1))&lt;999,ROUND(100/J97*K97-100,1),IF(ROUND(100/J97*K97-100,1)&gt;999,999,-999)))</f>
        <v>4</v>
      </c>
      <c r="M97" s="23">
        <f>IFERROR(100/'Skjema total MA'!I98*K97,0)</f>
        <v>3.3434163600047272E-2</v>
      </c>
    </row>
    <row r="98" spans="1:13" ht="15.6" x14ac:dyDescent="0.25">
      <c r="A98" s="18" t="s">
        <v>206</v>
      </c>
      <c r="B98" s="181">
        <v>49874619.772332303</v>
      </c>
      <c r="C98" s="181">
        <v>51118957.279492296</v>
      </c>
      <c r="D98" s="123">
        <f t="shared" si="13"/>
        <v>2.5</v>
      </c>
      <c r="E98" s="20">
        <f>IFERROR(100/'Skjema total MA'!C98*C98,0)</f>
        <v>13.221145568575979</v>
      </c>
      <c r="F98" s="142">
        <v>109998931.061435</v>
      </c>
      <c r="G98" s="237">
        <v>140084296.62544999</v>
      </c>
      <c r="H98" s="123">
        <f t="shared" si="14"/>
        <v>27.4</v>
      </c>
      <c r="I98" s="20">
        <f>IFERROR(100/'Skjema total MA'!F98*G98,0)</f>
        <v>17.92525396938855</v>
      </c>
      <c r="J98" s="36">
        <f t="shared" si="21"/>
        <v>159873550.83376729</v>
      </c>
      <c r="K98" s="36">
        <f t="shared" si="21"/>
        <v>191203253.90494227</v>
      </c>
      <c r="L98" s="206">
        <f t="shared" si="16"/>
        <v>19.600000000000001</v>
      </c>
      <c r="M98" s="23">
        <f>IFERROR(100/'Skjema total MA'!I98*K98,0)</f>
        <v>16.368225539895469</v>
      </c>
    </row>
    <row r="99" spans="1:13" x14ac:dyDescent="0.25">
      <c r="A99" s="18" t="s">
        <v>198</v>
      </c>
      <c r="B99" s="237">
        <v>48271521.544332303</v>
      </c>
      <c r="C99" s="238">
        <v>49376496.493492298</v>
      </c>
      <c r="D99" s="123">
        <f t="shared" si="13"/>
        <v>2.2999999999999998</v>
      </c>
      <c r="E99" s="20">
        <f>IFERROR(100/'Skjema total MA'!C99*C99,0)</f>
        <v>12.91194028361495</v>
      </c>
      <c r="F99" s="36"/>
      <c r="G99" s="109"/>
      <c r="H99" s="123"/>
      <c r="I99" s="20"/>
      <c r="J99" s="36">
        <f t="shared" si="21"/>
        <v>48271521.544332303</v>
      </c>
      <c r="K99" s="36">
        <f t="shared" si="21"/>
        <v>49376496.493492298</v>
      </c>
      <c r="L99" s="206">
        <f t="shared" si="16"/>
        <v>2.2999999999999998</v>
      </c>
      <c r="M99" s="23">
        <f>IFERROR(100/'Skjema total MA'!I99*K99,0)</f>
        <v>12.91194028361495</v>
      </c>
    </row>
    <row r="100" spans="1:13" x14ac:dyDescent="0.25">
      <c r="A100" s="18" t="s">
        <v>207</v>
      </c>
      <c r="B100" s="237">
        <v>1603098.2279999999</v>
      </c>
      <c r="C100" s="238">
        <v>1742460.7860000001</v>
      </c>
      <c r="D100" s="123">
        <f t="shared" si="13"/>
        <v>8.6999999999999993</v>
      </c>
      <c r="E100" s="20">
        <f>IFERROR(100/'Skjema total MA'!C100*C100,0)</f>
        <v>41.135869922841515</v>
      </c>
      <c r="F100" s="36">
        <v>109998931.061435</v>
      </c>
      <c r="G100" s="181">
        <v>140084296.62544999</v>
      </c>
      <c r="H100" s="123">
        <f t="shared" si="14"/>
        <v>27.4</v>
      </c>
      <c r="I100" s="20">
        <f>IFERROR(100/'Skjema total MA'!F100*G100,0)</f>
        <v>17.92525396938855</v>
      </c>
      <c r="J100" s="36">
        <f t="shared" si="21"/>
        <v>111602029.289435</v>
      </c>
      <c r="K100" s="36">
        <f t="shared" si="21"/>
        <v>141826757.41145</v>
      </c>
      <c r="L100" s="206">
        <f t="shared" si="16"/>
        <v>27.1</v>
      </c>
      <c r="M100" s="23">
        <f>IFERROR(100/'Skjema total MA'!I100*K100,0)</f>
        <v>18.050382756412692</v>
      </c>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v>14241.269</v>
      </c>
      <c r="C107" s="109">
        <v>16880.578000000001</v>
      </c>
      <c r="D107" s="123">
        <f t="shared" si="13"/>
        <v>18.5</v>
      </c>
      <c r="E107" s="20">
        <f>IFERROR(100/'Skjema total MA'!C107*C107,0)</f>
        <v>0.38988857405361033</v>
      </c>
      <c r="F107" s="36">
        <v>16693.296999999999</v>
      </c>
      <c r="G107" s="109">
        <v>23081.37</v>
      </c>
      <c r="H107" s="123">
        <f t="shared" si="14"/>
        <v>38.299999999999997</v>
      </c>
      <c r="I107" s="20">
        <f>IFERROR(100/'Skjema total MA'!F107*G107,0)</f>
        <v>5.6435045034068718</v>
      </c>
      <c r="J107" s="36">
        <f t="shared" si="21"/>
        <v>30934.565999999999</v>
      </c>
      <c r="K107" s="36">
        <f t="shared" si="21"/>
        <v>39961.948000000004</v>
      </c>
      <c r="L107" s="206">
        <f t="shared" si="16"/>
        <v>29.2</v>
      </c>
      <c r="M107" s="23">
        <f>IFERROR(100/'Skjema total MA'!I107*K107,0)</f>
        <v>0.8433316537402622</v>
      </c>
    </row>
    <row r="108" spans="1:13" ht="15.6" x14ac:dyDescent="0.25">
      <c r="A108" s="18" t="s">
        <v>209</v>
      </c>
      <c r="B108" s="181">
        <v>39618150.358095199</v>
      </c>
      <c r="C108" s="181">
        <v>39416168.349409901</v>
      </c>
      <c r="D108" s="123">
        <f t="shared" si="13"/>
        <v>-0.5</v>
      </c>
      <c r="E108" s="20">
        <f>IFERROR(100/'Skjema total MA'!C108*C108,0)</f>
        <v>11.950534054234186</v>
      </c>
      <c r="F108" s="36"/>
      <c r="G108" s="181"/>
      <c r="H108" s="123"/>
      <c r="I108" s="20"/>
      <c r="J108" s="36">
        <f t="shared" si="21"/>
        <v>39618150.358095199</v>
      </c>
      <c r="K108" s="36">
        <f t="shared" si="21"/>
        <v>39416168.349409901</v>
      </c>
      <c r="L108" s="206">
        <f t="shared" si="16"/>
        <v>-0.5</v>
      </c>
      <c r="M108" s="23">
        <f>IFERROR(100/'Skjema total MA'!I108*K108,0)</f>
        <v>11.079956936238833</v>
      </c>
    </row>
    <row r="109" spans="1:13" ht="15.6" x14ac:dyDescent="0.25">
      <c r="A109" s="18" t="s">
        <v>210</v>
      </c>
      <c r="B109" s="181">
        <v>1302783.89494733</v>
      </c>
      <c r="C109" s="181">
        <v>1804098.58757197</v>
      </c>
      <c r="D109" s="123">
        <f t="shared" si="13"/>
        <v>38.5</v>
      </c>
      <c r="E109" s="20">
        <f>IFERROR(100/'Skjema total MA'!C109*C109,0)</f>
        <v>55.56234299727042</v>
      </c>
      <c r="F109" s="36">
        <v>49442336.051789999</v>
      </c>
      <c r="G109" s="181">
        <v>63266026.262780003</v>
      </c>
      <c r="H109" s="123">
        <f t="shared" si="14"/>
        <v>28</v>
      </c>
      <c r="I109" s="20">
        <f>IFERROR(100/'Skjema total MA'!F109*G109,0)</f>
        <v>20.033172788584537</v>
      </c>
      <c r="J109" s="36">
        <f t="shared" si="21"/>
        <v>50745119.946737327</v>
      </c>
      <c r="K109" s="36">
        <f t="shared" si="21"/>
        <v>65070124.850351974</v>
      </c>
      <c r="L109" s="206">
        <f t="shared" si="16"/>
        <v>28.2</v>
      </c>
      <c r="M109" s="23">
        <f>IFERROR(100/'Skjema total MA'!I109*K109,0)</f>
        <v>20.394750402576101</v>
      </c>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v>3471851.5320000001</v>
      </c>
      <c r="G111" s="118">
        <v>8007590.176</v>
      </c>
      <c r="H111" s="127">
        <f t="shared" si="14"/>
        <v>130.6</v>
      </c>
      <c r="I111" s="21">
        <f>IFERROR(100/'Skjema total MA'!F111*G111,0)</f>
        <v>33.200032381216914</v>
      </c>
      <c r="J111" s="183">
        <f t="shared" si="21"/>
        <v>3471851.5320000001</v>
      </c>
      <c r="K111" s="183">
        <f t="shared" si="21"/>
        <v>8007590.176</v>
      </c>
      <c r="L111" s="342">
        <f t="shared" si="16"/>
        <v>130.6</v>
      </c>
      <c r="M111" s="8">
        <f>IFERROR(100/'Skjema total MA'!I111*K111,0)</f>
        <v>32.792727677898959</v>
      </c>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v>3471851.5320000001</v>
      </c>
      <c r="G113" s="109">
        <v>8007590.176</v>
      </c>
      <c r="H113" s="123">
        <f t="shared" ref="H113:H125" si="26">IF(F113=0, "    ---- ", IF(ABS(ROUND(100/F113*G113-100,1))&lt;999,ROUND(100/F113*G113-100,1),IF(ROUND(100/F113*G113-100,1)&gt;999,999,-999)))</f>
        <v>130.6</v>
      </c>
      <c r="I113" s="20">
        <f>IFERROR(100/'Skjema total MA'!F113*G113,0)</f>
        <v>33.20793416961115</v>
      </c>
      <c r="J113" s="36">
        <f t="shared" ref="J113:K125" si="27">SUM(B113,F113)</f>
        <v>3471851.5320000001</v>
      </c>
      <c r="K113" s="36">
        <f t="shared" si="27"/>
        <v>8007590.176</v>
      </c>
      <c r="L113" s="206">
        <f t="shared" ref="L113:L125" si="28">IF(J113=0, "    ---- ", IF(ABS(ROUND(100/J113*K113-100,1))&lt;999,ROUND(100/J113*K113-100,1),IF(ROUND(100/J113*K113-100,1)&gt;999,999,-999)))</f>
        <v>130.6</v>
      </c>
      <c r="M113" s="23">
        <f>IFERROR(100/'Skjema total MA'!I113*K113,0)</f>
        <v>33.193228932845848</v>
      </c>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v>2173686.1919999998</v>
      </c>
      <c r="G117" s="181">
        <v>3386655.557</v>
      </c>
      <c r="H117" s="123">
        <f t="shared" si="26"/>
        <v>55.8</v>
      </c>
      <c r="I117" s="20">
        <f>IFERROR(100/'Skjema total MA'!F117*G117,0)</f>
        <v>25.027764539157843</v>
      </c>
      <c r="J117" s="36">
        <f t="shared" si="27"/>
        <v>2173686.1919999998</v>
      </c>
      <c r="K117" s="36">
        <f t="shared" si="27"/>
        <v>3386655.557</v>
      </c>
      <c r="L117" s="206">
        <f t="shared" si="28"/>
        <v>55.8</v>
      </c>
      <c r="M117" s="23">
        <f>IFERROR(100/'Skjema total MA'!I117*K117,0)</f>
        <v>25.027764539157843</v>
      </c>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v>3832</v>
      </c>
      <c r="C119" s="118">
        <v>4218.1660299999603</v>
      </c>
      <c r="D119" s="127">
        <f t="shared" ref="D119:D120" si="29">IF(B119=0, "    ---- ", IF(ABS(ROUND(100/B119*C119-100,1))&lt;999,ROUND(100/B119*C119-100,1),IF(ROUND(100/B119*C119-100,1)&gt;999,999,-999)))</f>
        <v>10.1</v>
      </c>
      <c r="E119" s="21">
        <f>IFERROR(100/'Skjema total MA'!C119*C119,0)</f>
        <v>1.2286463069317248</v>
      </c>
      <c r="F119" s="183">
        <v>4319180.26</v>
      </c>
      <c r="G119" s="118">
        <v>3634748.8620000002</v>
      </c>
      <c r="H119" s="127">
        <f t="shared" si="26"/>
        <v>-15.8</v>
      </c>
      <c r="I119" s="21">
        <f>IFERROR(100/'Skjema total MA'!F119*G119,0)</f>
        <v>14.562411912299437</v>
      </c>
      <c r="J119" s="183">
        <f t="shared" si="27"/>
        <v>4323012.26</v>
      </c>
      <c r="K119" s="183">
        <f t="shared" si="27"/>
        <v>3638967.0280300002</v>
      </c>
      <c r="L119" s="342">
        <f t="shared" si="28"/>
        <v>-15.8</v>
      </c>
      <c r="M119" s="8">
        <f>IFERROR(100/'Skjema total MA'!I119*K119,0)</f>
        <v>14.381496500088257</v>
      </c>
    </row>
    <row r="120" spans="1:13" x14ac:dyDescent="0.25">
      <c r="A120" s="18" t="s">
        <v>198</v>
      </c>
      <c r="B120" s="181">
        <v>3832</v>
      </c>
      <c r="C120" s="109">
        <v>4218.1660299999603</v>
      </c>
      <c r="D120" s="123">
        <f t="shared" si="29"/>
        <v>10.1</v>
      </c>
      <c r="E120" s="20">
        <f>IFERROR(100/'Skjema total MA'!C120*C120,0)</f>
        <v>7.1917376111001792</v>
      </c>
      <c r="F120" s="36"/>
      <c r="G120" s="109"/>
      <c r="H120" s="123"/>
      <c r="I120" s="20"/>
      <c r="J120" s="36">
        <f t="shared" si="27"/>
        <v>3832</v>
      </c>
      <c r="K120" s="36">
        <f t="shared" si="27"/>
        <v>4218.1660299999603</v>
      </c>
      <c r="L120" s="206">
        <f t="shared" si="28"/>
        <v>10.1</v>
      </c>
      <c r="M120" s="23">
        <f>IFERROR(100/'Skjema total MA'!I120*K120,0)</f>
        <v>7.1917376111001792</v>
      </c>
    </row>
    <row r="121" spans="1:13" x14ac:dyDescent="0.25">
      <c r="A121" s="18" t="s">
        <v>199</v>
      </c>
      <c r="B121" s="181"/>
      <c r="C121" s="109"/>
      <c r="D121" s="123"/>
      <c r="E121" s="20"/>
      <c r="F121" s="36">
        <v>4319180.26</v>
      </c>
      <c r="G121" s="109">
        <v>3634748.8620000002</v>
      </c>
      <c r="H121" s="123">
        <f t="shared" si="26"/>
        <v>-15.8</v>
      </c>
      <c r="I121" s="20">
        <f>IFERROR(100/'Skjema total MA'!F121*G121,0)</f>
        <v>14.562411912299437</v>
      </c>
      <c r="J121" s="36">
        <f t="shared" si="27"/>
        <v>4319180.26</v>
      </c>
      <c r="K121" s="36">
        <f t="shared" si="27"/>
        <v>3634748.8620000002</v>
      </c>
      <c r="L121" s="206">
        <f t="shared" si="28"/>
        <v>-15.8</v>
      </c>
      <c r="M121" s="23">
        <f>IFERROR(100/'Skjema total MA'!I121*K121,0)</f>
        <v>14.54066016132605</v>
      </c>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v>2113593.6889999998</v>
      </c>
      <c r="G125" s="181">
        <v>2258614.912</v>
      </c>
      <c r="H125" s="123">
        <f t="shared" si="26"/>
        <v>6.9</v>
      </c>
      <c r="I125" s="20">
        <f>IFERROR(100/'Skjema total MA'!F125*G125,0)</f>
        <v>18.770389197340933</v>
      </c>
      <c r="J125" s="36">
        <f t="shared" si="27"/>
        <v>2113593.6889999998</v>
      </c>
      <c r="K125" s="36">
        <f t="shared" si="27"/>
        <v>2258614.912</v>
      </c>
      <c r="L125" s="206">
        <f t="shared" si="28"/>
        <v>6.9</v>
      </c>
      <c r="M125" s="23">
        <f>IFERROR(100/'Skjema total MA'!I125*K125,0)</f>
        <v>18.769869184112078</v>
      </c>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306" priority="12">
      <formula>kvartal &lt; 4</formula>
    </cfRule>
  </conditionalFormatting>
  <conditionalFormatting sqref="A69:A74">
    <cfRule type="expression" dxfId="305" priority="10">
      <formula>kvartal &lt; 4</formula>
    </cfRule>
  </conditionalFormatting>
  <conditionalFormatting sqref="A80:A85">
    <cfRule type="expression" dxfId="304" priority="9">
      <formula>kvartal &lt; 4</formula>
    </cfRule>
  </conditionalFormatting>
  <conditionalFormatting sqref="A90:A95">
    <cfRule type="expression" dxfId="303" priority="6">
      <formula>kvartal &lt; 4</formula>
    </cfRule>
  </conditionalFormatting>
  <conditionalFormatting sqref="A101:A106">
    <cfRule type="expression" dxfId="302" priority="5">
      <formula>kvartal &lt; 4</formula>
    </cfRule>
  </conditionalFormatting>
  <conditionalFormatting sqref="A115:C115">
    <cfRule type="expression" dxfId="301" priority="4">
      <formula>kvartal &lt; 4</formula>
    </cfRule>
  </conditionalFormatting>
  <conditionalFormatting sqref="A123:C123">
    <cfRule type="expression" dxfId="300" priority="3">
      <formula>kvartal &lt; 4</formula>
    </cfRule>
  </conditionalFormatting>
  <conditionalFormatting sqref="B69:C69">
    <cfRule type="expression" dxfId="299" priority="99">
      <formula>kvartal &lt; 4</formula>
    </cfRule>
  </conditionalFormatting>
  <conditionalFormatting sqref="B72:C72">
    <cfRule type="expression" dxfId="298" priority="97">
      <formula>kvartal &lt; 4</formula>
    </cfRule>
  </conditionalFormatting>
  <conditionalFormatting sqref="F115:G115">
    <cfRule type="expression" dxfId="297" priority="57">
      <formula>kvartal &lt; 4</formula>
    </cfRule>
  </conditionalFormatting>
  <conditionalFormatting sqref="F123:G123">
    <cfRule type="expression" dxfId="296" priority="56">
      <formula>kvartal &lt; 4</formula>
    </cfRule>
  </conditionalFormatting>
  <conditionalFormatting sqref="J115:K115">
    <cfRule type="expression" dxfId="295" priority="32">
      <formula>kvartal &lt; 4</formula>
    </cfRule>
  </conditionalFormatting>
  <conditionalFormatting sqref="J123:K123">
    <cfRule type="expression" dxfId="294" priority="31">
      <formula>kvartal &lt; 4</formula>
    </cfRule>
  </conditionalFormatting>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CAE9-D5F2-4A61-80DB-C3B7691ABF8D}">
  <sheetPr codeName="Ark24"/>
  <dimension ref="A1:N144"/>
  <sheetViews>
    <sheetView showGridLines="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60</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c r="G7" s="249"/>
      <c r="H7" s="285"/>
      <c r="I7" s="119"/>
      <c r="J7" s="250"/>
      <c r="K7" s="251"/>
      <c r="L7" s="341"/>
      <c r="M7" s="8"/>
    </row>
    <row r="8" spans="1:14" ht="15.6" x14ac:dyDescent="0.25">
      <c r="A8" s="18" t="s">
        <v>170</v>
      </c>
      <c r="B8" s="228"/>
      <c r="C8" s="229"/>
      <c r="D8" s="123"/>
      <c r="E8" s="23"/>
      <c r="F8" s="232"/>
      <c r="G8" s="233"/>
      <c r="H8" s="123"/>
      <c r="I8" s="132"/>
      <c r="J8" s="181"/>
      <c r="K8" s="234"/>
      <c r="L8" s="123"/>
      <c r="M8" s="23"/>
    </row>
    <row r="9" spans="1:14" ht="15.6" x14ac:dyDescent="0.25">
      <c r="A9" s="18" t="s">
        <v>171</v>
      </c>
      <c r="B9" s="228"/>
      <c r="C9" s="229"/>
      <c r="D9" s="123"/>
      <c r="E9" s="23"/>
      <c r="F9" s="232"/>
      <c r="G9" s="233"/>
      <c r="H9" s="123"/>
      <c r="I9" s="132"/>
      <c r="J9" s="181"/>
      <c r="K9" s="234"/>
      <c r="L9" s="123"/>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8970</v>
      </c>
      <c r="C47" s="253">
        <v>9386</v>
      </c>
      <c r="D47" s="341">
        <f t="shared" ref="D47:D48" si="0">IF(B47=0, "    ---- ", IF(ABS(ROUND(100/B47*C47-100,1))&lt;999,ROUND(100/B47*C47-100,1),IF(ROUND(100/B47*C47-100,1)&gt;999,999,-999)))</f>
        <v>4.5999999999999996</v>
      </c>
      <c r="E47" s="8">
        <f>IFERROR(100/'Skjema total MA'!C47*C47,0)</f>
        <v>0.18954055633465308</v>
      </c>
      <c r="F47" s="109"/>
      <c r="G47" s="27"/>
      <c r="H47" s="118"/>
      <c r="I47" s="118"/>
      <c r="J47" s="31"/>
      <c r="K47" s="31"/>
      <c r="L47" s="118"/>
      <c r="M47" s="118"/>
    </row>
    <row r="48" spans="1:13" ht="15.6" x14ac:dyDescent="0.25">
      <c r="A48" s="18" t="s">
        <v>190</v>
      </c>
      <c r="B48" s="228">
        <v>8970</v>
      </c>
      <c r="C48" s="229">
        <v>9386</v>
      </c>
      <c r="D48" s="206">
        <f t="shared" si="0"/>
        <v>4.5999999999999996</v>
      </c>
      <c r="E48" s="23">
        <f>IFERROR(100/'Skjema total MA'!C48*C48,0)</f>
        <v>0.39046723742551426</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50:A52">
    <cfRule type="expression" dxfId="293" priority="7">
      <formula>kvartal &lt; 4</formula>
    </cfRule>
  </conditionalFormatting>
  <conditionalFormatting sqref="A69:A74">
    <cfRule type="expression" dxfId="292" priority="6">
      <formula>kvartal &lt; 4</formula>
    </cfRule>
  </conditionalFormatting>
  <conditionalFormatting sqref="A80:A85">
    <cfRule type="expression" dxfId="291" priority="5">
      <formula>kvartal &lt; 4</formula>
    </cfRule>
  </conditionalFormatting>
  <conditionalFormatting sqref="A90:A95">
    <cfRule type="expression" dxfId="290" priority="4">
      <formula>kvartal &lt; 4</formula>
    </cfRule>
  </conditionalFormatting>
  <conditionalFormatting sqref="A101:A106">
    <cfRule type="expression" dxfId="289" priority="3">
      <formula>kvartal &lt; 4</formula>
    </cfRule>
  </conditionalFormatting>
  <conditionalFormatting sqref="A115:C115">
    <cfRule type="expression" dxfId="288" priority="2">
      <formula>kvartal &lt; 4</formula>
    </cfRule>
  </conditionalFormatting>
  <conditionalFormatting sqref="A123:C123">
    <cfRule type="expression" dxfId="287" priority="1">
      <formula>kvartal &lt; 4</formula>
    </cfRule>
  </conditionalFormatting>
  <conditionalFormatting sqref="B69:C69">
    <cfRule type="expression" dxfId="286" priority="57">
      <formula>kvartal &lt; 4</formula>
    </cfRule>
  </conditionalFormatting>
  <conditionalFormatting sqref="B72:C72">
    <cfRule type="expression" dxfId="285" priority="55">
      <formula>kvartal &lt; 4</formula>
    </cfRule>
  </conditionalFormatting>
  <conditionalFormatting sqref="F115:G115">
    <cfRule type="expression" dxfId="284" priority="27">
      <formula>kvartal &lt; 4</formula>
    </cfRule>
  </conditionalFormatting>
  <conditionalFormatting sqref="F123:G123">
    <cfRule type="expression" dxfId="283" priority="26">
      <formula>kvartal &lt; 4</formula>
    </cfRule>
  </conditionalFormatting>
  <conditionalFormatting sqref="J115:K115">
    <cfRule type="expression" dxfId="282" priority="9">
      <formula>kvartal &lt; 4</formula>
    </cfRule>
  </conditionalFormatting>
  <conditionalFormatting sqref="J123:K123">
    <cfRule type="expression" dxfId="281" priority="8">
      <formula>kvartal &lt; 4</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6"/>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107</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c r="G7" s="249"/>
      <c r="H7" s="285"/>
      <c r="I7" s="119"/>
      <c r="J7" s="250"/>
      <c r="K7" s="251"/>
      <c r="L7" s="341"/>
      <c r="M7" s="8"/>
    </row>
    <row r="8" spans="1:14" ht="15.6" x14ac:dyDescent="0.25">
      <c r="A8" s="18" t="s">
        <v>170</v>
      </c>
      <c r="B8" s="228"/>
      <c r="C8" s="229"/>
      <c r="D8" s="123"/>
      <c r="E8" s="23"/>
      <c r="F8" s="232"/>
      <c r="G8" s="233"/>
      <c r="H8" s="123"/>
      <c r="I8" s="132"/>
      <c r="J8" s="181"/>
      <c r="K8" s="234"/>
      <c r="L8" s="123"/>
      <c r="M8" s="23"/>
    </row>
    <row r="9" spans="1:14" ht="15.6" x14ac:dyDescent="0.25">
      <c r="A9" s="18" t="s">
        <v>171</v>
      </c>
      <c r="B9" s="228"/>
      <c r="C9" s="229"/>
      <c r="D9" s="123"/>
      <c r="E9" s="23"/>
      <c r="F9" s="232"/>
      <c r="G9" s="233"/>
      <c r="H9" s="123"/>
      <c r="I9" s="132"/>
      <c r="J9" s="181"/>
      <c r="K9" s="234"/>
      <c r="L9" s="123"/>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c r="C47" s="253"/>
      <c r="D47" s="341"/>
      <c r="E47" s="8"/>
      <c r="F47" s="109"/>
      <c r="G47" s="27"/>
      <c r="H47" s="118"/>
      <c r="I47" s="118"/>
      <c r="J47" s="31"/>
      <c r="K47" s="31"/>
      <c r="L47" s="118"/>
      <c r="M47" s="118"/>
    </row>
    <row r="48" spans="1:13" ht="15.6" x14ac:dyDescent="0.25">
      <c r="A48" s="18" t="s">
        <v>190</v>
      </c>
      <c r="B48" s="228"/>
      <c r="C48" s="229"/>
      <c r="D48" s="206"/>
      <c r="E48" s="23"/>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x14ac:dyDescent="0.25">
      <c r="A66" s="11"/>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v>908116</v>
      </c>
      <c r="C134" s="251">
        <v>694944</v>
      </c>
      <c r="D134" s="285">
        <f t="shared" ref="D134:D135" si="0">IF(B134=0, "    ---- ", IF(ABS(ROUND(100/B134*C134-100,1))&lt;999,ROUND(100/B134*C134-100,1),IF(ROUND(100/B134*C134-100,1)&gt;999,999,-999)))</f>
        <v>-23.5</v>
      </c>
      <c r="E134" s="8">
        <f>IFERROR(100/'Skjema total MA'!C134*C134,0)</f>
        <v>7.0233732283648234</v>
      </c>
      <c r="F134" s="258"/>
      <c r="G134" s="259"/>
      <c r="H134" s="345"/>
      <c r="I134" s="21"/>
      <c r="J134" s="260">
        <f t="shared" ref="J134:K135" si="1">SUM(B134,F134)</f>
        <v>908116</v>
      </c>
      <c r="K134" s="260">
        <f t="shared" si="1"/>
        <v>694944</v>
      </c>
      <c r="L134" s="341">
        <f t="shared" ref="L134:L135" si="2">IF(J134=0, "    ---- ", IF(ABS(ROUND(100/J134*K134-100,1))&lt;999,ROUND(100/J134*K134-100,1),IF(ROUND(100/J134*K134-100,1)&gt;999,999,-999)))</f>
        <v>-23.5</v>
      </c>
      <c r="M134" s="8">
        <f>IFERROR(100/'Skjema total MA'!I134*K134,0)</f>
        <v>7.0019932046770244</v>
      </c>
    </row>
    <row r="135" spans="1:14" ht="15.6" x14ac:dyDescent="0.25">
      <c r="A135" s="10" t="s">
        <v>225</v>
      </c>
      <c r="B135" s="183">
        <v>97889000</v>
      </c>
      <c r="C135" s="251">
        <v>104208000</v>
      </c>
      <c r="D135" s="127">
        <f t="shared" si="0"/>
        <v>6.5</v>
      </c>
      <c r="E135" s="8">
        <f>IFERROR(100/'Skjema total MA'!C135*C135,0)</f>
        <v>10.305707070834922</v>
      </c>
      <c r="F135" s="183"/>
      <c r="G135" s="251"/>
      <c r="H135" s="346"/>
      <c r="I135" s="21"/>
      <c r="J135" s="250">
        <f t="shared" si="1"/>
        <v>97889000</v>
      </c>
      <c r="K135" s="250">
        <f t="shared" si="1"/>
        <v>104208000</v>
      </c>
      <c r="L135" s="342">
        <f t="shared" si="2"/>
        <v>6.5</v>
      </c>
      <c r="M135" s="8">
        <f>IFERROR(100/'Skjema total MA'!I135*K135,0)</f>
        <v>10.281197191804388</v>
      </c>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80" priority="12">
      <formula>kvartal &lt; 4</formula>
    </cfRule>
  </conditionalFormatting>
  <conditionalFormatting sqref="A69:A74">
    <cfRule type="expression" dxfId="279" priority="10">
      <formula>kvartal &lt; 4</formula>
    </cfRule>
  </conditionalFormatting>
  <conditionalFormatting sqref="A80:A85">
    <cfRule type="expression" dxfId="278" priority="9">
      <formula>kvartal &lt; 4</formula>
    </cfRule>
  </conditionalFormatting>
  <conditionalFormatting sqref="A90:A95">
    <cfRule type="expression" dxfId="277" priority="6">
      <formula>kvartal &lt; 4</formula>
    </cfRule>
  </conditionalFormatting>
  <conditionalFormatting sqref="A101:A106">
    <cfRule type="expression" dxfId="276" priority="5">
      <formula>kvartal &lt; 4</formula>
    </cfRule>
  </conditionalFormatting>
  <conditionalFormatting sqref="A115:C115">
    <cfRule type="expression" dxfId="275" priority="4">
      <formula>kvartal &lt; 4</formula>
    </cfRule>
  </conditionalFormatting>
  <conditionalFormatting sqref="A123:C123">
    <cfRule type="expression" dxfId="274" priority="3">
      <formula>kvartal &lt; 4</formula>
    </cfRule>
  </conditionalFormatting>
  <conditionalFormatting sqref="B69:C69">
    <cfRule type="expression" dxfId="273" priority="99">
      <formula>kvartal &lt; 4</formula>
    </cfRule>
  </conditionalFormatting>
  <conditionalFormatting sqref="B72:C72">
    <cfRule type="expression" dxfId="272" priority="97">
      <formula>kvartal &lt; 4</formula>
    </cfRule>
  </conditionalFormatting>
  <conditionalFormatting sqref="F115:G115">
    <cfRule type="expression" dxfId="271" priority="57">
      <formula>kvartal &lt; 4</formula>
    </cfRule>
  </conditionalFormatting>
  <conditionalFormatting sqref="F123:G123">
    <cfRule type="expression" dxfId="270" priority="56">
      <formula>kvartal &lt; 4</formula>
    </cfRule>
  </conditionalFormatting>
  <conditionalFormatting sqref="J115:K115">
    <cfRule type="expression" dxfId="269" priority="32">
      <formula>kvartal &lt; 4</formula>
    </cfRule>
  </conditionalFormatting>
  <conditionalFormatting sqref="J123:K123">
    <cfRule type="expression" dxfId="268" priority="31">
      <formula>kvartal &lt; 4</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7"/>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108</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v>1213</v>
      </c>
      <c r="C7" s="249">
        <v>1187</v>
      </c>
      <c r="D7" s="285">
        <f>IF(B7=0, "    ---- ", IF(ABS(ROUND(100/B7*C7-100,1))&lt;999,ROUND(100/B7*C7-100,1),IF(ROUND(100/B7*C7-100,1)&gt;999,999,-999)))</f>
        <v>-2.1</v>
      </c>
      <c r="E7" s="8">
        <f>IFERROR(100/'Skjema total MA'!C7*C7,0)</f>
        <v>5.6550213221050659E-2</v>
      </c>
      <c r="F7" s="248"/>
      <c r="G7" s="249"/>
      <c r="H7" s="285"/>
      <c r="I7" s="119"/>
      <c r="J7" s="250">
        <f t="shared" ref="J7:K9" si="0">SUM(B7,F7)</f>
        <v>1213</v>
      </c>
      <c r="K7" s="251">
        <f t="shared" si="0"/>
        <v>1187</v>
      </c>
      <c r="L7" s="341">
        <f>IF(J7=0, "    ---- ", IF(ABS(ROUND(100/J7*K7-100,1))&lt;999,ROUND(100/J7*K7-100,1),IF(ROUND(100/J7*K7-100,1)&gt;999,999,-999)))</f>
        <v>-2.1</v>
      </c>
      <c r="M7" s="8">
        <f>IFERROR(100/'Skjema total MA'!I7*K7,0)</f>
        <v>2.026669689507694E-2</v>
      </c>
    </row>
    <row r="8" spans="1:14" ht="15.6" x14ac:dyDescent="0.25">
      <c r="A8" s="18" t="s">
        <v>170</v>
      </c>
      <c r="B8" s="228">
        <v>1091.7</v>
      </c>
      <c r="C8" s="229">
        <v>1068.3</v>
      </c>
      <c r="D8" s="123">
        <f t="shared" ref="D8:D9" si="1">IF(B8=0, "    ---- ", IF(ABS(ROUND(100/B8*C8-100,1))&lt;999,ROUND(100/B8*C8-100,1),IF(ROUND(100/B8*C8-100,1)&gt;999,999,-999)))</f>
        <v>-2.1</v>
      </c>
      <c r="E8" s="23">
        <f>IFERROR(100/'Skjema total MA'!C8*C8,0)</f>
        <v>7.4396126198994064E-2</v>
      </c>
      <c r="F8" s="232"/>
      <c r="G8" s="233"/>
      <c r="H8" s="123"/>
      <c r="I8" s="132"/>
      <c r="J8" s="181">
        <f t="shared" si="0"/>
        <v>1091.7</v>
      </c>
      <c r="K8" s="234">
        <f t="shared" si="0"/>
        <v>1068.3</v>
      </c>
      <c r="L8" s="123">
        <f t="shared" ref="L8:L9" si="2">IF(J8=0, "    ---- ", IF(ABS(ROUND(100/J8*K8-100,1))&lt;999,ROUND(100/J8*K8-100,1),IF(ROUND(100/J8*K8-100,1)&gt;999,999,-999)))</f>
        <v>-2.1</v>
      </c>
      <c r="M8" s="23">
        <f>IFERROR(100/'Skjema total MA'!I8*K8,0)</f>
        <v>7.4396126198994064E-2</v>
      </c>
    </row>
    <row r="9" spans="1:14" ht="15.6" x14ac:dyDescent="0.25">
      <c r="A9" s="18" t="s">
        <v>171</v>
      </c>
      <c r="B9" s="228">
        <v>121.3</v>
      </c>
      <c r="C9" s="229">
        <v>118.7</v>
      </c>
      <c r="D9" s="123">
        <f t="shared" si="1"/>
        <v>-2.1</v>
      </c>
      <c r="E9" s="23">
        <f>IFERROR(100/'Skjema total MA'!C9*C9,0)</f>
        <v>2.7778579291158664E-2</v>
      </c>
      <c r="F9" s="232"/>
      <c r="G9" s="233"/>
      <c r="H9" s="123"/>
      <c r="I9" s="132"/>
      <c r="J9" s="181">
        <f t="shared" si="0"/>
        <v>121.3</v>
      </c>
      <c r="K9" s="234">
        <f t="shared" si="0"/>
        <v>118.7</v>
      </c>
      <c r="L9" s="123">
        <f t="shared" si="2"/>
        <v>-2.1</v>
      </c>
      <c r="M9" s="23">
        <f>IFERROR(100/'Skjema total MA'!I9*K9,0)</f>
        <v>2.7778579291158664E-2</v>
      </c>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317316</v>
      </c>
      <c r="C47" s="253">
        <v>386283</v>
      </c>
      <c r="D47" s="341">
        <f t="shared" ref="D47:D48" si="3">IF(B47=0, "    ---- ", IF(ABS(ROUND(100/B47*C47-100,1))&lt;999,ROUND(100/B47*C47-100,1),IF(ROUND(100/B47*C47-100,1)&gt;999,999,-999)))</f>
        <v>21.7</v>
      </c>
      <c r="E47" s="8">
        <f>IFERROR(100/'Skjema total MA'!C47*C47,0)</f>
        <v>7.8005854168568929</v>
      </c>
      <c r="F47" s="109"/>
      <c r="G47" s="27"/>
      <c r="H47" s="118"/>
      <c r="I47" s="118"/>
      <c r="J47" s="31"/>
      <c r="K47" s="31"/>
      <c r="L47" s="118"/>
      <c r="M47" s="118"/>
    </row>
    <row r="48" spans="1:13" ht="15.6" x14ac:dyDescent="0.25">
      <c r="A48" s="18" t="s">
        <v>190</v>
      </c>
      <c r="B48" s="228">
        <v>317316</v>
      </c>
      <c r="C48" s="229">
        <v>386283</v>
      </c>
      <c r="D48" s="206">
        <f t="shared" si="3"/>
        <v>21.7</v>
      </c>
      <c r="E48" s="23">
        <f>IFERROR(100/'Skjema total MA'!C48*C48,0)</f>
        <v>16.069769430475166</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2:D2"/>
    <mergeCell ref="F2:H2"/>
    <mergeCell ref="J2:L2"/>
    <mergeCell ref="B4:D4"/>
    <mergeCell ref="F4:H4"/>
    <mergeCell ref="J4:L4"/>
    <mergeCell ref="B18:D18"/>
    <mergeCell ref="F18:H18"/>
    <mergeCell ref="J18:L18"/>
    <mergeCell ref="B19:D19"/>
    <mergeCell ref="F19:H19"/>
    <mergeCell ref="J19:L19"/>
    <mergeCell ref="D40:F40"/>
    <mergeCell ref="G40:I40"/>
    <mergeCell ref="J40:L40"/>
    <mergeCell ref="B42:D42"/>
    <mergeCell ref="F42:H42"/>
    <mergeCell ref="J42:L42"/>
    <mergeCell ref="B44:D44"/>
    <mergeCell ref="B62:D62"/>
    <mergeCell ref="F62:H62"/>
    <mergeCell ref="J62:L62"/>
    <mergeCell ref="B63:D63"/>
    <mergeCell ref="F63:H63"/>
    <mergeCell ref="J63:L63"/>
    <mergeCell ref="B130:D130"/>
    <mergeCell ref="F130:H130"/>
    <mergeCell ref="J130:L130"/>
    <mergeCell ref="B131:D131"/>
    <mergeCell ref="F131:H131"/>
    <mergeCell ref="J131:L131"/>
  </mergeCells>
  <conditionalFormatting sqref="A50:A52">
    <cfRule type="expression" dxfId="267" priority="8">
      <formula>kvartal &lt; 4</formula>
    </cfRule>
  </conditionalFormatting>
  <conditionalFormatting sqref="A69:A74">
    <cfRule type="expression" dxfId="266" priority="7">
      <formula>kvartal &lt; 4</formula>
    </cfRule>
  </conditionalFormatting>
  <conditionalFormatting sqref="A80:A85">
    <cfRule type="expression" dxfId="265" priority="6">
      <formula>kvartal &lt; 4</formula>
    </cfRule>
  </conditionalFormatting>
  <conditionalFormatting sqref="A90:A95">
    <cfRule type="expression" dxfId="264" priority="5">
      <formula>kvartal &lt; 4</formula>
    </cfRule>
  </conditionalFormatting>
  <conditionalFormatting sqref="A101:A106">
    <cfRule type="expression" dxfId="263" priority="4">
      <formula>kvartal &lt; 4</formula>
    </cfRule>
  </conditionalFormatting>
  <conditionalFormatting sqref="A115:C115">
    <cfRule type="expression" dxfId="262" priority="3">
      <formula>kvartal &lt; 4</formula>
    </cfRule>
  </conditionalFormatting>
  <conditionalFormatting sqref="A123:C123">
    <cfRule type="expression" dxfId="261" priority="2">
      <formula>kvartal &lt; 4</formula>
    </cfRule>
  </conditionalFormatting>
  <conditionalFormatting sqref="B69:C69">
    <cfRule type="expression" dxfId="260" priority="60">
      <formula>kvartal &lt; 4</formula>
    </cfRule>
  </conditionalFormatting>
  <conditionalFormatting sqref="B72:C72">
    <cfRule type="expression" dxfId="259" priority="58">
      <formula>kvartal &lt; 4</formula>
    </cfRule>
  </conditionalFormatting>
  <conditionalFormatting sqref="F115:G115">
    <cfRule type="expression" dxfId="258" priority="30">
      <formula>kvartal &lt; 4</formula>
    </cfRule>
  </conditionalFormatting>
  <conditionalFormatting sqref="F123:G123">
    <cfRule type="expression" dxfId="257" priority="29">
      <formula>kvartal &lt; 4</formula>
    </cfRule>
  </conditionalFormatting>
  <conditionalFormatting sqref="J115:K115">
    <cfRule type="expression" dxfId="256" priority="12">
      <formula>kvartal &lt; 4</formula>
    </cfRule>
  </conditionalFormatting>
  <conditionalFormatting sqref="J123:K123">
    <cfRule type="expression" dxfId="255" priority="11">
      <formula>kvartal &lt; 4</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9"/>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406</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v>821.04242999999997</v>
      </c>
      <c r="C7" s="249">
        <v>665.37672999999995</v>
      </c>
      <c r="D7" s="285">
        <f>IF(B7=0, "    ---- ", IF(ABS(ROUND(100/B7*C7-100,1))&lt;999,ROUND(100/B7*C7-100,1),IF(ROUND(100/B7*C7-100,1)&gt;999,999,-999)))</f>
        <v>-19</v>
      </c>
      <c r="E7" s="8">
        <f>IFERROR(100/'Skjema total MA'!C7*C7,0)</f>
        <v>3.1699406869271654E-2</v>
      </c>
      <c r="F7" s="248">
        <v>193308.59813</v>
      </c>
      <c r="G7" s="249">
        <v>198123.61786</v>
      </c>
      <c r="H7" s="285">
        <f>IF(F7=0, "    ---- ", IF(ABS(ROUND(100/F7*G7-100,1))&lt;999,ROUND(100/F7*G7-100,1),IF(ROUND(100/F7*G7-100,1)&gt;999,999,-999)))</f>
        <v>2.5</v>
      </c>
      <c r="I7" s="119">
        <f>IFERROR(100/'Skjema total MA'!F7*G7,0)</f>
        <v>5.272218260783843</v>
      </c>
      <c r="J7" s="250">
        <f t="shared" ref="J7:K12" si="0">SUM(B7,F7)</f>
        <v>194129.64056</v>
      </c>
      <c r="K7" s="251">
        <f t="shared" si="0"/>
        <v>198788.99458999999</v>
      </c>
      <c r="L7" s="341">
        <f>IF(J7=0, "    ---- ", IF(ABS(ROUND(100/J7*K7-100,1))&lt;999,ROUND(100/J7*K7-100,1),IF(ROUND(100/J7*K7-100,1)&gt;999,999,-999)))</f>
        <v>2.4</v>
      </c>
      <c r="M7" s="8">
        <f>IFERROR(100/'Skjema total MA'!I7*K7,0)</f>
        <v>3.3940996625380113</v>
      </c>
    </row>
    <row r="8" spans="1:14" ht="15.6" x14ac:dyDescent="0.25">
      <c r="A8" s="18" t="s">
        <v>170</v>
      </c>
      <c r="B8" s="228">
        <v>966.24309000000005</v>
      </c>
      <c r="C8" s="229">
        <v>898.01937999999996</v>
      </c>
      <c r="D8" s="123">
        <f t="shared" ref="D8:D10" si="1">IF(B8=0, "    ---- ", IF(ABS(ROUND(100/B8*C8-100,1))&lt;999,ROUND(100/B8*C8-100,1),IF(ROUND(100/B8*C8-100,1)&gt;999,999,-999)))</f>
        <v>-7.1</v>
      </c>
      <c r="E8" s="23">
        <f>IFERROR(100/'Skjema total MA'!C8*C8,0)</f>
        <v>6.2537829377162221E-2</v>
      </c>
      <c r="F8" s="232"/>
      <c r="G8" s="233"/>
      <c r="H8" s="123"/>
      <c r="I8" s="132"/>
      <c r="J8" s="181">
        <f t="shared" si="0"/>
        <v>966.24309000000005</v>
      </c>
      <c r="K8" s="234">
        <f t="shared" si="0"/>
        <v>898.01937999999996</v>
      </c>
      <c r="L8" s="123">
        <f t="shared" ref="L8:L9" si="2">IF(J8=0, "    ---- ", IF(ABS(ROUND(100/J8*K8-100,1))&lt;999,ROUND(100/J8*K8-100,1),IF(ROUND(100/J8*K8-100,1)&gt;999,999,-999)))</f>
        <v>-7.1</v>
      </c>
      <c r="M8" s="23">
        <f>IFERROR(100/'Skjema total MA'!I8*K8,0)</f>
        <v>6.2537829377162221E-2</v>
      </c>
    </row>
    <row r="9" spans="1:14" ht="15.6" x14ac:dyDescent="0.25">
      <c r="A9" s="18" t="s">
        <v>171</v>
      </c>
      <c r="B9" s="228">
        <v>333.40417000000002</v>
      </c>
      <c r="C9" s="229">
        <v>291.55936000000003</v>
      </c>
      <c r="D9" s="123">
        <f t="shared" si="1"/>
        <v>-12.6</v>
      </c>
      <c r="E9" s="23">
        <f>IFERROR(100/'Skjema total MA'!C9*C9,0)</f>
        <v>6.8231716932093303E-2</v>
      </c>
      <c r="F9" s="232"/>
      <c r="G9" s="233"/>
      <c r="H9" s="123"/>
      <c r="I9" s="132"/>
      <c r="J9" s="181">
        <f t="shared" si="0"/>
        <v>333.40417000000002</v>
      </c>
      <c r="K9" s="234">
        <f t="shared" si="0"/>
        <v>291.55936000000003</v>
      </c>
      <c r="L9" s="123">
        <f t="shared" si="2"/>
        <v>-12.6</v>
      </c>
      <c r="M9" s="23">
        <f>IFERROR(100/'Skjema total MA'!I9*K9,0)</f>
        <v>6.8231716932093303E-2</v>
      </c>
    </row>
    <row r="10" spans="1:14" ht="15.6" x14ac:dyDescent="0.25">
      <c r="A10" s="10" t="s">
        <v>172</v>
      </c>
      <c r="B10" s="252">
        <v>273097.32526000001</v>
      </c>
      <c r="C10" s="253">
        <v>240188.95110000001</v>
      </c>
      <c r="D10" s="127">
        <f t="shared" si="1"/>
        <v>-12.1</v>
      </c>
      <c r="E10" s="8">
        <f>IFERROR(100/'Skjema total MA'!C10*C10,0)</f>
        <v>1.8800100298297846</v>
      </c>
      <c r="F10" s="252">
        <v>6407110.0963599999</v>
      </c>
      <c r="G10" s="253">
        <v>7236200.9632200003</v>
      </c>
      <c r="H10" s="127">
        <f t="shared" ref="H10:H12" si="3">IF(F10=0, "    ---- ", IF(ABS(ROUND(100/F10*G10-100,1))&lt;999,ROUND(100/F10*G10-100,1),IF(ROUND(100/F10*G10-100,1)&gt;999,999,-999)))</f>
        <v>12.9</v>
      </c>
      <c r="I10" s="119">
        <f>IFERROR(100/'Skjema total MA'!F10*G10,0)</f>
        <v>6.7203424611311222</v>
      </c>
      <c r="J10" s="250">
        <f t="shared" si="0"/>
        <v>6680207.4216200002</v>
      </c>
      <c r="K10" s="251">
        <f t="shared" si="0"/>
        <v>7476389.9143200004</v>
      </c>
      <c r="L10" s="342">
        <f t="shared" ref="L10:L12" si="4">IF(J10=0, "    ---- ", IF(ABS(ROUND(100/J10*K10-100,1))&lt;999,ROUND(100/J10*K10-100,1),IF(ROUND(100/J10*K10-100,1)&gt;999,999,-999)))</f>
        <v>11.9</v>
      </c>
      <c r="M10" s="8">
        <f>IFERROR(100/'Skjema total MA'!I10*K10,0)</f>
        <v>6.2069446870338449</v>
      </c>
    </row>
    <row r="11" spans="1:14" s="35" customFormat="1" ht="15.6" x14ac:dyDescent="0.25">
      <c r="A11" s="10" t="s">
        <v>173</v>
      </c>
      <c r="B11" s="252"/>
      <c r="C11" s="253"/>
      <c r="D11" s="127"/>
      <c r="E11" s="8"/>
      <c r="F11" s="252">
        <v>13721.81581</v>
      </c>
      <c r="G11" s="253">
        <v>20801.6806</v>
      </c>
      <c r="H11" s="127">
        <f t="shared" si="3"/>
        <v>51.6</v>
      </c>
      <c r="I11" s="119">
        <f>IFERROR(100/'Skjema total MA'!F11*G11,0)</f>
        <v>19.448421818045841</v>
      </c>
      <c r="J11" s="250">
        <f t="shared" si="0"/>
        <v>13721.81581</v>
      </c>
      <c r="K11" s="251">
        <f t="shared" si="0"/>
        <v>20801.6806</v>
      </c>
      <c r="L11" s="342">
        <f t="shared" si="4"/>
        <v>51.6</v>
      </c>
      <c r="M11" s="8">
        <f>IFERROR(100/'Skjema total MA'!I11*K11,0)</f>
        <v>19.448421818045841</v>
      </c>
      <c r="N11" s="107"/>
    </row>
    <row r="12" spans="1:14" s="35" customFormat="1" ht="15.6" x14ac:dyDescent="0.25">
      <c r="A12" s="33" t="s">
        <v>174</v>
      </c>
      <c r="B12" s="254"/>
      <c r="C12" s="255"/>
      <c r="D12" s="125"/>
      <c r="E12" s="30"/>
      <c r="F12" s="254">
        <v>7123.0036399999999</v>
      </c>
      <c r="G12" s="255">
        <v>7455.86193</v>
      </c>
      <c r="H12" s="125">
        <f t="shared" si="3"/>
        <v>4.7</v>
      </c>
      <c r="I12" s="125">
        <f>IFERROR(100/'Skjema total MA'!F12*G12,0)</f>
        <v>5.9464658036696711</v>
      </c>
      <c r="J12" s="256">
        <f t="shared" si="0"/>
        <v>7123.0036399999999</v>
      </c>
      <c r="K12" s="257">
        <f t="shared" si="0"/>
        <v>7455.86193</v>
      </c>
      <c r="L12" s="343">
        <f t="shared" si="4"/>
        <v>4.7</v>
      </c>
      <c r="M12" s="30">
        <f>IFERROR(100/'Skjema total MA'!I12*K12,0)</f>
        <v>6.8432988410858977</v>
      </c>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v>1480.2568799999999</v>
      </c>
      <c r="C22" s="252">
        <v>2654.2762699999998</v>
      </c>
      <c r="D22" s="285">
        <f t="shared" ref="D22:D35" si="5">IF(B22=0, "    ---- ", IF(ABS(ROUND(100/B22*C22-100,1))&lt;999,ROUND(100/B22*C22-100,1),IF(ROUND(100/B22*C22-100,1)&gt;999,999,-999)))</f>
        <v>79.3</v>
      </c>
      <c r="E22" s="8">
        <f>IFERROR(100/'Skjema total MA'!C22*C22,0)</f>
        <v>0.24620987914638562</v>
      </c>
      <c r="F22" s="260">
        <v>116382.21334</v>
      </c>
      <c r="G22" s="260">
        <v>182365.17043999999</v>
      </c>
      <c r="H22" s="285">
        <f t="shared" ref="H22:H35" si="6">IF(F22=0, "    ---- ", IF(ABS(ROUND(100/F22*G22-100,1))&lt;999,ROUND(100/F22*G22-100,1),IF(ROUND(100/F22*G22-100,1)&gt;999,999,-999)))</f>
        <v>56.7</v>
      </c>
      <c r="I22" s="8">
        <f>IFERROR(100/'Skjema total MA'!F22*G22,0)</f>
        <v>40.85740356275339</v>
      </c>
      <c r="J22" s="258">
        <f t="shared" ref="J22:K35" si="7">SUM(B22,F22)</f>
        <v>117862.47022</v>
      </c>
      <c r="K22" s="258">
        <f t="shared" si="7"/>
        <v>185019.44670999999</v>
      </c>
      <c r="L22" s="341">
        <f t="shared" ref="L22:L35" si="8">IF(J22=0, "    ---- ", IF(ABS(ROUND(100/J22*K22-100,1))&lt;999,ROUND(100/J22*K22-100,1),IF(ROUND(100/J22*K22-100,1)&gt;999,999,-999)))</f>
        <v>57</v>
      </c>
      <c r="M22" s="21">
        <f>IFERROR(100/'Skjema total MA'!I22*K22,0)</f>
        <v>12.137199586628959</v>
      </c>
    </row>
    <row r="23" spans="1:13" ht="15.6" x14ac:dyDescent="0.25">
      <c r="A23" s="382" t="s">
        <v>178</v>
      </c>
      <c r="B23" s="228">
        <v>1479.30907</v>
      </c>
      <c r="C23" s="228">
        <v>2653.3284600000002</v>
      </c>
      <c r="D23" s="123">
        <f t="shared" si="5"/>
        <v>79.400000000000006</v>
      </c>
      <c r="E23" s="8">
        <f>IFERROR(100/'Skjema total MA'!C23*C23,0)</f>
        <v>0.3324915613868748</v>
      </c>
      <c r="F23" s="236">
        <v>1637.3214599999999</v>
      </c>
      <c r="G23" s="236">
        <v>-126.63164999999999</v>
      </c>
      <c r="H23" s="123">
        <f t="shared" si="6"/>
        <v>-107.7</v>
      </c>
      <c r="I23" s="335">
        <f>IFERROR(100/'Skjema total MA'!F23*G23,0)</f>
        <v>-1.4635266553387811</v>
      </c>
      <c r="J23" s="236">
        <f t="shared" ref="J23:J26" si="9">SUM(B23,F23)</f>
        <v>3116.6305299999999</v>
      </c>
      <c r="K23" s="236">
        <f t="shared" ref="K23:K26" si="10">SUM(C23,G23)</f>
        <v>2526.6968100000004</v>
      </c>
      <c r="L23" s="123">
        <f t="shared" si="8"/>
        <v>-18.899999999999999</v>
      </c>
      <c r="M23" s="20">
        <f>IFERROR(100/'Skjema total MA'!I23*K23,0)</f>
        <v>0.31322702926073021</v>
      </c>
    </row>
    <row r="24" spans="1:13" ht="15.6" x14ac:dyDescent="0.25">
      <c r="A24" s="382" t="s">
        <v>179</v>
      </c>
      <c r="B24" s="228">
        <v>0.94781000000000004</v>
      </c>
      <c r="C24" s="228">
        <v>0.94781000000000004</v>
      </c>
      <c r="D24" s="123">
        <f t="shared" si="5"/>
        <v>0</v>
      </c>
      <c r="E24" s="8">
        <f>IFERROR(100/'Skjema total MA'!C24*C24,0)</f>
        <v>2.8043457656816859E-2</v>
      </c>
      <c r="F24" s="236">
        <v>3.6549700000000001</v>
      </c>
      <c r="G24" s="236">
        <v>0</v>
      </c>
      <c r="H24" s="123">
        <f t="shared" si="6"/>
        <v>-100</v>
      </c>
      <c r="I24" s="335">
        <f>IFERROR(100/'Skjema total MA'!F24*G24,0)</f>
        <v>0</v>
      </c>
      <c r="J24" s="236">
        <f t="shared" si="9"/>
        <v>4.6027800000000001</v>
      </c>
      <c r="K24" s="236">
        <f t="shared" si="10"/>
        <v>0.94781000000000004</v>
      </c>
      <c r="L24" s="123">
        <f t="shared" si="8"/>
        <v>-79.400000000000006</v>
      </c>
      <c r="M24" s="20">
        <f>IFERROR(100/'Skjema total MA'!I24*K24,0)</f>
        <v>2.7512278958589757E-2</v>
      </c>
    </row>
    <row r="25" spans="1:13" ht="15.6" x14ac:dyDescent="0.25">
      <c r="A25" s="382" t="s">
        <v>180</v>
      </c>
      <c r="B25" s="228"/>
      <c r="C25" s="228"/>
      <c r="D25" s="123"/>
      <c r="E25" s="8"/>
      <c r="F25" s="236">
        <v>1461.1452899999999</v>
      </c>
      <c r="G25" s="236">
        <v>1686.46695</v>
      </c>
      <c r="H25" s="123">
        <f t="shared" si="6"/>
        <v>15.4</v>
      </c>
      <c r="I25" s="335">
        <f>IFERROR(100/'Skjema total MA'!F25*G25,0)</f>
        <v>23.890729326437871</v>
      </c>
      <c r="J25" s="236">
        <f t="shared" si="9"/>
        <v>1461.1452899999999</v>
      </c>
      <c r="K25" s="236">
        <f t="shared" si="10"/>
        <v>1686.46695</v>
      </c>
      <c r="L25" s="123">
        <f t="shared" si="8"/>
        <v>15.4</v>
      </c>
      <c r="M25" s="20">
        <f>IFERROR(100/'Skjema total MA'!I25*K25,0)</f>
        <v>14.800462991336074</v>
      </c>
    </row>
    <row r="26" spans="1:13" ht="15.6" x14ac:dyDescent="0.25">
      <c r="A26" s="382" t="s">
        <v>181</v>
      </c>
      <c r="B26" s="228"/>
      <c r="C26" s="228"/>
      <c r="D26" s="123"/>
      <c r="E26" s="8"/>
      <c r="F26" s="236">
        <v>113280.09162000001</v>
      </c>
      <c r="G26" s="236">
        <v>180805.33514000001</v>
      </c>
      <c r="H26" s="123">
        <f t="shared" si="6"/>
        <v>59.6</v>
      </c>
      <c r="I26" s="335">
        <f>IFERROR(100/'Skjema total MA'!F26*G26,0)</f>
        <v>41.99222184397307</v>
      </c>
      <c r="J26" s="236">
        <f t="shared" si="9"/>
        <v>113280.09162000001</v>
      </c>
      <c r="K26" s="236">
        <f t="shared" si="10"/>
        <v>180805.33514000001</v>
      </c>
      <c r="L26" s="123">
        <f t="shared" si="8"/>
        <v>59.6</v>
      </c>
      <c r="M26" s="20">
        <f>IFERROR(100/'Skjema total MA'!I26*K26,0)</f>
        <v>41.99222184397307</v>
      </c>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v>2450024.4079499999</v>
      </c>
      <c r="C29" s="183">
        <v>2351247.37304</v>
      </c>
      <c r="D29" s="127">
        <f t="shared" si="5"/>
        <v>-4</v>
      </c>
      <c r="E29" s="8">
        <f>IFERROR(100/'Skjema total MA'!C29*C29,0)</f>
        <v>5.2831266504892591</v>
      </c>
      <c r="F29" s="250">
        <v>5202302.3294200003</v>
      </c>
      <c r="G29" s="250">
        <v>5989197.6529599996</v>
      </c>
      <c r="H29" s="127">
        <f t="shared" si="6"/>
        <v>15.1</v>
      </c>
      <c r="I29" s="8">
        <f>IFERROR(100/'Skjema total MA'!F29*G29,0)</f>
        <v>19.207020927578196</v>
      </c>
      <c r="J29" s="183">
        <f t="shared" si="7"/>
        <v>7652326.7373700002</v>
      </c>
      <c r="K29" s="183">
        <f t="shared" si="7"/>
        <v>8340445.0259999996</v>
      </c>
      <c r="L29" s="342">
        <f t="shared" si="8"/>
        <v>9</v>
      </c>
      <c r="M29" s="21">
        <f>IFERROR(100/'Skjema total MA'!I29*K29,0)</f>
        <v>11.019626976117001</v>
      </c>
    </row>
    <row r="30" spans="1:13" ht="15.6" x14ac:dyDescent="0.25">
      <c r="A30" s="382" t="s">
        <v>178</v>
      </c>
      <c r="B30" s="228">
        <v>1405559.47211198</v>
      </c>
      <c r="C30" s="228">
        <v>1348891.8745997399</v>
      </c>
      <c r="D30" s="123">
        <f t="shared" si="5"/>
        <v>-4</v>
      </c>
      <c r="E30" s="8">
        <f>IFERROR(100/'Skjema total MA'!C30*C30,0)</f>
        <v>6.7790252686525951</v>
      </c>
      <c r="F30" s="236">
        <v>614912.37034999905</v>
      </c>
      <c r="G30" s="236">
        <v>604653.33363000001</v>
      </c>
      <c r="H30" s="123">
        <f t="shared" si="6"/>
        <v>-1.7</v>
      </c>
      <c r="I30" s="335">
        <f>IFERROR(100/'Skjema total MA'!F30*G30,0)</f>
        <v>17.045408622597403</v>
      </c>
      <c r="J30" s="236">
        <f t="shared" ref="J30:J33" si="11">SUM(B30,F30)</f>
        <v>2020471.842461979</v>
      </c>
      <c r="K30" s="236">
        <f t="shared" ref="K30:K33" si="12">SUM(C30,G30)</f>
        <v>1953545.2082297399</v>
      </c>
      <c r="L30" s="123">
        <f t="shared" si="8"/>
        <v>-3.3</v>
      </c>
      <c r="M30" s="20">
        <f>IFERROR(100/'Skjema total MA'!I30*K30,0)</f>
        <v>8.3323424961985033</v>
      </c>
    </row>
    <row r="31" spans="1:13" ht="15.6" x14ac:dyDescent="0.25">
      <c r="A31" s="382" t="s">
        <v>179</v>
      </c>
      <c r="B31" s="228">
        <v>1044464.9358380201</v>
      </c>
      <c r="C31" s="228">
        <v>1002355.49844026</v>
      </c>
      <c r="D31" s="123">
        <f t="shared" si="5"/>
        <v>-4</v>
      </c>
      <c r="E31" s="8">
        <f>IFERROR(100/'Skjema total MA'!C31*C31,0)</f>
        <v>4.6447982498216156</v>
      </c>
      <c r="F31" s="236">
        <v>769636.27049999905</v>
      </c>
      <c r="G31" s="236">
        <v>855563.16316999996</v>
      </c>
      <c r="H31" s="123">
        <f t="shared" si="6"/>
        <v>11.2</v>
      </c>
      <c r="I31" s="335">
        <f>IFERROR(100/'Skjema total MA'!F31*G31,0)</f>
        <v>12.216771896318372</v>
      </c>
      <c r="J31" s="236">
        <f t="shared" si="11"/>
        <v>1814101.2063380191</v>
      </c>
      <c r="K31" s="236">
        <f t="shared" si="12"/>
        <v>1857918.6616102599</v>
      </c>
      <c r="L31" s="123">
        <f t="shared" si="8"/>
        <v>2.4</v>
      </c>
      <c r="M31" s="20">
        <f>IFERROR(100/'Skjema total MA'!I31*K31,0)</f>
        <v>6.500001318141468</v>
      </c>
    </row>
    <row r="32" spans="1:13" ht="15.6" x14ac:dyDescent="0.25">
      <c r="A32" s="382" t="s">
        <v>180</v>
      </c>
      <c r="B32" s="228"/>
      <c r="C32" s="228"/>
      <c r="D32" s="123"/>
      <c r="E32" s="8"/>
      <c r="F32" s="236">
        <v>709975.17327999906</v>
      </c>
      <c r="G32" s="236">
        <v>782530.15231000003</v>
      </c>
      <c r="H32" s="123">
        <f t="shared" si="6"/>
        <v>10.199999999999999</v>
      </c>
      <c r="I32" s="335">
        <f>IFERROR(100/'Skjema total MA'!F32*G32,0)</f>
        <v>10.761246091125594</v>
      </c>
      <c r="J32" s="236">
        <f t="shared" si="11"/>
        <v>709975.17327999906</v>
      </c>
      <c r="K32" s="236">
        <f t="shared" si="12"/>
        <v>782530.15231000003</v>
      </c>
      <c r="L32" s="123">
        <f t="shared" si="8"/>
        <v>10.199999999999999</v>
      </c>
      <c r="M32" s="20">
        <f>IFERROR(100/'Skjema total MA'!I32*K32,0)</f>
        <v>7.7729392897588312</v>
      </c>
    </row>
    <row r="33" spans="1:13" ht="15.6" x14ac:dyDescent="0.25">
      <c r="A33" s="382" t="s">
        <v>181</v>
      </c>
      <c r="B33" s="228"/>
      <c r="C33" s="228"/>
      <c r="D33" s="123"/>
      <c r="E33" s="8"/>
      <c r="F33" s="236">
        <v>3107778.51529</v>
      </c>
      <c r="G33" s="236">
        <v>3746451.00385</v>
      </c>
      <c r="H33" s="123">
        <f t="shared" si="6"/>
        <v>20.6</v>
      </c>
      <c r="I33" s="335">
        <f>IFERROR(100/'Skjema total MA'!F33*G33,0)</f>
        <v>28.042092309825076</v>
      </c>
      <c r="J33" s="236">
        <f t="shared" si="11"/>
        <v>3107778.51529</v>
      </c>
      <c r="K33" s="236">
        <f t="shared" si="12"/>
        <v>3746451.00385</v>
      </c>
      <c r="L33" s="123">
        <f t="shared" si="8"/>
        <v>20.6</v>
      </c>
      <c r="M33" s="20">
        <f>IFERROR(100/'Skjema total MA'!I33*K33,0)</f>
        <v>28.042092309825076</v>
      </c>
    </row>
    <row r="34" spans="1:13" ht="15.6" x14ac:dyDescent="0.25">
      <c r="A34" s="10" t="s">
        <v>173</v>
      </c>
      <c r="B34" s="183">
        <v>149.44933</v>
      </c>
      <c r="C34" s="251">
        <v>0</v>
      </c>
      <c r="D34" s="127">
        <f t="shared" si="5"/>
        <v>-100</v>
      </c>
      <c r="E34" s="8">
        <f>IFERROR(100/'Skjema total MA'!C34*C34,0)</f>
        <v>0</v>
      </c>
      <c r="F34" s="250">
        <v>16621.423439999999</v>
      </c>
      <c r="G34" s="251">
        <v>25852.22824</v>
      </c>
      <c r="H34" s="127">
        <f t="shared" si="6"/>
        <v>55.5</v>
      </c>
      <c r="I34" s="8">
        <f>IFERROR(100/'Skjema total MA'!F34*G34,0)</f>
        <v>33.004589379515359</v>
      </c>
      <c r="J34" s="183">
        <f t="shared" si="7"/>
        <v>16770.872769999998</v>
      </c>
      <c r="K34" s="183">
        <f t="shared" si="7"/>
        <v>25852.22824</v>
      </c>
      <c r="L34" s="342">
        <f t="shared" si="8"/>
        <v>54.1</v>
      </c>
      <c r="M34" s="21">
        <f>IFERROR(100/'Skjema total MA'!I34*K34,0)</f>
        <v>31.276904514419652</v>
      </c>
    </row>
    <row r="35" spans="1:13" ht="15.6" x14ac:dyDescent="0.25">
      <c r="A35" s="10" t="s">
        <v>174</v>
      </c>
      <c r="B35" s="183">
        <v>169.25630000000001</v>
      </c>
      <c r="C35" s="251">
        <v>316.50914</v>
      </c>
      <c r="D35" s="127">
        <f t="shared" si="5"/>
        <v>87</v>
      </c>
      <c r="E35" s="8">
        <f>IFERROR(100/'Skjema total MA'!C35*C35,0)</f>
        <v>-2.5143736902677325E-2</v>
      </c>
      <c r="F35" s="250">
        <v>9083.1576800000003</v>
      </c>
      <c r="G35" s="251">
        <v>20701.702120000002</v>
      </c>
      <c r="H35" s="127">
        <f t="shared" si="6"/>
        <v>127.9</v>
      </c>
      <c r="I35" s="8">
        <f>IFERROR(100/'Skjema total MA'!F35*G35,0)</f>
        <v>18.871584029062291</v>
      </c>
      <c r="J35" s="183">
        <f t="shared" si="7"/>
        <v>9252.4139800000012</v>
      </c>
      <c r="K35" s="183">
        <f t="shared" si="7"/>
        <v>21018.21126</v>
      </c>
      <c r="L35" s="342">
        <f t="shared" si="8"/>
        <v>127.2</v>
      </c>
      <c r="M35" s="21">
        <f>IFERROR(100/'Skjema total MA'!I35*K35,0)</f>
        <v>-1.8290998195837043</v>
      </c>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c r="C47" s="253"/>
      <c r="D47" s="341"/>
      <c r="E47" s="8"/>
      <c r="F47" s="109"/>
      <c r="G47" s="27"/>
      <c r="H47" s="118"/>
      <c r="I47" s="118"/>
      <c r="J47" s="31"/>
      <c r="K47" s="31"/>
      <c r="L47" s="118"/>
      <c r="M47" s="118"/>
    </row>
    <row r="48" spans="1:13" ht="15.6" x14ac:dyDescent="0.25">
      <c r="A48" s="18" t="s">
        <v>190</v>
      </c>
      <c r="B48" s="228"/>
      <c r="C48" s="229"/>
      <c r="D48" s="206"/>
      <c r="E48" s="23"/>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v>285513.54829999997</v>
      </c>
      <c r="C66" s="288">
        <v>283773.88029</v>
      </c>
      <c r="D66" s="285">
        <f t="shared" ref="D66:D111" si="13">IF(B66=0, "    ---- ", IF(ABS(ROUND(100/B66*C66-100,1))&lt;999,ROUND(100/B66*C66-100,1),IF(ROUND(100/B66*C66-100,1)&gt;999,999,-999)))</f>
        <v>-0.6</v>
      </c>
      <c r="E66" s="559">
        <f>IFERROR(100/'Skjema total MA'!C66*C66,0)</f>
        <v>9.3352148637551142</v>
      </c>
      <c r="F66" s="560">
        <v>1786404.1542499999</v>
      </c>
      <c r="G66" s="287">
        <v>1823554.4699200001</v>
      </c>
      <c r="H66" s="285">
        <f t="shared" ref="H66:H111" si="14">IF(F66=0, "    ---- ", IF(ABS(ROUND(100/F66*G66-100,1))&lt;999,ROUND(100/F66*G66-100,1),IF(ROUND(100/F66*G66-100,1)&gt;999,999,-999)))</f>
        <v>2.1</v>
      </c>
      <c r="I66" s="559">
        <f>IFERROR(100/'Skjema total MA'!F66*G66,0)</f>
        <v>11.980832081926469</v>
      </c>
      <c r="J66" s="258">
        <f t="shared" ref="J66:K86" si="15">SUM(B66,F66)</f>
        <v>2071917.7025499998</v>
      </c>
      <c r="K66" s="258">
        <f t="shared" si="15"/>
        <v>2107328.3502099998</v>
      </c>
      <c r="L66" s="342">
        <f t="shared" ref="L66:L111" si="16">IF(J66=0, "    ---- ", IF(ABS(ROUND(100/J66*K66-100,1))&lt;999,ROUND(100/J66*K66-100,1),IF(ROUND(100/J66*K66-100,1)&gt;999,999,-999)))</f>
        <v>1.7</v>
      </c>
      <c r="M66" s="8">
        <f>IFERROR(100/'Skjema total MA'!I66*K66,0)</f>
        <v>11.540414833503217</v>
      </c>
    </row>
    <row r="67" spans="1:13" x14ac:dyDescent="0.25">
      <c r="A67" s="39" t="s">
        <v>198</v>
      </c>
      <c r="B67" s="36">
        <v>79999.62</v>
      </c>
      <c r="C67" s="109">
        <v>73267.535000000003</v>
      </c>
      <c r="D67" s="123">
        <f t="shared" si="13"/>
        <v>-8.4</v>
      </c>
      <c r="E67" s="20">
        <f>IFERROR(100/'Skjema total MA'!C67*C67,0)</f>
        <v>4.2940778580789498</v>
      </c>
      <c r="F67" s="36"/>
      <c r="G67" s="109"/>
      <c r="H67" s="123"/>
      <c r="I67" s="20"/>
      <c r="J67" s="36">
        <f t="shared" si="15"/>
        <v>79999.62</v>
      </c>
      <c r="K67" s="36">
        <f t="shared" si="15"/>
        <v>73267.535000000003</v>
      </c>
      <c r="L67" s="206">
        <f t="shared" si="16"/>
        <v>-8.4</v>
      </c>
      <c r="M67" s="23">
        <f>IFERROR(100/'Skjema total MA'!I67*K67,0)</f>
        <v>4.2940778580789498</v>
      </c>
    </row>
    <row r="68" spans="1:13" x14ac:dyDescent="0.25">
      <c r="A68" s="18" t="s">
        <v>199</v>
      </c>
      <c r="B68" s="237">
        <v>6737.00252</v>
      </c>
      <c r="C68" s="238">
        <v>4519.4735199999996</v>
      </c>
      <c r="D68" s="123">
        <f t="shared" si="13"/>
        <v>-32.9</v>
      </c>
      <c r="E68" s="20">
        <f>IFERROR(100/'Skjema total MA'!C68*C68,0)</f>
        <v>99.647225368432984</v>
      </c>
      <c r="F68" s="142">
        <v>1672680.9439999999</v>
      </c>
      <c r="G68" s="238">
        <v>1690920.8895700001</v>
      </c>
      <c r="H68" s="123">
        <f t="shared" si="14"/>
        <v>1.1000000000000001</v>
      </c>
      <c r="I68" s="20">
        <f>IFERROR(100/'Skjema total MA'!F68*G68,0)</f>
        <v>11.529754034959929</v>
      </c>
      <c r="J68" s="36">
        <f t="shared" si="15"/>
        <v>1679417.94652</v>
      </c>
      <c r="K68" s="36">
        <f t="shared" si="15"/>
        <v>1695440.3630900001</v>
      </c>
      <c r="L68" s="206">
        <f t="shared" si="16"/>
        <v>1</v>
      </c>
      <c r="M68" s="23">
        <f>IFERROR(100/'Skjema total MA'!I68*K68,0)</f>
        <v>11.55699654545853</v>
      </c>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v>112834.49178</v>
      </c>
      <c r="C75" s="109">
        <v>109541.40276</v>
      </c>
      <c r="D75" s="123">
        <f t="shared" si="13"/>
        <v>-2.9</v>
      </c>
      <c r="E75" s="20">
        <f>IFERROR(100/'Skjema total MA'!C75*C75,0)</f>
        <v>54.151012287271577</v>
      </c>
      <c r="F75" s="36">
        <v>113723.21025</v>
      </c>
      <c r="G75" s="109">
        <v>132633.58035</v>
      </c>
      <c r="H75" s="123">
        <f t="shared" si="14"/>
        <v>16.600000000000001</v>
      </c>
      <c r="I75" s="20">
        <f>IFERROR(100/'Skjema total MA'!F75*G75,0)</f>
        <v>23.902924535034579</v>
      </c>
      <c r="J75" s="36">
        <f t="shared" si="15"/>
        <v>226557.70202999999</v>
      </c>
      <c r="K75" s="36">
        <f t="shared" si="15"/>
        <v>242174.98311</v>
      </c>
      <c r="L75" s="206">
        <f t="shared" si="16"/>
        <v>6.9</v>
      </c>
      <c r="M75" s="23">
        <f>IFERROR(100/'Skjema total MA'!I75*K75,0)</f>
        <v>31.984099069178853</v>
      </c>
    </row>
    <row r="76" spans="1:13" ht="15.6" x14ac:dyDescent="0.25">
      <c r="A76" s="18" t="s">
        <v>410</v>
      </c>
      <c r="B76" s="181">
        <v>85942.433999999994</v>
      </c>
      <c r="C76" s="109">
        <v>96445.469010000001</v>
      </c>
      <c r="D76" s="123">
        <f t="shared" ref="D76" si="17">IF(B76=0, "    ---- ", IF(ABS(ROUND(100/B76*C76-100,1))&lt;999,ROUND(100/B76*C76-100,1),IF(ROUND(100/B76*C76-100,1)&gt;999,999,-999)))</f>
        <v>12.2</v>
      </c>
      <c r="E76" s="20">
        <f>IFERROR(100/'Skjema total MA'!C76*C76,0)</f>
        <v>8.5596055064143854</v>
      </c>
      <c r="F76" s="36"/>
      <c r="G76" s="109"/>
      <c r="H76" s="123"/>
      <c r="I76" s="20"/>
      <c r="J76" s="36">
        <f t="shared" ref="J76" si="18">SUM(B76,F76)</f>
        <v>85942.433999999994</v>
      </c>
      <c r="K76" s="36">
        <f t="shared" ref="K76" si="19">SUM(C76,G76)</f>
        <v>96445.469010000001</v>
      </c>
      <c r="L76" s="206">
        <f t="shared" ref="L76" si="20">IF(J76=0, "    ---- ", IF(ABS(ROUND(100/J76*K76-100,1))&lt;999,ROUND(100/J76*K76-100,1),IF(ROUND(100/J76*K76-100,1)&gt;999,999,-999)))</f>
        <v>12.2</v>
      </c>
      <c r="M76" s="23">
        <f>IFERROR(100/'Skjema total MA'!I76*K76,0)</f>
        <v>8.5596055064143854</v>
      </c>
    </row>
    <row r="77" spans="1:13" ht="15.6" x14ac:dyDescent="0.25">
      <c r="A77" s="18" t="s">
        <v>206</v>
      </c>
      <c r="B77" s="181">
        <v>86736.62251999999</v>
      </c>
      <c r="C77" s="181">
        <v>77787.008520000003</v>
      </c>
      <c r="D77" s="123">
        <f t="shared" si="13"/>
        <v>-10.3</v>
      </c>
      <c r="E77" s="20">
        <f>IFERROR(100/'Skjema total MA'!C77*C77,0)</f>
        <v>4.7556841286172311</v>
      </c>
      <c r="F77" s="36">
        <v>1670123.6140000001</v>
      </c>
      <c r="G77" s="109">
        <v>1687835.1015699999</v>
      </c>
      <c r="H77" s="123">
        <f t="shared" si="14"/>
        <v>1.1000000000000001</v>
      </c>
      <c r="I77" s="20">
        <f>IFERROR(100/'Skjema total MA'!F77*G77,0)</f>
        <v>11.512261811820109</v>
      </c>
      <c r="J77" s="36">
        <f t="shared" si="15"/>
        <v>1756860.23652</v>
      </c>
      <c r="K77" s="36">
        <f t="shared" si="15"/>
        <v>1765622.1100899999</v>
      </c>
      <c r="L77" s="206">
        <f t="shared" si="16"/>
        <v>0.5</v>
      </c>
      <c r="M77" s="23">
        <f>IFERROR(100/'Skjema total MA'!I77*K77,0)</f>
        <v>10.83412557836456</v>
      </c>
    </row>
    <row r="78" spans="1:13" x14ac:dyDescent="0.25">
      <c r="A78" s="18" t="s">
        <v>198</v>
      </c>
      <c r="B78" s="181">
        <v>79999.62</v>
      </c>
      <c r="C78" s="109">
        <v>73267.535000000003</v>
      </c>
      <c r="D78" s="123">
        <f t="shared" si="13"/>
        <v>-8.4</v>
      </c>
      <c r="E78" s="20">
        <f>IFERROR(100/'Skjema total MA'!C78*C78,0)</f>
        <v>4.4918311631419741</v>
      </c>
      <c r="F78" s="36"/>
      <c r="G78" s="109"/>
      <c r="H78" s="123"/>
      <c r="I78" s="20"/>
      <c r="J78" s="36">
        <f t="shared" si="15"/>
        <v>79999.62</v>
      </c>
      <c r="K78" s="36">
        <f t="shared" si="15"/>
        <v>73267.535000000003</v>
      </c>
      <c r="L78" s="206">
        <f t="shared" si="16"/>
        <v>-8.4</v>
      </c>
      <c r="M78" s="23">
        <f>IFERROR(100/'Skjema total MA'!I78*K78,0)</f>
        <v>4.4918311631419741</v>
      </c>
    </row>
    <row r="79" spans="1:13" x14ac:dyDescent="0.25">
      <c r="A79" s="18" t="s">
        <v>207</v>
      </c>
      <c r="B79" s="237">
        <v>6737.00252</v>
      </c>
      <c r="C79" s="238">
        <v>4519.4735199999996</v>
      </c>
      <c r="D79" s="123">
        <f t="shared" si="13"/>
        <v>-32.9</v>
      </c>
      <c r="E79" s="20">
        <f>IFERROR(100/'Skjema total MA'!C79*C79,0)</f>
        <v>99.647225368432984</v>
      </c>
      <c r="F79" s="142">
        <v>1670123.6140000001</v>
      </c>
      <c r="G79" s="238">
        <v>1687835.1015699999</v>
      </c>
      <c r="H79" s="123">
        <f t="shared" si="14"/>
        <v>1.1000000000000001</v>
      </c>
      <c r="I79" s="20">
        <f>IFERROR(100/'Skjema total MA'!F79*G79,0)</f>
        <v>11.512261811820109</v>
      </c>
      <c r="J79" s="36">
        <f t="shared" si="15"/>
        <v>1676860.6165200002</v>
      </c>
      <c r="K79" s="36">
        <f t="shared" si="15"/>
        <v>1692354.5750899999</v>
      </c>
      <c r="L79" s="206">
        <f t="shared" si="16"/>
        <v>0.9</v>
      </c>
      <c r="M79" s="23">
        <f>IFERROR(100/'Skjema total MA'!I79*K79,0)</f>
        <v>11.53951812928271</v>
      </c>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v>2557.33</v>
      </c>
      <c r="G86" s="109">
        <v>3085.788</v>
      </c>
      <c r="H86" s="123">
        <f t="shared" si="14"/>
        <v>20.7</v>
      </c>
      <c r="I86" s="20">
        <f>IFERROR(100/'Skjema total MA'!F86*G86,0)</f>
        <v>68.259920489204632</v>
      </c>
      <c r="J86" s="36">
        <f t="shared" si="15"/>
        <v>2557.33</v>
      </c>
      <c r="K86" s="36">
        <f t="shared" si="15"/>
        <v>3085.788</v>
      </c>
      <c r="L86" s="206">
        <f t="shared" si="16"/>
        <v>20.7</v>
      </c>
      <c r="M86" s="23">
        <f>IFERROR(100/'Skjema total MA'!I86*K86,0)</f>
        <v>3.8747771818660324</v>
      </c>
    </row>
    <row r="87" spans="1:13" ht="15.6" x14ac:dyDescent="0.25">
      <c r="A87" s="10" t="s">
        <v>172</v>
      </c>
      <c r="B87" s="288">
        <v>20909648.51094</v>
      </c>
      <c r="C87" s="288">
        <v>24038764.974880002</v>
      </c>
      <c r="D87" s="127">
        <f t="shared" si="13"/>
        <v>15</v>
      </c>
      <c r="E87" s="21">
        <f>IFERROR(100/'Skjema total MA'!C87*C87,0)</f>
        <v>5.7980626718477941</v>
      </c>
      <c r="F87" s="225">
        <v>74105217.262160003</v>
      </c>
      <c r="G87" s="287">
        <v>83310274.57649</v>
      </c>
      <c r="H87" s="127">
        <f t="shared" si="14"/>
        <v>12.4</v>
      </c>
      <c r="I87" s="21">
        <f>IFERROR(100/'Skjema total MA'!F87*G87,0)</f>
        <v>10.482505464361626</v>
      </c>
      <c r="J87" s="183">
        <f t="shared" ref="J87:K111" si="21">SUM(B87,F87)</f>
        <v>95014865.773100004</v>
      </c>
      <c r="K87" s="183">
        <f t="shared" si="21"/>
        <v>107349039.55136999</v>
      </c>
      <c r="L87" s="342">
        <f t="shared" si="16"/>
        <v>13</v>
      </c>
      <c r="M87" s="8">
        <f>IFERROR(100/'Skjema total MA'!I87*K87,0)</f>
        <v>8.8765508493578125</v>
      </c>
    </row>
    <row r="88" spans="1:13" x14ac:dyDescent="0.25">
      <c r="A88" s="18" t="s">
        <v>198</v>
      </c>
      <c r="B88" s="181">
        <v>14591348.21091</v>
      </c>
      <c r="C88" s="109">
        <v>14758618.69833</v>
      </c>
      <c r="D88" s="123">
        <f t="shared" si="13"/>
        <v>1.1000000000000001</v>
      </c>
      <c r="E88" s="20">
        <f>IFERROR(100/'Skjema total MA'!C88*C88,0)</f>
        <v>3.8161685871396815</v>
      </c>
      <c r="F88" s="36"/>
      <c r="G88" s="109"/>
      <c r="H88" s="123"/>
      <c r="I88" s="20"/>
      <c r="J88" s="36">
        <f t="shared" si="21"/>
        <v>14591348.21091</v>
      </c>
      <c r="K88" s="36">
        <f t="shared" si="21"/>
        <v>14758618.69833</v>
      </c>
      <c r="L88" s="206">
        <f t="shared" si="16"/>
        <v>1.1000000000000001</v>
      </c>
      <c r="M88" s="23">
        <f>IFERROR(100/'Skjema total MA'!I88*K88,0)</f>
        <v>3.8161685871396815</v>
      </c>
    </row>
    <row r="89" spans="1:13" x14ac:dyDescent="0.25">
      <c r="A89" s="18" t="s">
        <v>199</v>
      </c>
      <c r="B89" s="181">
        <v>634842.47779000003</v>
      </c>
      <c r="C89" s="109">
        <v>2368397.80908</v>
      </c>
      <c r="D89" s="123">
        <f t="shared" si="13"/>
        <v>273.10000000000002</v>
      </c>
      <c r="E89" s="20">
        <f>IFERROR(100/'Skjema total MA'!C89*C89,0)</f>
        <v>55.912939322731887</v>
      </c>
      <c r="F89" s="36">
        <v>71179843.994369999</v>
      </c>
      <c r="G89" s="109">
        <v>79334061.347479999</v>
      </c>
      <c r="H89" s="123">
        <f t="shared" si="14"/>
        <v>11.5</v>
      </c>
      <c r="I89" s="20">
        <f>IFERROR(100/'Skjema total MA'!F89*G89,0)</f>
        <v>10.146314616513015</v>
      </c>
      <c r="J89" s="36">
        <f t="shared" si="21"/>
        <v>71814686.472159997</v>
      </c>
      <c r="K89" s="36">
        <f t="shared" si="21"/>
        <v>81702459.156560004</v>
      </c>
      <c r="L89" s="206">
        <f t="shared" si="16"/>
        <v>13.8</v>
      </c>
      <c r="M89" s="23">
        <f>IFERROR(100/'Skjema total MA'!I89*K89,0)</f>
        <v>10.392914831703685</v>
      </c>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v>3918859.1374400002</v>
      </c>
      <c r="C96" s="109">
        <v>4922527.3853200004</v>
      </c>
      <c r="D96" s="123">
        <f t="shared" si="13"/>
        <v>25.6</v>
      </c>
      <c r="E96" s="20">
        <f>IFERROR(100/'Skjema total MA'!C96*C96,0)</f>
        <v>51.421715303145888</v>
      </c>
      <c r="F96" s="36">
        <v>2925373.26779</v>
      </c>
      <c r="G96" s="109">
        <v>3976213.2290099999</v>
      </c>
      <c r="H96" s="123">
        <f t="shared" si="14"/>
        <v>35.9</v>
      </c>
      <c r="I96" s="20">
        <f>IFERROR(100/'Skjema total MA'!F96*G96,0)</f>
        <v>30.93102843287766</v>
      </c>
      <c r="J96" s="36">
        <f t="shared" si="21"/>
        <v>6844232.4052300006</v>
      </c>
      <c r="K96" s="36">
        <f t="shared" si="21"/>
        <v>8898740.6143300012</v>
      </c>
      <c r="L96" s="206">
        <f t="shared" si="16"/>
        <v>30</v>
      </c>
      <c r="M96" s="23">
        <f>IFERROR(100/'Skjema total MA'!I96*K96,0)</f>
        <v>39.67700817565774</v>
      </c>
    </row>
    <row r="97" spans="1:13" x14ac:dyDescent="0.25">
      <c r="A97" s="18" t="s">
        <v>223</v>
      </c>
      <c r="B97" s="181">
        <v>1764598.6847999999</v>
      </c>
      <c r="C97" s="109">
        <v>1989221.0821499999</v>
      </c>
      <c r="D97" s="123">
        <f t="shared" ref="D97" si="22">IF(B97=0, "    ---- ", IF(ABS(ROUND(100/B97*C97-100,1))&lt;999,ROUND(100/B97*C97-100,1),IF(ROUND(100/B97*C97-100,1)&gt;999,999,-999)))</f>
        <v>12.7</v>
      </c>
      <c r="E97" s="20">
        <f>IFERROR(100/'Skjema total MA'!C98*C97,0)</f>
        <v>0.51448196314708927</v>
      </c>
      <c r="F97" s="36"/>
      <c r="G97" s="109"/>
      <c r="H97" s="123"/>
      <c r="I97" s="20"/>
      <c r="J97" s="36">
        <f t="shared" ref="J97" si="23">SUM(B97,F97)</f>
        <v>1764598.6847999999</v>
      </c>
      <c r="K97" s="36">
        <f t="shared" ref="K97" si="24">SUM(C97,G97)</f>
        <v>1989221.0821499999</v>
      </c>
      <c r="L97" s="206">
        <f t="shared" ref="L97" si="25">IF(J97=0, "    ---- ", IF(ABS(ROUND(100/J97*K97-100,1))&lt;999,ROUND(100/J97*K97-100,1),IF(ROUND(100/J97*K97-100,1)&gt;999,999,-999)))</f>
        <v>12.7</v>
      </c>
      <c r="M97" s="23">
        <f>IFERROR(100/'Skjema total MA'!I98*K97,0)</f>
        <v>0.17029009002918707</v>
      </c>
    </row>
    <row r="98" spans="1:13" ht="15.6" x14ac:dyDescent="0.25">
      <c r="A98" s="18" t="s">
        <v>206</v>
      </c>
      <c r="B98" s="181">
        <v>15226190.6887</v>
      </c>
      <c r="C98" s="181">
        <v>17127016.507410001</v>
      </c>
      <c r="D98" s="123">
        <f t="shared" si="13"/>
        <v>12.5</v>
      </c>
      <c r="E98" s="20">
        <f>IFERROR(100/'Skjema total MA'!C98*C98,0)</f>
        <v>4.4296439217611585</v>
      </c>
      <c r="F98" s="142">
        <v>71094547.372250006</v>
      </c>
      <c r="G98" s="237">
        <v>79245099.077830002</v>
      </c>
      <c r="H98" s="123">
        <f t="shared" si="14"/>
        <v>11.5</v>
      </c>
      <c r="I98" s="20">
        <f>IFERROR(100/'Skjema total MA'!F98*G98,0)</f>
        <v>10.140240990733519</v>
      </c>
      <c r="J98" s="36">
        <f t="shared" si="21"/>
        <v>86320738.060950011</v>
      </c>
      <c r="K98" s="36">
        <f t="shared" si="21"/>
        <v>96372115.585240006</v>
      </c>
      <c r="L98" s="206">
        <f t="shared" si="16"/>
        <v>11.6</v>
      </c>
      <c r="M98" s="23">
        <f>IFERROR(100/'Skjema total MA'!I98*K98,0)</f>
        <v>8.2500715413573289</v>
      </c>
    </row>
    <row r="99" spans="1:13" x14ac:dyDescent="0.25">
      <c r="A99" s="18" t="s">
        <v>198</v>
      </c>
      <c r="B99" s="237">
        <v>14591348.21091</v>
      </c>
      <c r="C99" s="238">
        <v>14758618.69833</v>
      </c>
      <c r="D99" s="123">
        <f t="shared" si="13"/>
        <v>1.1000000000000001</v>
      </c>
      <c r="E99" s="20">
        <f>IFERROR(100/'Skjema total MA'!C99*C99,0)</f>
        <v>3.8593747396921048</v>
      </c>
      <c r="F99" s="36"/>
      <c r="G99" s="109"/>
      <c r="H99" s="123"/>
      <c r="I99" s="20"/>
      <c r="J99" s="36">
        <f t="shared" si="21"/>
        <v>14591348.21091</v>
      </c>
      <c r="K99" s="36">
        <f t="shared" si="21"/>
        <v>14758618.69833</v>
      </c>
      <c r="L99" s="206">
        <f t="shared" si="16"/>
        <v>1.1000000000000001</v>
      </c>
      <c r="M99" s="23">
        <f>IFERROR(100/'Skjema total MA'!I99*K99,0)</f>
        <v>3.8593747396921048</v>
      </c>
    </row>
    <row r="100" spans="1:13" x14ac:dyDescent="0.25">
      <c r="A100" s="18" t="s">
        <v>207</v>
      </c>
      <c r="B100" s="237">
        <v>634842.47779000003</v>
      </c>
      <c r="C100" s="238">
        <v>2368397.80908</v>
      </c>
      <c r="D100" s="123">
        <f t="shared" si="13"/>
        <v>273.10000000000002</v>
      </c>
      <c r="E100" s="20">
        <f>IFERROR(100/'Skjema total MA'!C100*C100,0)</f>
        <v>55.912939322731887</v>
      </c>
      <c r="F100" s="36">
        <v>71094547.372250006</v>
      </c>
      <c r="G100" s="181">
        <v>79245099.077830002</v>
      </c>
      <c r="H100" s="123">
        <f t="shared" si="14"/>
        <v>11.5</v>
      </c>
      <c r="I100" s="20">
        <f>IFERROR(100/'Skjema total MA'!F100*G100,0)</f>
        <v>10.140240990733519</v>
      </c>
      <c r="J100" s="36">
        <f t="shared" si="21"/>
        <v>71729389.850040004</v>
      </c>
      <c r="K100" s="36">
        <f t="shared" si="21"/>
        <v>81613496.886910006</v>
      </c>
      <c r="L100" s="206">
        <f t="shared" si="16"/>
        <v>13.8</v>
      </c>
      <c r="M100" s="23">
        <f>IFERROR(100/'Skjema total MA'!I100*K100,0)</f>
        <v>10.387002310320675</v>
      </c>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v>85296.622119999898</v>
      </c>
      <c r="G107" s="109">
        <v>88962.269650000002</v>
      </c>
      <c r="H107" s="123">
        <f t="shared" si="14"/>
        <v>4.3</v>
      </c>
      <c r="I107" s="20">
        <f>IFERROR(100/'Skjema total MA'!F107*G107,0)</f>
        <v>21.751697122097671</v>
      </c>
      <c r="J107" s="36">
        <f t="shared" si="21"/>
        <v>85296.622119999898</v>
      </c>
      <c r="K107" s="36">
        <f t="shared" si="21"/>
        <v>88962.269650000002</v>
      </c>
      <c r="L107" s="206">
        <f t="shared" si="16"/>
        <v>4.3</v>
      </c>
      <c r="M107" s="23">
        <f>IFERROR(100/'Skjema total MA'!I107*K107,0)</f>
        <v>1.8774034234873043</v>
      </c>
    </row>
    <row r="108" spans="1:13" ht="15.6" x14ac:dyDescent="0.25">
      <c r="A108" s="18" t="s">
        <v>209</v>
      </c>
      <c r="B108" s="181">
        <v>11840350.213230001</v>
      </c>
      <c r="C108" s="181">
        <v>12060900.558180001</v>
      </c>
      <c r="D108" s="123">
        <f t="shared" si="13"/>
        <v>1.9</v>
      </c>
      <c r="E108" s="20">
        <f>IFERROR(100/'Skjema total MA'!C108*C108,0)</f>
        <v>3.6567279083944757</v>
      </c>
      <c r="F108" s="36"/>
      <c r="G108" s="181"/>
      <c r="H108" s="123"/>
      <c r="I108" s="20"/>
      <c r="J108" s="36">
        <f t="shared" si="21"/>
        <v>11840350.213230001</v>
      </c>
      <c r="K108" s="36">
        <f t="shared" si="21"/>
        <v>12060900.558180001</v>
      </c>
      <c r="L108" s="206">
        <f t="shared" si="16"/>
        <v>1.9</v>
      </c>
      <c r="M108" s="23">
        <f>IFERROR(100/'Skjema total MA'!I108*K108,0)</f>
        <v>3.3903411821330409</v>
      </c>
    </row>
    <row r="109" spans="1:13" ht="15.6" x14ac:dyDescent="0.25">
      <c r="A109" s="18" t="s">
        <v>210</v>
      </c>
      <c r="B109" s="181">
        <v>454433.35732000001</v>
      </c>
      <c r="C109" s="181">
        <v>468451.40097999998</v>
      </c>
      <c r="D109" s="123">
        <f t="shared" si="13"/>
        <v>3.1</v>
      </c>
      <c r="E109" s="20">
        <f>IFERROR(100/'Skjema total MA'!C109*C109,0)</f>
        <v>14.427292165797057</v>
      </c>
      <c r="F109" s="36">
        <v>30125629.590039998</v>
      </c>
      <c r="G109" s="181">
        <v>35072304.077629998</v>
      </c>
      <c r="H109" s="123">
        <f t="shared" si="14"/>
        <v>16.399999999999999</v>
      </c>
      <c r="I109" s="20">
        <f>IFERROR(100/'Skjema total MA'!F109*G109,0)</f>
        <v>11.105637088104768</v>
      </c>
      <c r="J109" s="36">
        <f t="shared" si="21"/>
        <v>30580062.947359998</v>
      </c>
      <c r="K109" s="36">
        <f t="shared" si="21"/>
        <v>35540755.478610002</v>
      </c>
      <c r="L109" s="206">
        <f t="shared" si="16"/>
        <v>16.2</v>
      </c>
      <c r="M109" s="23">
        <f>IFERROR(100/'Skjema total MA'!I109*K109,0)</f>
        <v>11.139441314616123</v>
      </c>
    </row>
    <row r="110" spans="1:13" ht="15.6" x14ac:dyDescent="0.25">
      <c r="A110" s="18" t="s">
        <v>211</v>
      </c>
      <c r="B110" s="181">
        <v>1649946.5117599999</v>
      </c>
      <c r="C110" s="181">
        <v>2036387.3035800001</v>
      </c>
      <c r="D110" s="123">
        <f t="shared" si="13"/>
        <v>23.4</v>
      </c>
      <c r="E110" s="20">
        <f>IFERROR(100/'Skjema total MA'!C110*C110,0)</f>
        <v>38.995304877067404</v>
      </c>
      <c r="F110" s="36"/>
      <c r="G110" s="181"/>
      <c r="H110" s="123"/>
      <c r="I110" s="20"/>
      <c r="J110" s="36">
        <f t="shared" si="21"/>
        <v>1649946.5117599999</v>
      </c>
      <c r="K110" s="36">
        <f t="shared" si="21"/>
        <v>2036387.3035800001</v>
      </c>
      <c r="L110" s="206">
        <f t="shared" si="16"/>
        <v>23.4</v>
      </c>
      <c r="M110" s="23">
        <f>IFERROR(100/'Skjema total MA'!I110*K110,0)</f>
        <v>38.995304877067404</v>
      </c>
    </row>
    <row r="111" spans="1:13" ht="15.6" x14ac:dyDescent="0.25">
      <c r="A111" s="10" t="s">
        <v>173</v>
      </c>
      <c r="B111" s="250">
        <v>905536.37223999994</v>
      </c>
      <c r="C111" s="118">
        <v>21642.751609999999</v>
      </c>
      <c r="D111" s="127">
        <f t="shared" si="13"/>
        <v>-97.6</v>
      </c>
      <c r="E111" s="21">
        <f>IFERROR(100/'Skjema total MA'!C111*C111,0)</f>
        <v>7.2244911227923838</v>
      </c>
      <c r="F111" s="183">
        <v>2140127.63283</v>
      </c>
      <c r="G111" s="118">
        <v>2281370.2157700001</v>
      </c>
      <c r="H111" s="127">
        <f t="shared" si="14"/>
        <v>6.6</v>
      </c>
      <c r="I111" s="21">
        <f>IFERROR(100/'Skjema total MA'!F111*G111,0)</f>
        <v>9.458721459561847</v>
      </c>
      <c r="J111" s="183">
        <f t="shared" si="21"/>
        <v>3045664.00507</v>
      </c>
      <c r="K111" s="183">
        <f t="shared" si="21"/>
        <v>2303012.9673800003</v>
      </c>
      <c r="L111" s="342">
        <f t="shared" si="16"/>
        <v>-24.4</v>
      </c>
      <c r="M111" s="8">
        <f>IFERROR(100/'Skjema total MA'!I111*K111,0)</f>
        <v>9.4313114704988052</v>
      </c>
    </row>
    <row r="112" spans="1:13" x14ac:dyDescent="0.25">
      <c r="A112" s="18" t="s">
        <v>198</v>
      </c>
      <c r="B112" s="181">
        <v>900027.79871999996</v>
      </c>
      <c r="C112" s="109">
        <v>204.98173</v>
      </c>
      <c r="D112" s="123">
        <f t="shared" ref="D112:D125" si="26">IF(B112=0, "    ---- ", IF(ABS(ROUND(100/B112*C112-100,1))&lt;999,ROUND(100/B112*C112-100,1),IF(ROUND(100/B112*C112-100,1)&gt;999,999,-999)))</f>
        <v>-100</v>
      </c>
      <c r="E112" s="20">
        <f>IFERROR(100/'Skjema total MA'!C112*C112,0)</f>
        <v>9.3286340700773296E-2</v>
      </c>
      <c r="F112" s="36"/>
      <c r="G112" s="109"/>
      <c r="H112" s="123"/>
      <c r="I112" s="20"/>
      <c r="J112" s="36">
        <f t="shared" ref="J112:K125" si="27">SUM(B112,F112)</f>
        <v>900027.79871999996</v>
      </c>
      <c r="K112" s="36">
        <f t="shared" si="27"/>
        <v>204.98173</v>
      </c>
      <c r="L112" s="206">
        <f t="shared" ref="L112:L125" si="28">IF(J112=0, "    ---- ", IF(ABS(ROUND(100/J112*K112-100,1))&lt;999,ROUND(100/J112*K112-100,1),IF(ROUND(100/J112*K112-100,1)&gt;999,999,-999)))</f>
        <v>-100</v>
      </c>
      <c r="M112" s="23">
        <f>IFERROR(100/'Skjema total MA'!I112*K112,0)</f>
        <v>9.2240295290810168E-2</v>
      </c>
    </row>
    <row r="113" spans="1:13" x14ac:dyDescent="0.25">
      <c r="A113" s="18" t="s">
        <v>199</v>
      </c>
      <c r="B113" s="181">
        <v>0</v>
      </c>
      <c r="C113" s="109">
        <v>10682.736070000001</v>
      </c>
      <c r="D113" s="123" t="str">
        <f t="shared" si="26"/>
        <v xml:space="preserve">    ---- </v>
      </c>
      <c r="E113" s="20">
        <f>IFERROR(100/'Skjema total MA'!C113*C113,0)</f>
        <v>100</v>
      </c>
      <c r="F113" s="36">
        <v>2140127.63283</v>
      </c>
      <c r="G113" s="109">
        <v>2278122.95414</v>
      </c>
      <c r="H113" s="123">
        <f t="shared" ref="H113:H125" si="29">IF(F113=0, "    ---- ", IF(ABS(ROUND(100/F113*G113-100,1))&lt;999,ROUND(100/F113*G113-100,1),IF(ROUND(100/F113*G113-100,1)&gt;999,999,-999)))</f>
        <v>6.4</v>
      </c>
      <c r="I113" s="20">
        <f>IFERROR(100/'Skjema total MA'!F113*G113,0)</f>
        <v>9.447506107155851</v>
      </c>
      <c r="J113" s="36">
        <f t="shared" si="27"/>
        <v>2140127.63283</v>
      </c>
      <c r="K113" s="36">
        <f t="shared" si="27"/>
        <v>2288805.6902100001</v>
      </c>
      <c r="L113" s="206">
        <f t="shared" si="28"/>
        <v>6.9</v>
      </c>
      <c r="M113" s="23">
        <f>IFERROR(100/'Skjema total MA'!I113*K113,0)</f>
        <v>9.4876048334295753</v>
      </c>
    </row>
    <row r="114" spans="1:13" x14ac:dyDescent="0.25">
      <c r="A114" s="18" t="s">
        <v>212</v>
      </c>
      <c r="B114" s="181">
        <v>5508.5735199999999</v>
      </c>
      <c r="C114" s="109">
        <v>10755.033810000001</v>
      </c>
      <c r="D114" s="123">
        <f t="shared" si="26"/>
        <v>95.2</v>
      </c>
      <c r="E114" s="20">
        <f>IFERROR(100/'Skjema total MA'!C114*C114,0)</f>
        <v>15.551371962223437</v>
      </c>
      <c r="F114" s="36">
        <v>0</v>
      </c>
      <c r="G114" s="109">
        <v>3247.26163</v>
      </c>
      <c r="H114" s="123" t="str">
        <f t="shared" si="29"/>
        <v xml:space="preserve">    ---- </v>
      </c>
      <c r="I114" s="20">
        <f>IFERROR(100/'Skjema total MA'!F114*G114,0)</f>
        <v>100</v>
      </c>
      <c r="J114" s="36">
        <f t="shared" si="27"/>
        <v>5508.5735199999999</v>
      </c>
      <c r="K114" s="36">
        <f t="shared" si="27"/>
        <v>14002.295440000002</v>
      </c>
      <c r="L114" s="206">
        <f t="shared" si="28"/>
        <v>154.19999999999999</v>
      </c>
      <c r="M114" s="23">
        <f>IFERROR(100/'Skjema total MA'!I114*K114,0)</f>
        <v>19.338754176982636</v>
      </c>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v>895687.11184000003</v>
      </c>
      <c r="C116" s="181">
        <v>0</v>
      </c>
      <c r="D116" s="123">
        <f t="shared" si="26"/>
        <v>-100</v>
      </c>
      <c r="E116" s="20">
        <f>IFERROR(100/'Skjema total MA'!C116*C116,0)</f>
        <v>0</v>
      </c>
      <c r="F116" s="36"/>
      <c r="G116" s="181"/>
      <c r="H116" s="123"/>
      <c r="I116" s="20"/>
      <c r="J116" s="36">
        <f t="shared" si="27"/>
        <v>895687.11184000003</v>
      </c>
      <c r="K116" s="36">
        <f t="shared" si="27"/>
        <v>0</v>
      </c>
      <c r="L116" s="206">
        <f t="shared" si="28"/>
        <v>-100</v>
      </c>
      <c r="M116" s="23">
        <f>IFERROR(100/'Skjema total MA'!I116*K116,0)</f>
        <v>0</v>
      </c>
    </row>
    <row r="117" spans="1:13" ht="15.6" x14ac:dyDescent="0.25">
      <c r="A117" s="18" t="s">
        <v>210</v>
      </c>
      <c r="B117" s="181"/>
      <c r="C117" s="181"/>
      <c r="D117" s="123"/>
      <c r="E117" s="20"/>
      <c r="F117" s="36">
        <v>975474.10491999995</v>
      </c>
      <c r="G117" s="181">
        <v>1246759.3213599999</v>
      </c>
      <c r="H117" s="123">
        <f t="shared" si="29"/>
        <v>27.8</v>
      </c>
      <c r="I117" s="20">
        <f>IFERROR(100/'Skjema total MA'!F117*G117,0)</f>
        <v>9.2136912676290521</v>
      </c>
      <c r="J117" s="36">
        <f t="shared" si="27"/>
        <v>975474.10491999995</v>
      </c>
      <c r="K117" s="36">
        <f t="shared" si="27"/>
        <v>1246759.3213599999</v>
      </c>
      <c r="L117" s="206">
        <f t="shared" si="28"/>
        <v>27.8</v>
      </c>
      <c r="M117" s="23">
        <f>IFERROR(100/'Skjema total MA'!I117*K117,0)</f>
        <v>9.2136912676290521</v>
      </c>
    </row>
    <row r="118" spans="1:13" ht="15.6" x14ac:dyDescent="0.25">
      <c r="A118" s="18" t="s">
        <v>211</v>
      </c>
      <c r="B118" s="181">
        <v>0</v>
      </c>
      <c r="C118" s="181">
        <v>165.32499999999999</v>
      </c>
      <c r="D118" s="123" t="str">
        <f t="shared" si="26"/>
        <v xml:space="preserve">    ---- </v>
      </c>
      <c r="E118" s="20">
        <f>IFERROR(100/'Skjema total MA'!C118*C118,0)</f>
        <v>100</v>
      </c>
      <c r="F118" s="36"/>
      <c r="G118" s="181"/>
      <c r="H118" s="123"/>
      <c r="I118" s="20"/>
      <c r="J118" s="36">
        <f t="shared" si="27"/>
        <v>0</v>
      </c>
      <c r="K118" s="36">
        <f t="shared" si="27"/>
        <v>165.32499999999999</v>
      </c>
      <c r="L118" s="206" t="str">
        <f t="shared" si="28"/>
        <v xml:space="preserve">    ---- </v>
      </c>
      <c r="M118" s="23">
        <f>IFERROR(100/'Skjema total MA'!I118*K118,0)</f>
        <v>100</v>
      </c>
    </row>
    <row r="119" spans="1:13" ht="15.6" x14ac:dyDescent="0.25">
      <c r="A119" s="10" t="s">
        <v>174</v>
      </c>
      <c r="B119" s="250">
        <v>22181.379659999999</v>
      </c>
      <c r="C119" s="118">
        <v>132263.30505</v>
      </c>
      <c r="D119" s="127">
        <f t="shared" si="26"/>
        <v>496.3</v>
      </c>
      <c r="E119" s="21">
        <f>IFERROR(100/'Skjema total MA'!C119*C119,0)</f>
        <v>38.524994070057545</v>
      </c>
      <c r="F119" s="183">
        <v>2396843.15949</v>
      </c>
      <c r="G119" s="118">
        <v>3511996.8051200002</v>
      </c>
      <c r="H119" s="127">
        <f t="shared" si="29"/>
        <v>46.5</v>
      </c>
      <c r="I119" s="21">
        <f>IFERROR(100/'Skjema total MA'!F119*G119,0)</f>
        <v>14.070612868338813</v>
      </c>
      <c r="J119" s="183">
        <f t="shared" si="27"/>
        <v>2419024.5391500001</v>
      </c>
      <c r="K119" s="183">
        <f t="shared" si="27"/>
        <v>3644260.1101700002</v>
      </c>
      <c r="L119" s="342">
        <f t="shared" si="28"/>
        <v>50.6</v>
      </c>
      <c r="M119" s="8">
        <f>IFERROR(100/'Skjema total MA'!I119*K119,0)</f>
        <v>14.402415195334665</v>
      </c>
    </row>
    <row r="120" spans="1:13" x14ac:dyDescent="0.25">
      <c r="A120" s="18" t="s">
        <v>198</v>
      </c>
      <c r="B120" s="181">
        <v>150.85410999999999</v>
      </c>
      <c r="C120" s="109">
        <v>36149.240700000002</v>
      </c>
      <c r="D120" s="123">
        <f t="shared" si="26"/>
        <v>999</v>
      </c>
      <c r="E120" s="20">
        <f>IFERROR(100/'Skjema total MA'!C120*C120,0)</f>
        <v>61.632437439857206</v>
      </c>
      <c r="F120" s="36"/>
      <c r="G120" s="109"/>
      <c r="H120" s="123"/>
      <c r="I120" s="20"/>
      <c r="J120" s="36">
        <f t="shared" si="27"/>
        <v>150.85410999999999</v>
      </c>
      <c r="K120" s="36">
        <f t="shared" si="27"/>
        <v>36149.240700000002</v>
      </c>
      <c r="L120" s="206">
        <f t="shared" si="28"/>
        <v>999</v>
      </c>
      <c r="M120" s="23">
        <f>IFERROR(100/'Skjema total MA'!I120*K120,0)</f>
        <v>61.632437439857206</v>
      </c>
    </row>
    <row r="121" spans="1:13" x14ac:dyDescent="0.25">
      <c r="A121" s="18" t="s">
        <v>199</v>
      </c>
      <c r="B121" s="181">
        <v>3892.3750700000001</v>
      </c>
      <c r="C121" s="109">
        <v>37338.012439999999</v>
      </c>
      <c r="D121" s="123">
        <f t="shared" si="26"/>
        <v>859.3</v>
      </c>
      <c r="E121" s="20">
        <f>IFERROR(100/'Skjema total MA'!C121*C121,0)</f>
        <v>100</v>
      </c>
      <c r="F121" s="36">
        <v>2396843.15949</v>
      </c>
      <c r="G121" s="109">
        <v>3511996.8051200002</v>
      </c>
      <c r="H121" s="123">
        <f t="shared" si="29"/>
        <v>46.5</v>
      </c>
      <c r="I121" s="20">
        <f>IFERROR(100/'Skjema total MA'!F121*G121,0)</f>
        <v>14.070612868338813</v>
      </c>
      <c r="J121" s="36">
        <f t="shared" si="27"/>
        <v>2400735.5345600001</v>
      </c>
      <c r="K121" s="36">
        <f t="shared" si="27"/>
        <v>3549334.8175600003</v>
      </c>
      <c r="L121" s="206">
        <f t="shared" si="28"/>
        <v>47.8</v>
      </c>
      <c r="M121" s="23">
        <f>IFERROR(100/'Skjema total MA'!I121*K121,0)</f>
        <v>14.198964863972535</v>
      </c>
    </row>
    <row r="122" spans="1:13" x14ac:dyDescent="0.25">
      <c r="A122" s="18" t="s">
        <v>212</v>
      </c>
      <c r="B122" s="181">
        <v>18138.15048</v>
      </c>
      <c r="C122" s="109">
        <v>58776.051910000002</v>
      </c>
      <c r="D122" s="123">
        <f t="shared" si="26"/>
        <v>224</v>
      </c>
      <c r="E122" s="20">
        <f>IFERROR(100/'Skjema total MA'!C122*C122,0)</f>
        <v>23.764490553262711</v>
      </c>
      <c r="F122" s="36"/>
      <c r="G122" s="109"/>
      <c r="H122" s="123"/>
      <c r="I122" s="20"/>
      <c r="J122" s="36">
        <f t="shared" si="27"/>
        <v>18138.15048</v>
      </c>
      <c r="K122" s="36">
        <f t="shared" si="27"/>
        <v>58776.051910000002</v>
      </c>
      <c r="L122" s="206">
        <f t="shared" si="28"/>
        <v>224</v>
      </c>
      <c r="M122" s="23">
        <f>IFERROR(100/'Skjema total MA'!I122*K122,0)</f>
        <v>23.764490553262711</v>
      </c>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v>868.74527</v>
      </c>
      <c r="C125" s="181">
        <v>196.87358</v>
      </c>
      <c r="D125" s="123">
        <f t="shared" si="26"/>
        <v>-77.3</v>
      </c>
      <c r="E125" s="20">
        <f>IFERROR(100/'Skjema total MA'!C125*C125,0)</f>
        <v>59.056183736234146</v>
      </c>
      <c r="F125" s="36">
        <v>865952.01656999998</v>
      </c>
      <c r="G125" s="181">
        <v>942893.63529999997</v>
      </c>
      <c r="H125" s="123">
        <f t="shared" si="29"/>
        <v>8.9</v>
      </c>
      <c r="I125" s="20">
        <f>IFERROR(100/'Skjema total MA'!F125*G125,0)</f>
        <v>7.8359885132453435</v>
      </c>
      <c r="J125" s="36">
        <f t="shared" si="27"/>
        <v>866820.76183999993</v>
      </c>
      <c r="K125" s="36">
        <f t="shared" si="27"/>
        <v>943090.50887999998</v>
      </c>
      <c r="L125" s="206">
        <f t="shared" si="28"/>
        <v>8.8000000000000007</v>
      </c>
      <c r="M125" s="23">
        <f>IFERROR(100/'Skjema total MA'!I125*K125,0)</f>
        <v>7.8374075130764433</v>
      </c>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54" priority="12">
      <formula>kvartal &lt; 4</formula>
    </cfRule>
  </conditionalFormatting>
  <conditionalFormatting sqref="A69:A74">
    <cfRule type="expression" dxfId="253" priority="10">
      <formula>kvartal &lt; 4</formula>
    </cfRule>
  </conditionalFormatting>
  <conditionalFormatting sqref="A80:A85">
    <cfRule type="expression" dxfId="252" priority="9">
      <formula>kvartal &lt; 4</formula>
    </cfRule>
  </conditionalFormatting>
  <conditionalFormatting sqref="A90:A95">
    <cfRule type="expression" dxfId="251" priority="6">
      <formula>kvartal &lt; 4</formula>
    </cfRule>
  </conditionalFormatting>
  <conditionalFormatting sqref="A101:A106">
    <cfRule type="expression" dxfId="250" priority="5">
      <formula>kvartal &lt; 4</formula>
    </cfRule>
  </conditionalFormatting>
  <conditionalFormatting sqref="A115:C115">
    <cfRule type="expression" dxfId="249" priority="4">
      <formula>kvartal &lt; 4</formula>
    </cfRule>
  </conditionalFormatting>
  <conditionalFormatting sqref="A123:C123">
    <cfRule type="expression" dxfId="248" priority="3">
      <formula>kvartal &lt; 4</formula>
    </cfRule>
  </conditionalFormatting>
  <conditionalFormatting sqref="B69:C69">
    <cfRule type="expression" dxfId="247" priority="99">
      <formula>kvartal &lt; 4</formula>
    </cfRule>
  </conditionalFormatting>
  <conditionalFormatting sqref="B72:C72">
    <cfRule type="expression" dxfId="246" priority="97">
      <formula>kvartal &lt; 4</formula>
    </cfRule>
  </conditionalFormatting>
  <conditionalFormatting sqref="F115:G115">
    <cfRule type="expression" dxfId="245" priority="57">
      <formula>kvartal &lt; 4</formula>
    </cfRule>
  </conditionalFormatting>
  <conditionalFormatting sqref="F123:G123">
    <cfRule type="expression" dxfId="244" priority="56">
      <formula>kvartal &lt; 4</formula>
    </cfRule>
  </conditionalFormatting>
  <conditionalFormatting sqref="J115:K115">
    <cfRule type="expression" dxfId="243" priority="32">
      <formula>kvartal &lt; 4</formula>
    </cfRule>
  </conditionalFormatting>
  <conditionalFormatting sqref="J123:K123">
    <cfRule type="expression" dxfId="242" priority="31">
      <formula>kvartal &lt; 4</formula>
    </cfRule>
  </conditionalFormatting>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30"/>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109</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v>338617.50955999998</v>
      </c>
      <c r="C7" s="249">
        <v>375255.28464999999</v>
      </c>
      <c r="D7" s="285">
        <f>IF(B7=0, "    ---- ", IF(ABS(ROUND(100/B7*C7-100,1))&lt;999,ROUND(100/B7*C7-100,1),IF(ROUND(100/B7*C7-100,1)&gt;999,999,-999)))</f>
        <v>10.8</v>
      </c>
      <c r="E7" s="8">
        <f>IFERROR(100/'Skjema total MA'!C7*C7,0)</f>
        <v>17.877646469489097</v>
      </c>
      <c r="F7" s="248">
        <v>249084.88501</v>
      </c>
      <c r="G7" s="249">
        <v>251614.74901</v>
      </c>
      <c r="H7" s="285">
        <f>IF(F7=0, "    ---- ", IF(ABS(ROUND(100/F7*G7-100,1))&lt;999,ROUND(100/F7*G7-100,1),IF(ROUND(100/F7*G7-100,1)&gt;999,999,-999)))</f>
        <v>1</v>
      </c>
      <c r="I7" s="119">
        <f>IFERROR(100/'Skjema total MA'!F7*G7,0)</f>
        <v>6.6956574321717541</v>
      </c>
      <c r="J7" s="250">
        <f t="shared" ref="J7:K12" si="0">SUM(B7,F7)</f>
        <v>587702.39457</v>
      </c>
      <c r="K7" s="251">
        <f t="shared" si="0"/>
        <v>626870.03365999996</v>
      </c>
      <c r="L7" s="341">
        <f>IF(J7=0, "    ---- ", IF(ABS(ROUND(100/J7*K7-100,1))&lt;999,ROUND(100/J7*K7-100,1),IF(ROUND(100/J7*K7-100,1)&gt;999,999,-999)))</f>
        <v>6.7</v>
      </c>
      <c r="M7" s="8">
        <f>IFERROR(100/'Skjema total MA'!I7*K7,0)</f>
        <v>10.703104435378178</v>
      </c>
    </row>
    <row r="8" spans="1:14" ht="15.6" x14ac:dyDescent="0.25">
      <c r="A8" s="18" t="s">
        <v>170</v>
      </c>
      <c r="B8" s="228">
        <v>107992.94871842601</v>
      </c>
      <c r="C8" s="229">
        <v>114702.082643113</v>
      </c>
      <c r="D8" s="123">
        <f t="shared" ref="D8:D10" si="1">IF(B8=0, "    ---- ", IF(ABS(ROUND(100/B8*C8-100,1))&lt;999,ROUND(100/B8*C8-100,1),IF(ROUND(100/B8*C8-100,1)&gt;999,999,-999)))</f>
        <v>6.2</v>
      </c>
      <c r="E8" s="23">
        <f>IFERROR(100/'Skjema total MA'!C8*C8,0)</f>
        <v>7.9878223491570548</v>
      </c>
      <c r="F8" s="232"/>
      <c r="G8" s="233"/>
      <c r="H8" s="123"/>
      <c r="I8" s="132"/>
      <c r="J8" s="181">
        <f t="shared" si="0"/>
        <v>107992.94871842601</v>
      </c>
      <c r="K8" s="234">
        <f t="shared" si="0"/>
        <v>114702.082643113</v>
      </c>
      <c r="L8" s="123">
        <f t="shared" ref="L8:L9" si="2">IF(J8=0, "    ---- ", IF(ABS(ROUND(100/J8*K8-100,1))&lt;999,ROUND(100/J8*K8-100,1),IF(ROUND(100/J8*K8-100,1)&gt;999,999,-999)))</f>
        <v>6.2</v>
      </c>
      <c r="M8" s="23">
        <f>IFERROR(100/'Skjema total MA'!I8*K8,0)</f>
        <v>7.9878223491570548</v>
      </c>
    </row>
    <row r="9" spans="1:14" ht="15.6" x14ac:dyDescent="0.25">
      <c r="A9" s="18" t="s">
        <v>171</v>
      </c>
      <c r="B9" s="228">
        <v>45450.334194737203</v>
      </c>
      <c r="C9" s="229">
        <v>50192.546337590102</v>
      </c>
      <c r="D9" s="123">
        <f t="shared" si="1"/>
        <v>10.4</v>
      </c>
      <c r="E9" s="23">
        <f>IFERROR(100/'Skjema total MA'!C9*C9,0)</f>
        <v>11.746231072147447</v>
      </c>
      <c r="F9" s="232"/>
      <c r="G9" s="233"/>
      <c r="H9" s="123"/>
      <c r="I9" s="132"/>
      <c r="J9" s="181">
        <f t="shared" si="0"/>
        <v>45450.334194737203</v>
      </c>
      <c r="K9" s="234">
        <f t="shared" si="0"/>
        <v>50192.546337590102</v>
      </c>
      <c r="L9" s="123">
        <f t="shared" si="2"/>
        <v>10.4</v>
      </c>
      <c r="M9" s="23">
        <f>IFERROR(100/'Skjema total MA'!I9*K9,0)</f>
        <v>11.746231072147447</v>
      </c>
    </row>
    <row r="10" spans="1:14" ht="15.6" x14ac:dyDescent="0.25">
      <c r="A10" s="10" t="s">
        <v>172</v>
      </c>
      <c r="B10" s="252">
        <v>5376744.7851900002</v>
      </c>
      <c r="C10" s="253">
        <v>5998878.3180999998</v>
      </c>
      <c r="D10" s="127">
        <f t="shared" si="1"/>
        <v>11.6</v>
      </c>
      <c r="E10" s="8">
        <f>IFERROR(100/'Skjema total MA'!C10*C10,0)</f>
        <v>46.95449709117127</v>
      </c>
      <c r="F10" s="252">
        <v>15699661.338479999</v>
      </c>
      <c r="G10" s="253">
        <v>17372382.286359999</v>
      </c>
      <c r="H10" s="127">
        <f t="shared" ref="H10:H12" si="3">IF(F10=0, "    ---- ", IF(ABS(ROUND(100/F10*G10-100,1))&lt;999,ROUND(100/F10*G10-100,1),IF(ROUND(100/F10*G10-100,1)&gt;999,999,-999)))</f>
        <v>10.7</v>
      </c>
      <c r="I10" s="119">
        <f>IFERROR(100/'Skjema total MA'!F10*G10,0)</f>
        <v>16.133929795956913</v>
      </c>
      <c r="J10" s="250">
        <f t="shared" si="0"/>
        <v>21076406.123670001</v>
      </c>
      <c r="K10" s="251">
        <f t="shared" si="0"/>
        <v>23371260.604460001</v>
      </c>
      <c r="L10" s="342">
        <f t="shared" ref="L10:L12" si="4">IF(J10=0, "    ---- ", IF(ABS(ROUND(100/J10*K10-100,1))&lt;999,ROUND(100/J10*K10-100,1),IF(ROUND(100/J10*K10-100,1)&gt;999,999,-999)))</f>
        <v>10.9</v>
      </c>
      <c r="M10" s="8">
        <f>IFERROR(100/'Skjema total MA'!I10*K10,0)</f>
        <v>19.40296366302217</v>
      </c>
    </row>
    <row r="11" spans="1:14" s="35" customFormat="1" ht="15.6" x14ac:dyDescent="0.25">
      <c r="A11" s="10" t="s">
        <v>173</v>
      </c>
      <c r="B11" s="252"/>
      <c r="C11" s="253"/>
      <c r="D11" s="127"/>
      <c r="E11" s="8"/>
      <c r="F11" s="252">
        <v>2637.5888100000002</v>
      </c>
      <c r="G11" s="253">
        <v>866.62644999999998</v>
      </c>
      <c r="H11" s="127">
        <f t="shared" si="3"/>
        <v>-67.099999999999994</v>
      </c>
      <c r="I11" s="119">
        <f>IFERROR(100/'Skjema total MA'!F11*G11,0)</f>
        <v>0.81024783921908761</v>
      </c>
      <c r="J11" s="250">
        <f t="shared" si="0"/>
        <v>2637.5888100000002</v>
      </c>
      <c r="K11" s="251">
        <f t="shared" si="0"/>
        <v>866.62644999999998</v>
      </c>
      <c r="L11" s="342">
        <f t="shared" si="4"/>
        <v>-67.099999999999994</v>
      </c>
      <c r="M11" s="8">
        <f>IFERROR(100/'Skjema total MA'!I11*K11,0)</f>
        <v>0.81024783921908761</v>
      </c>
      <c r="N11" s="107"/>
    </row>
    <row r="12" spans="1:14" s="35" customFormat="1" ht="15.6" x14ac:dyDescent="0.25">
      <c r="A12" s="33" t="s">
        <v>174</v>
      </c>
      <c r="B12" s="254"/>
      <c r="C12" s="255"/>
      <c r="D12" s="125"/>
      <c r="E12" s="30"/>
      <c r="F12" s="254">
        <v>173065.79573000001</v>
      </c>
      <c r="G12" s="255">
        <v>67018.64834</v>
      </c>
      <c r="H12" s="125">
        <f t="shared" si="3"/>
        <v>-61.3</v>
      </c>
      <c r="I12" s="125">
        <f>IFERROR(100/'Skjema total MA'!F12*G12,0)</f>
        <v>53.451110589701223</v>
      </c>
      <c r="J12" s="256">
        <f t="shared" si="0"/>
        <v>173065.79573000001</v>
      </c>
      <c r="K12" s="257">
        <f t="shared" si="0"/>
        <v>67018.64834</v>
      </c>
      <c r="L12" s="343">
        <f t="shared" si="4"/>
        <v>-61.3</v>
      </c>
      <c r="M12" s="30">
        <f>IFERROR(100/'Skjema total MA'!I12*K12,0)</f>
        <v>61.512490818920696</v>
      </c>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v>1029.2824900000001</v>
      </c>
      <c r="C22" s="252">
        <v>801.38648999999998</v>
      </c>
      <c r="D22" s="285">
        <f t="shared" ref="D22:D37" si="5">IF(B22=0, "    ---- ", IF(ABS(ROUND(100/B22*C22-100,1))&lt;999,ROUND(100/B22*C22-100,1),IF(ROUND(100/B22*C22-100,1)&gt;999,999,-999)))</f>
        <v>-22.1</v>
      </c>
      <c r="E22" s="8">
        <f>IFERROR(100/'Skjema total MA'!C22*C22,0)</f>
        <v>7.4336373000255238E-2</v>
      </c>
      <c r="F22" s="260">
        <v>67245.241810000007</v>
      </c>
      <c r="G22" s="260">
        <v>106701.42887</v>
      </c>
      <c r="H22" s="285">
        <f t="shared" ref="H22:H35" si="6">IF(F22=0, "    ---- ", IF(ABS(ROUND(100/F22*G22-100,1))&lt;999,ROUND(100/F22*G22-100,1),IF(ROUND(100/F22*G22-100,1)&gt;999,999,-999)))</f>
        <v>58.7</v>
      </c>
      <c r="I22" s="8">
        <f>IFERROR(100/'Skjema total MA'!F22*G22,0)</f>
        <v>23.905569959140582</v>
      </c>
      <c r="J22" s="258">
        <f t="shared" ref="J22:K35" si="7">SUM(B22,F22)</f>
        <v>68274.524300000005</v>
      </c>
      <c r="K22" s="258">
        <f t="shared" si="7"/>
        <v>107502.81536000001</v>
      </c>
      <c r="L22" s="341">
        <f t="shared" ref="L22:L35" si="8">IF(J22=0, "    ---- ", IF(ABS(ROUND(100/J22*K22-100,1))&lt;999,ROUND(100/J22*K22-100,1),IF(ROUND(100/J22*K22-100,1)&gt;999,999,-999)))</f>
        <v>57.5</v>
      </c>
      <c r="M22" s="21">
        <f>IFERROR(100/'Skjema total MA'!I22*K22,0)</f>
        <v>7.052140460640131</v>
      </c>
    </row>
    <row r="23" spans="1:13" ht="15.6" x14ac:dyDescent="0.25">
      <c r="A23" s="382" t="s">
        <v>178</v>
      </c>
      <c r="B23" s="228">
        <v>184.62801818124299</v>
      </c>
      <c r="C23" s="228">
        <v>151.76344454538099</v>
      </c>
      <c r="D23" s="123">
        <f t="shared" si="5"/>
        <v>-17.8</v>
      </c>
      <c r="E23" s="8">
        <f>IFERROR(100/'Skjema total MA'!C23*C23,0)</f>
        <v>1.9017647230280758E-2</v>
      </c>
      <c r="F23" s="236">
        <v>5401.7416300000004</v>
      </c>
      <c r="G23" s="236">
        <v>5554.5210699999998</v>
      </c>
      <c r="H23" s="123">
        <f t="shared" si="6"/>
        <v>2.8</v>
      </c>
      <c r="I23" s="335">
        <f>IFERROR(100/'Skjema total MA'!F23*G23,0)</f>
        <v>64.19555966921294</v>
      </c>
      <c r="J23" s="236">
        <f t="shared" ref="J23:J26" si="9">SUM(B23,F23)</f>
        <v>5586.3696481812431</v>
      </c>
      <c r="K23" s="236">
        <f t="shared" ref="K23:K26" si="10">SUM(C23,G23)</f>
        <v>5706.2845145453812</v>
      </c>
      <c r="L23" s="123">
        <f t="shared" si="8"/>
        <v>2.1</v>
      </c>
      <c r="M23" s="20">
        <f>IFERROR(100/'Skjema total MA'!I23*K23,0)</f>
        <v>0.70739098554826507</v>
      </c>
    </row>
    <row r="24" spans="1:13" ht="15.6" x14ac:dyDescent="0.25">
      <c r="A24" s="382" t="s">
        <v>179</v>
      </c>
      <c r="B24" s="228">
        <v>844.65447181875697</v>
      </c>
      <c r="C24" s="228">
        <v>649.62304545461905</v>
      </c>
      <c r="D24" s="123">
        <f t="shared" si="5"/>
        <v>-23.1</v>
      </c>
      <c r="E24" s="8">
        <f>IFERROR(100/'Skjema total MA'!C24*C24,0)</f>
        <v>19.220810466337159</v>
      </c>
      <c r="F24" s="236">
        <v>1</v>
      </c>
      <c r="G24" s="236">
        <v>62.353499999999997</v>
      </c>
      <c r="H24" s="123">
        <f t="shared" si="6"/>
        <v>999</v>
      </c>
      <c r="I24" s="335">
        <f>IFERROR(100/'Skjema total MA'!F24*G24,0)</f>
        <v>95.555793942087391</v>
      </c>
      <c r="J24" s="236">
        <f t="shared" si="9"/>
        <v>845.65447181875697</v>
      </c>
      <c r="K24" s="236">
        <f t="shared" si="10"/>
        <v>711.9765454546191</v>
      </c>
      <c r="L24" s="123">
        <f t="shared" si="8"/>
        <v>-15.8</v>
      </c>
      <c r="M24" s="20">
        <f>IFERROR(100/'Skjema total MA'!I24*K24,0)</f>
        <v>20.666691985229676</v>
      </c>
    </row>
    <row r="25" spans="1:13" ht="15.6" x14ac:dyDescent="0.25">
      <c r="A25" s="382" t="s">
        <v>180</v>
      </c>
      <c r="B25" s="228"/>
      <c r="C25" s="228"/>
      <c r="D25" s="123"/>
      <c r="E25" s="8"/>
      <c r="F25" s="236">
        <v>151.386</v>
      </c>
      <c r="G25" s="236">
        <v>3680.9883</v>
      </c>
      <c r="H25" s="123">
        <f t="shared" si="6"/>
        <v>999</v>
      </c>
      <c r="I25" s="335">
        <f>IFERROR(100/'Skjema total MA'!F25*G25,0)</f>
        <v>52.145400850627212</v>
      </c>
      <c r="J25" s="236">
        <f t="shared" si="9"/>
        <v>151.386</v>
      </c>
      <c r="K25" s="236">
        <f t="shared" si="10"/>
        <v>3680.9883</v>
      </c>
      <c r="L25" s="123">
        <f t="shared" si="8"/>
        <v>999</v>
      </c>
      <c r="M25" s="20">
        <f>IFERROR(100/'Skjema total MA'!I25*K25,0)</f>
        <v>32.304416701252933</v>
      </c>
    </row>
    <row r="26" spans="1:13" ht="15.6" x14ac:dyDescent="0.25">
      <c r="A26" s="382" t="s">
        <v>181</v>
      </c>
      <c r="B26" s="228"/>
      <c r="C26" s="228"/>
      <c r="D26" s="123"/>
      <c r="E26" s="8"/>
      <c r="F26" s="236">
        <v>61691.114179999997</v>
      </c>
      <c r="G26" s="236">
        <v>97403.566000000006</v>
      </c>
      <c r="H26" s="123">
        <f t="shared" si="6"/>
        <v>57.9</v>
      </c>
      <c r="I26" s="335">
        <f>IFERROR(100/'Skjema total MA'!F26*G26,0)</f>
        <v>22.622076658849593</v>
      </c>
      <c r="J26" s="236">
        <f t="shared" si="9"/>
        <v>61691.114179999997</v>
      </c>
      <c r="K26" s="236">
        <f t="shared" si="10"/>
        <v>97403.566000000006</v>
      </c>
      <c r="L26" s="123">
        <f t="shared" si="8"/>
        <v>57.9</v>
      </c>
      <c r="M26" s="20">
        <f>IFERROR(100/'Skjema total MA'!I26*K26,0)</f>
        <v>22.622076658849593</v>
      </c>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v>132022.77009720801</v>
      </c>
      <c r="C28" s="234">
        <v>159534.59916061201</v>
      </c>
      <c r="D28" s="123">
        <f t="shared" si="5"/>
        <v>20.8</v>
      </c>
      <c r="E28" s="8">
        <f>IFERROR(100/'Skjema total MA'!C28*C28,0)</f>
        <v>11.83591527299404</v>
      </c>
      <c r="F28" s="181"/>
      <c r="G28" s="234"/>
      <c r="H28" s="123"/>
      <c r="I28" s="23"/>
      <c r="J28" s="36">
        <f t="shared" si="7"/>
        <v>132022.77009720801</v>
      </c>
      <c r="K28" s="36">
        <f t="shared" si="7"/>
        <v>159534.59916061201</v>
      </c>
      <c r="L28" s="206">
        <f t="shared" si="8"/>
        <v>20.8</v>
      </c>
      <c r="M28" s="20">
        <f>IFERROR(100/'Skjema total MA'!I28*K28,0)</f>
        <v>11.83591527299404</v>
      </c>
    </row>
    <row r="29" spans="1:13" ht="15.6" x14ac:dyDescent="0.25">
      <c r="A29" s="10" t="s">
        <v>172</v>
      </c>
      <c r="B29" s="183">
        <v>6208454.7856099997</v>
      </c>
      <c r="C29" s="183">
        <v>5708840.6407599999</v>
      </c>
      <c r="D29" s="127">
        <f t="shared" si="5"/>
        <v>-8</v>
      </c>
      <c r="E29" s="8">
        <f>IFERROR(100/'Skjema total MA'!C29*C29,0)</f>
        <v>12.827458513478255</v>
      </c>
      <c r="F29" s="250">
        <v>9555587.9172699992</v>
      </c>
      <c r="G29" s="250">
        <v>10475746.01134</v>
      </c>
      <c r="H29" s="127">
        <f t="shared" si="6"/>
        <v>9.6</v>
      </c>
      <c r="I29" s="8">
        <f>IFERROR(100/'Skjema total MA'!F29*G29,0)</f>
        <v>33.59512985388946</v>
      </c>
      <c r="J29" s="183">
        <f t="shared" si="7"/>
        <v>15764042.702879999</v>
      </c>
      <c r="K29" s="183">
        <f t="shared" si="7"/>
        <v>16184586.652100001</v>
      </c>
      <c r="L29" s="342">
        <f t="shared" si="8"/>
        <v>2.7</v>
      </c>
      <c r="M29" s="21">
        <f>IFERROR(100/'Skjema total MA'!I29*K29,0)</f>
        <v>21.383524154024478</v>
      </c>
    </row>
    <row r="30" spans="1:13" ht="15.6" x14ac:dyDescent="0.25">
      <c r="A30" s="382" t="s">
        <v>178</v>
      </c>
      <c r="B30" s="228">
        <v>1113644.4214017801</v>
      </c>
      <c r="C30" s="228">
        <v>1081117.9509682001</v>
      </c>
      <c r="D30" s="123">
        <f t="shared" si="5"/>
        <v>-2.9</v>
      </c>
      <c r="E30" s="8">
        <f>IFERROR(100/'Skjema total MA'!C30*C30,0)</f>
        <v>5.4332938362328536</v>
      </c>
      <c r="F30" s="236">
        <v>1036489.92208</v>
      </c>
      <c r="G30" s="236">
        <v>1051360.54054</v>
      </c>
      <c r="H30" s="123">
        <f t="shared" si="6"/>
        <v>1.4</v>
      </c>
      <c r="I30" s="335">
        <f>IFERROR(100/'Skjema total MA'!F30*G30,0)</f>
        <v>29.638255553132097</v>
      </c>
      <c r="J30" s="236">
        <f t="shared" ref="J30:J33" si="11">SUM(B30,F30)</f>
        <v>2150134.34348178</v>
      </c>
      <c r="K30" s="236">
        <f t="shared" ref="K30:K33" si="12">SUM(C30,G30)</f>
        <v>2132478.4915081998</v>
      </c>
      <c r="L30" s="123">
        <f t="shared" si="8"/>
        <v>-0.8</v>
      </c>
      <c r="M30" s="20">
        <f>IFERROR(100/'Skjema total MA'!I30*K30,0)</f>
        <v>9.0955361985835577</v>
      </c>
    </row>
    <row r="31" spans="1:13" ht="15.6" x14ac:dyDescent="0.25">
      <c r="A31" s="382" t="s">
        <v>179</v>
      </c>
      <c r="B31" s="228">
        <v>5094810.3642082196</v>
      </c>
      <c r="C31" s="228">
        <v>4627722.6897918005</v>
      </c>
      <c r="D31" s="123">
        <f t="shared" si="5"/>
        <v>-9.1999999999999993</v>
      </c>
      <c r="E31" s="8">
        <f>IFERROR(100/'Skjema total MA'!C31*C31,0)</f>
        <v>21.44432617335098</v>
      </c>
      <c r="F31" s="236">
        <v>2108788.1453399998</v>
      </c>
      <c r="G31" s="236">
        <v>2041838.2072000001</v>
      </c>
      <c r="H31" s="123">
        <f t="shared" si="6"/>
        <v>-3.2</v>
      </c>
      <c r="I31" s="335">
        <f>IFERROR(100/'Skjema total MA'!F31*G31,0)</f>
        <v>29.155850439055843</v>
      </c>
      <c r="J31" s="236">
        <f t="shared" si="11"/>
        <v>7203598.5095482189</v>
      </c>
      <c r="K31" s="236">
        <f t="shared" si="12"/>
        <v>6669560.8969918005</v>
      </c>
      <c r="L31" s="123">
        <f t="shared" si="8"/>
        <v>-7.4</v>
      </c>
      <c r="M31" s="20">
        <f>IFERROR(100/'Skjema total MA'!I31*K31,0)</f>
        <v>23.333720424713395</v>
      </c>
    </row>
    <row r="32" spans="1:13" ht="15.6" x14ac:dyDescent="0.25">
      <c r="A32" s="382" t="s">
        <v>180</v>
      </c>
      <c r="B32" s="228"/>
      <c r="C32" s="228"/>
      <c r="D32" s="123"/>
      <c r="E32" s="8"/>
      <c r="F32" s="236">
        <v>2575443.5663200002</v>
      </c>
      <c r="G32" s="236">
        <v>2927155.9287999999</v>
      </c>
      <c r="H32" s="123">
        <f t="shared" si="6"/>
        <v>13.7</v>
      </c>
      <c r="I32" s="335">
        <f>IFERROR(100/'Skjema total MA'!F32*G32,0)</f>
        <v>40.253842237168406</v>
      </c>
      <c r="J32" s="236">
        <f t="shared" si="11"/>
        <v>2575443.5663200002</v>
      </c>
      <c r="K32" s="236">
        <f t="shared" si="12"/>
        <v>2927155.9287999999</v>
      </c>
      <c r="L32" s="123">
        <f t="shared" si="8"/>
        <v>13.7</v>
      </c>
      <c r="M32" s="20">
        <f>IFERROR(100/'Skjema total MA'!I32*K32,0)</f>
        <v>29.075691536045191</v>
      </c>
    </row>
    <row r="33" spans="1:13" ht="15.6" x14ac:dyDescent="0.25">
      <c r="A33" s="382" t="s">
        <v>181</v>
      </c>
      <c r="B33" s="228"/>
      <c r="C33" s="228"/>
      <c r="D33" s="123"/>
      <c r="E33" s="8"/>
      <c r="F33" s="236">
        <v>3834866.2835300001</v>
      </c>
      <c r="G33" s="236">
        <v>4455391.3348000003</v>
      </c>
      <c r="H33" s="123">
        <f t="shared" si="6"/>
        <v>16.2</v>
      </c>
      <c r="I33" s="335">
        <f>IFERROR(100/'Skjema total MA'!F33*G33,0)</f>
        <v>33.348493002701666</v>
      </c>
      <c r="J33" s="236">
        <f t="shared" si="11"/>
        <v>3834866.2835300001</v>
      </c>
      <c r="K33" s="236">
        <f t="shared" si="12"/>
        <v>4455391.3348000003</v>
      </c>
      <c r="L33" s="123">
        <f t="shared" si="8"/>
        <v>16.2</v>
      </c>
      <c r="M33" s="20">
        <f>IFERROR(100/'Skjema total MA'!I33*K33,0)</f>
        <v>33.348493002701666</v>
      </c>
    </row>
    <row r="34" spans="1:13" ht="15.6" x14ac:dyDescent="0.25">
      <c r="A34" s="10" t="s">
        <v>173</v>
      </c>
      <c r="B34" s="183">
        <v>2626.8</v>
      </c>
      <c r="C34" s="251">
        <v>4462.7759999999998</v>
      </c>
      <c r="D34" s="127">
        <f t="shared" si="5"/>
        <v>69.900000000000006</v>
      </c>
      <c r="E34" s="8">
        <f>IFERROR(100/'Skjema total MA'!C34*C34,0)</f>
        <v>103.14321795258179</v>
      </c>
      <c r="F34" s="250">
        <v>3681.0146599999998</v>
      </c>
      <c r="G34" s="251">
        <v>5865.5949700000001</v>
      </c>
      <c r="H34" s="127">
        <f t="shared" si="6"/>
        <v>59.3</v>
      </c>
      <c r="I34" s="8">
        <f>IFERROR(100/'Skjema total MA'!F34*G34,0)</f>
        <v>7.4883894592832476</v>
      </c>
      <c r="J34" s="183">
        <f t="shared" si="7"/>
        <v>6307.81466</v>
      </c>
      <c r="K34" s="183">
        <f t="shared" si="7"/>
        <v>10328.37097</v>
      </c>
      <c r="L34" s="342">
        <f t="shared" si="8"/>
        <v>63.7</v>
      </c>
      <c r="M34" s="21">
        <f>IFERROR(100/'Skjema total MA'!I34*K34,0)</f>
        <v>12.495614289772101</v>
      </c>
    </row>
    <row r="35" spans="1:13" ht="15.6" x14ac:dyDescent="0.25">
      <c r="A35" s="10" t="s">
        <v>174</v>
      </c>
      <c r="B35" s="183">
        <v>72.924580000000006</v>
      </c>
      <c r="C35" s="251">
        <v>988.05364999999995</v>
      </c>
      <c r="D35" s="127">
        <f t="shared" si="5"/>
        <v>999</v>
      </c>
      <c r="E35" s="8">
        <f>IFERROR(100/'Skjema total MA'!C35*C35,0)</f>
        <v>-7.8491764949757931E-2</v>
      </c>
      <c r="F35" s="250">
        <v>34191.975789999997</v>
      </c>
      <c r="G35" s="251">
        <v>41867.059500000003</v>
      </c>
      <c r="H35" s="127">
        <f t="shared" si="6"/>
        <v>22.4</v>
      </c>
      <c r="I35" s="8">
        <f>IFERROR(100/'Skjema total MA'!F35*G35,0)</f>
        <v>38.165834230639611</v>
      </c>
      <c r="J35" s="183">
        <f t="shared" si="7"/>
        <v>34264.900369999996</v>
      </c>
      <c r="K35" s="183">
        <f t="shared" si="7"/>
        <v>42855.113150000005</v>
      </c>
      <c r="L35" s="342">
        <f t="shared" si="8"/>
        <v>25.1</v>
      </c>
      <c r="M35" s="21">
        <f>IFERROR(100/'Skjema total MA'!I35*K35,0)</f>
        <v>-3.7294458011316154</v>
      </c>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v>382887.15678000002</v>
      </c>
      <c r="C37" s="251">
        <v>369767.24354</v>
      </c>
      <c r="D37" s="127">
        <f t="shared" si="5"/>
        <v>-3.4</v>
      </c>
      <c r="E37" s="8">
        <f>IFERROR(100/'Skjema total MA'!C37*C37,0)</f>
        <v>16.202371554274936</v>
      </c>
      <c r="F37" s="261"/>
      <c r="G37" s="263"/>
      <c r="H37" s="127"/>
      <c r="I37" s="348"/>
      <c r="J37" s="183">
        <f t="shared" ref="J37" si="13">SUM(B37,F37)</f>
        <v>382887.15678000002</v>
      </c>
      <c r="K37" s="183">
        <f t="shared" ref="K37" si="14">SUM(C37,G37)</f>
        <v>369767.24354</v>
      </c>
      <c r="L37" s="342"/>
      <c r="M37" s="21">
        <f>IFERROR(100/'Skjema total MA'!I37*K37,0)</f>
        <v>16.202371554274936</v>
      </c>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813054.32147000008</v>
      </c>
      <c r="C47" s="253">
        <v>922728.35901000001</v>
      </c>
      <c r="D47" s="341">
        <f t="shared" ref="D47:D57" si="15">IF(B47=0, "    ---- ", IF(ABS(ROUND(100/B47*C47-100,1))&lt;999,ROUND(100/B47*C47-100,1),IF(ROUND(100/B47*C47-100,1)&gt;999,999,-999)))</f>
        <v>13.5</v>
      </c>
      <c r="E47" s="8">
        <f>IFERROR(100/'Skjema total MA'!C47*C47,0)</f>
        <v>18.633544269392381</v>
      </c>
      <c r="F47" s="109"/>
      <c r="G47" s="27"/>
      <c r="H47" s="118"/>
      <c r="I47" s="118"/>
      <c r="J47" s="31"/>
      <c r="K47" s="31"/>
      <c r="L47" s="118"/>
      <c r="M47" s="118"/>
    </row>
    <row r="48" spans="1:13" ht="15.6" x14ac:dyDescent="0.25">
      <c r="A48" s="18" t="s">
        <v>190</v>
      </c>
      <c r="B48" s="228">
        <v>235547.82500000001</v>
      </c>
      <c r="C48" s="229">
        <v>244491.71900000001</v>
      </c>
      <c r="D48" s="206">
        <f t="shared" si="15"/>
        <v>3.8</v>
      </c>
      <c r="E48" s="23">
        <f>IFERROR(100/'Skjema total MA'!C48*C48,0)</f>
        <v>10.171106551389849</v>
      </c>
      <c r="F48" s="109"/>
      <c r="G48" s="27"/>
      <c r="H48" s="109"/>
      <c r="I48" s="109"/>
      <c r="J48" s="27"/>
      <c r="K48" s="27"/>
      <c r="L48" s="118"/>
      <c r="M48" s="118"/>
    </row>
    <row r="49" spans="1:13" ht="15.6" x14ac:dyDescent="0.25">
      <c r="A49" s="18" t="s">
        <v>191</v>
      </c>
      <c r="B49" s="36">
        <v>577506.49647000001</v>
      </c>
      <c r="C49" s="234">
        <v>678236.64000999997</v>
      </c>
      <c r="D49" s="206">
        <f>IF(B49=0, "    ---- ", IF(ABS(ROUND(100/B49*C49-100,1))&lt;999,ROUND(100/B49*C49-100,1),IF(ROUND(100/B49*C49-100,1)&gt;999,999,-999)))</f>
        <v>17.399999999999999</v>
      </c>
      <c r="E49" s="23">
        <f>IFERROR(100/'Skjema total MA'!C49*C49,0)</f>
        <v>26.616432078564017</v>
      </c>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v>54105.643000000004</v>
      </c>
      <c r="C53" s="253">
        <v>19983.601000000002</v>
      </c>
      <c r="D53" s="342">
        <f t="shared" si="15"/>
        <v>-63.1</v>
      </c>
      <c r="E53" s="8">
        <f>IFERROR(100/'Skjema total MA'!C53*C53,0)</f>
        <v>15.266531816739963</v>
      </c>
      <c r="F53" s="109"/>
      <c r="G53" s="27"/>
      <c r="H53" s="109"/>
      <c r="I53" s="109"/>
      <c r="J53" s="27"/>
      <c r="K53" s="27"/>
      <c r="L53" s="118"/>
      <c r="M53" s="118"/>
    </row>
    <row r="54" spans="1:13" ht="15.6" x14ac:dyDescent="0.25">
      <c r="A54" s="18" t="s">
        <v>190</v>
      </c>
      <c r="B54" s="228">
        <v>48216.578000000001</v>
      </c>
      <c r="C54" s="229">
        <v>19981.826000000001</v>
      </c>
      <c r="D54" s="206">
        <f t="shared" si="15"/>
        <v>-58.6</v>
      </c>
      <c r="E54" s="23">
        <f>IFERROR(100/'Skjema total MA'!C54*C54,0)</f>
        <v>15.293306427635507</v>
      </c>
      <c r="F54" s="109"/>
      <c r="G54" s="27"/>
      <c r="H54" s="109"/>
      <c r="I54" s="109"/>
      <c r="J54" s="27"/>
      <c r="K54" s="27"/>
      <c r="L54" s="118"/>
      <c r="M54" s="118"/>
    </row>
    <row r="55" spans="1:13" ht="15.6" x14ac:dyDescent="0.25">
      <c r="A55" s="18" t="s">
        <v>191</v>
      </c>
      <c r="B55" s="228">
        <v>5889.0649999999996</v>
      </c>
      <c r="C55" s="229">
        <v>1.7749999999999999</v>
      </c>
      <c r="D55" s="206">
        <f t="shared" si="15"/>
        <v>-100</v>
      </c>
      <c r="E55" s="23">
        <f>IFERROR(100/'Skjema total MA'!C55*C55,0)</f>
        <v>0.73720278268092621</v>
      </c>
      <c r="F55" s="109"/>
      <c r="G55" s="27"/>
      <c r="H55" s="109"/>
      <c r="I55" s="109"/>
      <c r="J55" s="27"/>
      <c r="K55" s="27"/>
      <c r="L55" s="118"/>
      <c r="M55" s="118"/>
    </row>
    <row r="56" spans="1:13" ht="15.6" x14ac:dyDescent="0.25">
      <c r="A56" s="10" t="s">
        <v>196</v>
      </c>
      <c r="B56" s="252">
        <v>13497.710999999999</v>
      </c>
      <c r="C56" s="253">
        <v>2222.7759999999998</v>
      </c>
      <c r="D56" s="342">
        <f t="shared" si="15"/>
        <v>-83.5</v>
      </c>
      <c r="E56" s="8">
        <f>IFERROR(100/'Skjema total MA'!C56*C56,0)</f>
        <v>2.0171477377295939</v>
      </c>
      <c r="F56" s="109"/>
      <c r="G56" s="27"/>
      <c r="H56" s="109"/>
      <c r="I56" s="109"/>
      <c r="J56" s="27"/>
      <c r="K56" s="27"/>
      <c r="L56" s="118"/>
      <c r="M56" s="118"/>
    </row>
    <row r="57" spans="1:13" ht="15.6" x14ac:dyDescent="0.25">
      <c r="A57" s="18" t="s">
        <v>190</v>
      </c>
      <c r="B57" s="228">
        <v>13497.710999999999</v>
      </c>
      <c r="C57" s="229">
        <v>2222.7759999999998</v>
      </c>
      <c r="D57" s="206">
        <f t="shared" si="15"/>
        <v>-83.5</v>
      </c>
      <c r="E57" s="23">
        <f>IFERROR(100/'Skjema total MA'!C57*C57,0)</f>
        <v>2.187599164794201</v>
      </c>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v>1114905.27731</v>
      </c>
      <c r="C66" s="288">
        <v>1186355.9340499998</v>
      </c>
      <c r="D66" s="285">
        <f t="shared" ref="D66:D111" si="16">IF(B66=0, "    ---- ", IF(ABS(ROUND(100/B66*C66-100,1))&lt;999,ROUND(100/B66*C66-100,1),IF(ROUND(100/B66*C66-100,1)&gt;999,999,-999)))</f>
        <v>6.4</v>
      </c>
      <c r="E66" s="559">
        <f>IFERROR(100/'Skjema total MA'!C66*C66,0)</f>
        <v>39.027156191858687</v>
      </c>
      <c r="F66" s="560">
        <v>4499100.4843899999</v>
      </c>
      <c r="G66" s="287">
        <v>4485021.1846099999</v>
      </c>
      <c r="H66" s="285">
        <f t="shared" ref="H66:H111" si="17">IF(F66=0, "    ---- ", IF(ABS(ROUND(100/F66*G66-100,1))&lt;999,ROUND(100/F66*G66-100,1),IF(ROUND(100/F66*G66-100,1)&gt;999,999,-999)))</f>
        <v>-0.3</v>
      </c>
      <c r="I66" s="559">
        <f>IFERROR(100/'Skjema total MA'!F66*G66,0)</f>
        <v>29.466784010599191</v>
      </c>
      <c r="J66" s="258">
        <f t="shared" ref="J66:K86" si="18">SUM(B66,F66)</f>
        <v>5614005.7616999997</v>
      </c>
      <c r="K66" s="258">
        <f t="shared" si="18"/>
        <v>5671377.1186599992</v>
      </c>
      <c r="L66" s="342">
        <f t="shared" ref="L66:L111" si="19">IF(J66=0, "    ---- ", IF(ABS(ROUND(100/J66*K66-100,1))&lt;999,ROUND(100/J66*K66-100,1),IF(ROUND(100/J66*K66-100,1)&gt;999,999,-999)))</f>
        <v>1</v>
      </c>
      <c r="M66" s="8">
        <f>IFERROR(100/'Skjema total MA'!I66*K66,0)</f>
        <v>31.058304046473037</v>
      </c>
    </row>
    <row r="67" spans="1:13" x14ac:dyDescent="0.25">
      <c r="A67" s="39" t="s">
        <v>198</v>
      </c>
      <c r="B67" s="36">
        <v>487759.76637999999</v>
      </c>
      <c r="C67" s="109">
        <v>521674.92755999998</v>
      </c>
      <c r="D67" s="123">
        <f t="shared" si="16"/>
        <v>7</v>
      </c>
      <c r="E67" s="20">
        <f>IFERROR(100/'Skjema total MA'!C67*C67,0)</f>
        <v>30.574425023993722</v>
      </c>
      <c r="F67" s="36"/>
      <c r="G67" s="109"/>
      <c r="H67" s="123"/>
      <c r="I67" s="20"/>
      <c r="J67" s="36">
        <f t="shared" si="18"/>
        <v>487759.76637999999</v>
      </c>
      <c r="K67" s="36">
        <f t="shared" si="18"/>
        <v>521674.92755999998</v>
      </c>
      <c r="L67" s="206">
        <f t="shared" si="19"/>
        <v>7</v>
      </c>
      <c r="M67" s="23">
        <f>IFERROR(100/'Skjema total MA'!I67*K67,0)</f>
        <v>30.574425023993722</v>
      </c>
    </row>
    <row r="68" spans="1:13" x14ac:dyDescent="0.25">
      <c r="A68" s="18" t="s">
        <v>199</v>
      </c>
      <c r="B68" s="237"/>
      <c r="C68" s="238"/>
      <c r="D68" s="123"/>
      <c r="E68" s="20"/>
      <c r="F68" s="142">
        <v>4078881.07589</v>
      </c>
      <c r="G68" s="238">
        <v>4062770.4446100001</v>
      </c>
      <c r="H68" s="123">
        <f t="shared" si="17"/>
        <v>-0.4</v>
      </c>
      <c r="I68" s="20">
        <f>IFERROR(100/'Skjema total MA'!F68*G68,0)</f>
        <v>27.702504721418496</v>
      </c>
      <c r="J68" s="36">
        <f t="shared" si="18"/>
        <v>4078881.07589</v>
      </c>
      <c r="K68" s="36">
        <f t="shared" si="18"/>
        <v>4062770.4446100001</v>
      </c>
      <c r="L68" s="206">
        <f t="shared" si="19"/>
        <v>-0.4</v>
      </c>
      <c r="M68" s="23">
        <f>IFERROR(100/'Skjema total MA'!I68*K68,0)</f>
        <v>27.693940179514492</v>
      </c>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v>87211.569499999998</v>
      </c>
      <c r="C75" s="109">
        <v>92747.341499999995</v>
      </c>
      <c r="D75" s="123">
        <f t="shared" si="16"/>
        <v>6.3</v>
      </c>
      <c r="E75" s="20">
        <f>IFERROR(100/'Skjema total MA'!C75*C75,0)</f>
        <v>45.848987712728402</v>
      </c>
      <c r="F75" s="36">
        <v>420219.40850000002</v>
      </c>
      <c r="G75" s="109">
        <v>422250.74</v>
      </c>
      <c r="H75" s="123">
        <f t="shared" si="17"/>
        <v>0.5</v>
      </c>
      <c r="I75" s="20">
        <f>IFERROR(100/'Skjema total MA'!F75*G75,0)</f>
        <v>76.097075464965428</v>
      </c>
      <c r="J75" s="36">
        <f t="shared" si="18"/>
        <v>507430.978</v>
      </c>
      <c r="K75" s="36">
        <f t="shared" si="18"/>
        <v>514998.08149999997</v>
      </c>
      <c r="L75" s="206">
        <f t="shared" si="19"/>
        <v>1.5</v>
      </c>
      <c r="M75" s="23">
        <f>IFERROR(100/'Skjema total MA'!I75*K75,0)</f>
        <v>68.015900930821147</v>
      </c>
    </row>
    <row r="76" spans="1:13" ht="15.6" x14ac:dyDescent="0.25">
      <c r="A76" s="18" t="s">
        <v>410</v>
      </c>
      <c r="B76" s="181">
        <v>539933.94143000001</v>
      </c>
      <c r="C76" s="109">
        <v>571933.66498999996</v>
      </c>
      <c r="D76" s="123">
        <f t="shared" ref="D76" si="20">IF(B76=0, "    ---- ", IF(ABS(ROUND(100/B76*C76-100,1))&lt;999,ROUND(100/B76*C76-100,1),IF(ROUND(100/B76*C76-100,1)&gt;999,999,-999)))</f>
        <v>5.9</v>
      </c>
      <c r="E76" s="20">
        <f>IFERROR(100/'Skjema total MA'!C76*C76,0)</f>
        <v>50.759528658049959</v>
      </c>
      <c r="F76" s="36"/>
      <c r="G76" s="109"/>
      <c r="H76" s="123"/>
      <c r="I76" s="20"/>
      <c r="J76" s="36">
        <f t="shared" ref="J76" si="21">SUM(B76,F76)</f>
        <v>539933.94143000001</v>
      </c>
      <c r="K76" s="36">
        <f t="shared" ref="K76" si="22">SUM(C76,G76)</f>
        <v>571933.66498999996</v>
      </c>
      <c r="L76" s="206">
        <f t="shared" ref="L76" si="23">IF(J76=0, "    ---- ", IF(ABS(ROUND(100/J76*K76-100,1))&lt;999,ROUND(100/J76*K76-100,1),IF(ROUND(100/J76*K76-100,1)&gt;999,999,-999)))</f>
        <v>5.9</v>
      </c>
      <c r="M76" s="23">
        <f>IFERROR(100/'Skjema total MA'!I76*K76,0)</f>
        <v>50.759528658049959</v>
      </c>
    </row>
    <row r="77" spans="1:13" ht="15.6" x14ac:dyDescent="0.25">
      <c r="A77" s="18" t="s">
        <v>206</v>
      </c>
      <c r="B77" s="181">
        <v>443622.52638</v>
      </c>
      <c r="C77" s="181">
        <v>476121.87255999999</v>
      </c>
      <c r="D77" s="123">
        <f t="shared" si="16"/>
        <v>7.3</v>
      </c>
      <c r="E77" s="20">
        <f>IFERROR(100/'Skjema total MA'!C77*C77,0)</f>
        <v>29.108784046360807</v>
      </c>
      <c r="F77" s="36">
        <v>4078881.07589</v>
      </c>
      <c r="G77" s="109">
        <v>4062770.4446100001</v>
      </c>
      <c r="H77" s="123">
        <f t="shared" si="17"/>
        <v>-0.4</v>
      </c>
      <c r="I77" s="20">
        <f>IFERROR(100/'Skjema total MA'!F77*G77,0)</f>
        <v>27.711046533022547</v>
      </c>
      <c r="J77" s="36">
        <f t="shared" si="18"/>
        <v>4522503.6022699997</v>
      </c>
      <c r="K77" s="36">
        <f t="shared" si="18"/>
        <v>4538892.3171699997</v>
      </c>
      <c r="L77" s="206">
        <f t="shared" si="19"/>
        <v>0.4</v>
      </c>
      <c r="M77" s="23">
        <f>IFERROR(100/'Skjema total MA'!I77*K77,0)</f>
        <v>27.851333006011838</v>
      </c>
    </row>
    <row r="78" spans="1:13" x14ac:dyDescent="0.25">
      <c r="A78" s="18" t="s">
        <v>198</v>
      </c>
      <c r="B78" s="181">
        <v>443622.52638</v>
      </c>
      <c r="C78" s="109">
        <v>476121.87255999999</v>
      </c>
      <c r="D78" s="123">
        <f t="shared" si="16"/>
        <v>7.3</v>
      </c>
      <c r="E78" s="20">
        <f>IFERROR(100/'Skjema total MA'!C78*C78,0)</f>
        <v>29.189723178465325</v>
      </c>
      <c r="F78" s="36"/>
      <c r="G78" s="109"/>
      <c r="H78" s="123"/>
      <c r="I78" s="20"/>
      <c r="J78" s="36">
        <f t="shared" si="18"/>
        <v>443622.52638</v>
      </c>
      <c r="K78" s="36">
        <f t="shared" si="18"/>
        <v>476121.87255999999</v>
      </c>
      <c r="L78" s="206">
        <f t="shared" si="19"/>
        <v>7.3</v>
      </c>
      <c r="M78" s="23">
        <f>IFERROR(100/'Skjema total MA'!I78*K78,0)</f>
        <v>29.189723178465325</v>
      </c>
    </row>
    <row r="79" spans="1:13" x14ac:dyDescent="0.25">
      <c r="A79" s="18" t="s">
        <v>207</v>
      </c>
      <c r="B79" s="237"/>
      <c r="C79" s="238"/>
      <c r="D79" s="123"/>
      <c r="E79" s="20"/>
      <c r="F79" s="142">
        <v>4078881.07589</v>
      </c>
      <c r="G79" s="238">
        <v>4062770.4446100001</v>
      </c>
      <c r="H79" s="123">
        <f t="shared" si="17"/>
        <v>-0.4</v>
      </c>
      <c r="I79" s="20">
        <f>IFERROR(100/'Skjema total MA'!F79*G79,0)</f>
        <v>27.711046533022547</v>
      </c>
      <c r="J79" s="36">
        <f t="shared" si="18"/>
        <v>4078881.07589</v>
      </c>
      <c r="K79" s="36">
        <f t="shared" si="18"/>
        <v>4062770.4446100001</v>
      </c>
      <c r="L79" s="206">
        <f t="shared" si="19"/>
        <v>-0.4</v>
      </c>
      <c r="M79" s="23">
        <f>IFERROR(100/'Skjema total MA'!I79*K79,0)</f>
        <v>27.702476709526341</v>
      </c>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v>44137.24</v>
      </c>
      <c r="C86" s="109">
        <v>45553.055</v>
      </c>
      <c r="D86" s="123">
        <f t="shared" si="16"/>
        <v>3.2</v>
      </c>
      <c r="E86" s="20">
        <f>IFERROR(100/'Skjema total MA'!C86*C86,0)</f>
        <v>60.642663420751155</v>
      </c>
      <c r="F86" s="36"/>
      <c r="G86" s="109"/>
      <c r="H86" s="123"/>
      <c r="I86" s="20"/>
      <c r="J86" s="36">
        <f t="shared" si="18"/>
        <v>44137.24</v>
      </c>
      <c r="K86" s="36">
        <f t="shared" si="18"/>
        <v>45553.055</v>
      </c>
      <c r="L86" s="206">
        <f t="shared" si="19"/>
        <v>3.2</v>
      </c>
      <c r="M86" s="23">
        <f>IFERROR(100/'Skjema total MA'!I86*K86,0)</f>
        <v>57.20028014830843</v>
      </c>
    </row>
    <row r="87" spans="1:13" ht="15.6" x14ac:dyDescent="0.25">
      <c r="A87" s="10" t="s">
        <v>172</v>
      </c>
      <c r="B87" s="288">
        <v>175482632.03440002</v>
      </c>
      <c r="C87" s="288">
        <v>178647559.55446002</v>
      </c>
      <c r="D87" s="127">
        <f t="shared" si="16"/>
        <v>1.8</v>
      </c>
      <c r="E87" s="21">
        <f>IFERROR(100/'Skjema total MA'!C87*C87,0)</f>
        <v>43.089141540832884</v>
      </c>
      <c r="F87" s="225">
        <v>219497758.13139001</v>
      </c>
      <c r="G87" s="287">
        <v>254820426.51534</v>
      </c>
      <c r="H87" s="127">
        <f t="shared" si="17"/>
        <v>16.100000000000001</v>
      </c>
      <c r="I87" s="21">
        <f>IFERROR(100/'Skjema total MA'!F87*G87,0)</f>
        <v>32.062750086431798</v>
      </c>
      <c r="J87" s="183">
        <f t="shared" ref="J87:K111" si="24">SUM(B87,F87)</f>
        <v>394980390.16579002</v>
      </c>
      <c r="K87" s="183">
        <f t="shared" si="24"/>
        <v>433467986.06980002</v>
      </c>
      <c r="L87" s="342">
        <f t="shared" si="19"/>
        <v>9.6999999999999993</v>
      </c>
      <c r="M87" s="8">
        <f>IFERROR(100/'Skjema total MA'!I87*K87,0)</f>
        <v>35.84289748653088</v>
      </c>
    </row>
    <row r="88" spans="1:13" x14ac:dyDescent="0.25">
      <c r="A88" s="18" t="s">
        <v>198</v>
      </c>
      <c r="B88" s="181">
        <v>161625777.98425001</v>
      </c>
      <c r="C88" s="109">
        <v>162368678.61515</v>
      </c>
      <c r="D88" s="123">
        <f t="shared" si="16"/>
        <v>0.5</v>
      </c>
      <c r="E88" s="20">
        <f>IFERROR(100/'Skjema total MA'!C88*C88,0)</f>
        <v>41.984027335608808</v>
      </c>
      <c r="F88" s="36"/>
      <c r="G88" s="109"/>
      <c r="H88" s="123"/>
      <c r="I88" s="20"/>
      <c r="J88" s="36">
        <f t="shared" si="24"/>
        <v>161625777.98425001</v>
      </c>
      <c r="K88" s="36">
        <f t="shared" si="24"/>
        <v>162368678.61515</v>
      </c>
      <c r="L88" s="206">
        <f t="shared" si="19"/>
        <v>0.5</v>
      </c>
      <c r="M88" s="23">
        <f>IFERROR(100/'Skjema total MA'!I88*K88,0)</f>
        <v>41.984027335608808</v>
      </c>
    </row>
    <row r="89" spans="1:13" x14ac:dyDescent="0.25">
      <c r="A89" s="18" t="s">
        <v>199</v>
      </c>
      <c r="B89" s="181">
        <v>46663.965629999999</v>
      </c>
      <c r="C89" s="109">
        <v>45690.732020000003</v>
      </c>
      <c r="D89" s="123">
        <f t="shared" si="16"/>
        <v>-2.1</v>
      </c>
      <c r="E89" s="20">
        <f>IFERROR(100/'Skjema total MA'!C89*C89,0)</f>
        <v>1.0786630173576428</v>
      </c>
      <c r="F89" s="36">
        <v>212190734.00196001</v>
      </c>
      <c r="G89" s="109">
        <v>245941544.29339001</v>
      </c>
      <c r="H89" s="123">
        <f t="shared" si="17"/>
        <v>15.9</v>
      </c>
      <c r="I89" s="20">
        <f>IFERROR(100/'Skjema total MA'!F89*G89,0)</f>
        <v>31.454336804239141</v>
      </c>
      <c r="J89" s="36">
        <f t="shared" si="24"/>
        <v>212237397.96759</v>
      </c>
      <c r="K89" s="36">
        <f t="shared" si="24"/>
        <v>245987235.02541</v>
      </c>
      <c r="L89" s="206">
        <f t="shared" si="19"/>
        <v>15.9</v>
      </c>
      <c r="M89" s="23">
        <f>IFERROR(100/'Skjema total MA'!I89*K89,0)</f>
        <v>31.290666274885275</v>
      </c>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v>3490807.5614999998</v>
      </c>
      <c r="C96" s="109">
        <v>4650329.8332700003</v>
      </c>
      <c r="D96" s="123">
        <f t="shared" si="16"/>
        <v>33.200000000000003</v>
      </c>
      <c r="E96" s="20">
        <f>IFERROR(100/'Skjema total MA'!C96*C96,0)</f>
        <v>48.578284696854105</v>
      </c>
      <c r="F96" s="36">
        <v>7307024.1294299997</v>
      </c>
      <c r="G96" s="109">
        <v>8878882.2219500002</v>
      </c>
      <c r="H96" s="123">
        <f t="shared" si="17"/>
        <v>21.5</v>
      </c>
      <c r="I96" s="20">
        <f>IFERROR(100/'Skjema total MA'!F96*G96,0)</f>
        <v>69.068971567122347</v>
      </c>
      <c r="J96" s="36">
        <f t="shared" si="24"/>
        <v>10797831.69093</v>
      </c>
      <c r="K96" s="36">
        <f t="shared" si="24"/>
        <v>13529212.05522</v>
      </c>
      <c r="L96" s="206">
        <f t="shared" si="19"/>
        <v>25.3</v>
      </c>
      <c r="M96" s="23">
        <f>IFERROR(100/'Skjema total MA'!I96*K96,0)</f>
        <v>60.322991824342274</v>
      </c>
    </row>
    <row r="97" spans="1:13" x14ac:dyDescent="0.25">
      <c r="A97" s="18" t="s">
        <v>223</v>
      </c>
      <c r="B97" s="181">
        <v>10319382.523019999</v>
      </c>
      <c r="C97" s="109">
        <v>11582860.374020001</v>
      </c>
      <c r="D97" s="123">
        <f t="shared" ref="D97" si="25">IF(B97=0, "    ---- ", IF(ABS(ROUND(100/B97*C97-100,1))&lt;999,ROUND(100/B97*C97-100,1),IF(ROUND(100/B97*C97-100,1)&gt;999,999,-999)))</f>
        <v>12.2</v>
      </c>
      <c r="E97" s="20">
        <f>IFERROR(100/'Skjema total MA'!C98*C97,0)</f>
        <v>2.9957317452334737</v>
      </c>
      <c r="F97" s="36"/>
      <c r="G97" s="109"/>
      <c r="H97" s="123"/>
      <c r="I97" s="20"/>
      <c r="J97" s="36">
        <f t="shared" ref="J97" si="26">SUM(B97,F97)</f>
        <v>10319382.523019999</v>
      </c>
      <c r="K97" s="36">
        <f t="shared" ref="K97" si="27">SUM(C97,G97)</f>
        <v>11582860.374020001</v>
      </c>
      <c r="L97" s="206">
        <f t="shared" ref="L97" si="28">IF(J97=0, "    ---- ", IF(ABS(ROUND(100/J97*K97-100,1))&lt;999,ROUND(100/J97*K97-100,1),IF(ROUND(100/J97*K97-100,1)&gt;999,999,-999)))</f>
        <v>12.2</v>
      </c>
      <c r="M97" s="23">
        <f>IFERROR(100/'Skjema total MA'!I98*K97,0)</f>
        <v>0.99156717852371645</v>
      </c>
    </row>
    <row r="98" spans="1:13" ht="15.6" x14ac:dyDescent="0.25">
      <c r="A98" s="18" t="s">
        <v>206</v>
      </c>
      <c r="B98" s="181">
        <v>158631481.00288001</v>
      </c>
      <c r="C98" s="181">
        <v>159196382.63716999</v>
      </c>
      <c r="D98" s="123">
        <f t="shared" si="16"/>
        <v>0.4</v>
      </c>
      <c r="E98" s="20">
        <f>IFERROR(100/'Skjema total MA'!C98*C98,0)</f>
        <v>41.17373790175342</v>
      </c>
      <c r="F98" s="142">
        <v>212190734.00196001</v>
      </c>
      <c r="G98" s="237">
        <v>245941544.29339001</v>
      </c>
      <c r="H98" s="123">
        <f t="shared" si="17"/>
        <v>15.9</v>
      </c>
      <c r="I98" s="20">
        <f>IFERROR(100/'Skjema total MA'!F98*G98,0)</f>
        <v>31.470798292759586</v>
      </c>
      <c r="J98" s="36">
        <f t="shared" si="24"/>
        <v>370822215.00484002</v>
      </c>
      <c r="K98" s="36">
        <f t="shared" si="24"/>
        <v>405137926.93055999</v>
      </c>
      <c r="L98" s="206">
        <f t="shared" si="19"/>
        <v>9.3000000000000007</v>
      </c>
      <c r="M98" s="23">
        <f>IFERROR(100/'Skjema total MA'!I98*K98,0)</f>
        <v>34.682406430498965</v>
      </c>
    </row>
    <row r="99" spans="1:13" x14ac:dyDescent="0.25">
      <c r="A99" s="18" t="s">
        <v>198</v>
      </c>
      <c r="B99" s="237">
        <v>158584817.03725001</v>
      </c>
      <c r="C99" s="238">
        <v>159150691.90515</v>
      </c>
      <c r="D99" s="123">
        <f t="shared" si="16"/>
        <v>0.4</v>
      </c>
      <c r="E99" s="20">
        <f>IFERROR(100/'Skjema total MA'!C99*C99,0)</f>
        <v>41.617862260562262</v>
      </c>
      <c r="F99" s="36"/>
      <c r="G99" s="109"/>
      <c r="H99" s="123"/>
      <c r="I99" s="20"/>
      <c r="J99" s="36">
        <f t="shared" si="24"/>
        <v>158584817.03725001</v>
      </c>
      <c r="K99" s="36">
        <f t="shared" si="24"/>
        <v>159150691.90515</v>
      </c>
      <c r="L99" s="206">
        <f t="shared" si="19"/>
        <v>0.4</v>
      </c>
      <c r="M99" s="23">
        <f>IFERROR(100/'Skjema total MA'!I99*K99,0)</f>
        <v>41.617862260562262</v>
      </c>
    </row>
    <row r="100" spans="1:13" x14ac:dyDescent="0.25">
      <c r="A100" s="18" t="s">
        <v>207</v>
      </c>
      <c r="B100" s="237">
        <v>46663.965629999999</v>
      </c>
      <c r="C100" s="238">
        <v>45690.732020000003</v>
      </c>
      <c r="D100" s="123">
        <f t="shared" si="16"/>
        <v>-2.1</v>
      </c>
      <c r="E100" s="20">
        <f>IFERROR(100/'Skjema total MA'!C100*C100,0)</f>
        <v>1.0786630173576428</v>
      </c>
      <c r="F100" s="36">
        <v>212190734.00196001</v>
      </c>
      <c r="G100" s="181">
        <v>245941544.29339001</v>
      </c>
      <c r="H100" s="123">
        <f t="shared" si="17"/>
        <v>15.9</v>
      </c>
      <c r="I100" s="20">
        <f>IFERROR(100/'Skjema total MA'!F100*G100,0)</f>
        <v>31.470798292759586</v>
      </c>
      <c r="J100" s="36">
        <f t="shared" si="24"/>
        <v>212237397.96759</v>
      </c>
      <c r="K100" s="36">
        <f t="shared" si="24"/>
        <v>245987235.02541</v>
      </c>
      <c r="L100" s="206">
        <f t="shared" si="19"/>
        <v>15.9</v>
      </c>
      <c r="M100" s="23">
        <f>IFERROR(100/'Skjema total MA'!I100*K100,0)</f>
        <v>31.306953824792384</v>
      </c>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v>3040960.9470000002</v>
      </c>
      <c r="C107" s="109">
        <v>3217986.71</v>
      </c>
      <c r="D107" s="123">
        <f t="shared" si="16"/>
        <v>5.8</v>
      </c>
      <c r="E107" s="20">
        <f>IFERROR(100/'Skjema total MA'!C107*C107,0)</f>
        <v>74.325431847497683</v>
      </c>
      <c r="F107" s="36"/>
      <c r="G107" s="109"/>
      <c r="H107" s="123"/>
      <c r="I107" s="20"/>
      <c r="J107" s="36">
        <f t="shared" si="24"/>
        <v>3040960.9470000002</v>
      </c>
      <c r="K107" s="36">
        <f t="shared" si="24"/>
        <v>3217986.71</v>
      </c>
      <c r="L107" s="206">
        <f t="shared" si="19"/>
        <v>5.8</v>
      </c>
      <c r="M107" s="23">
        <f>IFERROR(100/'Skjema total MA'!I107*K107,0)</f>
        <v>67.910354466666263</v>
      </c>
    </row>
    <row r="108" spans="1:13" ht="15.6" x14ac:dyDescent="0.25">
      <c r="A108" s="18" t="s">
        <v>209</v>
      </c>
      <c r="B108" s="181">
        <v>142326802.71575999</v>
      </c>
      <c r="C108" s="181">
        <v>142427133.74042001</v>
      </c>
      <c r="D108" s="123">
        <f t="shared" si="16"/>
        <v>0.1</v>
      </c>
      <c r="E108" s="20">
        <f>IFERROR(100/'Skjema total MA'!C108*C108,0)</f>
        <v>43.182287454314114</v>
      </c>
      <c r="F108" s="36">
        <v>21029734.11411</v>
      </c>
      <c r="G108" s="181">
        <v>22946021.804949999</v>
      </c>
      <c r="H108" s="123">
        <f t="shared" si="17"/>
        <v>9.1</v>
      </c>
      <c r="I108" s="20">
        <f>IFERROR(100/'Skjema total MA'!F108*G108,0)</f>
        <v>88.542368658843074</v>
      </c>
      <c r="J108" s="36">
        <f t="shared" si="24"/>
        <v>163356536.82986999</v>
      </c>
      <c r="K108" s="36">
        <f t="shared" si="24"/>
        <v>165373155.54537001</v>
      </c>
      <c r="L108" s="206">
        <f t="shared" si="19"/>
        <v>1.2</v>
      </c>
      <c r="M108" s="23">
        <f>IFERROR(100/'Skjema total MA'!I108*K108,0)</f>
        <v>46.486696160055793</v>
      </c>
    </row>
    <row r="109" spans="1:13" ht="15.6" x14ac:dyDescent="0.25">
      <c r="A109" s="18" t="s">
        <v>210</v>
      </c>
      <c r="B109" s="181">
        <v>722726.27561000001</v>
      </c>
      <c r="C109" s="181">
        <v>895112.98600000003</v>
      </c>
      <c r="D109" s="123">
        <f t="shared" si="16"/>
        <v>23.9</v>
      </c>
      <c r="E109" s="20">
        <f>IFERROR(100/'Skjema total MA'!C109*C109,0)</f>
        <v>27.567548188360234</v>
      </c>
      <c r="F109" s="36">
        <v>71741822.909999996</v>
      </c>
      <c r="G109" s="181">
        <v>86329578.155000001</v>
      </c>
      <c r="H109" s="123">
        <f t="shared" si="17"/>
        <v>20.3</v>
      </c>
      <c r="I109" s="20">
        <f>IFERROR(100/'Skjema total MA'!F109*G109,0)</f>
        <v>27.336241235719637</v>
      </c>
      <c r="J109" s="36">
        <f t="shared" si="24"/>
        <v>72464549.185609996</v>
      </c>
      <c r="K109" s="36">
        <f t="shared" si="24"/>
        <v>87224691.141000003</v>
      </c>
      <c r="L109" s="206">
        <f t="shared" si="19"/>
        <v>20.399999999999999</v>
      </c>
      <c r="M109" s="23">
        <f>IFERROR(100/'Skjema total MA'!I109*K109,0)</f>
        <v>27.33859522866527</v>
      </c>
    </row>
    <row r="110" spans="1:13" ht="15.6" x14ac:dyDescent="0.25">
      <c r="A110" s="18" t="s">
        <v>211</v>
      </c>
      <c r="B110" s="181">
        <v>2140124.7461600001</v>
      </c>
      <c r="C110" s="181">
        <v>3185747.2841599998</v>
      </c>
      <c r="D110" s="123">
        <f t="shared" si="16"/>
        <v>48.9</v>
      </c>
      <c r="E110" s="20">
        <f>IFERROR(100/'Skjema total MA'!C110*C110,0)</f>
        <v>61.004695122932588</v>
      </c>
      <c r="F110" s="36"/>
      <c r="G110" s="181"/>
      <c r="H110" s="123"/>
      <c r="I110" s="20"/>
      <c r="J110" s="36">
        <f t="shared" si="24"/>
        <v>2140124.7461600001</v>
      </c>
      <c r="K110" s="36">
        <f t="shared" si="24"/>
        <v>3185747.2841599998</v>
      </c>
      <c r="L110" s="206">
        <f t="shared" si="19"/>
        <v>48.9</v>
      </c>
      <c r="M110" s="23">
        <f>IFERROR(100/'Skjema total MA'!I110*K110,0)</f>
        <v>61.004695122932588</v>
      </c>
    </row>
    <row r="111" spans="1:13" ht="15.6" x14ac:dyDescent="0.25">
      <c r="A111" s="10" t="s">
        <v>173</v>
      </c>
      <c r="B111" s="250">
        <v>78934.251999999993</v>
      </c>
      <c r="C111" s="118">
        <v>155693.508</v>
      </c>
      <c r="D111" s="127">
        <f t="shared" si="16"/>
        <v>97.2</v>
      </c>
      <c r="E111" s="21">
        <f>IFERROR(100/'Skjema total MA'!C111*C111,0)</f>
        <v>51.971504672386018</v>
      </c>
      <c r="F111" s="183">
        <v>4350321.915</v>
      </c>
      <c r="G111" s="118">
        <v>4124433.5280000004</v>
      </c>
      <c r="H111" s="127">
        <f t="shared" si="17"/>
        <v>-5.2</v>
      </c>
      <c r="I111" s="21">
        <f>IFERROR(100/'Skjema total MA'!F111*G111,0)</f>
        <v>17.100191652437626</v>
      </c>
      <c r="J111" s="183">
        <f t="shared" si="24"/>
        <v>4429256.1670000004</v>
      </c>
      <c r="K111" s="183">
        <f t="shared" si="24"/>
        <v>4280127.0360000003</v>
      </c>
      <c r="L111" s="342">
        <f t="shared" si="19"/>
        <v>-3.4</v>
      </c>
      <c r="M111" s="8">
        <f>IFERROR(100/'Skjema total MA'!I111*K111,0)</f>
        <v>17.527999964213059</v>
      </c>
    </row>
    <row r="112" spans="1:13" x14ac:dyDescent="0.25">
      <c r="A112" s="18" t="s">
        <v>198</v>
      </c>
      <c r="B112" s="181">
        <v>8143.3410000000003</v>
      </c>
      <c r="C112" s="109">
        <v>99610.438999999998</v>
      </c>
      <c r="D112" s="123">
        <f t="shared" ref="D112:D125" si="29">IF(B112=0, "    ---- ", IF(ABS(ROUND(100/B112*C112-100,1))&lt;999,ROUND(100/B112*C112-100,1),IF(ROUND(100/B112*C112-100,1)&gt;999,999,-999)))</f>
        <v>999</v>
      </c>
      <c r="E112" s="20">
        <f>IFERROR(100/'Skjema total MA'!C112*C112,0)</f>
        <v>45.332300346511836</v>
      </c>
      <c r="F112" s="36">
        <v>472.80700000000002</v>
      </c>
      <c r="G112" s="109">
        <v>2491.8789999999999</v>
      </c>
      <c r="H112" s="123">
        <f t="shared" ref="H112:H125" si="30">IF(F112=0, "    ---- ", IF(ABS(ROUND(100/F112*G112-100,1))&lt;999,ROUND(100/F112*G112-100,1),IF(ROUND(100/F112*G112-100,1)&gt;999,999,-999)))</f>
        <v>427</v>
      </c>
      <c r="I112" s="20">
        <f>IFERROR(100/'Skjema total MA'!F112*G112,0)</f>
        <v>99.999999999999986</v>
      </c>
      <c r="J112" s="36">
        <f t="shared" ref="J112:K125" si="31">SUM(B112,F112)</f>
        <v>8616.148000000001</v>
      </c>
      <c r="K112" s="36">
        <f t="shared" si="31"/>
        <v>102102.318</v>
      </c>
      <c r="L112" s="206">
        <f t="shared" ref="L112:L125" si="32">IF(J112=0, "    ---- ", IF(ABS(ROUND(100/J112*K112-100,1))&lt;999,ROUND(100/J112*K112-100,1),IF(ROUND(100/J112*K112-100,1)&gt;999,999,-999)))</f>
        <v>999</v>
      </c>
      <c r="M112" s="23">
        <f>IFERROR(100/'Skjema total MA'!I112*K112,0)</f>
        <v>45.945304306857992</v>
      </c>
    </row>
    <row r="113" spans="1:13" x14ac:dyDescent="0.25">
      <c r="A113" s="18" t="s">
        <v>199</v>
      </c>
      <c r="B113" s="181"/>
      <c r="C113" s="109"/>
      <c r="D113" s="123"/>
      <c r="E113" s="20"/>
      <c r="F113" s="36">
        <v>4349849.108</v>
      </c>
      <c r="G113" s="109">
        <v>4121941.6490000002</v>
      </c>
      <c r="H113" s="123">
        <f t="shared" si="30"/>
        <v>-5.2</v>
      </c>
      <c r="I113" s="20">
        <f>IFERROR(100/'Skjema total MA'!F113*G113,0)</f>
        <v>17.093927626469284</v>
      </c>
      <c r="J113" s="36">
        <f t="shared" si="31"/>
        <v>4349849.108</v>
      </c>
      <c r="K113" s="36">
        <f t="shared" si="31"/>
        <v>4121941.6490000002</v>
      </c>
      <c r="L113" s="206">
        <f t="shared" si="32"/>
        <v>-5.2</v>
      </c>
      <c r="M113" s="23">
        <f>IFERROR(100/'Skjema total MA'!I113*K113,0)</f>
        <v>17.086358042293636</v>
      </c>
    </row>
    <row r="114" spans="1:13" x14ac:dyDescent="0.25">
      <c r="A114" s="18" t="s">
        <v>212</v>
      </c>
      <c r="B114" s="181">
        <v>70790.910999999993</v>
      </c>
      <c r="C114" s="109">
        <v>56083.069000000003</v>
      </c>
      <c r="D114" s="123">
        <f t="shared" si="29"/>
        <v>-20.8</v>
      </c>
      <c r="E114" s="20">
        <f>IFERROR(100/'Skjema total MA'!C114*C114,0)</f>
        <v>81.093995817205368</v>
      </c>
      <c r="F114" s="36"/>
      <c r="G114" s="109"/>
      <c r="H114" s="123"/>
      <c r="I114" s="20"/>
      <c r="J114" s="36">
        <f t="shared" si="31"/>
        <v>70790.910999999993</v>
      </c>
      <c r="K114" s="36">
        <f t="shared" si="31"/>
        <v>56083.069000000003</v>
      </c>
      <c r="L114" s="206">
        <f t="shared" si="32"/>
        <v>-20.8</v>
      </c>
      <c r="M114" s="23">
        <f>IFERROR(100/'Skjema total MA'!I114*K114,0)</f>
        <v>77.457063345733502</v>
      </c>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v>13.567</v>
      </c>
      <c r="C116" s="181">
        <v>233.791</v>
      </c>
      <c r="D116" s="123">
        <f t="shared" si="29"/>
        <v>999</v>
      </c>
      <c r="E116" s="20">
        <f>IFERROR(100/'Skjema total MA'!C116*C116,0)</f>
        <v>0.68710855594985421</v>
      </c>
      <c r="F116" s="36">
        <v>472.80700000000002</v>
      </c>
      <c r="G116" s="181">
        <v>2491.8789999999999</v>
      </c>
      <c r="H116" s="123">
        <f t="shared" si="30"/>
        <v>427</v>
      </c>
      <c r="I116" s="20">
        <f>IFERROR(100/'Skjema total MA'!F116*G116,0)</f>
        <v>99.999999999999986</v>
      </c>
      <c r="J116" s="36">
        <f t="shared" si="31"/>
        <v>486.37400000000002</v>
      </c>
      <c r="K116" s="36">
        <f t="shared" si="31"/>
        <v>2725.67</v>
      </c>
      <c r="L116" s="206">
        <f t="shared" si="32"/>
        <v>460.4</v>
      </c>
      <c r="M116" s="23">
        <f>IFERROR(100/'Skjema total MA'!I116*K116,0)</f>
        <v>7.464068505825229</v>
      </c>
    </row>
    <row r="117" spans="1:13" ht="15.6" x14ac:dyDescent="0.25">
      <c r="A117" s="18" t="s">
        <v>210</v>
      </c>
      <c r="B117" s="181"/>
      <c r="C117" s="181"/>
      <c r="D117" s="123"/>
      <c r="E117" s="20"/>
      <c r="F117" s="36">
        <v>2349855.5269999998</v>
      </c>
      <c r="G117" s="181">
        <v>2793605.0929999999</v>
      </c>
      <c r="H117" s="123">
        <f t="shared" si="30"/>
        <v>18.899999999999999</v>
      </c>
      <c r="I117" s="20">
        <f>IFERROR(100/'Skjema total MA'!F117*G117,0)</f>
        <v>20.64505507165639</v>
      </c>
      <c r="J117" s="36">
        <f t="shared" si="31"/>
        <v>2349855.5269999998</v>
      </c>
      <c r="K117" s="36">
        <f t="shared" si="31"/>
        <v>2793605.0929999999</v>
      </c>
      <c r="L117" s="206">
        <f t="shared" si="32"/>
        <v>18.899999999999999</v>
      </c>
      <c r="M117" s="23">
        <f>IFERROR(100/'Skjema total MA'!I117*K117,0)</f>
        <v>20.64505507165639</v>
      </c>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v>137324.136</v>
      </c>
      <c r="C119" s="118">
        <v>223216.609</v>
      </c>
      <c r="D119" s="127">
        <f t="shared" si="29"/>
        <v>62.5</v>
      </c>
      <c r="E119" s="21">
        <f>IFERROR(100/'Skjema total MA'!C119*C119,0)</f>
        <v>65.017417603563459</v>
      </c>
      <c r="F119" s="183">
        <v>5833693.1519999998</v>
      </c>
      <c r="G119" s="118">
        <v>6691786.1509999996</v>
      </c>
      <c r="H119" s="127">
        <f t="shared" si="30"/>
        <v>14.7</v>
      </c>
      <c r="I119" s="21">
        <f>IFERROR(100/'Skjema total MA'!F119*G119,0)</f>
        <v>26.810255690199813</v>
      </c>
      <c r="J119" s="183">
        <f t="shared" si="31"/>
        <v>5971017.2879999997</v>
      </c>
      <c r="K119" s="183">
        <f t="shared" si="31"/>
        <v>6915002.7599999998</v>
      </c>
      <c r="L119" s="342">
        <f t="shared" si="32"/>
        <v>15.8</v>
      </c>
      <c r="M119" s="8">
        <f>IFERROR(100/'Skjema total MA'!I119*K119,0)</f>
        <v>27.32865871688815</v>
      </c>
    </row>
    <row r="120" spans="1:13" x14ac:dyDescent="0.25">
      <c r="A120" s="18" t="s">
        <v>198</v>
      </c>
      <c r="B120" s="181">
        <v>2550.3130000000001</v>
      </c>
      <c r="C120" s="109">
        <v>34872.449000000001</v>
      </c>
      <c r="D120" s="123">
        <f t="shared" si="29"/>
        <v>999</v>
      </c>
      <c r="E120" s="20">
        <f>IFERROR(100/'Skjema total MA'!C120*C120,0)</f>
        <v>59.455578865508812</v>
      </c>
      <c r="F120" s="36"/>
      <c r="G120" s="109"/>
      <c r="H120" s="123"/>
      <c r="I120" s="20"/>
      <c r="J120" s="36">
        <f t="shared" si="31"/>
        <v>2550.3130000000001</v>
      </c>
      <c r="K120" s="36">
        <f t="shared" si="31"/>
        <v>34872.449000000001</v>
      </c>
      <c r="L120" s="206">
        <f t="shared" si="32"/>
        <v>999</v>
      </c>
      <c r="M120" s="23">
        <f>IFERROR(100/'Skjema total MA'!I120*K120,0)</f>
        <v>59.455578865508812</v>
      </c>
    </row>
    <row r="121" spans="1:13" x14ac:dyDescent="0.25">
      <c r="A121" s="18" t="s">
        <v>199</v>
      </c>
      <c r="B121" s="181">
        <v>0</v>
      </c>
      <c r="C121" s="109">
        <v>0</v>
      </c>
      <c r="D121" s="123" t="str">
        <f t="shared" si="29"/>
        <v xml:space="preserve">    ---- </v>
      </c>
      <c r="E121" s="20">
        <f>IFERROR(100/'Skjema total MA'!C121*C121,0)</f>
        <v>0</v>
      </c>
      <c r="F121" s="36">
        <v>5833693.1519999998</v>
      </c>
      <c r="G121" s="109">
        <v>6691786.1509999996</v>
      </c>
      <c r="H121" s="123">
        <f t="shared" si="30"/>
        <v>14.7</v>
      </c>
      <c r="I121" s="20">
        <f>IFERROR(100/'Skjema total MA'!F121*G121,0)</f>
        <v>26.810255690199813</v>
      </c>
      <c r="J121" s="36">
        <f t="shared" si="31"/>
        <v>5833693.1519999998</v>
      </c>
      <c r="K121" s="36">
        <f t="shared" si="31"/>
        <v>6691786.1509999996</v>
      </c>
      <c r="L121" s="206">
        <f t="shared" si="32"/>
        <v>14.7</v>
      </c>
      <c r="M121" s="23">
        <f>IFERROR(100/'Skjema total MA'!I121*K121,0)</f>
        <v>26.770209439014351</v>
      </c>
    </row>
    <row r="122" spans="1:13" x14ac:dyDescent="0.25">
      <c r="A122" s="18" t="s">
        <v>212</v>
      </c>
      <c r="B122" s="181">
        <v>134773.823</v>
      </c>
      <c r="C122" s="109">
        <v>188344.16</v>
      </c>
      <c r="D122" s="123">
        <f t="shared" si="29"/>
        <v>39.700000000000003</v>
      </c>
      <c r="E122" s="20">
        <f>IFERROR(100/'Skjema total MA'!C122*C122,0)</f>
        <v>76.15181465294512</v>
      </c>
      <c r="F122" s="36"/>
      <c r="G122" s="109"/>
      <c r="H122" s="123"/>
      <c r="I122" s="20"/>
      <c r="J122" s="36">
        <f t="shared" si="31"/>
        <v>134773.823</v>
      </c>
      <c r="K122" s="36">
        <f t="shared" si="31"/>
        <v>188344.16</v>
      </c>
      <c r="L122" s="206">
        <f t="shared" si="32"/>
        <v>39.700000000000003</v>
      </c>
      <c r="M122" s="23">
        <f>IFERROR(100/'Skjema total MA'!I122*K122,0)</f>
        <v>76.15181465294512</v>
      </c>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v>2086.9180000000001</v>
      </c>
      <c r="C124" s="181">
        <v>2725.3919999999998</v>
      </c>
      <c r="D124" s="123">
        <f t="shared" si="29"/>
        <v>30.6</v>
      </c>
      <c r="E124" s="20">
        <f>IFERROR(100/'Skjema total MA'!C124*C124,0)</f>
        <v>79.599030462621428</v>
      </c>
      <c r="F124" s="36">
        <v>17578.107</v>
      </c>
      <c r="G124" s="181">
        <v>17250.649000000001</v>
      </c>
      <c r="H124" s="123">
        <f t="shared" si="30"/>
        <v>-1.9</v>
      </c>
      <c r="I124" s="20">
        <f>IFERROR(100/'Skjema total MA'!F124*G124,0)</f>
        <v>100</v>
      </c>
      <c r="J124" s="36">
        <f t="shared" si="31"/>
        <v>19665.025000000001</v>
      </c>
      <c r="K124" s="36">
        <f t="shared" si="31"/>
        <v>19976.041000000001</v>
      </c>
      <c r="L124" s="206">
        <f t="shared" si="32"/>
        <v>1.6</v>
      </c>
      <c r="M124" s="23">
        <f>IFERROR(100/'Skjema total MA'!I124*K124,0)</f>
        <v>96.621406511870859</v>
      </c>
    </row>
    <row r="125" spans="1:13" ht="15.6" x14ac:dyDescent="0.25">
      <c r="A125" s="18" t="s">
        <v>210</v>
      </c>
      <c r="B125" s="181">
        <v>79.421000000000006</v>
      </c>
      <c r="C125" s="181">
        <v>136.49299999999999</v>
      </c>
      <c r="D125" s="123">
        <f t="shared" si="29"/>
        <v>71.900000000000006</v>
      </c>
      <c r="E125" s="20">
        <f>IFERROR(100/'Skjema total MA'!C125*C125,0)</f>
        <v>40.943816263765854</v>
      </c>
      <c r="F125" s="36">
        <v>3203566.9840000002</v>
      </c>
      <c r="G125" s="181">
        <v>3499292.2609999999</v>
      </c>
      <c r="H125" s="123">
        <f t="shared" si="30"/>
        <v>9.1999999999999993</v>
      </c>
      <c r="I125" s="20">
        <f>IFERROR(100/'Skjema total MA'!F125*G125,0)</f>
        <v>29.081131672884808</v>
      </c>
      <c r="J125" s="36">
        <f t="shared" si="31"/>
        <v>3203646.4050000003</v>
      </c>
      <c r="K125" s="36">
        <f t="shared" si="31"/>
        <v>3499428.7539999997</v>
      </c>
      <c r="L125" s="206">
        <f t="shared" si="32"/>
        <v>9.1999999999999993</v>
      </c>
      <c r="M125" s="23">
        <f>IFERROR(100/'Skjema total MA'!I125*K125,0)</f>
        <v>29.081460315666384</v>
      </c>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v>422352.09600000002</v>
      </c>
      <c r="C134" s="251">
        <v>455072.91100000002</v>
      </c>
      <c r="D134" s="285">
        <f t="shared" ref="D134:D137" si="33">IF(B134=0, "    ---- ", IF(ABS(ROUND(100/B134*C134-100,1))&lt;999,ROUND(100/B134*C134-100,1),IF(ROUND(100/B134*C134-100,1)&gt;999,999,-999)))</f>
        <v>7.7</v>
      </c>
      <c r="E134" s="8">
        <f>IFERROR(100/'Skjema total MA'!C134*C134,0)</f>
        <v>4.5991430965249691</v>
      </c>
      <c r="F134" s="258"/>
      <c r="G134" s="259"/>
      <c r="H134" s="345"/>
      <c r="I134" s="21"/>
      <c r="J134" s="260">
        <f t="shared" ref="J134:K137" si="34">SUM(B134,F134)</f>
        <v>422352.09600000002</v>
      </c>
      <c r="K134" s="260">
        <f t="shared" si="34"/>
        <v>455072.91100000002</v>
      </c>
      <c r="L134" s="341">
        <f t="shared" ref="L134:L137" si="35">IF(J134=0, "    ---- ", IF(ABS(ROUND(100/J134*K134-100,1))&lt;999,ROUND(100/J134*K134-100,1),IF(ROUND(100/J134*K134-100,1)&gt;999,999,-999)))</f>
        <v>7.7</v>
      </c>
      <c r="M134" s="8">
        <f>IFERROR(100/'Skjema total MA'!I134*K134,0)</f>
        <v>4.5851427315792241</v>
      </c>
    </row>
    <row r="135" spans="1:14" ht="15.6" x14ac:dyDescent="0.25">
      <c r="A135" s="10" t="s">
        <v>225</v>
      </c>
      <c r="B135" s="183">
        <v>27667897.831429999</v>
      </c>
      <c r="C135" s="251">
        <v>30694610.25948</v>
      </c>
      <c r="D135" s="127">
        <f t="shared" si="33"/>
        <v>10.9</v>
      </c>
      <c r="E135" s="8">
        <f>IFERROR(100/'Skjema total MA'!C135*C135,0)</f>
        <v>3.0355602447762662</v>
      </c>
      <c r="F135" s="183"/>
      <c r="G135" s="251"/>
      <c r="H135" s="346"/>
      <c r="I135" s="21"/>
      <c r="J135" s="250">
        <f t="shared" si="34"/>
        <v>27667897.831429999</v>
      </c>
      <c r="K135" s="250">
        <f t="shared" si="34"/>
        <v>30694610.25948</v>
      </c>
      <c r="L135" s="342">
        <f t="shared" si="35"/>
        <v>10.9</v>
      </c>
      <c r="M135" s="8">
        <f>IFERROR(100/'Skjema total MA'!I135*K135,0)</f>
        <v>3.0283408260718554</v>
      </c>
    </row>
    <row r="136" spans="1:14" ht="15.6" x14ac:dyDescent="0.25">
      <c r="A136" s="10" t="s">
        <v>219</v>
      </c>
      <c r="B136" s="183">
        <v>3201664.24</v>
      </c>
      <c r="C136" s="251">
        <v>126161.18421000001</v>
      </c>
      <c r="D136" s="127">
        <f t="shared" si="33"/>
        <v>-96.1</v>
      </c>
      <c r="E136" s="8">
        <f>IFERROR(100/'Skjema total MA'!C136*C136,0)</f>
        <v>3.6969600785153554</v>
      </c>
      <c r="F136" s="183"/>
      <c r="G136" s="251"/>
      <c r="H136" s="346"/>
      <c r="I136" s="21"/>
      <c r="J136" s="250">
        <f t="shared" si="34"/>
        <v>3201664.24</v>
      </c>
      <c r="K136" s="250">
        <f t="shared" si="34"/>
        <v>126161.18421000001</v>
      </c>
      <c r="L136" s="342">
        <f t="shared" si="35"/>
        <v>-96.1</v>
      </c>
      <c r="M136" s="8">
        <f>IFERROR(100/'Skjema total MA'!I136*K136,0)</f>
        <v>4.3562301111023007</v>
      </c>
    </row>
    <row r="137" spans="1:14" ht="15.6" x14ac:dyDescent="0.25">
      <c r="A137" s="33" t="s">
        <v>220</v>
      </c>
      <c r="B137" s="223">
        <v>0</v>
      </c>
      <c r="C137" s="257">
        <v>782.71299999999997</v>
      </c>
      <c r="D137" s="125" t="str">
        <f t="shared" si="33"/>
        <v xml:space="preserve">    ---- </v>
      </c>
      <c r="E137" s="6">
        <f>IFERROR(100/'Skjema total MA'!C137*C137,0)</f>
        <v>8.7845313721482146E-2</v>
      </c>
      <c r="F137" s="223"/>
      <c r="G137" s="257"/>
      <c r="H137" s="347"/>
      <c r="I137" s="30"/>
      <c r="J137" s="256">
        <f t="shared" si="34"/>
        <v>0</v>
      </c>
      <c r="K137" s="256">
        <f t="shared" si="34"/>
        <v>782.71299999999997</v>
      </c>
      <c r="L137" s="343" t="str">
        <f t="shared" si="35"/>
        <v xml:space="preserve">    ---- </v>
      </c>
      <c r="M137" s="30">
        <f>IFERROR(100/'Skjema total MA'!I137*K137,0)</f>
        <v>8.7845313721482146E-2</v>
      </c>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41" priority="12">
      <formula>kvartal &lt; 4</formula>
    </cfRule>
  </conditionalFormatting>
  <conditionalFormatting sqref="A69:A74">
    <cfRule type="expression" dxfId="240" priority="10">
      <formula>kvartal &lt; 4</formula>
    </cfRule>
  </conditionalFormatting>
  <conditionalFormatting sqref="A80:A85">
    <cfRule type="expression" dxfId="239" priority="9">
      <formula>kvartal &lt; 4</formula>
    </cfRule>
  </conditionalFormatting>
  <conditionalFormatting sqref="A90:A95">
    <cfRule type="expression" dxfId="238" priority="6">
      <formula>kvartal &lt; 4</formula>
    </cfRule>
  </conditionalFormatting>
  <conditionalFormatting sqref="A101:A106">
    <cfRule type="expression" dxfId="237" priority="5">
      <formula>kvartal &lt; 4</formula>
    </cfRule>
  </conditionalFormatting>
  <conditionalFormatting sqref="A115:C115">
    <cfRule type="expression" dxfId="236" priority="4">
      <formula>kvartal &lt; 4</formula>
    </cfRule>
  </conditionalFormatting>
  <conditionalFormatting sqref="A123:C123">
    <cfRule type="expression" dxfId="235" priority="3">
      <formula>kvartal &lt; 4</formula>
    </cfRule>
  </conditionalFormatting>
  <conditionalFormatting sqref="B69:C69">
    <cfRule type="expression" dxfId="234" priority="99">
      <formula>kvartal &lt; 4</formula>
    </cfRule>
  </conditionalFormatting>
  <conditionalFormatting sqref="B72:C72">
    <cfRule type="expression" dxfId="233" priority="97">
      <formula>kvartal &lt; 4</formula>
    </cfRule>
  </conditionalFormatting>
  <conditionalFormatting sqref="F115:G115">
    <cfRule type="expression" dxfId="232" priority="57">
      <formula>kvartal &lt; 4</formula>
    </cfRule>
  </conditionalFormatting>
  <conditionalFormatting sqref="F123:G123">
    <cfRule type="expression" dxfId="231" priority="56">
      <formula>kvartal &lt; 4</formula>
    </cfRule>
  </conditionalFormatting>
  <conditionalFormatting sqref="J115:K115">
    <cfRule type="expression" dxfId="230" priority="32">
      <formula>kvartal &lt; 4</formula>
    </cfRule>
  </conditionalFormatting>
  <conditionalFormatting sqref="J123:K123">
    <cfRule type="expression" dxfId="229" priority="31">
      <formula>kvartal &lt; 4</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31"/>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405</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c r="G7" s="249"/>
      <c r="H7" s="285"/>
      <c r="I7" s="119"/>
      <c r="J7" s="250"/>
      <c r="K7" s="251"/>
      <c r="L7" s="341"/>
      <c r="M7" s="8"/>
    </row>
    <row r="8" spans="1:14" ht="15.6" x14ac:dyDescent="0.25">
      <c r="A8" s="18" t="s">
        <v>170</v>
      </c>
      <c r="B8" s="228"/>
      <c r="C8" s="229"/>
      <c r="D8" s="123"/>
      <c r="E8" s="23"/>
      <c r="F8" s="232"/>
      <c r="G8" s="233"/>
      <c r="H8" s="123"/>
      <c r="I8" s="132"/>
      <c r="J8" s="181"/>
      <c r="K8" s="234"/>
      <c r="L8" s="342"/>
      <c r="M8" s="23"/>
    </row>
    <row r="9" spans="1:14" ht="15.6" x14ac:dyDescent="0.25">
      <c r="A9" s="18" t="s">
        <v>171</v>
      </c>
      <c r="B9" s="228"/>
      <c r="C9" s="229"/>
      <c r="D9" s="123"/>
      <c r="E9" s="23"/>
      <c r="F9" s="232"/>
      <c r="G9" s="233"/>
      <c r="H9" s="123"/>
      <c r="I9" s="132"/>
      <c r="J9" s="181"/>
      <c r="K9" s="234"/>
      <c r="L9" s="342"/>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c r="C39" s="257"/>
      <c r="D39" s="125"/>
      <c r="E39" s="30"/>
      <c r="F39" s="264"/>
      <c r="G39" s="265"/>
      <c r="H39" s="125"/>
      <c r="I39" s="30"/>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2290</v>
      </c>
      <c r="C47" s="253">
        <v>2001</v>
      </c>
      <c r="D47" s="341">
        <f t="shared" ref="D47:D48" si="0">IF(B47=0, "    ---- ", IF(ABS(ROUND(100/B47*C47-100,1))&lt;999,ROUND(100/B47*C47-100,1),IF(ROUND(100/B47*C47-100,1)&gt;999,999,-999)))</f>
        <v>-12.6</v>
      </c>
      <c r="E47" s="8">
        <f>IFERROR(100/'Skjema total MA'!C47*C47,0)</f>
        <v>4.0408124145071472E-2</v>
      </c>
      <c r="F47" s="109"/>
      <c r="G47" s="27"/>
      <c r="H47" s="118"/>
      <c r="I47" s="118"/>
      <c r="J47" s="31"/>
      <c r="K47" s="31"/>
      <c r="L47" s="118"/>
      <c r="M47" s="118"/>
    </row>
    <row r="48" spans="1:13" ht="15.6" x14ac:dyDescent="0.25">
      <c r="A48" s="18" t="s">
        <v>190</v>
      </c>
      <c r="B48" s="228">
        <v>2290</v>
      </c>
      <c r="C48" s="229">
        <v>2001</v>
      </c>
      <c r="D48" s="206">
        <f t="shared" si="0"/>
        <v>-12.6</v>
      </c>
      <c r="E48" s="23">
        <f>IFERROR(100/'Skjema total MA'!C48*C48,0)</f>
        <v>8.3243654601369482E-2</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28" priority="12">
      <formula>kvartal &lt; 4</formula>
    </cfRule>
  </conditionalFormatting>
  <conditionalFormatting sqref="A69:A74">
    <cfRule type="expression" dxfId="227" priority="10">
      <formula>kvartal &lt; 4</formula>
    </cfRule>
  </conditionalFormatting>
  <conditionalFormatting sqref="A80:A85">
    <cfRule type="expression" dxfId="226" priority="9">
      <formula>kvartal &lt; 4</formula>
    </cfRule>
  </conditionalFormatting>
  <conditionalFormatting sqref="A90:A95">
    <cfRule type="expression" dxfId="225" priority="6">
      <formula>kvartal &lt; 4</formula>
    </cfRule>
  </conditionalFormatting>
  <conditionalFormatting sqref="A101:A106">
    <cfRule type="expression" dxfId="224" priority="5">
      <formula>kvartal &lt; 4</formula>
    </cfRule>
  </conditionalFormatting>
  <conditionalFormatting sqref="A115:C115">
    <cfRule type="expression" dxfId="223" priority="4">
      <formula>kvartal &lt; 4</formula>
    </cfRule>
  </conditionalFormatting>
  <conditionalFormatting sqref="A123:C123">
    <cfRule type="expression" dxfId="222" priority="3">
      <formula>kvartal &lt; 4</formula>
    </cfRule>
  </conditionalFormatting>
  <conditionalFormatting sqref="B69:C69">
    <cfRule type="expression" dxfId="221" priority="99">
      <formula>kvartal &lt; 4</formula>
    </cfRule>
  </conditionalFormatting>
  <conditionalFormatting sqref="B72:C72">
    <cfRule type="expression" dxfId="220" priority="97">
      <formula>kvartal &lt; 4</formula>
    </cfRule>
  </conditionalFormatting>
  <conditionalFormatting sqref="F115:G115">
    <cfRule type="expression" dxfId="219" priority="57">
      <formula>kvartal &lt; 4</formula>
    </cfRule>
  </conditionalFormatting>
  <conditionalFormatting sqref="F123:G123">
    <cfRule type="expression" dxfId="218" priority="56">
      <formula>kvartal &lt; 4</formula>
    </cfRule>
  </conditionalFormatting>
  <conditionalFormatting sqref="J115:K115">
    <cfRule type="expression" dxfId="217" priority="32">
      <formula>kvartal &lt; 4</formula>
    </cfRule>
  </conditionalFormatting>
  <conditionalFormatting sqref="J123:K123">
    <cfRule type="expression" dxfId="216" priority="31">
      <formula>kvartal &lt; 4</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2"/>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73</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c r="G7" s="249"/>
      <c r="H7" s="285"/>
      <c r="I7" s="119"/>
      <c r="J7" s="250"/>
      <c r="K7" s="251"/>
      <c r="L7" s="341"/>
      <c r="M7" s="8"/>
    </row>
    <row r="8" spans="1:14" ht="15.6" x14ac:dyDescent="0.25">
      <c r="A8" s="18" t="s">
        <v>170</v>
      </c>
      <c r="B8" s="228"/>
      <c r="C8" s="229"/>
      <c r="D8" s="123"/>
      <c r="E8" s="23"/>
      <c r="F8" s="232"/>
      <c r="G8" s="233"/>
      <c r="H8" s="123"/>
      <c r="I8" s="132"/>
      <c r="J8" s="181"/>
      <c r="K8" s="234"/>
      <c r="L8" s="206"/>
      <c r="M8" s="23"/>
    </row>
    <row r="9" spans="1:14" ht="15.6" x14ac:dyDescent="0.25">
      <c r="A9" s="18" t="s">
        <v>171</v>
      </c>
      <c r="B9" s="228"/>
      <c r="C9" s="229"/>
      <c r="D9" s="123"/>
      <c r="E9" s="23"/>
      <c r="F9" s="232"/>
      <c r="G9" s="233"/>
      <c r="H9" s="123"/>
      <c r="I9" s="132"/>
      <c r="J9" s="181"/>
      <c r="K9" s="234"/>
      <c r="L9" s="206"/>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346"/>
      <c r="E38" s="21"/>
      <c r="F38" s="261"/>
      <c r="G38" s="262"/>
      <c r="H38" s="127"/>
      <c r="I38" s="348"/>
      <c r="J38" s="183"/>
      <c r="K38" s="183"/>
      <c r="L38" s="342"/>
      <c r="M38" s="21"/>
    </row>
    <row r="39" spans="1:13" ht="15.6" x14ac:dyDescent="0.25">
      <c r="A39" s="15" t="s">
        <v>188</v>
      </c>
      <c r="B39" s="223"/>
      <c r="C39" s="257"/>
      <c r="D39" s="347"/>
      <c r="E39" s="30"/>
      <c r="F39" s="264"/>
      <c r="G39" s="265"/>
      <c r="H39" s="125"/>
      <c r="I39" s="30"/>
      <c r="J39" s="183"/>
      <c r="K39" s="183"/>
      <c r="L39" s="343"/>
      <c r="M39" s="30"/>
    </row>
    <row r="40" spans="1:13" ht="15.6" x14ac:dyDescent="0.3">
      <c r="A40" s="35"/>
      <c r="B40" s="205"/>
      <c r="C40" s="205"/>
      <c r="D40" s="595"/>
      <c r="E40" s="594"/>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758059</v>
      </c>
      <c r="C47" s="253">
        <v>772427</v>
      </c>
      <c r="D47" s="341">
        <f t="shared" ref="D47:D58" si="0">IF(B47=0, "    ---- ", IF(ABS(ROUND(100/B47*C47-100,1))&lt;999,ROUND(100/B47*C47-100,1),IF(ROUND(100/B47*C47-100,1)&gt;999,999,-999)))</f>
        <v>1.9</v>
      </c>
      <c r="E47" s="8">
        <f>IFERROR(100/'Skjema total MA'!C47*C47,0)</f>
        <v>15.598363872566278</v>
      </c>
      <c r="F47" s="109"/>
      <c r="G47" s="27"/>
      <c r="H47" s="118"/>
      <c r="I47" s="118"/>
      <c r="J47" s="31"/>
      <c r="K47" s="31"/>
      <c r="L47" s="118"/>
      <c r="M47" s="118"/>
    </row>
    <row r="48" spans="1:13" ht="15.6" x14ac:dyDescent="0.25">
      <c r="A48" s="18" t="s">
        <v>190</v>
      </c>
      <c r="B48" s="228">
        <v>145957</v>
      </c>
      <c r="C48" s="229">
        <v>142518</v>
      </c>
      <c r="D48" s="206">
        <f t="shared" si="0"/>
        <v>-2.4</v>
      </c>
      <c r="E48" s="23">
        <f>IFERROR(100/'Skjema total MA'!C48*C48,0)</f>
        <v>5.9288951356711523</v>
      </c>
      <c r="F48" s="109"/>
      <c r="G48" s="27"/>
      <c r="H48" s="109"/>
      <c r="I48" s="109"/>
      <c r="J48" s="27"/>
      <c r="K48" s="27"/>
      <c r="L48" s="118"/>
      <c r="M48" s="118"/>
    </row>
    <row r="49" spans="1:13" ht="15.6" x14ac:dyDescent="0.25">
      <c r="A49" s="18" t="s">
        <v>191</v>
      </c>
      <c r="B49" s="36">
        <v>612102</v>
      </c>
      <c r="C49" s="234">
        <v>629909</v>
      </c>
      <c r="D49" s="206">
        <f>IF(B49=0, "    ---- ", IF(ABS(ROUND(100/B49*C49-100,1))&lt;999,ROUND(100/B49*C49-100,1),IF(ROUND(100/B49*C49-100,1)&gt;999,999,-999)))</f>
        <v>2.9</v>
      </c>
      <c r="E49" s="23">
        <f>IFERROR(100/'Skjema total MA'!C49*C49,0)</f>
        <v>24.719882597214127</v>
      </c>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v>13382</v>
      </c>
      <c r="C53" s="253">
        <v>10797</v>
      </c>
      <c r="D53" s="342">
        <f t="shared" si="0"/>
        <v>-19.3</v>
      </c>
      <c r="E53" s="8">
        <f>IFERROR(100/'Skjema total MA'!C53*C53,0)</f>
        <v>8.2484004772383805</v>
      </c>
      <c r="F53" s="109"/>
      <c r="G53" s="27"/>
      <c r="H53" s="109"/>
      <c r="I53" s="109"/>
      <c r="J53" s="27"/>
      <c r="K53" s="27"/>
      <c r="L53" s="118"/>
      <c r="M53" s="118"/>
    </row>
    <row r="54" spans="1:13" ht="15.6" x14ac:dyDescent="0.25">
      <c r="A54" s="18" t="s">
        <v>190</v>
      </c>
      <c r="B54" s="228">
        <v>13382</v>
      </c>
      <c r="C54" s="229">
        <v>10797</v>
      </c>
      <c r="D54" s="206">
        <f t="shared" si="0"/>
        <v>-19.3</v>
      </c>
      <c r="E54" s="23">
        <f>IFERROR(100/'Skjema total MA'!C54*C54,0)</f>
        <v>8.2636006088322738</v>
      </c>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v>73816</v>
      </c>
      <c r="C56" s="253">
        <v>36000</v>
      </c>
      <c r="D56" s="342">
        <f t="shared" si="0"/>
        <v>-51.2</v>
      </c>
      <c r="E56" s="8">
        <f>IFERROR(100/'Skjema total MA'!C56*C56,0)</f>
        <v>32.669652073922599</v>
      </c>
      <c r="F56" s="109"/>
      <c r="G56" s="27"/>
      <c r="H56" s="109"/>
      <c r="I56" s="109"/>
      <c r="J56" s="27"/>
      <c r="K56" s="27"/>
      <c r="L56" s="118"/>
      <c r="M56" s="118"/>
    </row>
    <row r="57" spans="1:13" ht="15.6" x14ac:dyDescent="0.25">
      <c r="A57" s="18" t="s">
        <v>190</v>
      </c>
      <c r="B57" s="228">
        <v>15889</v>
      </c>
      <c r="C57" s="229">
        <v>27414</v>
      </c>
      <c r="D57" s="206">
        <f t="shared" si="0"/>
        <v>72.5</v>
      </c>
      <c r="E57" s="23">
        <f>IFERROR(100/'Skjema total MA'!C57*C57,0)</f>
        <v>26.980156121745164</v>
      </c>
      <c r="F57" s="109"/>
      <c r="G57" s="27"/>
      <c r="H57" s="109"/>
      <c r="I57" s="109"/>
      <c r="J57" s="27"/>
      <c r="K57" s="27"/>
      <c r="L57" s="118"/>
      <c r="M57" s="118"/>
    </row>
    <row r="58" spans="1:13" ht="15.6" x14ac:dyDescent="0.25">
      <c r="A58" s="7" t="s">
        <v>191</v>
      </c>
      <c r="B58" s="230">
        <v>57927</v>
      </c>
      <c r="C58" s="231">
        <v>8586</v>
      </c>
      <c r="D58" s="207">
        <f t="shared" si="0"/>
        <v>-85.2</v>
      </c>
      <c r="E58" s="19">
        <f>IFERROR(100/'Skjema total MA'!C58*C58,0)</f>
        <v>100</v>
      </c>
      <c r="F58" s="109"/>
      <c r="G58" s="519"/>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215" priority="12">
      <formula>kvartal &lt; 4</formula>
    </cfRule>
  </conditionalFormatting>
  <conditionalFormatting sqref="A69:A74">
    <cfRule type="expression" dxfId="214" priority="10">
      <formula>kvartal &lt; 4</formula>
    </cfRule>
  </conditionalFormatting>
  <conditionalFormatting sqref="A80:A85">
    <cfRule type="expression" dxfId="213" priority="9">
      <formula>kvartal &lt; 4</formula>
    </cfRule>
  </conditionalFormatting>
  <conditionalFormatting sqref="A90:A95">
    <cfRule type="expression" dxfId="212" priority="6">
      <formula>kvartal &lt; 4</formula>
    </cfRule>
  </conditionalFormatting>
  <conditionalFormatting sqref="A101:A106">
    <cfRule type="expression" dxfId="211" priority="5">
      <formula>kvartal &lt; 4</formula>
    </cfRule>
  </conditionalFormatting>
  <conditionalFormatting sqref="A115:C115">
    <cfRule type="expression" dxfId="210" priority="4">
      <formula>kvartal &lt; 4</formula>
    </cfRule>
  </conditionalFormatting>
  <conditionalFormatting sqref="A123:C123">
    <cfRule type="expression" dxfId="209" priority="3">
      <formula>kvartal &lt; 4</formula>
    </cfRule>
  </conditionalFormatting>
  <conditionalFormatting sqref="B69:C69">
    <cfRule type="expression" dxfId="208" priority="84">
      <formula>kvartal &lt; 4</formula>
    </cfRule>
  </conditionalFormatting>
  <conditionalFormatting sqref="B72:C72">
    <cfRule type="expression" dxfId="207" priority="82">
      <formula>kvartal &lt; 4</formula>
    </cfRule>
  </conditionalFormatting>
  <conditionalFormatting sqref="F115:G115">
    <cfRule type="expression" dxfId="206" priority="42">
      <formula>kvartal &lt; 4</formula>
    </cfRule>
  </conditionalFormatting>
  <conditionalFormatting sqref="F123:G123">
    <cfRule type="expression" dxfId="205" priority="41">
      <formula>kvartal &lt; 4</formula>
    </cfRule>
  </conditionalFormatting>
  <conditionalFormatting sqref="J115:K115">
    <cfRule type="expression" dxfId="204" priority="17">
      <formula>kvartal &lt; 4</formula>
    </cfRule>
  </conditionalFormatting>
  <conditionalFormatting sqref="J123:K123">
    <cfRule type="expression" dxfId="203" priority="16">
      <formula>kvartal &lt; 4</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DCFD3-E4B4-485B-89B7-DA0A477AA596}">
  <sheetPr codeName="Ark28"/>
  <dimension ref="A1:N144"/>
  <sheetViews>
    <sheetView showGridLines="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408</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v>1031</v>
      </c>
      <c r="C7" s="249">
        <v>906</v>
      </c>
      <c r="D7" s="285">
        <f>IF(B7=0, "    ---- ", IF(ABS(ROUND(100/B7*C7-100,1))&lt;999,ROUND(100/B7*C7-100,1),IF(ROUND(100/B7*C7-100,1)&gt;999,999,-999)))</f>
        <v>-12.1</v>
      </c>
      <c r="E7" s="8">
        <f>IFERROR(100/'Skjema total MA'!C7*C7,0)</f>
        <v>4.3163010259706737E-2</v>
      </c>
      <c r="F7" s="248"/>
      <c r="G7" s="249"/>
      <c r="H7" s="285"/>
      <c r="I7" s="119"/>
      <c r="J7" s="250">
        <f t="shared" ref="J7:K8" si="0">SUM(B7,F7)</f>
        <v>1031</v>
      </c>
      <c r="K7" s="251">
        <f t="shared" si="0"/>
        <v>906</v>
      </c>
      <c r="L7" s="341">
        <f>IF(J7=0, "    ---- ", IF(ABS(ROUND(100/J7*K7-100,1))&lt;999,ROUND(100/J7*K7-100,1),IF(ROUND(100/J7*K7-100,1)&gt;999,999,-999)))</f>
        <v>-12.1</v>
      </c>
      <c r="M7" s="8">
        <f>IFERROR(100/'Skjema total MA'!I7*K7,0)</f>
        <v>1.5468936299022499E-2</v>
      </c>
    </row>
    <row r="8" spans="1:14" ht="15.6" x14ac:dyDescent="0.25">
      <c r="A8" s="18" t="s">
        <v>170</v>
      </c>
      <c r="B8" s="228">
        <v>1031</v>
      </c>
      <c r="C8" s="229">
        <v>906</v>
      </c>
      <c r="D8" s="123">
        <f t="shared" ref="D8" si="1">IF(B8=0, "    ---- ", IF(ABS(ROUND(100/B8*C8-100,1))&lt;999,ROUND(100/B8*C8-100,1),IF(ROUND(100/B8*C8-100,1)&gt;999,999,-999)))</f>
        <v>-12.1</v>
      </c>
      <c r="E8" s="23">
        <f>IFERROR(100/'Skjema total MA'!C8*C8,0)</f>
        <v>6.3093597618916614E-2</v>
      </c>
      <c r="F8" s="232"/>
      <c r="G8" s="233"/>
      <c r="H8" s="123"/>
      <c r="I8" s="132"/>
      <c r="J8" s="181">
        <f t="shared" si="0"/>
        <v>1031</v>
      </c>
      <c r="K8" s="234">
        <f t="shared" si="0"/>
        <v>906</v>
      </c>
      <c r="L8" s="123">
        <f t="shared" ref="L8" si="2">IF(J8=0, "    ---- ", IF(ABS(ROUND(100/J8*K8-100,1))&lt;999,ROUND(100/J8*K8-100,1),IF(ROUND(100/J8*K8-100,1)&gt;999,999,-999)))</f>
        <v>-12.1</v>
      </c>
      <c r="M8" s="23">
        <f>IFERROR(100/'Skjema total MA'!I8*K8,0)</f>
        <v>6.3093597618916614E-2</v>
      </c>
    </row>
    <row r="9" spans="1:14" ht="15.6" x14ac:dyDescent="0.25">
      <c r="A9" s="18" t="s">
        <v>171</v>
      </c>
      <c r="B9" s="228"/>
      <c r="C9" s="229"/>
      <c r="D9" s="123"/>
      <c r="E9" s="23"/>
      <c r="F9" s="232"/>
      <c r="G9" s="233"/>
      <c r="H9" s="123"/>
      <c r="I9" s="132"/>
      <c r="J9" s="181"/>
      <c r="K9" s="234"/>
      <c r="L9" s="123"/>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8"/>
      <c r="J22" s="258"/>
      <c r="K22" s="258"/>
      <c r="L22" s="341"/>
      <c r="M22" s="21"/>
    </row>
    <row r="23" spans="1:13" ht="15.6" x14ac:dyDescent="0.25">
      <c r="A23" s="382" t="s">
        <v>178</v>
      </c>
      <c r="B23" s="228"/>
      <c r="C23" s="228"/>
      <c r="D23" s="123"/>
      <c r="E23" s="8"/>
      <c r="F23" s="236"/>
      <c r="G23" s="236"/>
      <c r="H23" s="123"/>
      <c r="I23" s="335"/>
      <c r="J23" s="236"/>
      <c r="K23" s="236"/>
      <c r="L23" s="123"/>
      <c r="M23" s="20"/>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c r="C28" s="234"/>
      <c r="D28" s="123"/>
      <c r="E28" s="8"/>
      <c r="F28" s="181"/>
      <c r="G28" s="234"/>
      <c r="H28" s="123"/>
      <c r="I28" s="23"/>
      <c r="J28" s="36"/>
      <c r="K28" s="36"/>
      <c r="L28" s="206"/>
      <c r="M28" s="20"/>
    </row>
    <row r="29" spans="1:13" ht="15.6" x14ac:dyDescent="0.25">
      <c r="A29" s="10" t="s">
        <v>172</v>
      </c>
      <c r="B29" s="183"/>
      <c r="C29" s="183"/>
      <c r="D29" s="127"/>
      <c r="E29" s="8"/>
      <c r="F29" s="250"/>
      <c r="G29" s="250"/>
      <c r="H29" s="127"/>
      <c r="I29" s="8"/>
      <c r="J29" s="183"/>
      <c r="K29" s="183"/>
      <c r="L29" s="342"/>
      <c r="M29" s="21"/>
    </row>
    <row r="30" spans="1:13" ht="15.6" x14ac:dyDescent="0.25">
      <c r="A30" s="382" t="s">
        <v>178</v>
      </c>
      <c r="B30" s="228"/>
      <c r="C30" s="228"/>
      <c r="D30" s="123"/>
      <c r="E30" s="8"/>
      <c r="F30" s="236"/>
      <c r="G30" s="236"/>
      <c r="H30" s="123"/>
      <c r="I30" s="335"/>
      <c r="J30" s="236"/>
      <c r="K30" s="236"/>
      <c r="L30" s="123"/>
      <c r="M30" s="20"/>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c r="D36" s="127"/>
      <c r="E36" s="8"/>
      <c r="F36" s="261"/>
      <c r="G36" s="262"/>
      <c r="H36" s="127"/>
      <c r="I36" s="348"/>
      <c r="J36" s="183"/>
      <c r="K36" s="183"/>
      <c r="L36" s="342"/>
      <c r="M36" s="21"/>
    </row>
    <row r="37" spans="1:13" ht="15.6" x14ac:dyDescent="0.25">
      <c r="A37" s="9" t="s">
        <v>186</v>
      </c>
      <c r="B37" s="183"/>
      <c r="C37" s="251"/>
      <c r="D37" s="127"/>
      <c r="E37" s="8"/>
      <c r="F37" s="261"/>
      <c r="G37" s="263"/>
      <c r="H37" s="127"/>
      <c r="I37" s="348"/>
      <c r="J37" s="183"/>
      <c r="K37" s="183"/>
      <c r="L37" s="342"/>
      <c r="M37" s="21"/>
    </row>
    <row r="38" spans="1:13" ht="15.6" x14ac:dyDescent="0.25">
      <c r="A38" s="9" t="s">
        <v>187</v>
      </c>
      <c r="B38" s="183"/>
      <c r="C38" s="251"/>
      <c r="D38" s="346"/>
      <c r="E38" s="21"/>
      <c r="F38" s="261"/>
      <c r="G38" s="262"/>
      <c r="H38" s="127"/>
      <c r="I38" s="348"/>
      <c r="J38" s="183"/>
      <c r="K38" s="183"/>
      <c r="L38" s="342"/>
      <c r="M38" s="21"/>
    </row>
    <row r="39" spans="1:13" ht="15.6" x14ac:dyDescent="0.25">
      <c r="A39" s="15" t="s">
        <v>188</v>
      </c>
      <c r="B39" s="223"/>
      <c r="C39" s="257"/>
      <c r="D39" s="347"/>
      <c r="E39" s="30"/>
      <c r="F39" s="264"/>
      <c r="G39" s="265"/>
      <c r="H39" s="125"/>
      <c r="I39" s="30"/>
      <c r="J39" s="183"/>
      <c r="K39" s="183"/>
      <c r="L39" s="343"/>
      <c r="M39" s="30"/>
    </row>
    <row r="40" spans="1:13" ht="15.6" x14ac:dyDescent="0.3">
      <c r="A40" s="35"/>
      <c r="B40" s="205"/>
      <c r="C40" s="205"/>
      <c r="D40" s="595"/>
      <c r="E40" s="594"/>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649</v>
      </c>
      <c r="C47" s="253">
        <v>678</v>
      </c>
      <c r="D47" s="341">
        <f t="shared" ref="D47:D48" si="3">IF(B47=0, "    ---- ", IF(ABS(ROUND(100/B47*C47-100,1))&lt;999,ROUND(100/B47*C47-100,1),IF(ROUND(100/B47*C47-100,1)&gt;999,999,-999)))</f>
        <v>4.5</v>
      </c>
      <c r="E47" s="8">
        <f>IFERROR(100/'Skjema total MA'!C47*C47,0)</f>
        <v>1.3691508331013721E-2</v>
      </c>
      <c r="F47" s="109"/>
      <c r="G47" s="27"/>
      <c r="H47" s="118"/>
      <c r="I47" s="118"/>
      <c r="J47" s="31"/>
      <c r="K47" s="31"/>
      <c r="L47" s="118"/>
      <c r="M47" s="118"/>
    </row>
    <row r="48" spans="1:13" ht="15.6" x14ac:dyDescent="0.25">
      <c r="A48" s="18" t="s">
        <v>190</v>
      </c>
      <c r="B48" s="228">
        <v>649</v>
      </c>
      <c r="C48" s="229">
        <v>678</v>
      </c>
      <c r="D48" s="206">
        <f t="shared" si="3"/>
        <v>4.5</v>
      </c>
      <c r="E48" s="23">
        <f>IFERROR(100/'Skjema total MA'!C48*C48,0)</f>
        <v>2.8205496161783365E-2</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202" priority="7">
      <formula>kvartal &lt; 4</formula>
    </cfRule>
  </conditionalFormatting>
  <conditionalFormatting sqref="A69:A74">
    <cfRule type="expression" dxfId="201" priority="6">
      <formula>kvartal &lt; 4</formula>
    </cfRule>
  </conditionalFormatting>
  <conditionalFormatting sqref="A80:A85">
    <cfRule type="expression" dxfId="200" priority="5">
      <formula>kvartal &lt; 4</formula>
    </cfRule>
  </conditionalFormatting>
  <conditionalFormatting sqref="A90:A95">
    <cfRule type="expression" dxfId="199" priority="4">
      <formula>kvartal &lt; 4</formula>
    </cfRule>
  </conditionalFormatting>
  <conditionalFormatting sqref="A101:A106">
    <cfRule type="expression" dxfId="198" priority="3">
      <formula>kvartal &lt; 4</formula>
    </cfRule>
  </conditionalFormatting>
  <conditionalFormatting sqref="A115:C115">
    <cfRule type="expression" dxfId="197" priority="2">
      <formula>kvartal &lt; 4</formula>
    </cfRule>
  </conditionalFormatting>
  <conditionalFormatting sqref="A123:C123">
    <cfRule type="expression" dxfId="196" priority="1">
      <formula>kvartal &lt; 4</formula>
    </cfRule>
  </conditionalFormatting>
  <conditionalFormatting sqref="B69:C69">
    <cfRule type="expression" dxfId="195" priority="57">
      <formula>kvartal &lt; 4</formula>
    </cfRule>
  </conditionalFormatting>
  <conditionalFormatting sqref="B72:C72">
    <cfRule type="expression" dxfId="194" priority="55">
      <formula>kvartal &lt; 4</formula>
    </cfRule>
  </conditionalFormatting>
  <conditionalFormatting sqref="F115:G115">
    <cfRule type="expression" dxfId="193" priority="27">
      <formula>kvartal &lt; 4</formula>
    </cfRule>
  </conditionalFormatting>
  <conditionalFormatting sqref="F123:G123">
    <cfRule type="expression" dxfId="192" priority="26">
      <formula>kvartal &lt; 4</formula>
    </cfRule>
  </conditionalFormatting>
  <conditionalFormatting sqref="J115:K115">
    <cfRule type="expression" dxfId="191" priority="9">
      <formula>kvartal &lt; 4</formula>
    </cfRule>
  </conditionalFormatting>
  <conditionalFormatting sqref="J123:K123">
    <cfRule type="expression" dxfId="190" priority="8">
      <formula>kvartal &lt; 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Q176"/>
  <sheetViews>
    <sheetView showGridLines="0" showZeros="0" zoomScale="90" zoomScaleNormal="90" workbookViewId="0">
      <selection activeCell="A2" sqref="A2"/>
    </sheetView>
  </sheetViews>
  <sheetFormatPr baseColWidth="10" defaultColWidth="11.44140625" defaultRowHeight="18" x14ac:dyDescent="0.35"/>
  <cols>
    <col min="10" max="11" width="16.6640625" customWidth="1"/>
    <col min="12" max="12" width="24.44140625" style="48" customWidth="1"/>
    <col min="13" max="14" width="15.6640625" style="48" bestFit="1" customWidth="1"/>
    <col min="15" max="15" width="22.6640625" customWidth="1"/>
    <col min="16" max="16" width="13.44140625" customWidth="1"/>
    <col min="17" max="17" width="13.6640625" customWidth="1"/>
  </cols>
  <sheetData>
    <row r="1" spans="1:15" x14ac:dyDescent="0.35">
      <c r="A1" s="47" t="s">
        <v>44</v>
      </c>
    </row>
    <row r="2" spans="1:15" x14ac:dyDescent="0.35">
      <c r="A2" s="49"/>
      <c r="B2" s="48"/>
      <c r="C2" s="48"/>
      <c r="D2" s="48"/>
      <c r="E2" s="48"/>
      <c r="F2" s="48"/>
      <c r="G2" s="48"/>
      <c r="H2" s="48"/>
      <c r="I2" s="48"/>
      <c r="J2" s="48"/>
      <c r="K2" s="48"/>
      <c r="O2" s="48"/>
    </row>
    <row r="3" spans="1:15" x14ac:dyDescent="0.35">
      <c r="A3" s="49" t="s">
        <v>1</v>
      </c>
      <c r="B3" s="48"/>
      <c r="C3" s="48"/>
      <c r="D3" s="48"/>
      <c r="E3" s="48"/>
      <c r="F3" s="48"/>
      <c r="G3" s="48"/>
      <c r="H3" s="48"/>
      <c r="I3" s="48"/>
      <c r="J3" s="48"/>
      <c r="K3" s="48"/>
      <c r="O3" s="48"/>
    </row>
    <row r="4" spans="1:15" x14ac:dyDescent="0.35">
      <c r="A4" s="48"/>
      <c r="B4" s="48"/>
      <c r="C4" s="48"/>
      <c r="D4" s="48"/>
      <c r="E4" s="48"/>
      <c r="F4" s="48"/>
      <c r="G4" s="48"/>
      <c r="H4" s="48"/>
      <c r="I4" s="48"/>
      <c r="J4" s="48"/>
      <c r="K4" s="48"/>
      <c r="L4" s="50"/>
      <c r="O4" s="48"/>
    </row>
    <row r="5" spans="1:15" x14ac:dyDescent="0.35">
      <c r="A5" s="49" t="s">
        <v>417</v>
      </c>
      <c r="B5" s="48"/>
      <c r="C5" s="48"/>
      <c r="D5" s="48"/>
      <c r="E5" s="48"/>
      <c r="F5" s="48"/>
      <c r="G5" s="48"/>
      <c r="H5" s="48"/>
      <c r="I5" s="48"/>
      <c r="J5" s="48"/>
      <c r="K5" s="48"/>
      <c r="L5" s="48" t="s">
        <v>45</v>
      </c>
      <c r="O5" s="48"/>
    </row>
    <row r="6" spans="1:15" x14ac:dyDescent="0.35">
      <c r="A6" s="48"/>
      <c r="B6" s="48"/>
      <c r="C6" s="48"/>
      <c r="D6" s="48"/>
      <c r="E6" s="48"/>
      <c r="F6" s="48"/>
      <c r="G6" s="48"/>
      <c r="H6" s="48"/>
      <c r="I6" s="48"/>
      <c r="J6" s="48"/>
      <c r="K6" s="48"/>
      <c r="L6" s="48" t="s">
        <v>46</v>
      </c>
      <c r="O6" s="48"/>
    </row>
    <row r="7" spans="1:15" x14ac:dyDescent="0.35">
      <c r="A7" s="48"/>
      <c r="B7" s="48"/>
      <c r="C7" s="48"/>
      <c r="D7" s="48"/>
      <c r="E7" s="48"/>
      <c r="F7" s="48"/>
      <c r="G7" s="48"/>
      <c r="H7" s="48"/>
      <c r="I7" s="48"/>
      <c r="J7" s="48"/>
      <c r="K7" s="48"/>
      <c r="M7" s="48">
        <v>2025</v>
      </c>
      <c r="N7" s="48">
        <v>2026</v>
      </c>
      <c r="O7" s="48"/>
    </row>
    <row r="8" spans="1:15" x14ac:dyDescent="0.35">
      <c r="A8" s="48"/>
      <c r="B8" s="48"/>
      <c r="C8" s="48"/>
      <c r="D8" s="48"/>
      <c r="E8" s="48"/>
      <c r="F8" s="48"/>
      <c r="G8" s="48"/>
      <c r="H8" s="48"/>
      <c r="I8" s="48"/>
      <c r="J8" s="48"/>
      <c r="K8" s="48"/>
      <c r="L8" s="48" t="s">
        <v>47</v>
      </c>
      <c r="M8" s="51">
        <f>'Tabel 1.1'!B9</f>
        <v>1249688</v>
      </c>
      <c r="N8" s="51">
        <f>'Tabel 1.1'!C9</f>
        <v>1251034.2379600001</v>
      </c>
      <c r="O8" s="48"/>
    </row>
    <row r="9" spans="1:15" x14ac:dyDescent="0.35">
      <c r="A9" s="48"/>
      <c r="B9" s="48"/>
      <c r="C9" s="48"/>
      <c r="D9" s="48"/>
      <c r="E9" s="48"/>
      <c r="F9" s="48"/>
      <c r="G9" s="48"/>
      <c r="H9" s="48"/>
      <c r="I9" s="48"/>
      <c r="J9" s="48"/>
      <c r="K9" s="48"/>
      <c r="L9" s="48" t="s">
        <v>48</v>
      </c>
      <c r="M9" s="51">
        <f>'Tabel 1.1'!B10</f>
        <v>30761</v>
      </c>
      <c r="N9" s="51">
        <f>'Tabel 1.1'!C10</f>
        <v>46204</v>
      </c>
      <c r="O9" s="48"/>
    </row>
    <row r="10" spans="1:15" x14ac:dyDescent="0.35">
      <c r="A10" s="48"/>
      <c r="B10" s="48"/>
      <c r="C10" s="48"/>
      <c r="D10" s="48"/>
      <c r="E10" s="48"/>
      <c r="F10" s="48"/>
      <c r="G10" s="48"/>
      <c r="H10" s="48"/>
      <c r="I10" s="48"/>
      <c r="J10" s="48"/>
      <c r="K10" s="48"/>
      <c r="L10" s="48" t="s">
        <v>409</v>
      </c>
      <c r="M10" s="51">
        <f>'Tabel 1.1'!B11</f>
        <v>1271137.3383900002</v>
      </c>
      <c r="N10" s="51">
        <f>'Tabel 1.1'!C11</f>
        <v>1220218.7109099999</v>
      </c>
      <c r="O10" s="48"/>
    </row>
    <row r="11" spans="1:15" x14ac:dyDescent="0.35">
      <c r="A11" s="48"/>
      <c r="B11" s="48"/>
      <c r="C11" s="48"/>
      <c r="D11" s="48"/>
      <c r="E11" s="48"/>
      <c r="F11" s="48"/>
      <c r="G11" s="48"/>
      <c r="H11" s="48"/>
      <c r="I11" s="48"/>
      <c r="J11" s="48"/>
      <c r="K11" s="48"/>
      <c r="L11" s="48" t="s">
        <v>49</v>
      </c>
      <c r="M11" s="51">
        <f>'Tabel 1.1'!B12</f>
        <v>713825</v>
      </c>
      <c r="N11" s="51">
        <f>'Tabel 1.1'!C12</f>
        <v>787243</v>
      </c>
      <c r="O11" s="48"/>
    </row>
    <row r="12" spans="1:15" x14ac:dyDescent="0.35">
      <c r="A12" s="48"/>
      <c r="B12" s="48"/>
      <c r="C12" s="48"/>
      <c r="D12" s="48"/>
      <c r="E12" s="48"/>
      <c r="F12" s="48"/>
      <c r="G12" s="48"/>
      <c r="H12" s="48"/>
      <c r="I12" s="48"/>
      <c r="J12" s="48"/>
      <c r="K12" s="48"/>
      <c r="L12" s="48" t="s">
        <v>50</v>
      </c>
      <c r="M12" s="51">
        <f>'Tabel 1.1'!B13</f>
        <v>287.33699999999999</v>
      </c>
      <c r="N12" s="51">
        <f>'Tabel 1.1'!C13</f>
        <v>25.518999999999998</v>
      </c>
      <c r="O12" s="48"/>
    </row>
    <row r="13" spans="1:15" x14ac:dyDescent="0.35">
      <c r="A13" s="48"/>
      <c r="B13" s="48"/>
      <c r="C13" s="48"/>
      <c r="D13" s="48"/>
      <c r="E13" s="48"/>
      <c r="F13" s="48"/>
      <c r="G13" s="48"/>
      <c r="H13" s="48"/>
      <c r="I13" s="48"/>
      <c r="J13" s="48"/>
      <c r="K13" s="48"/>
      <c r="L13" s="48" t="s">
        <v>51</v>
      </c>
      <c r="M13" s="51">
        <f>'Tabel 1.1'!B14</f>
        <v>1611395.2398000001</v>
      </c>
      <c r="N13" s="51">
        <f>'Tabel 1.1'!C14</f>
        <v>1562214.5224200001</v>
      </c>
      <c r="O13" s="48"/>
    </row>
    <row r="14" spans="1:15" x14ac:dyDescent="0.35">
      <c r="A14" s="48"/>
      <c r="B14" s="48"/>
      <c r="C14" s="48"/>
      <c r="D14" s="48"/>
      <c r="E14" s="48"/>
      <c r="F14" s="48"/>
      <c r="G14" s="48"/>
      <c r="H14" s="48"/>
      <c r="I14" s="48"/>
      <c r="J14" s="48"/>
      <c r="K14" s="48"/>
      <c r="L14" s="48" t="s">
        <v>52</v>
      </c>
      <c r="M14" s="51">
        <f>'Tabel 1.1'!B15</f>
        <v>361354</v>
      </c>
      <c r="N14" s="51">
        <f>'Tabel 1.1'!C15</f>
        <v>385947</v>
      </c>
      <c r="O14" s="48"/>
    </row>
    <row r="15" spans="1:15" x14ac:dyDescent="0.35">
      <c r="A15" s="48"/>
      <c r="B15" s="48"/>
      <c r="C15" s="48"/>
      <c r="D15" s="48"/>
      <c r="E15" s="48"/>
      <c r="F15" s="48"/>
      <c r="G15" s="48"/>
      <c r="H15" s="48"/>
      <c r="I15" s="48"/>
      <c r="J15" s="48"/>
      <c r="K15" s="48"/>
      <c r="L15" s="48" t="s">
        <v>53</v>
      </c>
      <c r="M15" s="51">
        <f>'Tabel 1.1'!B16</f>
        <v>238957.54931210299</v>
      </c>
      <c r="N15" s="51">
        <f>'Tabel 1.1'!C16</f>
        <v>261854.26316000003</v>
      </c>
      <c r="O15" s="48"/>
    </row>
    <row r="16" spans="1:15" x14ac:dyDescent="0.35">
      <c r="A16" s="48"/>
      <c r="B16" s="48"/>
      <c r="C16" s="48"/>
      <c r="D16" s="48"/>
      <c r="E16" s="48"/>
      <c r="F16" s="48"/>
      <c r="G16" s="48"/>
      <c r="H16" s="48"/>
      <c r="I16" s="48"/>
      <c r="J16" s="48"/>
      <c r="K16" s="48"/>
      <c r="L16" s="48" t="s">
        <v>54</v>
      </c>
      <c r="M16" s="51">
        <f>'Tabel 1.1'!B17</f>
        <v>8049379.79641</v>
      </c>
      <c r="N16" s="51">
        <f>'Tabel 1.1'!C17</f>
        <v>8744623.9051599987</v>
      </c>
      <c r="O16" s="48"/>
    </row>
    <row r="17" spans="1:15" x14ac:dyDescent="0.35">
      <c r="A17" s="48"/>
      <c r="B17" s="48"/>
      <c r="C17" s="48"/>
      <c r="D17" s="48"/>
      <c r="E17" s="48"/>
      <c r="F17" s="48"/>
      <c r="G17" s="48"/>
      <c r="H17" s="48"/>
      <c r="I17" s="48"/>
      <c r="J17" s="48"/>
      <c r="K17" s="48"/>
      <c r="L17" s="48" t="s">
        <v>55</v>
      </c>
      <c r="M17" s="51">
        <f>'Tabel 1.1'!B18</f>
        <v>234700.55499999999</v>
      </c>
      <c r="N17" s="51">
        <f>'Tabel 1.1'!C18</f>
        <v>696348.86199999996</v>
      </c>
      <c r="O17" s="48"/>
    </row>
    <row r="18" spans="1:15" x14ac:dyDescent="0.35">
      <c r="A18" s="48"/>
      <c r="B18" s="48"/>
      <c r="C18" s="48"/>
      <c r="D18" s="48"/>
      <c r="E18" s="48"/>
      <c r="F18" s="48"/>
      <c r="G18" s="48"/>
      <c r="H18" s="48"/>
      <c r="I18" s="48"/>
      <c r="J18" s="48"/>
      <c r="K18" s="48"/>
      <c r="L18" s="611" t="s">
        <v>422</v>
      </c>
      <c r="M18" s="51">
        <f>'Tabel 1.1'!B19</f>
        <v>0</v>
      </c>
      <c r="N18" s="51">
        <f>'Tabel 1.1'!C19</f>
        <v>53091</v>
      </c>
      <c r="O18" s="48"/>
    </row>
    <row r="19" spans="1:15" x14ac:dyDescent="0.35">
      <c r="A19" s="48"/>
      <c r="B19" s="48"/>
      <c r="C19" s="48"/>
      <c r="D19" s="48"/>
      <c r="E19" s="48"/>
      <c r="F19" s="48"/>
      <c r="G19" s="48"/>
      <c r="H19" s="48"/>
      <c r="I19" s="48"/>
      <c r="J19" s="48"/>
      <c r="K19" s="48"/>
      <c r="L19" s="48" t="s">
        <v>57</v>
      </c>
      <c r="M19" s="51">
        <f>'Tabel 1.1'!B20</f>
        <v>82536</v>
      </c>
      <c r="N19" s="51">
        <f>'Tabel 1.1'!C20</f>
        <v>71658</v>
      </c>
      <c r="O19" s="48"/>
    </row>
    <row r="20" spans="1:15" x14ac:dyDescent="0.35">
      <c r="A20" s="48"/>
      <c r="B20" s="48"/>
      <c r="C20" s="48"/>
      <c r="D20" s="48"/>
      <c r="E20" s="48"/>
      <c r="F20" s="48"/>
      <c r="G20" s="48"/>
      <c r="H20" s="48"/>
      <c r="I20" s="48"/>
      <c r="J20" s="48"/>
      <c r="K20" s="48"/>
      <c r="L20" s="48" t="s">
        <v>58</v>
      </c>
      <c r="M20" s="51">
        <f>'Tabel 1.1'!B21</f>
        <v>15177</v>
      </c>
      <c r="N20" s="51">
        <f>'Tabel 1.1'!C21</f>
        <v>16314</v>
      </c>
      <c r="O20" s="48"/>
    </row>
    <row r="21" spans="1:15" x14ac:dyDescent="0.35">
      <c r="A21" s="48"/>
      <c r="B21" s="48"/>
      <c r="C21" s="48"/>
      <c r="D21" s="48"/>
      <c r="E21" s="48"/>
      <c r="F21" s="48"/>
      <c r="G21" s="48"/>
      <c r="H21" s="48"/>
      <c r="I21" s="48"/>
      <c r="J21" s="48"/>
      <c r="K21" s="48"/>
      <c r="L21" s="48" t="s">
        <v>59</v>
      </c>
      <c r="M21" s="51">
        <f>'Tabel 1.1'!B22</f>
        <v>811738.02410864085</v>
      </c>
      <c r="N21" s="51">
        <f>'Tabel 1.1'!C22</f>
        <v>855566.53582891263</v>
      </c>
      <c r="O21" s="48"/>
    </row>
    <row r="22" spans="1:15" x14ac:dyDescent="0.35">
      <c r="A22" s="48"/>
      <c r="B22" s="48"/>
      <c r="C22" s="48"/>
      <c r="D22" s="48"/>
      <c r="E22" s="48"/>
      <c r="F22" s="48"/>
      <c r="G22" s="48"/>
      <c r="H22" s="48"/>
      <c r="I22" s="48"/>
      <c r="J22" s="48"/>
      <c r="K22" s="48"/>
      <c r="L22" s="48" t="s">
        <v>60</v>
      </c>
      <c r="M22" s="51">
        <f>'Tabel 1.1'!B23</f>
        <v>8970</v>
      </c>
      <c r="N22" s="51">
        <f>'Tabel 1.1'!C23</f>
        <v>9386</v>
      </c>
      <c r="O22" s="48"/>
    </row>
    <row r="23" spans="1:15" x14ac:dyDescent="0.35">
      <c r="A23" s="48"/>
      <c r="B23" s="48"/>
      <c r="C23" s="48"/>
      <c r="D23" s="48"/>
      <c r="E23" s="48"/>
      <c r="F23" s="48"/>
      <c r="G23" s="48"/>
      <c r="H23" s="48"/>
      <c r="I23" s="48"/>
      <c r="J23" s="48"/>
      <c r="K23" s="48"/>
      <c r="L23" s="48" t="s">
        <v>61</v>
      </c>
      <c r="M23" s="51">
        <f>'Tabel 1.1'!B24</f>
        <v>908116</v>
      </c>
      <c r="N23" s="51">
        <f>'Tabel 1.1'!C24</f>
        <v>694944</v>
      </c>
      <c r="O23" s="48"/>
    </row>
    <row r="24" spans="1:15" x14ac:dyDescent="0.35">
      <c r="A24" s="48"/>
      <c r="B24" s="48"/>
      <c r="C24" s="48"/>
      <c r="D24" s="48"/>
      <c r="E24" s="48"/>
      <c r="F24" s="48"/>
      <c r="G24" s="48"/>
      <c r="H24" s="48"/>
      <c r="I24" s="48"/>
      <c r="J24" s="48"/>
      <c r="K24" s="48"/>
      <c r="L24" s="48" t="s">
        <v>62</v>
      </c>
      <c r="M24" s="51">
        <f>'Tabel 1.1'!B25</f>
        <v>318529</v>
      </c>
      <c r="N24" s="51">
        <f>'Tabel 1.1'!C25</f>
        <v>387470</v>
      </c>
      <c r="O24" s="48"/>
    </row>
    <row r="25" spans="1:15" x14ac:dyDescent="0.35">
      <c r="A25" s="48"/>
      <c r="B25" s="48"/>
      <c r="C25" s="48"/>
      <c r="D25" s="48"/>
      <c r="E25" s="48"/>
      <c r="F25" s="48"/>
      <c r="G25" s="48"/>
      <c r="H25" s="48"/>
      <c r="I25" s="48"/>
      <c r="J25" s="48"/>
      <c r="K25" s="48"/>
      <c r="L25" s="48" t="s">
        <v>63</v>
      </c>
      <c r="M25" s="51">
        <f>'Tabel 1.1'!B26</f>
        <v>287814.84760999994</v>
      </c>
      <c r="N25" s="51">
        <f>'Tabel 1.1'!C26</f>
        <v>287093.53328999999</v>
      </c>
      <c r="O25" s="48"/>
    </row>
    <row r="26" spans="1:15" x14ac:dyDescent="0.35">
      <c r="A26" s="48"/>
      <c r="B26" s="48"/>
      <c r="C26" s="48"/>
      <c r="D26" s="48"/>
      <c r="E26" s="48"/>
      <c r="F26" s="48"/>
      <c r="G26" s="48"/>
      <c r="H26" s="48"/>
      <c r="I26" s="48"/>
      <c r="J26" s="48"/>
      <c r="K26" s="48"/>
      <c r="L26" s="48" t="s">
        <v>64</v>
      </c>
      <c r="M26" s="51">
        <f>'Tabel 1.1'!B27</f>
        <v>2689958.4868299998</v>
      </c>
      <c r="N26" s="51">
        <f>'Tabel 1.1'!C27</f>
        <v>2940213.8751999997</v>
      </c>
      <c r="O26" s="48"/>
    </row>
    <row r="27" spans="1:15" x14ac:dyDescent="0.35">
      <c r="A27" s="48"/>
      <c r="B27" s="48"/>
      <c r="C27" s="48"/>
      <c r="D27" s="48"/>
      <c r="E27" s="48"/>
      <c r="F27" s="48"/>
      <c r="G27" s="48"/>
      <c r="H27" s="48"/>
      <c r="I27" s="48"/>
      <c r="J27" s="48"/>
      <c r="K27" s="48"/>
      <c r="L27" s="48" t="s">
        <v>65</v>
      </c>
      <c r="M27" s="51">
        <f>'Tabel 1.1'!B28</f>
        <v>2290</v>
      </c>
      <c r="N27" s="51">
        <f>'Tabel 1.1'!C28</f>
        <v>2001</v>
      </c>
      <c r="O27" s="48"/>
    </row>
    <row r="28" spans="1:15" x14ac:dyDescent="0.35">
      <c r="A28" s="48"/>
      <c r="B28" s="48"/>
      <c r="C28" s="48"/>
      <c r="D28" s="48"/>
      <c r="E28" s="48"/>
      <c r="F28" s="48"/>
      <c r="G28" s="48"/>
      <c r="H28" s="48"/>
      <c r="I28" s="48"/>
      <c r="J28" s="48"/>
      <c r="K28" s="48"/>
      <c r="L28" s="48" t="s">
        <v>66</v>
      </c>
      <c r="M28" s="51">
        <f>'Tabel 1.1'!B29</f>
        <v>758059</v>
      </c>
      <c r="N28" s="51">
        <f>'Tabel 1.1'!C29</f>
        <v>772427</v>
      </c>
    </row>
    <row r="29" spans="1:15" x14ac:dyDescent="0.35">
      <c r="A29" s="48"/>
      <c r="B29" s="48"/>
      <c r="C29" s="48"/>
      <c r="D29" s="48"/>
      <c r="E29" s="48"/>
      <c r="F29" s="48"/>
      <c r="G29" s="48"/>
      <c r="H29" s="48"/>
      <c r="I29" s="48"/>
      <c r="J29" s="48"/>
      <c r="K29" s="48"/>
      <c r="L29" s="48" t="s">
        <v>67</v>
      </c>
      <c r="M29" s="51">
        <f>'Tabel 1.1'!B30</f>
        <v>1680</v>
      </c>
      <c r="N29" s="51">
        <f>'Tabel 1.1'!C30</f>
        <v>1584</v>
      </c>
    </row>
    <row r="30" spans="1:15" x14ac:dyDescent="0.35">
      <c r="A30" s="48"/>
      <c r="B30" s="48"/>
      <c r="C30" s="48"/>
      <c r="D30" s="48"/>
      <c r="E30" s="48"/>
      <c r="F30" s="48"/>
      <c r="G30" s="48"/>
      <c r="H30" s="48"/>
      <c r="I30" s="48"/>
      <c r="J30" s="48"/>
      <c r="K30" s="48"/>
      <c r="L30" s="48" t="s">
        <v>68</v>
      </c>
      <c r="M30" s="51">
        <f>'Tabel 1.1'!B31</f>
        <v>43878</v>
      </c>
      <c r="N30" s="51">
        <f>'Tabel 1.1'!C31</f>
        <v>16577</v>
      </c>
    </row>
    <row r="31" spans="1:15" x14ac:dyDescent="0.35">
      <c r="A31" s="49" t="s">
        <v>412</v>
      </c>
      <c r="B31" s="48"/>
      <c r="C31" s="48"/>
      <c r="D31" s="48"/>
      <c r="E31" s="48"/>
      <c r="F31" s="48"/>
      <c r="G31" s="48"/>
      <c r="H31" s="48"/>
      <c r="I31" s="48"/>
      <c r="J31" s="48"/>
      <c r="K31" s="48"/>
    </row>
    <row r="32" spans="1:15" x14ac:dyDescent="0.35">
      <c r="B32" s="48"/>
      <c r="C32" s="48"/>
      <c r="D32" s="48"/>
      <c r="E32" s="48"/>
      <c r="F32" s="48"/>
      <c r="G32" s="48"/>
      <c r="H32" s="48"/>
      <c r="I32" s="48"/>
      <c r="J32" s="48"/>
      <c r="K32" s="48"/>
      <c r="L32" s="48" t="s">
        <v>45</v>
      </c>
    </row>
    <row r="33" spans="1:15" x14ac:dyDescent="0.35">
      <c r="B33" s="48"/>
      <c r="C33" s="48"/>
      <c r="D33" s="48"/>
      <c r="E33" s="48"/>
      <c r="F33" s="48"/>
      <c r="G33" s="48"/>
      <c r="H33" s="48"/>
      <c r="I33" s="48"/>
      <c r="J33" s="48"/>
      <c r="K33" s="48"/>
      <c r="L33" s="48" t="s">
        <v>69</v>
      </c>
    </row>
    <row r="34" spans="1:15" x14ac:dyDescent="0.35">
      <c r="A34" s="48"/>
      <c r="B34" s="48"/>
      <c r="C34" s="48"/>
      <c r="D34" s="48"/>
      <c r="E34" s="48"/>
      <c r="F34" s="48"/>
      <c r="G34" s="48"/>
      <c r="H34" s="48"/>
      <c r="I34" s="48"/>
      <c r="J34" s="48"/>
      <c r="K34" s="48"/>
      <c r="M34" s="48">
        <f>M7</f>
        <v>2025</v>
      </c>
      <c r="N34" s="48">
        <f>N7</f>
        <v>2026</v>
      </c>
    </row>
    <row r="35" spans="1:15" x14ac:dyDescent="0.35">
      <c r="A35" s="48"/>
      <c r="B35" s="48"/>
      <c r="C35" s="48"/>
      <c r="D35" s="48"/>
      <c r="E35" s="48"/>
      <c r="F35" s="48"/>
      <c r="G35" s="48"/>
      <c r="H35" s="48"/>
      <c r="I35" s="48"/>
      <c r="J35" s="48"/>
      <c r="K35" s="48"/>
      <c r="L35" s="48" t="s">
        <v>47</v>
      </c>
      <c r="M35" s="51">
        <f>'Tabel 1.1'!B35</f>
        <v>4416210.9040000001</v>
      </c>
      <c r="N35" s="51">
        <f>'Tabel 1.1'!C35</f>
        <v>4595185.1543399999</v>
      </c>
    </row>
    <row r="36" spans="1:15" x14ac:dyDescent="0.35">
      <c r="A36" s="48"/>
      <c r="B36" s="48"/>
      <c r="C36" s="48"/>
      <c r="D36" s="48"/>
      <c r="E36" s="48"/>
      <c r="F36" s="48"/>
      <c r="G36" s="48"/>
      <c r="H36" s="48"/>
      <c r="I36" s="48"/>
      <c r="J36" s="48"/>
      <c r="K36" s="48"/>
      <c r="L36" s="48" t="s">
        <v>52</v>
      </c>
      <c r="M36" s="51">
        <f>'Tabel 1.1'!B36</f>
        <v>1741309</v>
      </c>
      <c r="N36" s="51">
        <f>'Tabel 1.1'!C36</f>
        <v>1912502</v>
      </c>
    </row>
    <row r="37" spans="1:15" x14ac:dyDescent="0.35">
      <c r="A37" s="48"/>
      <c r="B37" s="48"/>
      <c r="C37" s="48"/>
      <c r="D37" s="48"/>
      <c r="E37" s="48"/>
      <c r="F37" s="48"/>
      <c r="G37" s="48"/>
      <c r="H37" s="48"/>
      <c r="I37" s="48"/>
      <c r="J37" s="48"/>
      <c r="K37" s="48"/>
      <c r="L37" s="48" t="s">
        <v>54</v>
      </c>
      <c r="M37" s="51">
        <f>'Tabel 1.1'!B37</f>
        <v>20929.275000000001</v>
      </c>
      <c r="N37" s="51">
        <f>'Tabel 1.1'!C37</f>
        <v>30212.771000000001</v>
      </c>
    </row>
    <row r="38" spans="1:15" x14ac:dyDescent="0.35">
      <c r="A38" s="48"/>
      <c r="B38" s="48"/>
      <c r="C38" s="48"/>
      <c r="D38" s="48"/>
      <c r="E38" s="48"/>
      <c r="F38" s="48"/>
      <c r="G38" s="48"/>
      <c r="H38" s="48"/>
      <c r="I38" s="48"/>
      <c r="J38" s="48"/>
      <c r="K38" s="48"/>
      <c r="L38" s="48" t="s">
        <v>59</v>
      </c>
      <c r="M38" s="51">
        <f>'Tabel 1.1'!B38</f>
        <v>4781667.1471800003</v>
      </c>
      <c r="N38" s="51">
        <f>'Tabel 1.1'!C38</f>
        <v>5869756.8764300002</v>
      </c>
    </row>
    <row r="39" spans="1:15" x14ac:dyDescent="0.35">
      <c r="A39" s="48"/>
      <c r="B39" s="48"/>
      <c r="C39" s="48"/>
      <c r="D39" s="48"/>
      <c r="E39" s="48"/>
      <c r="F39" s="48"/>
      <c r="G39" s="48"/>
      <c r="H39" s="48"/>
      <c r="I39" s="48"/>
      <c r="J39" s="48"/>
      <c r="K39" s="48"/>
      <c r="L39" s="48" t="s">
        <v>63</v>
      </c>
      <c r="M39" s="51">
        <f>'Tabel 1.1'!B39</f>
        <v>2096094.96572</v>
      </c>
      <c r="N39" s="51">
        <f>'Tabel 1.1'!C39</f>
        <v>2204043.2582200002</v>
      </c>
    </row>
    <row r="40" spans="1:15" x14ac:dyDescent="0.35">
      <c r="A40" s="48"/>
      <c r="B40" s="48"/>
      <c r="C40" s="48"/>
      <c r="D40" s="48"/>
      <c r="E40" s="48"/>
      <c r="F40" s="48"/>
      <c r="G40" s="48"/>
      <c r="H40" s="48"/>
      <c r="I40" s="48"/>
      <c r="J40" s="48"/>
      <c r="K40" s="48"/>
      <c r="L40" s="48" t="s">
        <v>64</v>
      </c>
      <c r="M40" s="51">
        <f>'Tabel 1.1'!B40</f>
        <v>4815430.6112099998</v>
      </c>
      <c r="N40" s="51">
        <f>'Tabel 1.1'!C40</f>
        <v>4843337.3624900002</v>
      </c>
    </row>
    <row r="41" spans="1:15" x14ac:dyDescent="0.35">
      <c r="A41" s="48"/>
      <c r="B41" s="48"/>
      <c r="C41" s="48"/>
      <c r="D41" s="48"/>
      <c r="E41" s="48"/>
      <c r="F41" s="48"/>
      <c r="G41" s="48"/>
      <c r="H41" s="48"/>
      <c r="I41" s="48"/>
      <c r="J41" s="48"/>
      <c r="K41" s="48"/>
      <c r="O41" s="48"/>
    </row>
    <row r="42" spans="1:15" x14ac:dyDescent="0.35">
      <c r="A42" s="48"/>
      <c r="B42" s="48"/>
      <c r="C42" s="48"/>
      <c r="D42" s="48"/>
      <c r="E42" s="48"/>
      <c r="F42" s="48"/>
      <c r="G42" s="48"/>
      <c r="H42" s="48"/>
      <c r="I42" s="48"/>
      <c r="J42" s="48"/>
      <c r="K42" s="48"/>
      <c r="M42" s="51"/>
      <c r="N42" s="51"/>
      <c r="O42" s="48"/>
    </row>
    <row r="43" spans="1:15" x14ac:dyDescent="0.35">
      <c r="A43" s="48"/>
      <c r="B43" s="48"/>
      <c r="C43" s="48"/>
      <c r="D43" s="48"/>
      <c r="E43" s="48"/>
      <c r="F43" s="48"/>
      <c r="G43" s="48"/>
      <c r="H43" s="48"/>
      <c r="I43" s="48"/>
      <c r="J43" s="48"/>
      <c r="K43" s="48"/>
      <c r="M43" s="51"/>
      <c r="N43" s="51"/>
      <c r="O43" s="48"/>
    </row>
    <row r="44" spans="1:15" x14ac:dyDescent="0.35">
      <c r="A44" s="48"/>
      <c r="B44" s="48"/>
      <c r="C44" s="48"/>
      <c r="D44" s="48"/>
      <c r="E44" s="48"/>
      <c r="F44" s="48"/>
      <c r="G44" s="48"/>
      <c r="H44" s="48"/>
      <c r="I44" s="48"/>
      <c r="J44" s="48"/>
      <c r="K44" s="48"/>
      <c r="M44" s="51"/>
      <c r="N44" s="51"/>
      <c r="O44" s="48"/>
    </row>
    <row r="45" spans="1:15" x14ac:dyDescent="0.35">
      <c r="A45" s="48"/>
      <c r="B45" s="48"/>
      <c r="C45" s="48"/>
      <c r="D45" s="48"/>
      <c r="E45" s="48"/>
      <c r="F45" s="48"/>
      <c r="G45" s="48"/>
      <c r="H45" s="48"/>
      <c r="I45" s="48"/>
      <c r="J45" s="48"/>
      <c r="K45" s="48"/>
      <c r="M45" s="51"/>
      <c r="N45" s="51"/>
      <c r="O45" s="48"/>
    </row>
    <row r="46" spans="1:15" x14ac:dyDescent="0.35">
      <c r="A46" s="48"/>
      <c r="B46" s="48"/>
      <c r="C46" s="48"/>
      <c r="D46" s="48"/>
      <c r="E46" s="48"/>
      <c r="F46" s="48"/>
      <c r="G46" s="48"/>
      <c r="H46" s="48"/>
      <c r="I46" s="48"/>
      <c r="J46" s="48"/>
      <c r="K46" s="48"/>
      <c r="M46" s="51"/>
      <c r="N46" s="51"/>
      <c r="O46" s="48"/>
    </row>
    <row r="47" spans="1:15" x14ac:dyDescent="0.35">
      <c r="A47" s="48"/>
      <c r="B47" s="48"/>
      <c r="C47" s="48"/>
      <c r="D47" s="48"/>
      <c r="E47" s="48"/>
      <c r="F47" s="48"/>
      <c r="G47" s="48"/>
      <c r="H47" s="48"/>
      <c r="I47" s="48"/>
      <c r="J47" s="48"/>
      <c r="K47" s="48"/>
      <c r="O47" s="48"/>
    </row>
    <row r="48" spans="1:15" x14ac:dyDescent="0.35">
      <c r="A48" s="48"/>
      <c r="B48" s="48"/>
      <c r="C48" s="48"/>
      <c r="D48" s="48"/>
      <c r="E48" s="48"/>
      <c r="F48" s="48"/>
      <c r="G48" s="48"/>
      <c r="H48" s="48"/>
      <c r="I48" s="48"/>
      <c r="J48" s="48"/>
      <c r="K48" s="48"/>
      <c r="O48" s="48"/>
    </row>
    <row r="49" spans="1:15" x14ac:dyDescent="0.35">
      <c r="A49" s="48"/>
      <c r="B49" s="48"/>
      <c r="C49" s="48"/>
      <c r="D49" s="48"/>
      <c r="E49" s="48"/>
      <c r="F49" s="48"/>
      <c r="G49" s="48"/>
      <c r="H49" s="48"/>
      <c r="I49" s="48"/>
      <c r="J49" s="48"/>
      <c r="K49" s="48"/>
      <c r="O49" s="48"/>
    </row>
    <row r="50" spans="1:15" x14ac:dyDescent="0.35">
      <c r="A50" s="48"/>
      <c r="B50" s="48"/>
      <c r="C50" s="48"/>
      <c r="D50" s="48"/>
      <c r="E50" s="48"/>
      <c r="F50" s="48"/>
      <c r="G50" s="48"/>
      <c r="H50" s="48"/>
      <c r="I50" s="48"/>
      <c r="J50" s="48"/>
      <c r="K50" s="48"/>
      <c r="L50" s="48" t="s">
        <v>70</v>
      </c>
      <c r="O50" s="48"/>
    </row>
    <row r="51" spans="1:15" x14ac:dyDescent="0.35">
      <c r="A51" s="48"/>
      <c r="B51" s="48"/>
      <c r="C51" s="48"/>
      <c r="D51" s="48"/>
      <c r="E51" s="48"/>
      <c r="F51" s="48"/>
      <c r="G51" s="48"/>
      <c r="H51" s="48"/>
      <c r="I51" s="48"/>
      <c r="J51" s="48"/>
      <c r="K51" s="48"/>
      <c r="L51" s="48" t="s">
        <v>46</v>
      </c>
      <c r="O51" s="48"/>
    </row>
    <row r="52" spans="1:15" x14ac:dyDescent="0.35">
      <c r="A52" s="48"/>
      <c r="B52" s="48"/>
      <c r="C52" s="48"/>
      <c r="D52" s="48"/>
      <c r="E52" s="48"/>
      <c r="F52" s="48"/>
      <c r="G52" s="48"/>
      <c r="H52" s="48"/>
      <c r="I52" s="48"/>
      <c r="J52" s="48"/>
      <c r="K52" s="48"/>
      <c r="M52" s="48">
        <f>M7</f>
        <v>2025</v>
      </c>
      <c r="N52" s="48">
        <f>N7</f>
        <v>2026</v>
      </c>
      <c r="O52" s="48"/>
    </row>
    <row r="53" spans="1:15" x14ac:dyDescent="0.35">
      <c r="A53" s="48"/>
      <c r="B53" s="48"/>
      <c r="C53" s="48"/>
      <c r="D53" s="48"/>
      <c r="E53" s="48"/>
      <c r="F53" s="48"/>
      <c r="G53" s="48"/>
      <c r="H53" s="48"/>
      <c r="I53" s="48"/>
      <c r="J53" s="48"/>
      <c r="K53" s="48"/>
      <c r="L53" s="48" t="s">
        <v>47</v>
      </c>
      <c r="M53" s="51">
        <f>'Tabel 1.1'!G9</f>
        <v>179684402.72244999</v>
      </c>
      <c r="N53" s="51">
        <f>'Tabel 1.1'!H9</f>
        <v>178517753.45691475</v>
      </c>
      <c r="O53" s="48"/>
    </row>
    <row r="54" spans="1:15" x14ac:dyDescent="0.35">
      <c r="A54" s="48"/>
      <c r="B54" s="48"/>
      <c r="C54" s="48"/>
      <c r="D54" s="48"/>
      <c r="E54" s="48"/>
      <c r="F54" s="48"/>
      <c r="G54" s="48"/>
      <c r="H54" s="48"/>
      <c r="I54" s="48"/>
      <c r="J54" s="48"/>
      <c r="K54" s="48"/>
      <c r="L54" s="48" t="s">
        <v>48</v>
      </c>
      <c r="M54" s="51">
        <f>'Tabel 1.1'!G10</f>
        <v>0</v>
      </c>
      <c r="N54" s="51">
        <f>'Tabel 1.1'!H10</f>
        <v>0</v>
      </c>
      <c r="O54" s="48"/>
    </row>
    <row r="55" spans="1:15" x14ac:dyDescent="0.35">
      <c r="A55" s="48"/>
      <c r="B55" s="48"/>
      <c r="C55" s="48"/>
      <c r="D55" s="48"/>
      <c r="E55" s="48"/>
      <c r="F55" s="48"/>
      <c r="G55" s="48"/>
      <c r="H55" s="48"/>
      <c r="I55" s="48"/>
      <c r="J55" s="48"/>
      <c r="K55" s="48"/>
      <c r="L55" s="611" t="s">
        <v>409</v>
      </c>
      <c r="M55" s="51">
        <f>'Tabel 1.1'!G11</f>
        <v>6000495.18102</v>
      </c>
      <c r="N55" s="51">
        <f>'Tabel 1.1'!H11</f>
        <v>6592758.1898499997</v>
      </c>
      <c r="O55" s="48"/>
    </row>
    <row r="56" spans="1:15" x14ac:dyDescent="0.35">
      <c r="A56" s="49" t="s">
        <v>413</v>
      </c>
      <c r="B56" s="48"/>
      <c r="C56" s="48"/>
      <c r="D56" s="48"/>
      <c r="E56" s="48"/>
      <c r="F56" s="48"/>
      <c r="G56" s="48"/>
      <c r="H56" s="48"/>
      <c r="I56" s="48"/>
      <c r="J56" s="48"/>
      <c r="K56" s="48"/>
      <c r="L56" s="48" t="s">
        <v>49</v>
      </c>
      <c r="M56" s="51">
        <f>'Tabel 1.1'!G12</f>
        <v>2437488</v>
      </c>
      <c r="N56" s="51">
        <f>'Tabel 1.1'!H12</f>
        <v>2794309</v>
      </c>
      <c r="O56" s="48"/>
    </row>
    <row r="57" spans="1:15" x14ac:dyDescent="0.35">
      <c r="A57" s="48"/>
      <c r="B57" s="48"/>
      <c r="C57" s="48"/>
      <c r="D57" s="48"/>
      <c r="E57" s="48"/>
      <c r="F57" s="48"/>
      <c r="G57" s="48"/>
      <c r="H57" s="48"/>
      <c r="I57" s="48"/>
      <c r="J57" s="48"/>
      <c r="K57" s="48"/>
      <c r="L57" s="48" t="s">
        <v>51</v>
      </c>
      <c r="M57" s="51">
        <f>'Tabel 1.1'!G13</f>
        <v>0</v>
      </c>
      <c r="N57" s="51">
        <f>'Tabel 1.1'!H13</f>
        <v>0</v>
      </c>
      <c r="O57" s="48"/>
    </row>
    <row r="58" spans="1:15" x14ac:dyDescent="0.35">
      <c r="A58" s="48"/>
      <c r="B58" s="48"/>
      <c r="C58" s="48"/>
      <c r="D58" s="48"/>
      <c r="E58" s="48"/>
      <c r="F58" s="48"/>
      <c r="G58" s="48"/>
      <c r="H58" s="48"/>
      <c r="I58" s="48"/>
      <c r="J58" s="48"/>
      <c r="K58" s="48"/>
      <c r="L58" s="48" t="s">
        <v>52</v>
      </c>
      <c r="M58" s="51">
        <f>'Tabel 1.1'!G15</f>
        <v>11279029</v>
      </c>
      <c r="N58" s="51">
        <f>'Tabel 1.1'!H15</f>
        <v>12086275</v>
      </c>
      <c r="O58" s="48"/>
    </row>
    <row r="59" spans="1:15" x14ac:dyDescent="0.35">
      <c r="A59" s="48"/>
      <c r="B59" s="48"/>
      <c r="C59" s="48"/>
      <c r="D59" s="48"/>
      <c r="E59" s="48"/>
      <c r="F59" s="48"/>
      <c r="G59" s="48"/>
      <c r="H59" s="48"/>
      <c r="I59" s="48"/>
      <c r="J59" s="48"/>
      <c r="K59" s="48"/>
      <c r="L59" s="48" t="s">
        <v>53</v>
      </c>
      <c r="M59" s="51">
        <f>'Tabel 1.1'!G16</f>
        <v>0</v>
      </c>
      <c r="N59" s="51">
        <f>'Tabel 1.1'!H16</f>
        <v>0</v>
      </c>
      <c r="O59" s="48"/>
    </row>
    <row r="60" spans="1:15" x14ac:dyDescent="0.35">
      <c r="A60" s="48"/>
      <c r="B60" s="48"/>
      <c r="C60" s="48"/>
      <c r="D60" s="48"/>
      <c r="E60" s="48"/>
      <c r="F60" s="48"/>
      <c r="G60" s="48"/>
      <c r="H60" s="48"/>
      <c r="I60" s="48"/>
      <c r="J60" s="48"/>
      <c r="K60" s="48"/>
      <c r="L60" s="48" t="s">
        <v>54</v>
      </c>
      <c r="M60" s="51">
        <f>'Tabel 1.1'!G17</f>
        <v>794812677.44805002</v>
      </c>
      <c r="N60" s="51">
        <f>'Tabel 1.1'!H17</f>
        <v>876265272.58194005</v>
      </c>
      <c r="O60" s="48"/>
    </row>
    <row r="61" spans="1:15" x14ac:dyDescent="0.35">
      <c r="A61" s="48"/>
      <c r="B61" s="48"/>
      <c r="C61" s="48"/>
      <c r="D61" s="48"/>
      <c r="E61" s="48"/>
      <c r="F61" s="48"/>
      <c r="G61" s="48"/>
      <c r="H61" s="48"/>
      <c r="I61" s="48"/>
      <c r="J61" s="48"/>
      <c r="K61" s="48"/>
      <c r="L61" s="48" t="s">
        <v>55</v>
      </c>
      <c r="M61" s="51">
        <f>'Tabel 1.1'!G18</f>
        <v>173603.853</v>
      </c>
      <c r="N61" s="51">
        <f>'Tabel 1.1'!H18</f>
        <v>284694.43099999998</v>
      </c>
      <c r="O61" s="48"/>
    </row>
    <row r="62" spans="1:15" x14ac:dyDescent="0.35">
      <c r="A62" s="48"/>
      <c r="B62" s="48"/>
      <c r="C62" s="48"/>
      <c r="D62" s="48"/>
      <c r="E62" s="48"/>
      <c r="F62" s="48"/>
      <c r="G62" s="48"/>
      <c r="H62" s="48"/>
      <c r="I62" s="48"/>
      <c r="J62" s="48"/>
      <c r="K62" s="48"/>
      <c r="L62" s="611" t="s">
        <v>56</v>
      </c>
      <c r="M62" s="51">
        <f>'Tabel 1.1'!G19</f>
        <v>0</v>
      </c>
      <c r="N62" s="51">
        <f>'Tabel 1.1'!H19</f>
        <v>3595</v>
      </c>
      <c r="O62" s="48"/>
    </row>
    <row r="63" spans="1:15" x14ac:dyDescent="0.35">
      <c r="A63" s="48"/>
      <c r="B63" s="48"/>
      <c r="C63" s="48"/>
      <c r="D63" s="48"/>
      <c r="E63" s="48"/>
      <c r="F63" s="48"/>
      <c r="G63" s="48"/>
      <c r="H63" s="48"/>
      <c r="I63" s="48"/>
      <c r="J63" s="48"/>
      <c r="K63" s="48"/>
      <c r="L63" s="48" t="s">
        <v>71</v>
      </c>
      <c r="M63" s="51">
        <f>'Tabel 1.1'!G20</f>
        <v>0</v>
      </c>
      <c r="N63" s="51">
        <f>'Tabel 1.1'!H20</f>
        <v>0</v>
      </c>
      <c r="O63" s="48"/>
    </row>
    <row r="64" spans="1:15" x14ac:dyDescent="0.35">
      <c r="A64" s="48"/>
      <c r="B64" s="48"/>
      <c r="C64" s="48"/>
      <c r="D64" s="48"/>
      <c r="E64" s="48"/>
      <c r="F64" s="48"/>
      <c r="G64" s="48"/>
      <c r="H64" s="48"/>
      <c r="I64" s="48"/>
      <c r="J64" s="48"/>
      <c r="K64" s="48"/>
      <c r="L64" s="48" t="s">
        <v>58</v>
      </c>
      <c r="M64" s="51">
        <f>'Tabel 1.1'!G21</f>
        <v>0</v>
      </c>
      <c r="N64" s="51">
        <f>'Tabel 1.1'!H21</f>
        <v>0</v>
      </c>
      <c r="O64" s="48"/>
    </row>
    <row r="65" spans="1:15" x14ac:dyDescent="0.35">
      <c r="A65" s="48"/>
      <c r="B65" s="48"/>
      <c r="C65" s="48"/>
      <c r="D65" s="48"/>
      <c r="E65" s="48"/>
      <c r="F65" s="48"/>
      <c r="G65" s="48"/>
      <c r="H65" s="48"/>
      <c r="I65" s="48"/>
      <c r="J65" s="48"/>
      <c r="K65" s="48"/>
      <c r="L65" s="48" t="s">
        <v>59</v>
      </c>
      <c r="M65" s="51">
        <f>'Tabel 1.1'!G22</f>
        <v>54964640.000001788</v>
      </c>
      <c r="N65" s="51">
        <f>'Tabel 1.1'!H22</f>
        <v>56434150.000000753</v>
      </c>
      <c r="O65" s="48"/>
    </row>
    <row r="66" spans="1:15" x14ac:dyDescent="0.35">
      <c r="A66" s="48"/>
      <c r="B66" s="48"/>
      <c r="C66" s="48"/>
      <c r="D66" s="48"/>
      <c r="E66" s="48"/>
      <c r="F66" s="48"/>
      <c r="G66" s="48"/>
      <c r="H66" s="48"/>
      <c r="I66" s="48"/>
      <c r="J66" s="48"/>
      <c r="K66" s="48"/>
      <c r="L66" s="48" t="s">
        <v>60</v>
      </c>
      <c r="M66" s="51">
        <f>'Tabel 1.1'!G23</f>
        <v>0</v>
      </c>
      <c r="N66" s="51">
        <f>'Tabel 1.1'!H23</f>
        <v>0</v>
      </c>
      <c r="O66" s="48"/>
    </row>
    <row r="67" spans="1:15" x14ac:dyDescent="0.35">
      <c r="A67" s="48"/>
      <c r="B67" s="48"/>
      <c r="C67" s="48"/>
      <c r="D67" s="48"/>
      <c r="E67" s="48"/>
      <c r="F67" s="48"/>
      <c r="G67" s="48"/>
      <c r="H67" s="48"/>
      <c r="I67" s="48"/>
      <c r="J67" s="48"/>
      <c r="K67" s="48"/>
      <c r="L67" s="48" t="s">
        <v>61</v>
      </c>
      <c r="M67" s="51">
        <f>'Tabel 1.1'!G24</f>
        <v>97889000</v>
      </c>
      <c r="N67" s="51">
        <f>'Tabel 1.1'!H24</f>
        <v>104208000</v>
      </c>
      <c r="O67" s="48"/>
    </row>
    <row r="68" spans="1:15" x14ac:dyDescent="0.35">
      <c r="A68" s="48"/>
      <c r="B68" s="48"/>
      <c r="C68" s="48"/>
      <c r="D68" s="48"/>
      <c r="E68" s="48"/>
      <c r="F68" s="48"/>
      <c r="G68" s="48"/>
      <c r="H68" s="48"/>
      <c r="I68" s="48"/>
      <c r="J68" s="48"/>
      <c r="K68" s="48"/>
      <c r="L68" s="48" t="s">
        <v>63</v>
      </c>
      <c r="M68" s="51">
        <f>'Tabel 1.1'!G26</f>
        <v>23632770.244150002</v>
      </c>
      <c r="N68" s="51">
        <f>'Tabel 1.1'!H26</f>
        <v>26630201.299020004</v>
      </c>
      <c r="O68" s="48"/>
    </row>
    <row r="69" spans="1:15" x14ac:dyDescent="0.35">
      <c r="A69" s="48"/>
      <c r="B69" s="48"/>
      <c r="C69" s="48"/>
      <c r="D69" s="48"/>
      <c r="E69" s="48"/>
      <c r="F69" s="48"/>
      <c r="G69" s="48"/>
      <c r="H69" s="48"/>
      <c r="I69" s="48"/>
      <c r="J69" s="48"/>
      <c r="K69" s="48"/>
      <c r="L69" s="48" t="s">
        <v>64</v>
      </c>
      <c r="M69" s="51">
        <f>'Tabel 1.1'!G27</f>
        <v>215118616.59341002</v>
      </c>
      <c r="N69" s="51">
        <f>'Tabel 1.1'!H27</f>
        <v>221419656.01634002</v>
      </c>
      <c r="O69" s="48"/>
    </row>
    <row r="70" spans="1:15" x14ac:dyDescent="0.35">
      <c r="A70" s="48"/>
      <c r="B70" s="48"/>
      <c r="C70" s="48"/>
      <c r="D70" s="48"/>
      <c r="E70" s="48"/>
      <c r="F70" s="48"/>
      <c r="G70" s="48"/>
      <c r="H70" s="48"/>
      <c r="I70" s="48"/>
      <c r="J70" s="48"/>
      <c r="K70" s="48"/>
      <c r="L70" s="48" t="s">
        <v>72</v>
      </c>
      <c r="M70" s="51">
        <f>'Tabel 1.1'!G28</f>
        <v>0</v>
      </c>
      <c r="N70" s="51">
        <f>'Tabel 1.1'!H28</f>
        <v>0</v>
      </c>
      <c r="O70" s="48"/>
    </row>
    <row r="71" spans="1:15" x14ac:dyDescent="0.35">
      <c r="A71" s="48"/>
      <c r="B71" s="48"/>
      <c r="C71" s="48"/>
      <c r="D71" s="48"/>
      <c r="E71" s="48"/>
      <c r="F71" s="48"/>
      <c r="G71" s="48"/>
      <c r="H71" s="48"/>
      <c r="I71" s="48"/>
      <c r="J71" s="48"/>
      <c r="K71" s="48"/>
      <c r="L71" s="48" t="s">
        <v>73</v>
      </c>
      <c r="M71" s="51">
        <f>'Tabel 1.1'!G29</f>
        <v>0</v>
      </c>
      <c r="N71" s="51">
        <f>'Tabel 1.1'!H29</f>
        <v>0</v>
      </c>
      <c r="O71" s="48"/>
    </row>
    <row r="72" spans="1:15" x14ac:dyDescent="0.35">
      <c r="A72" s="48"/>
      <c r="B72" s="48"/>
      <c r="C72" s="48"/>
      <c r="D72" s="48"/>
      <c r="E72" s="48"/>
      <c r="F72" s="48"/>
      <c r="G72" s="48"/>
      <c r="H72" s="48"/>
      <c r="I72" s="48"/>
      <c r="J72" s="48"/>
      <c r="K72" s="48"/>
      <c r="L72" s="48" t="s">
        <v>74</v>
      </c>
      <c r="M72" s="51">
        <f>'Tabel 1.1'!G30</f>
        <v>0</v>
      </c>
      <c r="N72" s="51">
        <f>'Tabel 1.1'!H30</f>
        <v>0</v>
      </c>
      <c r="O72" s="48"/>
    </row>
    <row r="73" spans="1:15" x14ac:dyDescent="0.35">
      <c r="A73" s="48"/>
      <c r="B73" s="48"/>
      <c r="C73" s="48"/>
      <c r="D73" s="48"/>
      <c r="E73" s="48"/>
      <c r="F73" s="48"/>
      <c r="G73" s="48"/>
      <c r="H73" s="48"/>
      <c r="I73" s="48"/>
      <c r="J73" s="48"/>
      <c r="K73" s="48"/>
      <c r="L73" s="48" t="s">
        <v>68</v>
      </c>
      <c r="M73" s="51">
        <f>'Tabel 1.1'!G31</f>
        <v>69378</v>
      </c>
      <c r="N73" s="51">
        <f>'Tabel 1.1'!H31</f>
        <v>94134</v>
      </c>
      <c r="O73" s="48"/>
    </row>
    <row r="74" spans="1:15" x14ac:dyDescent="0.35">
      <c r="A74" s="48"/>
      <c r="B74" s="48"/>
      <c r="C74" s="48"/>
      <c r="D74" s="48"/>
      <c r="E74" s="48"/>
      <c r="F74" s="48"/>
      <c r="G74" s="48"/>
      <c r="H74" s="48"/>
      <c r="I74" s="48"/>
      <c r="J74" s="48"/>
      <c r="K74" s="48"/>
      <c r="O74" s="48"/>
    </row>
    <row r="75" spans="1:15" x14ac:dyDescent="0.35">
      <c r="A75" s="48"/>
      <c r="B75" s="48"/>
      <c r="C75" s="48"/>
      <c r="D75" s="48"/>
      <c r="E75" s="48"/>
      <c r="F75" s="48"/>
      <c r="G75" s="48"/>
      <c r="H75" s="48"/>
      <c r="I75" s="48"/>
      <c r="J75" s="48"/>
      <c r="K75" s="48"/>
      <c r="O75" s="48"/>
    </row>
    <row r="76" spans="1:15" x14ac:dyDescent="0.35">
      <c r="A76" s="48"/>
      <c r="B76" s="48"/>
      <c r="C76" s="48"/>
      <c r="D76" s="48"/>
      <c r="E76" s="48"/>
      <c r="F76" s="48"/>
      <c r="G76" s="48"/>
      <c r="H76" s="48"/>
      <c r="I76" s="48"/>
      <c r="J76" s="48"/>
      <c r="K76" s="48"/>
      <c r="O76" s="48"/>
    </row>
    <row r="77" spans="1:15" x14ac:dyDescent="0.35">
      <c r="A77" s="48"/>
      <c r="B77" s="48"/>
      <c r="C77" s="48"/>
      <c r="D77" s="48"/>
      <c r="E77" s="48"/>
      <c r="F77" s="48"/>
      <c r="G77" s="48"/>
      <c r="H77" s="48"/>
      <c r="I77" s="48"/>
      <c r="J77" s="48"/>
      <c r="K77" s="48"/>
      <c r="O77" s="48"/>
    </row>
    <row r="78" spans="1:15" x14ac:dyDescent="0.35">
      <c r="A78" s="48"/>
      <c r="B78" s="48"/>
      <c r="C78" s="48"/>
      <c r="D78" s="48"/>
      <c r="E78" s="48"/>
      <c r="F78" s="48"/>
      <c r="G78" s="48"/>
      <c r="H78" s="48"/>
      <c r="I78" s="48"/>
      <c r="J78" s="48"/>
      <c r="K78" s="48"/>
      <c r="O78" s="48"/>
    </row>
    <row r="79" spans="1:15" x14ac:dyDescent="0.35">
      <c r="A79" s="48"/>
      <c r="B79" s="48"/>
      <c r="C79" s="48"/>
      <c r="D79" s="48"/>
      <c r="E79" s="48"/>
      <c r="F79" s="48"/>
      <c r="G79" s="48"/>
      <c r="H79" s="48"/>
      <c r="I79" s="48"/>
      <c r="J79" s="48"/>
      <c r="K79" s="48"/>
      <c r="O79" s="48"/>
    </row>
    <row r="80" spans="1:15" x14ac:dyDescent="0.35">
      <c r="A80" s="49" t="s">
        <v>414</v>
      </c>
      <c r="B80" s="48"/>
      <c r="C80" s="48"/>
      <c r="D80" s="48"/>
      <c r="E80" s="48"/>
      <c r="F80" s="48"/>
      <c r="G80" s="48"/>
      <c r="H80" s="48"/>
      <c r="I80" s="48"/>
      <c r="J80" s="48"/>
      <c r="K80" s="48"/>
      <c r="O80" s="48"/>
    </row>
    <row r="81" spans="1:15" x14ac:dyDescent="0.35">
      <c r="B81" s="48"/>
      <c r="C81" s="48"/>
      <c r="D81" s="48"/>
      <c r="E81" s="48"/>
      <c r="F81" s="48"/>
      <c r="G81" s="48"/>
      <c r="H81" s="48"/>
      <c r="I81" s="48"/>
      <c r="J81" s="48"/>
      <c r="K81" s="48"/>
      <c r="O81" s="48"/>
    </row>
    <row r="82" spans="1:15" x14ac:dyDescent="0.35">
      <c r="A82" s="48"/>
      <c r="B82" s="48"/>
      <c r="C82" s="48"/>
      <c r="D82" s="48"/>
      <c r="E82" s="48"/>
      <c r="F82" s="48"/>
      <c r="G82" s="48"/>
      <c r="H82" s="48"/>
      <c r="I82" s="48"/>
      <c r="J82" s="48"/>
      <c r="K82" s="48"/>
      <c r="L82" s="48" t="s">
        <v>70</v>
      </c>
      <c r="O82" s="48"/>
    </row>
    <row r="83" spans="1:15" x14ac:dyDescent="0.35">
      <c r="A83" s="48"/>
      <c r="B83" s="48"/>
      <c r="C83" s="48"/>
      <c r="D83" s="48"/>
      <c r="E83" s="48"/>
      <c r="F83" s="48"/>
      <c r="G83" s="48"/>
      <c r="H83" s="48"/>
      <c r="I83" s="48"/>
      <c r="J83" s="48"/>
      <c r="K83" s="48"/>
      <c r="L83" s="48" t="s">
        <v>69</v>
      </c>
      <c r="O83" s="48"/>
    </row>
    <row r="84" spans="1:15" x14ac:dyDescent="0.35">
      <c r="A84" s="48"/>
      <c r="B84" s="48"/>
      <c r="C84" s="48"/>
      <c r="D84" s="48"/>
      <c r="E84" s="48"/>
      <c r="F84" s="48"/>
      <c r="G84" s="48"/>
      <c r="H84" s="48"/>
      <c r="I84" s="48"/>
      <c r="J84" s="48"/>
      <c r="K84" s="48"/>
      <c r="M84" s="48">
        <f>M7</f>
        <v>2025</v>
      </c>
      <c r="N84" s="48">
        <f>N7</f>
        <v>2026</v>
      </c>
      <c r="O84" s="48"/>
    </row>
    <row r="85" spans="1:15" x14ac:dyDescent="0.35">
      <c r="B85" s="48"/>
      <c r="C85" s="48"/>
      <c r="D85" s="48"/>
      <c r="E85" s="48"/>
      <c r="F85" s="48"/>
      <c r="G85" s="48"/>
      <c r="H85" s="48"/>
      <c r="I85" s="48"/>
      <c r="J85" s="48"/>
      <c r="K85" s="48"/>
      <c r="L85" s="48" t="s">
        <v>47</v>
      </c>
      <c r="M85" s="51">
        <f>'Tabel 1.1'!G35</f>
        <v>203568699.91183773</v>
      </c>
      <c r="N85" s="51">
        <f>'Tabel 1.1'!H35</f>
        <v>245957648.95815971</v>
      </c>
      <c r="O85" s="48"/>
    </row>
    <row r="86" spans="1:15" x14ac:dyDescent="0.35">
      <c r="B86" s="48"/>
      <c r="C86" s="48"/>
      <c r="D86" s="48"/>
      <c r="E86" s="48"/>
      <c r="F86" s="48"/>
      <c r="G86" s="48"/>
      <c r="H86" s="48"/>
      <c r="I86" s="48"/>
      <c r="J86" s="48"/>
      <c r="K86" s="48"/>
      <c r="L86" s="48" t="s">
        <v>52</v>
      </c>
      <c r="M86" s="51">
        <f>'Tabel 1.1'!G36</f>
        <v>76968991</v>
      </c>
      <c r="N86" s="51">
        <f>'Tabel 1.1'!H36</f>
        <v>91000808</v>
      </c>
      <c r="O86" s="48"/>
    </row>
    <row r="87" spans="1:15" x14ac:dyDescent="0.35">
      <c r="B87" s="48"/>
      <c r="C87" s="48"/>
      <c r="D87" s="48"/>
      <c r="E87" s="48"/>
      <c r="F87" s="48"/>
      <c r="G87" s="48"/>
      <c r="H87" s="48"/>
      <c r="I87" s="48"/>
      <c r="J87" s="48"/>
      <c r="K87" s="48"/>
      <c r="L87" s="48" t="s">
        <v>54</v>
      </c>
      <c r="M87" s="51">
        <f>'Tabel 1.1'!G37</f>
        <v>2888738.0707899998</v>
      </c>
      <c r="N87" s="51">
        <f>'Tabel 1.1'!H37</f>
        <v>2410575.5415099999</v>
      </c>
      <c r="O87" s="48"/>
    </row>
    <row r="88" spans="1:15" x14ac:dyDescent="0.35">
      <c r="B88" s="48"/>
      <c r="C88" s="48"/>
      <c r="D88" s="48"/>
      <c r="E88" s="48"/>
      <c r="F88" s="48"/>
      <c r="G88" s="48"/>
      <c r="H88" s="48"/>
      <c r="I88" s="48"/>
      <c r="J88" s="48"/>
      <c r="K88" s="48"/>
      <c r="L88" s="48" t="s">
        <v>59</v>
      </c>
      <c r="M88" s="51">
        <f>'Tabel 1.1'!G38</f>
        <v>177451030</v>
      </c>
      <c r="N88" s="51">
        <f>'Tabel 1.1'!H38</f>
        <v>217451090</v>
      </c>
      <c r="O88" s="48"/>
    </row>
    <row r="89" spans="1:15" x14ac:dyDescent="0.35">
      <c r="B89" s="48"/>
      <c r="C89" s="48"/>
      <c r="D89" s="48"/>
      <c r="E89" s="48"/>
      <c r="F89" s="48"/>
      <c r="G89" s="48"/>
      <c r="H89" s="48"/>
      <c r="I89" s="48"/>
      <c r="J89" s="48"/>
      <c r="K89" s="48"/>
      <c r="L89" s="48" t="s">
        <v>63</v>
      </c>
      <c r="M89" s="51">
        <f>'Tabel 1.1'!G39</f>
        <v>85714629.687940001</v>
      </c>
      <c r="N89" s="51">
        <f>'Tabel 1.1'!H39</f>
        <v>96535673.192670003</v>
      </c>
      <c r="O89" s="48"/>
    </row>
    <row r="90" spans="1:15" x14ac:dyDescent="0.35">
      <c r="B90" s="48"/>
      <c r="C90" s="48"/>
      <c r="D90" s="48"/>
      <c r="E90" s="48"/>
      <c r="F90" s="48"/>
      <c r="G90" s="48"/>
      <c r="H90" s="48"/>
      <c r="I90" s="48"/>
      <c r="J90" s="48"/>
      <c r="K90" s="48"/>
      <c r="L90" s="48" t="s">
        <v>64</v>
      </c>
      <c r="M90" s="51">
        <f>'Tabel 1.1'!G40</f>
        <v>244753007.38714001</v>
      </c>
      <c r="N90" s="51">
        <f>'Tabel 1.1'!H40</f>
        <v>282668554.81304002</v>
      </c>
      <c r="O90" s="48"/>
    </row>
    <row r="91" spans="1:15" x14ac:dyDescent="0.35">
      <c r="A91" s="48"/>
      <c r="B91" s="48"/>
      <c r="C91" s="48"/>
      <c r="D91" s="48"/>
      <c r="E91" s="48"/>
      <c r="F91" s="48"/>
      <c r="G91" s="48"/>
      <c r="H91" s="48"/>
      <c r="I91" s="48"/>
      <c r="J91" s="48"/>
      <c r="K91" s="48"/>
      <c r="O91" s="48"/>
    </row>
    <row r="92" spans="1:15" ht="18.75" customHeight="1" x14ac:dyDescent="0.35">
      <c r="A92" s="48"/>
      <c r="B92" s="48"/>
      <c r="C92" s="48"/>
      <c r="D92" s="48"/>
      <c r="E92" s="48"/>
      <c r="F92" s="48"/>
      <c r="G92" s="48"/>
      <c r="H92" s="48"/>
      <c r="I92" s="48"/>
      <c r="J92" s="48"/>
      <c r="K92" s="48"/>
      <c r="O92" s="48"/>
    </row>
    <row r="93" spans="1:15" ht="18.75" customHeight="1" x14ac:dyDescent="0.35">
      <c r="A93" s="48"/>
      <c r="B93" s="48"/>
      <c r="C93" s="48"/>
      <c r="D93" s="48"/>
      <c r="E93" s="48"/>
      <c r="F93" s="48"/>
      <c r="G93" s="48"/>
      <c r="H93" s="48"/>
      <c r="I93" s="48"/>
      <c r="J93" s="48"/>
      <c r="K93" s="48"/>
      <c r="O93" s="48"/>
    </row>
    <row r="94" spans="1:15" ht="18.75" customHeight="1" x14ac:dyDescent="0.35">
      <c r="A94" s="48"/>
      <c r="B94" s="48"/>
      <c r="C94" s="48"/>
      <c r="D94" s="48"/>
      <c r="E94" s="48"/>
      <c r="F94" s="48"/>
      <c r="G94" s="48"/>
      <c r="H94" s="48"/>
      <c r="I94" s="48"/>
      <c r="J94" s="48"/>
      <c r="K94" s="48"/>
      <c r="O94" s="48"/>
    </row>
    <row r="95" spans="1:15" ht="18.75" customHeight="1" x14ac:dyDescent="0.35">
      <c r="A95" s="48"/>
      <c r="B95" s="48"/>
      <c r="C95" s="48"/>
      <c r="D95" s="48"/>
      <c r="E95" s="48"/>
      <c r="F95" s="48"/>
      <c r="G95" s="48"/>
      <c r="H95" s="48"/>
      <c r="I95" s="48"/>
      <c r="J95" s="48"/>
      <c r="K95" s="48"/>
      <c r="O95" s="48"/>
    </row>
    <row r="96" spans="1:15" ht="18.75" customHeight="1" x14ac:dyDescent="0.35">
      <c r="A96" s="48"/>
      <c r="B96" s="48"/>
      <c r="C96" s="48"/>
      <c r="D96" s="48"/>
      <c r="E96" s="48"/>
      <c r="F96" s="48"/>
      <c r="G96" s="48"/>
      <c r="H96" s="48"/>
      <c r="I96" s="48"/>
      <c r="J96" s="48"/>
      <c r="K96" s="48"/>
      <c r="O96" s="48"/>
    </row>
    <row r="97" spans="1:17" ht="18.75" customHeight="1" x14ac:dyDescent="0.35">
      <c r="A97" s="48"/>
      <c r="B97" s="48"/>
      <c r="C97" s="48"/>
      <c r="D97" s="48"/>
      <c r="E97" s="48"/>
      <c r="F97" s="48"/>
      <c r="G97" s="48"/>
      <c r="H97" s="48"/>
      <c r="I97" s="48"/>
      <c r="J97" s="48"/>
      <c r="K97" s="48"/>
      <c r="L97" s="48" t="s">
        <v>75</v>
      </c>
      <c r="O97" s="48"/>
      <c r="Q97" s="48"/>
    </row>
    <row r="98" spans="1:17" ht="18.75" customHeight="1" x14ac:dyDescent="0.35">
      <c r="A98" s="48"/>
      <c r="B98" s="48"/>
      <c r="C98" s="48"/>
      <c r="D98" s="48"/>
      <c r="E98" s="48"/>
      <c r="F98" s="48"/>
      <c r="G98" s="48"/>
      <c r="H98" s="48"/>
      <c r="I98" s="48"/>
      <c r="J98" s="48"/>
      <c r="K98" s="48"/>
      <c r="L98" s="48" t="s">
        <v>46</v>
      </c>
      <c r="O98" s="48"/>
      <c r="Q98" s="48"/>
    </row>
    <row r="99" spans="1:17" ht="18.75" customHeight="1" x14ac:dyDescent="0.35">
      <c r="A99" s="48"/>
      <c r="B99" s="48"/>
      <c r="C99" s="48"/>
      <c r="D99" s="48"/>
      <c r="E99" s="48"/>
      <c r="F99" s="48"/>
      <c r="G99" s="48"/>
      <c r="H99" s="48"/>
      <c r="I99" s="48"/>
      <c r="J99" s="48"/>
      <c r="K99" s="48"/>
      <c r="M99" s="48">
        <f>M7</f>
        <v>2025</v>
      </c>
      <c r="N99" s="48">
        <f>N7</f>
        <v>2026</v>
      </c>
      <c r="O99" s="48"/>
      <c r="Q99" s="48"/>
    </row>
    <row r="100" spans="1:17" ht="18.75" customHeight="1" x14ac:dyDescent="0.35">
      <c r="A100" s="48"/>
      <c r="B100" s="48"/>
      <c r="C100" s="48"/>
      <c r="D100" s="48"/>
      <c r="E100" s="48"/>
      <c r="F100" s="48"/>
      <c r="G100" s="48"/>
      <c r="H100" s="48"/>
      <c r="I100" s="48"/>
      <c r="J100" s="48"/>
      <c r="K100" s="48"/>
      <c r="L100" s="48" t="s">
        <v>47</v>
      </c>
      <c r="M100" s="51">
        <f>'DNB Livsforsikring'!B11-'DNB Livsforsikring'!B12+'DNB Livsforsikring'!B34-'DNB Livsforsikring'!B35+'DNB Livsforsikring'!B38-'DNB Livsforsikring'!B39+'DNB Livsforsikring'!B111-'DNB Livsforsikring'!B119+'DNB Livsforsikring'!B136-'DNB Livsforsikring'!B137</f>
        <v>147076</v>
      </c>
      <c r="N100" s="51">
        <f>'DNB Livsforsikring'!C11-'DNB Livsforsikring'!C12+'DNB Livsforsikring'!C34-'DNB Livsforsikring'!C35+'DNB Livsforsikring'!C38-'DNB Livsforsikring'!C39+'DNB Livsforsikring'!C111-'DNB Livsforsikring'!C119+'DNB Livsforsikring'!C136-'DNB Livsforsikring'!C137</f>
        <v>1414383.4146900002</v>
      </c>
      <c r="O100" s="48"/>
      <c r="Q100" s="48"/>
    </row>
    <row r="101" spans="1:17" ht="18.75" customHeight="1" x14ac:dyDescent="0.35">
      <c r="A101" s="48"/>
      <c r="B101" s="48"/>
      <c r="C101" s="48"/>
      <c r="D101" s="48"/>
      <c r="E101" s="48"/>
      <c r="F101" s="48"/>
      <c r="G101" s="48"/>
      <c r="H101" s="48"/>
      <c r="I101" s="48"/>
      <c r="J101" s="48"/>
      <c r="K101" s="48"/>
      <c r="L101" s="48" t="s">
        <v>52</v>
      </c>
      <c r="M101" s="51">
        <f>'Gjensidige Pensjon'!B11-'Gjensidige Pensjon'!B12+'Gjensidige Pensjon'!B34-'Gjensidige Pensjon'!B35+'Gjensidige Pensjon'!B38-'Gjensidige Pensjon'!B39+'Gjensidige Pensjon'!B111-'Gjensidige Pensjon'!B119+'Gjensidige Pensjon'!B136-'Gjensidige Pensjon'!B137</f>
        <v>101054</v>
      </c>
      <c r="N101" s="51">
        <f>'Gjensidige Pensjon'!C11-'Gjensidige Pensjon'!C12+'Gjensidige Pensjon'!C34-'Gjensidige Pensjon'!C35+'Gjensidige Pensjon'!C38-'Gjensidige Pensjon'!C39+'Gjensidige Pensjon'!C111-'Gjensidige Pensjon'!C119+'Gjensidige Pensjon'!C136-'Gjensidige Pensjon'!C137</f>
        <v>-1479</v>
      </c>
      <c r="O101" s="48"/>
      <c r="Q101" s="48"/>
    </row>
    <row r="102" spans="1:17" ht="18.75" customHeight="1" x14ac:dyDescent="0.35">
      <c r="A102" s="48"/>
      <c r="B102" s="48"/>
      <c r="C102" s="48"/>
      <c r="D102" s="48"/>
      <c r="E102" s="48"/>
      <c r="F102" s="48"/>
      <c r="G102" s="48"/>
      <c r="H102" s="48"/>
      <c r="I102" s="48"/>
      <c r="J102" s="48"/>
      <c r="K102" s="48"/>
      <c r="L102" s="48" t="s">
        <v>54</v>
      </c>
      <c r="M102" s="51">
        <f>KLP!B11-KLP!B12+KLP!B34-KLP!B35+KLP!B38-KLP!B39+KLP!B111-KLP!B119+KLP!B136-KLP!B137</f>
        <v>-4249512.1230000006</v>
      </c>
      <c r="N102" s="51">
        <f>KLP!C11-KLP!C12+KLP!C34-KLP!C35+KLP!C38-KLP!C39+KLP!C111-KLP!C119+KLP!C136-KLP!C137</f>
        <v>2396174.2173800003</v>
      </c>
      <c r="O102" s="48"/>
      <c r="Q102" s="48"/>
    </row>
    <row r="103" spans="1:17" ht="18.75" customHeight="1" x14ac:dyDescent="0.35">
      <c r="A103" s="48"/>
      <c r="B103" s="48"/>
      <c r="C103" s="48"/>
      <c r="D103" s="48"/>
      <c r="E103" s="48"/>
      <c r="F103" s="48"/>
      <c r="G103" s="48"/>
      <c r="H103" s="48"/>
      <c r="I103" s="48"/>
      <c r="J103" s="48"/>
      <c r="K103" s="48"/>
      <c r="L103" s="48" t="s">
        <v>59</v>
      </c>
      <c r="M103" s="51">
        <f>'Nordea Liv '!B11-'Nordea Liv '!B12+'Nordea Liv '!B34-'Nordea Liv '!B35+'Nordea Liv '!B38-'Nordea Liv '!B39+'Nordea Liv '!B111-'Nordea Liv '!B119+'Nordea Liv '!B136-'Nordea Liv '!B137</f>
        <v>-1617</v>
      </c>
      <c r="N103" s="51">
        <f>'Nordea Liv '!C11-'Nordea Liv '!C12+'Nordea Liv '!C34-'Nordea Liv '!C35+'Nordea Liv '!C38-'Nordea Liv '!C39+'Nordea Liv '!C111-'Nordea Liv '!C119+'Nordea Liv '!C136-'Nordea Liv '!C137</f>
        <v>-4218.1660299999603</v>
      </c>
      <c r="O103" s="48"/>
      <c r="Q103" s="48"/>
    </row>
    <row r="104" spans="1:17" ht="18.75" customHeight="1" x14ac:dyDescent="0.35">
      <c r="A104" s="48"/>
      <c r="B104" s="48"/>
      <c r="C104" s="48"/>
      <c r="D104" s="48"/>
      <c r="E104" s="48"/>
      <c r="F104" s="48"/>
      <c r="G104" s="48"/>
      <c r="H104" s="48"/>
      <c r="I104" s="48"/>
      <c r="J104" s="48"/>
      <c r="K104" s="48"/>
      <c r="L104" s="48" t="s">
        <v>63</v>
      </c>
      <c r="M104" s="51">
        <f>'Sparebank 1 Fors.'!B11-'Sparebank 1 Fors.'!B12+'Sparebank 1 Fors.'!B34-'Sparebank 1 Fors.'!B35+'Sparebank 1 Fors.'!B38-'Sparebank 1 Fors.'!B39+'Sparebank 1 Fors.'!B111-'Sparebank 1 Fors.'!B119+'Sparebank 1 Fors.'!B136-'Sparebank 1 Fors.'!B137</f>
        <v>883335.18560999993</v>
      </c>
      <c r="N104" s="51">
        <f>'Sparebank 1 Fors.'!C11-'Sparebank 1 Fors.'!C12+'Sparebank 1 Fors.'!C34-'Sparebank 1 Fors.'!C35+'Sparebank 1 Fors.'!C38-'Sparebank 1 Fors.'!C39+'Sparebank 1 Fors.'!C111-'Sparebank 1 Fors.'!C119+'Sparebank 1 Fors.'!C136-'Sparebank 1 Fors.'!C137</f>
        <v>-110937.06258</v>
      </c>
      <c r="O104" s="48"/>
      <c r="Q104" s="48"/>
    </row>
    <row r="105" spans="1:17" ht="18.75" customHeight="1" x14ac:dyDescent="0.35">
      <c r="A105" s="48"/>
      <c r="B105" s="48"/>
      <c r="C105" s="48"/>
      <c r="D105" s="48"/>
      <c r="E105" s="48"/>
      <c r="F105" s="48"/>
      <c r="G105" s="48"/>
      <c r="H105" s="48"/>
      <c r="I105" s="48"/>
      <c r="J105" s="48"/>
      <c r="K105" s="48"/>
      <c r="L105" s="48" t="s">
        <v>64</v>
      </c>
      <c r="M105" s="51">
        <f>'Storebrand Livsforsikring'!B11-'Storebrand Livsforsikring'!B12+'Storebrand Livsforsikring'!B34-'Storebrand Livsforsikring'!B35+'Storebrand Livsforsikring'!B38-'Storebrand Livsforsikring'!B39+'Storebrand Livsforsikring'!B111-'Storebrand Livsforsikring'!B119+'Storebrand Livsforsikring'!B136-'Storebrand Livsforsikring'!B137</f>
        <v>3145828.2314200001</v>
      </c>
      <c r="N105" s="51">
        <f>'Storebrand Livsforsikring'!C11-'Storebrand Livsforsikring'!C12+'Storebrand Livsforsikring'!C34-'Storebrand Livsforsikring'!C35+'Storebrand Livsforsikring'!C38-'Storebrand Livsforsikring'!C39+'Storebrand Livsforsikring'!C111-'Storebrand Livsforsikring'!C119+'Storebrand Livsforsikring'!C136-'Storebrand Livsforsikring'!C137</f>
        <v>61330.092560000005</v>
      </c>
      <c r="O105" s="48"/>
      <c r="Q105" s="48"/>
    </row>
    <row r="106" spans="1:17" ht="18.75" customHeight="1" x14ac:dyDescent="0.35">
      <c r="A106" s="49" t="s">
        <v>415</v>
      </c>
      <c r="B106" s="48"/>
      <c r="C106" s="48"/>
      <c r="D106" s="48"/>
      <c r="E106" s="48"/>
      <c r="F106" s="48"/>
      <c r="G106" s="48"/>
      <c r="H106" s="48"/>
      <c r="I106" s="48"/>
      <c r="J106" s="48"/>
      <c r="K106" s="48"/>
      <c r="M106" s="51"/>
      <c r="N106" s="51"/>
      <c r="O106" s="48"/>
      <c r="Q106" s="48"/>
    </row>
    <row r="107" spans="1:17" ht="18.75" customHeight="1" x14ac:dyDescent="0.35">
      <c r="A107" s="48"/>
      <c r="B107" s="48"/>
      <c r="C107" s="48"/>
      <c r="D107" s="48"/>
      <c r="E107" s="48"/>
      <c r="F107" s="48"/>
      <c r="G107" s="48"/>
      <c r="H107" s="48"/>
      <c r="I107" s="48"/>
      <c r="J107" s="48"/>
      <c r="K107" s="48"/>
      <c r="M107" s="51"/>
      <c r="N107" s="51"/>
      <c r="O107" s="48"/>
      <c r="Q107" s="48"/>
    </row>
    <row r="108" spans="1:17" ht="18.75" customHeight="1" x14ac:dyDescent="0.35">
      <c r="A108" s="48"/>
      <c r="B108" s="48"/>
      <c r="C108" s="48"/>
      <c r="D108" s="48"/>
      <c r="E108" s="48"/>
      <c r="F108" s="48"/>
      <c r="G108" s="48"/>
      <c r="H108" s="48"/>
      <c r="I108" s="48"/>
      <c r="J108" s="48"/>
      <c r="K108" s="48"/>
      <c r="M108" s="51"/>
      <c r="N108" s="51"/>
      <c r="O108" s="48"/>
      <c r="Q108" s="48"/>
    </row>
    <row r="109" spans="1:17" ht="18.75" customHeight="1" x14ac:dyDescent="0.35">
      <c r="A109" s="48"/>
      <c r="B109" s="48"/>
      <c r="C109" s="48"/>
      <c r="D109" s="48"/>
      <c r="E109" s="48"/>
      <c r="F109" s="48"/>
      <c r="G109" s="48"/>
      <c r="H109" s="48"/>
      <c r="I109" s="48"/>
      <c r="J109" s="48"/>
      <c r="K109" s="48"/>
      <c r="M109" s="51"/>
      <c r="N109" s="51"/>
      <c r="O109" s="48"/>
      <c r="Q109" s="48"/>
    </row>
    <row r="110" spans="1:17" ht="18.75" customHeight="1" x14ac:dyDescent="0.35">
      <c r="A110" s="48"/>
      <c r="B110" s="48"/>
      <c r="C110" s="48"/>
      <c r="D110" s="48"/>
      <c r="E110" s="48"/>
      <c r="F110" s="48"/>
      <c r="G110" s="48"/>
      <c r="H110" s="48"/>
      <c r="I110" s="48"/>
      <c r="J110" s="48"/>
      <c r="K110" s="48"/>
      <c r="M110" s="51"/>
      <c r="N110" s="51"/>
      <c r="O110" s="48"/>
      <c r="Q110" s="48"/>
    </row>
    <row r="111" spans="1:17" ht="18.75" customHeight="1" x14ac:dyDescent="0.35">
      <c r="A111" s="48"/>
      <c r="B111" s="48"/>
      <c r="C111" s="48"/>
      <c r="D111" s="48"/>
      <c r="E111" s="48"/>
      <c r="F111" s="48"/>
      <c r="G111" s="48"/>
      <c r="H111" s="48"/>
      <c r="I111" s="48"/>
      <c r="J111" s="48"/>
      <c r="K111" s="48"/>
      <c r="M111" s="51"/>
      <c r="N111" s="51"/>
      <c r="O111" s="48"/>
      <c r="Q111" s="48"/>
    </row>
    <row r="112" spans="1:17" ht="18.75" customHeight="1" x14ac:dyDescent="0.35">
      <c r="A112" s="48"/>
      <c r="B112" s="48"/>
      <c r="C112" s="48"/>
      <c r="D112" s="48"/>
      <c r="E112" s="48"/>
      <c r="F112" s="48"/>
      <c r="G112" s="48"/>
      <c r="H112" s="48"/>
      <c r="I112" s="48"/>
      <c r="J112" s="48"/>
      <c r="K112" s="48"/>
      <c r="M112" s="51"/>
      <c r="N112" s="51"/>
      <c r="O112" s="48"/>
      <c r="Q112" s="48"/>
    </row>
    <row r="113" spans="1:17" ht="18.75" customHeight="1" x14ac:dyDescent="0.35">
      <c r="A113" s="48"/>
      <c r="B113" s="48"/>
      <c r="C113" s="48"/>
      <c r="D113" s="48"/>
      <c r="E113" s="48"/>
      <c r="F113" s="48"/>
      <c r="G113" s="48"/>
      <c r="H113" s="48"/>
      <c r="I113" s="48"/>
      <c r="J113" s="48"/>
      <c r="K113" s="48"/>
      <c r="O113" s="48"/>
      <c r="Q113" s="48"/>
    </row>
    <row r="114" spans="1:17" ht="18.75" customHeight="1" x14ac:dyDescent="0.35">
      <c r="A114" s="48"/>
      <c r="B114" s="48"/>
      <c r="C114" s="48"/>
      <c r="D114" s="48"/>
      <c r="E114" s="48"/>
      <c r="F114" s="48"/>
      <c r="G114" s="48"/>
      <c r="H114" s="48"/>
      <c r="I114" s="48"/>
      <c r="J114" s="48"/>
      <c r="K114" s="48"/>
      <c r="O114" s="48"/>
      <c r="Q114" s="48"/>
    </row>
    <row r="115" spans="1:17" ht="18.75" customHeight="1" x14ac:dyDescent="0.35">
      <c r="A115" s="48"/>
      <c r="B115" s="48"/>
      <c r="C115" s="48"/>
      <c r="D115" s="48"/>
      <c r="E115" s="48"/>
      <c r="F115" s="48"/>
      <c r="G115" s="48"/>
      <c r="H115" s="48"/>
      <c r="I115" s="48"/>
      <c r="J115" s="48"/>
      <c r="K115" s="48"/>
      <c r="O115" s="48"/>
      <c r="Q115" s="48"/>
    </row>
    <row r="116" spans="1:17" ht="18.75" customHeight="1" x14ac:dyDescent="0.35">
      <c r="A116" s="48"/>
      <c r="B116" s="48"/>
      <c r="C116" s="48"/>
      <c r="D116" s="48"/>
      <c r="E116" s="48"/>
      <c r="F116" s="48"/>
      <c r="G116" s="48"/>
      <c r="H116" s="48"/>
      <c r="I116" s="48"/>
      <c r="J116" s="48"/>
      <c r="K116" s="48"/>
      <c r="O116" s="48"/>
      <c r="Q116" s="48"/>
    </row>
    <row r="117" spans="1:17" ht="18.75" customHeight="1" x14ac:dyDescent="0.35">
      <c r="A117" s="48"/>
      <c r="B117" s="48"/>
      <c r="C117" s="48"/>
      <c r="D117" s="48"/>
      <c r="E117" s="48"/>
      <c r="F117" s="48"/>
      <c r="G117" s="48"/>
      <c r="H117" s="48"/>
      <c r="I117" s="48"/>
      <c r="J117" s="48"/>
      <c r="K117" s="48"/>
      <c r="O117" s="48"/>
    </row>
    <row r="118" spans="1:17" ht="18.75" customHeight="1" x14ac:dyDescent="0.35">
      <c r="A118" s="48"/>
      <c r="B118" s="48"/>
      <c r="C118" s="48"/>
      <c r="D118" s="48"/>
      <c r="E118" s="48"/>
      <c r="F118" s="48"/>
      <c r="G118" s="48"/>
      <c r="H118" s="48"/>
      <c r="I118" s="48"/>
      <c r="J118" s="48"/>
      <c r="K118" s="48"/>
      <c r="O118" s="48"/>
    </row>
    <row r="119" spans="1:17" ht="18.75" customHeight="1" x14ac:dyDescent="0.35">
      <c r="A119" s="48"/>
      <c r="B119" s="48"/>
      <c r="C119" s="48"/>
      <c r="D119" s="48"/>
      <c r="E119" s="48"/>
      <c r="F119" s="48"/>
      <c r="G119" s="48"/>
      <c r="H119" s="48"/>
      <c r="I119" s="48"/>
      <c r="J119" s="48"/>
      <c r="K119" s="48"/>
      <c r="L119" s="48" t="s">
        <v>76</v>
      </c>
      <c r="O119" s="48"/>
    </row>
    <row r="120" spans="1:17" ht="18.75" customHeight="1" x14ac:dyDescent="0.35">
      <c r="A120" s="48"/>
      <c r="B120" s="48"/>
      <c r="C120" s="48"/>
      <c r="D120" s="48"/>
      <c r="E120" s="48"/>
      <c r="F120" s="48"/>
      <c r="G120" s="48"/>
      <c r="H120" s="48"/>
      <c r="I120" s="48"/>
      <c r="J120" s="48"/>
      <c r="K120" s="48"/>
      <c r="L120" s="48" t="s">
        <v>69</v>
      </c>
      <c r="O120" s="48"/>
    </row>
    <row r="121" spans="1:17" ht="18.75" customHeight="1" x14ac:dyDescent="0.35">
      <c r="A121" s="48"/>
      <c r="B121" s="48"/>
      <c r="C121" s="48"/>
      <c r="D121" s="48"/>
      <c r="E121" s="48"/>
      <c r="F121" s="48"/>
      <c r="G121" s="48"/>
      <c r="H121" s="48"/>
      <c r="I121" s="48"/>
      <c r="J121" s="48"/>
      <c r="K121" s="48"/>
      <c r="M121" s="48">
        <f>M7</f>
        <v>2025</v>
      </c>
      <c r="N121" s="48">
        <f>N7</f>
        <v>2026</v>
      </c>
      <c r="O121" s="48"/>
    </row>
    <row r="122" spans="1:17" ht="18.75" customHeight="1" x14ac:dyDescent="0.35">
      <c r="A122" s="48"/>
      <c r="B122" s="48"/>
      <c r="C122" s="48"/>
      <c r="D122" s="48"/>
      <c r="E122" s="48"/>
      <c r="F122" s="48"/>
      <c r="G122" s="48"/>
      <c r="H122" s="48"/>
      <c r="I122" s="48"/>
      <c r="J122" s="48"/>
      <c r="K122" s="48"/>
      <c r="L122" s="48" t="s">
        <v>47</v>
      </c>
      <c r="M122" s="51">
        <f>'DNB Livsforsikring'!F11-'DNB Livsforsikring'!F12+'DNB Livsforsikring'!F34-'DNB Livsforsikring'!F35+'DNB Livsforsikring'!F38-'DNB Livsforsikring'!F39+'DNB Livsforsikring'!F111-'DNB Livsforsikring'!F119+'DNB Livsforsikring'!F136-'DNB Livsforsikring'!F137</f>
        <v>191688.12112999987</v>
      </c>
      <c r="N122" s="51">
        <f>'DNB Livsforsikring'!G11-'DNB Livsforsikring'!G12+'DNB Livsforsikring'!G34-'DNB Livsforsikring'!G35+'DNB Livsforsikring'!G38-'DNB Livsforsikring'!G39+'DNB Livsforsikring'!G111-'DNB Livsforsikring'!G119+'DNB Livsforsikring'!G136-'DNB Livsforsikring'!G137</f>
        <v>-1493198.5864599999</v>
      </c>
      <c r="O122" s="48"/>
    </row>
    <row r="123" spans="1:17" x14ac:dyDescent="0.35">
      <c r="A123" s="48"/>
      <c r="B123" s="48"/>
      <c r="C123" s="48"/>
      <c r="D123" s="48"/>
      <c r="E123" s="48"/>
      <c r="F123" s="48"/>
      <c r="G123" s="48"/>
      <c r="H123" s="48"/>
      <c r="I123" s="48"/>
      <c r="J123" s="48"/>
      <c r="K123" s="48"/>
      <c r="L123" s="48" t="s">
        <v>52</v>
      </c>
      <c r="M123" s="51">
        <f>'Gjensidige Pensjon'!F11-'Gjensidige Pensjon'!F12+'Gjensidige Pensjon'!F34-'Gjensidige Pensjon'!F35+'Gjensidige Pensjon'!F38-'Gjensidige Pensjon'!F39+'Gjensidige Pensjon'!F111-'Gjensidige Pensjon'!F119+'Gjensidige Pensjon'!F136-'Gjensidige Pensjon'!F137</f>
        <v>1211447</v>
      </c>
      <c r="N123" s="51">
        <f>'Gjensidige Pensjon'!G11-'Gjensidige Pensjon'!G12+'Gjensidige Pensjon'!G34-'Gjensidige Pensjon'!G35+'Gjensidige Pensjon'!G38-'Gjensidige Pensjon'!G39+'Gjensidige Pensjon'!G111-'Gjensidige Pensjon'!G119+'Gjensidige Pensjon'!G136-'Gjensidige Pensjon'!G137</f>
        <v>76146</v>
      </c>
      <c r="O123" s="48"/>
    </row>
    <row r="124" spans="1:17" x14ac:dyDescent="0.35">
      <c r="A124" s="48"/>
      <c r="B124" s="48"/>
      <c r="C124" s="48"/>
      <c r="D124" s="48"/>
      <c r="E124" s="48"/>
      <c r="F124" s="48"/>
      <c r="G124" s="48"/>
      <c r="H124" s="48"/>
      <c r="I124" s="48"/>
      <c r="J124" s="48"/>
      <c r="K124" s="48"/>
      <c r="L124" s="48" t="s">
        <v>54</v>
      </c>
      <c r="M124" s="51">
        <f>KLP!F11-KLP!F12+KLP!F34-KLP!F35+KLP!F38-KLP!F39+KLP!F111-KLP!F119+KLP!F136-KLP!F137</f>
        <v>0</v>
      </c>
      <c r="N124" s="51">
        <f>KLP!G11-KLP!G12+KLP!G34-KLP!G35+KLP!G38-KLP!G39+KLP!G111-KLP!G119+KLP!G136-KLP!G137</f>
        <v>-516456.22738</v>
      </c>
      <c r="O124" s="48"/>
    </row>
    <row r="125" spans="1:17" x14ac:dyDescent="0.35">
      <c r="A125" s="48"/>
      <c r="B125" s="48"/>
      <c r="C125" s="48"/>
      <c r="D125" s="48"/>
      <c r="E125" s="48"/>
      <c r="F125" s="48"/>
      <c r="G125" s="48"/>
      <c r="H125" s="48"/>
      <c r="I125" s="48"/>
      <c r="J125" s="48"/>
      <c r="K125" s="48"/>
      <c r="L125" s="48" t="s">
        <v>59</v>
      </c>
      <c r="M125" s="51">
        <f>'Nordea Liv '!F11-'Nordea Liv '!F12+'Nordea Liv '!F34-'Nordea Liv '!F35+'Nordea Liv '!F38-'Nordea Liv '!F39+'Nordea Liv '!F111-'Nordea Liv '!F119+'Nordea Liv '!F136-'Nordea Liv '!F137</f>
        <v>-750691.37333999947</v>
      </c>
      <c r="N125" s="51">
        <f>'Nordea Liv '!G11-'Nordea Liv '!G12+'Nordea Liv '!G34-'Nordea Liv '!G35+'Nordea Liv '!G38-'Nordea Liv '!G39+'Nordea Liv '!G111-'Nordea Liv '!G119+'Nordea Liv '!G136-'Nordea Liv '!G137</f>
        <v>4408319.6772600003</v>
      </c>
      <c r="O125" s="48"/>
    </row>
    <row r="126" spans="1:17" x14ac:dyDescent="0.35">
      <c r="A126" s="48"/>
      <c r="B126" s="48"/>
      <c r="C126" s="48"/>
      <c r="D126" s="48"/>
      <c r="E126" s="48"/>
      <c r="F126" s="48"/>
      <c r="G126" s="48"/>
      <c r="H126" s="48"/>
      <c r="I126" s="48"/>
      <c r="J126" s="48"/>
      <c r="K126" s="48"/>
      <c r="L126" s="48" t="s">
        <v>63</v>
      </c>
      <c r="M126" s="51">
        <f>'Sparebank 1 Fors.'!F11-'Sparebank 1 Fors.'!F12+'Sparebank 1 Fors.'!F34-'Sparebank 1 Fors.'!F35+'Sparebank 1 Fors.'!F38-'Sparebank 1 Fors.'!F39+'Sparebank 1 Fors.'!F111-'Sparebank 1 Fors.'!F119+'Sparebank 1 Fors.'!F136-'Sparebank 1 Fors.'!F137</f>
        <v>-242578.44872999983</v>
      </c>
      <c r="N126" s="51">
        <f>'Sparebank 1 Fors.'!G11-'Sparebank 1 Fors.'!G12+'Sparebank 1 Fors.'!G34-'Sparebank 1 Fors.'!G35+'Sparebank 1 Fors.'!G38-'Sparebank 1 Fors.'!G39+'Sparebank 1 Fors.'!G111-'Sparebank 1 Fors.'!G119+'Sparebank 1 Fors.'!G136-'Sparebank 1 Fors.'!G137</f>
        <v>-1212130.24456</v>
      </c>
      <c r="O126" s="48"/>
    </row>
    <row r="127" spans="1:17" x14ac:dyDescent="0.35">
      <c r="A127" s="48"/>
      <c r="B127" s="48"/>
      <c r="C127" s="48"/>
      <c r="D127" s="48"/>
      <c r="E127" s="48"/>
      <c r="F127" s="48"/>
      <c r="G127" s="48"/>
      <c r="H127" s="48"/>
      <c r="I127" s="48"/>
      <c r="J127" s="48"/>
      <c r="K127" s="48"/>
      <c r="L127" s="48" t="s">
        <v>64</v>
      </c>
      <c r="M127" s="51">
        <f>'Storebrand Livsforsikring'!F11-'Storebrand Livsforsikring'!F12+'Storebrand Livsforsikring'!F34-'Storebrand Livsforsikring'!F35+'Storebrand Livsforsikring'!F38-'Storebrand Livsforsikring'!F39+'Storebrand Livsforsikring'!F111-'Storebrand Livsforsikring'!F119+'Storebrand Livsforsikring'!F136-'Storebrand Livsforsikring'!F137</f>
        <v>-1684310.4050499997</v>
      </c>
      <c r="N127" s="51">
        <f>'Storebrand Livsforsikring'!G11-'Storebrand Livsforsikring'!G12+'Storebrand Livsforsikring'!G34-'Storebrand Livsforsikring'!G35+'Storebrand Livsforsikring'!G38-'Storebrand Livsforsikring'!G39+'Storebrand Livsforsikring'!G111-'Storebrand Livsforsikring'!G119+'Storebrand Livsforsikring'!G136-'Storebrand Livsforsikring'!G137</f>
        <v>-2669506.1094199992</v>
      </c>
      <c r="O127" s="48"/>
    </row>
    <row r="128" spans="1:17" x14ac:dyDescent="0.35">
      <c r="A128" s="48"/>
      <c r="B128" s="48"/>
      <c r="C128" s="48"/>
      <c r="D128" s="48"/>
      <c r="E128" s="48"/>
      <c r="F128" s="48"/>
      <c r="G128" s="48"/>
      <c r="H128" s="48"/>
      <c r="I128" s="48"/>
      <c r="J128" s="48"/>
      <c r="K128" s="48"/>
      <c r="O128" s="48"/>
    </row>
    <row r="129" spans="1:15" x14ac:dyDescent="0.35">
      <c r="A129" s="48"/>
      <c r="B129" s="48"/>
      <c r="C129" s="48"/>
      <c r="D129" s="48"/>
      <c r="E129" s="48"/>
      <c r="F129" s="48"/>
      <c r="G129" s="48"/>
      <c r="H129" s="48"/>
      <c r="I129" s="48"/>
      <c r="J129" s="48"/>
      <c r="K129" s="48"/>
      <c r="O129" s="48"/>
    </row>
    <row r="130" spans="1:15" x14ac:dyDescent="0.35">
      <c r="A130" s="49" t="s">
        <v>416</v>
      </c>
      <c r="B130" s="48"/>
      <c r="C130" s="48"/>
      <c r="D130" s="48"/>
      <c r="E130" s="48"/>
      <c r="F130" s="48"/>
      <c r="G130" s="48"/>
      <c r="H130" s="48"/>
      <c r="I130" s="48"/>
      <c r="J130" s="48"/>
      <c r="K130" s="48"/>
      <c r="O130" s="48"/>
    </row>
    <row r="131" spans="1:15" x14ac:dyDescent="0.35">
      <c r="B131" s="48"/>
      <c r="C131" s="48"/>
      <c r="D131" s="48"/>
      <c r="E131" s="48"/>
      <c r="F131" s="48"/>
      <c r="G131" s="48"/>
      <c r="H131" s="48"/>
      <c r="I131" s="48"/>
      <c r="J131" s="48"/>
      <c r="K131" s="48"/>
      <c r="O131" s="48"/>
    </row>
    <row r="132" spans="1:15" x14ac:dyDescent="0.35">
      <c r="A132" s="48"/>
      <c r="B132" s="48"/>
      <c r="C132" s="48"/>
      <c r="D132" s="48"/>
      <c r="E132" s="48"/>
      <c r="F132" s="48"/>
      <c r="G132" s="48"/>
      <c r="H132" s="48"/>
      <c r="I132" s="48"/>
      <c r="J132" s="48"/>
      <c r="K132" s="48"/>
      <c r="O132" s="48"/>
    </row>
    <row r="133" spans="1:15" x14ac:dyDescent="0.35">
      <c r="A133" s="48"/>
      <c r="B133" s="48"/>
      <c r="C133" s="48"/>
      <c r="D133" s="48"/>
      <c r="E133" s="48"/>
      <c r="F133" s="48"/>
      <c r="G133" s="48"/>
      <c r="H133" s="48"/>
      <c r="I133" s="48"/>
      <c r="J133" s="48"/>
      <c r="K133" s="48"/>
      <c r="O133" s="48"/>
    </row>
    <row r="134" spans="1:15" x14ac:dyDescent="0.35">
      <c r="A134" s="48"/>
      <c r="B134" s="48"/>
      <c r="C134" s="48"/>
      <c r="D134" s="48"/>
      <c r="E134" s="48"/>
      <c r="F134" s="48"/>
      <c r="G134" s="48"/>
      <c r="H134" s="48"/>
      <c r="I134" s="48"/>
      <c r="J134" s="48"/>
      <c r="K134" s="48"/>
      <c r="O134" s="48"/>
    </row>
    <row r="135" spans="1:15" x14ac:dyDescent="0.35">
      <c r="A135" s="48"/>
      <c r="B135" s="48"/>
      <c r="C135" s="48"/>
      <c r="D135" s="48"/>
      <c r="E135" s="48"/>
      <c r="F135" s="48"/>
      <c r="G135" s="48"/>
      <c r="H135" s="48"/>
      <c r="I135" s="48"/>
      <c r="J135" s="48"/>
      <c r="K135" s="48"/>
      <c r="O135" s="48"/>
    </row>
    <row r="136" spans="1:15" x14ac:dyDescent="0.35">
      <c r="A136" s="48"/>
      <c r="B136" s="48"/>
      <c r="C136" s="48"/>
      <c r="D136" s="48"/>
      <c r="E136" s="48"/>
      <c r="F136" s="48"/>
      <c r="G136" s="48"/>
      <c r="H136" s="48"/>
      <c r="I136" s="48"/>
      <c r="J136" s="48"/>
      <c r="K136" s="48"/>
      <c r="O136" s="48"/>
    </row>
    <row r="137" spans="1:15" x14ac:dyDescent="0.35">
      <c r="A137" s="48"/>
      <c r="B137" s="48"/>
      <c r="C137" s="48"/>
      <c r="D137" s="48"/>
      <c r="E137" s="48"/>
      <c r="F137" s="48"/>
      <c r="G137" s="48"/>
      <c r="H137" s="48"/>
      <c r="I137" s="48"/>
      <c r="J137" s="48"/>
      <c r="K137" s="48"/>
      <c r="O137" s="48"/>
    </row>
    <row r="138" spans="1:15" x14ac:dyDescent="0.35">
      <c r="A138" s="48"/>
      <c r="B138" s="48"/>
      <c r="C138" s="48"/>
      <c r="D138" s="48"/>
      <c r="E138" s="48"/>
      <c r="F138" s="48"/>
      <c r="G138" s="48"/>
      <c r="H138" s="48"/>
      <c r="I138" s="48"/>
      <c r="J138" s="48"/>
      <c r="K138" s="48"/>
      <c r="O138" s="48"/>
    </row>
    <row r="139" spans="1:15" x14ac:dyDescent="0.35">
      <c r="A139" s="48"/>
      <c r="B139" s="48"/>
      <c r="C139" s="48"/>
      <c r="D139" s="48"/>
      <c r="E139" s="48"/>
      <c r="F139" s="48"/>
      <c r="G139" s="48"/>
      <c r="H139" s="48"/>
      <c r="I139" s="48"/>
      <c r="J139" s="48"/>
      <c r="K139" s="48"/>
      <c r="O139" s="48"/>
    </row>
    <row r="140" spans="1:15" x14ac:dyDescent="0.35">
      <c r="A140" s="48"/>
      <c r="B140" s="48"/>
      <c r="C140" s="48"/>
      <c r="D140" s="48"/>
      <c r="E140" s="48"/>
      <c r="F140" s="48"/>
      <c r="G140" s="48"/>
      <c r="H140" s="48"/>
      <c r="I140" s="48"/>
      <c r="J140" s="48"/>
      <c r="K140" s="48"/>
      <c r="O140" s="48"/>
    </row>
    <row r="141" spans="1:15" x14ac:dyDescent="0.35">
      <c r="A141" s="48"/>
      <c r="B141" s="48"/>
      <c r="C141" s="48"/>
      <c r="D141" s="48"/>
      <c r="E141" s="48"/>
      <c r="F141" s="48"/>
      <c r="G141" s="48"/>
      <c r="H141" s="48"/>
      <c r="I141" s="48"/>
      <c r="J141" s="48"/>
      <c r="K141" s="48"/>
      <c r="O141" s="48"/>
    </row>
    <row r="142" spans="1:15" x14ac:dyDescent="0.35">
      <c r="A142" s="48"/>
      <c r="B142" s="48"/>
      <c r="C142" s="48"/>
      <c r="D142" s="48"/>
      <c r="E142" s="48"/>
      <c r="F142" s="48"/>
      <c r="G142" s="48"/>
      <c r="H142" s="48"/>
      <c r="I142" s="48"/>
      <c r="J142" s="48"/>
      <c r="K142" s="48"/>
      <c r="O142" s="48"/>
    </row>
    <row r="143" spans="1:15" x14ac:dyDescent="0.35">
      <c r="A143" s="48"/>
      <c r="B143" s="48"/>
      <c r="C143" s="48"/>
      <c r="D143" s="48"/>
      <c r="E143" s="48"/>
      <c r="F143" s="48"/>
      <c r="G143" s="48"/>
      <c r="H143" s="48"/>
      <c r="I143" s="48"/>
      <c r="J143" s="48"/>
      <c r="K143" s="48"/>
      <c r="O143" s="48"/>
    </row>
    <row r="144" spans="1:15" x14ac:dyDescent="0.35">
      <c r="A144" s="48"/>
      <c r="B144" s="48"/>
      <c r="C144" s="48"/>
      <c r="D144" s="48"/>
      <c r="E144" s="48"/>
      <c r="F144" s="48"/>
      <c r="G144" s="48"/>
      <c r="H144" s="48"/>
      <c r="I144" s="48"/>
      <c r="J144" s="48"/>
      <c r="K144" s="48"/>
      <c r="O144" s="48"/>
    </row>
    <row r="145" spans="1:15" x14ac:dyDescent="0.35">
      <c r="A145" s="48"/>
      <c r="B145" s="48"/>
      <c r="C145" s="48"/>
      <c r="D145" s="48"/>
      <c r="E145" s="48"/>
      <c r="F145" s="48"/>
      <c r="G145" s="48"/>
      <c r="H145" s="48"/>
      <c r="I145" s="48"/>
      <c r="J145" s="48"/>
      <c r="K145" s="48"/>
      <c r="O145" s="48"/>
    </row>
    <row r="146" spans="1:15" x14ac:dyDescent="0.35">
      <c r="A146" s="48"/>
      <c r="B146" s="48"/>
      <c r="C146" s="48"/>
      <c r="D146" s="48"/>
      <c r="E146" s="48"/>
      <c r="F146" s="48"/>
      <c r="G146" s="48"/>
      <c r="H146" s="48"/>
      <c r="I146" s="48"/>
      <c r="J146" s="48"/>
      <c r="K146" s="48"/>
      <c r="O146" s="48"/>
    </row>
    <row r="147" spans="1:15" x14ac:dyDescent="0.35">
      <c r="A147" s="48"/>
      <c r="B147" s="48"/>
      <c r="C147" s="48"/>
      <c r="D147" s="48"/>
      <c r="E147" s="48"/>
      <c r="F147" s="48"/>
      <c r="G147" s="48"/>
      <c r="H147" s="48"/>
      <c r="I147" s="48"/>
      <c r="J147" s="48"/>
      <c r="K147" s="48"/>
      <c r="O147" s="48"/>
    </row>
    <row r="148" spans="1:15" x14ac:dyDescent="0.35">
      <c r="A148" s="48"/>
      <c r="B148" s="48"/>
      <c r="C148" s="48"/>
      <c r="D148" s="48"/>
      <c r="E148" s="48"/>
      <c r="F148" s="48"/>
      <c r="G148" s="48"/>
      <c r="H148" s="48"/>
      <c r="I148" s="48"/>
      <c r="J148" s="48"/>
      <c r="K148" s="48"/>
      <c r="O148" s="48"/>
    </row>
    <row r="149" spans="1:15" x14ac:dyDescent="0.35">
      <c r="A149" s="48"/>
      <c r="B149" s="48"/>
      <c r="C149" s="48"/>
      <c r="D149" s="48"/>
      <c r="E149" s="48"/>
      <c r="F149" s="48"/>
      <c r="G149" s="48"/>
      <c r="H149" s="48"/>
      <c r="I149" s="48"/>
      <c r="J149" s="48"/>
      <c r="K149" s="48"/>
      <c r="O149" s="48"/>
    </row>
    <row r="150" spans="1:15" x14ac:dyDescent="0.35">
      <c r="A150" s="48"/>
      <c r="B150" s="48"/>
      <c r="C150" s="48"/>
      <c r="D150" s="48"/>
      <c r="E150" s="48"/>
      <c r="F150" s="48"/>
      <c r="G150" s="48"/>
      <c r="H150" s="48"/>
      <c r="I150" s="48"/>
      <c r="J150" s="48"/>
      <c r="K150" s="48"/>
      <c r="O150" s="48"/>
    </row>
    <row r="151" spans="1:15" x14ac:dyDescent="0.35">
      <c r="A151" s="48"/>
      <c r="B151" s="48"/>
      <c r="C151" s="48"/>
      <c r="D151" s="48"/>
      <c r="E151" s="48"/>
      <c r="F151" s="48"/>
      <c r="G151" s="48"/>
      <c r="H151" s="48"/>
      <c r="I151" s="48"/>
      <c r="J151" s="48"/>
      <c r="K151" s="48"/>
      <c r="O151" s="48"/>
    </row>
    <row r="152" spans="1:15" x14ac:dyDescent="0.35">
      <c r="A152" s="48"/>
      <c r="B152" s="48"/>
      <c r="C152" s="48"/>
      <c r="D152" s="48"/>
      <c r="E152" s="48"/>
      <c r="F152" s="48"/>
      <c r="G152" s="48"/>
      <c r="H152" s="48"/>
      <c r="I152" s="48"/>
      <c r="J152" s="48"/>
      <c r="K152" s="48"/>
      <c r="O152" s="48"/>
    </row>
    <row r="153" spans="1:15" x14ac:dyDescent="0.35">
      <c r="A153" s="48"/>
      <c r="B153" s="48"/>
      <c r="C153" s="48"/>
      <c r="D153" s="48"/>
      <c r="E153" s="48"/>
      <c r="F153" s="48"/>
      <c r="G153" s="48"/>
      <c r="H153" s="48"/>
      <c r="I153" s="48"/>
      <c r="J153" s="48"/>
      <c r="K153" s="48"/>
      <c r="O153" s="48"/>
    </row>
    <row r="154" spans="1:15" x14ac:dyDescent="0.35">
      <c r="O154" s="48"/>
    </row>
    <row r="155" spans="1:15" x14ac:dyDescent="0.35">
      <c r="O155" s="48"/>
    </row>
    <row r="156" spans="1:15" x14ac:dyDescent="0.35">
      <c r="O156" s="48"/>
    </row>
    <row r="157" spans="1:15" x14ac:dyDescent="0.35">
      <c r="O157" s="48"/>
    </row>
    <row r="158" spans="1:15" x14ac:dyDescent="0.35">
      <c r="O158" s="48"/>
    </row>
    <row r="159" spans="1:15" x14ac:dyDescent="0.35">
      <c r="O159" s="48"/>
    </row>
    <row r="160" spans="1:15" x14ac:dyDescent="0.35">
      <c r="O160" s="48"/>
    </row>
    <row r="161" spans="1:15" x14ac:dyDescent="0.35">
      <c r="O161" s="48"/>
    </row>
    <row r="162" spans="1:15" x14ac:dyDescent="0.35">
      <c r="O162" s="48"/>
    </row>
    <row r="163" spans="1:15" x14ac:dyDescent="0.35">
      <c r="O163" s="48"/>
    </row>
    <row r="164" spans="1:15" x14ac:dyDescent="0.35">
      <c r="O164" s="48"/>
    </row>
    <row r="165" spans="1:15" x14ac:dyDescent="0.35">
      <c r="O165" s="48"/>
    </row>
    <row r="166" spans="1:15" x14ac:dyDescent="0.35">
      <c r="O166" s="48"/>
    </row>
    <row r="167" spans="1:15" x14ac:dyDescent="0.35">
      <c r="O167" s="48"/>
    </row>
    <row r="168" spans="1:15" x14ac:dyDescent="0.35">
      <c r="O168" s="48"/>
    </row>
    <row r="169" spans="1:15" x14ac:dyDescent="0.35">
      <c r="O169" s="48"/>
    </row>
    <row r="170" spans="1:15" x14ac:dyDescent="0.35">
      <c r="A170" s="48"/>
      <c r="B170" s="48"/>
      <c r="C170" s="48"/>
      <c r="D170" s="48"/>
      <c r="E170" s="48"/>
      <c r="F170" s="48"/>
      <c r="G170" s="48"/>
      <c r="H170" s="48"/>
      <c r="I170" s="48"/>
      <c r="J170" s="48"/>
      <c r="K170" s="48"/>
      <c r="O170" s="48"/>
    </row>
    <row r="171" spans="1:15" x14ac:dyDescent="0.35">
      <c r="A171" s="48"/>
      <c r="B171" s="48"/>
      <c r="C171" s="48"/>
      <c r="D171" s="48"/>
      <c r="E171" s="48"/>
      <c r="F171" s="48"/>
      <c r="G171" s="48"/>
      <c r="H171" s="48"/>
      <c r="I171" s="48"/>
      <c r="J171" s="48"/>
      <c r="K171" s="48"/>
      <c r="O171" s="48"/>
    </row>
    <row r="172" spans="1:15" x14ac:dyDescent="0.35">
      <c r="A172" s="48"/>
      <c r="B172" s="48"/>
      <c r="C172" s="48"/>
      <c r="D172" s="48"/>
      <c r="E172" s="48"/>
      <c r="F172" s="48"/>
      <c r="G172" s="48"/>
      <c r="H172" s="48"/>
      <c r="I172" s="48"/>
      <c r="J172" s="48"/>
      <c r="K172" s="48"/>
      <c r="O172" s="48"/>
    </row>
    <row r="173" spans="1:15" x14ac:dyDescent="0.35">
      <c r="A173" s="48"/>
      <c r="B173" s="48"/>
      <c r="C173" s="48"/>
      <c r="D173" s="48"/>
      <c r="E173" s="48"/>
      <c r="F173" s="48"/>
      <c r="G173" s="48"/>
      <c r="H173" s="48"/>
      <c r="I173" s="48"/>
      <c r="J173" s="48"/>
      <c r="K173" s="48"/>
      <c r="O173" s="48"/>
    </row>
    <row r="174" spans="1:15" x14ac:dyDescent="0.35">
      <c r="A174" s="48"/>
      <c r="B174" s="48"/>
      <c r="C174" s="48"/>
      <c r="D174" s="48"/>
      <c r="E174" s="48"/>
      <c r="F174" s="48"/>
      <c r="G174" s="48"/>
      <c r="H174" s="48"/>
      <c r="I174" s="48"/>
      <c r="J174" s="48"/>
      <c r="K174" s="48"/>
      <c r="O174" s="48"/>
    </row>
    <row r="175" spans="1:15" x14ac:dyDescent="0.35">
      <c r="A175" s="48"/>
      <c r="B175" s="48"/>
      <c r="C175" s="48"/>
      <c r="D175" s="48"/>
      <c r="E175" s="48"/>
      <c r="F175" s="48"/>
      <c r="G175" s="48"/>
      <c r="H175" s="48"/>
      <c r="I175" s="48"/>
      <c r="J175" s="48"/>
      <c r="K175" s="48"/>
      <c r="O175" s="48"/>
    </row>
    <row r="176" spans="1:15" x14ac:dyDescent="0.35">
      <c r="A176" s="48"/>
      <c r="B176" s="48"/>
      <c r="C176" s="48"/>
      <c r="D176" s="48"/>
      <c r="E176" s="48"/>
      <c r="F176" s="48"/>
      <c r="G176" s="48"/>
      <c r="H176" s="48"/>
      <c r="I176" s="48"/>
      <c r="J176" s="48"/>
      <c r="K176" s="48"/>
      <c r="O176" s="48"/>
    </row>
  </sheetData>
  <hyperlinks>
    <hyperlink ref="A1" location="Innhold!A1" display="Tilbake" xr:uid="{00000000-0004-0000-0200-000000000000}"/>
  </hyperlinks>
  <pageMargins left="0.7" right="0.7" top="0.78740157499999996" bottom="0.78740157499999996"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737C7-9E35-491E-AA5D-FD2A7954B218}">
  <sheetPr codeName="Ark33"/>
  <dimension ref="A1:N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111</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v>3837</v>
      </c>
      <c r="C7" s="249">
        <v>4419</v>
      </c>
      <c r="D7" s="285">
        <f>IF(B7=0, "    ---- ", IF(ABS(ROUND(100/B7*C7-100,1))&lt;999,ROUND(100/B7*C7-100,1),IF(ROUND(100/B7*C7-100,1)&gt;999,999,-999)))</f>
        <v>15.2</v>
      </c>
      <c r="E7" s="8">
        <f>IFERROR(100/'Skjema total MA'!C7*C7,0)</f>
        <v>0.21052686792234446</v>
      </c>
      <c r="F7" s="248"/>
      <c r="G7" s="249"/>
      <c r="H7" s="285"/>
      <c r="I7" s="119"/>
      <c r="J7" s="250">
        <f t="shared" ref="J7:K10" si="0">SUM(B7,F7)</f>
        <v>3837</v>
      </c>
      <c r="K7" s="251">
        <f t="shared" si="0"/>
        <v>4419</v>
      </c>
      <c r="L7" s="341">
        <f>IF(J7=0, "    ---- ", IF(ABS(ROUND(100/J7*K7-100,1))&lt;999,ROUND(100/J7*K7-100,1),IF(ROUND(100/J7*K7-100,1)&gt;999,999,-999)))</f>
        <v>15.2</v>
      </c>
      <c r="M7" s="8">
        <f>IFERROR(100/'Skjema total MA'!I7*K7,0)</f>
        <v>7.5449480690265372E-2</v>
      </c>
    </row>
    <row r="8" spans="1:14" ht="15.6" x14ac:dyDescent="0.25">
      <c r="A8" s="18" t="s">
        <v>170</v>
      </c>
      <c r="B8" s="228">
        <v>2109</v>
      </c>
      <c r="C8" s="229">
        <v>2407</v>
      </c>
      <c r="D8" s="123">
        <f t="shared" ref="D8:D10" si="1">IF(B8=0, "    ---- ", IF(ABS(ROUND(100/B8*C8-100,1))&lt;999,ROUND(100/B8*C8-100,1),IF(ROUND(100/B8*C8-100,1)&gt;999,999,-999)))</f>
        <v>14.1</v>
      </c>
      <c r="E8" s="23">
        <f>IFERROR(100/'Skjema total MA'!C8*C8,0)</f>
        <v>0.16762283605820341</v>
      </c>
      <c r="F8" s="232"/>
      <c r="G8" s="233"/>
      <c r="H8" s="123"/>
      <c r="I8" s="132"/>
      <c r="J8" s="181">
        <f t="shared" si="0"/>
        <v>2109</v>
      </c>
      <c r="K8" s="234">
        <f t="shared" si="0"/>
        <v>2407</v>
      </c>
      <c r="L8" s="123">
        <f t="shared" ref="L8:L10" si="2">IF(J8=0, "    ---- ", IF(ABS(ROUND(100/J8*K8-100,1))&lt;999,ROUND(100/J8*K8-100,1),IF(ROUND(100/J8*K8-100,1)&gt;999,999,-999)))</f>
        <v>14.1</v>
      </c>
      <c r="M8" s="23">
        <f>IFERROR(100/'Skjema total MA'!I8*K8,0)</f>
        <v>0.16762283605820341</v>
      </c>
    </row>
    <row r="9" spans="1:14" ht="15.6" x14ac:dyDescent="0.25">
      <c r="A9" s="18" t="s">
        <v>171</v>
      </c>
      <c r="B9" s="228">
        <v>764</v>
      </c>
      <c r="C9" s="229">
        <v>909</v>
      </c>
      <c r="D9" s="123">
        <f t="shared" si="1"/>
        <v>19</v>
      </c>
      <c r="E9" s="23">
        <f>IFERROR(100/'Skjema total MA'!C9*C9,0)</f>
        <v>0.21272728370398675</v>
      </c>
      <c r="F9" s="232"/>
      <c r="G9" s="233"/>
      <c r="H9" s="123"/>
      <c r="I9" s="132"/>
      <c r="J9" s="181">
        <f t="shared" si="0"/>
        <v>764</v>
      </c>
      <c r="K9" s="234">
        <f t="shared" si="0"/>
        <v>909</v>
      </c>
      <c r="L9" s="123">
        <f t="shared" si="2"/>
        <v>19</v>
      </c>
      <c r="M9" s="23">
        <f>IFERROR(100/'Skjema total MA'!I9*K9,0)</f>
        <v>0.21272728370398675</v>
      </c>
    </row>
    <row r="10" spans="1:14" ht="15.6" x14ac:dyDescent="0.25">
      <c r="A10" s="10" t="s">
        <v>172</v>
      </c>
      <c r="B10" s="252">
        <v>3524</v>
      </c>
      <c r="C10" s="253">
        <v>6509</v>
      </c>
      <c r="D10" s="127">
        <f t="shared" si="1"/>
        <v>84.7</v>
      </c>
      <c r="E10" s="8">
        <f>IFERROR(100/'Skjema total MA'!C10*C10,0)</f>
        <v>5.0947328043692293E-2</v>
      </c>
      <c r="F10" s="252"/>
      <c r="G10" s="253"/>
      <c r="H10" s="127"/>
      <c r="I10" s="119"/>
      <c r="J10" s="250">
        <f t="shared" si="0"/>
        <v>3524</v>
      </c>
      <c r="K10" s="251">
        <f t="shared" si="0"/>
        <v>6509</v>
      </c>
      <c r="L10" s="342">
        <f t="shared" si="2"/>
        <v>84.7</v>
      </c>
      <c r="M10" s="8">
        <f>IFERROR(100/'Skjema total MA'!I10*K10,0)</f>
        <v>5.4038116565483978E-3</v>
      </c>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v>9172</v>
      </c>
      <c r="C22" s="252">
        <v>3757</v>
      </c>
      <c r="D22" s="285">
        <f t="shared" ref="D22:D37" si="3">IF(B22=0, "    ---- ", IF(ABS(ROUND(100/B22*C22-100,1))&lt;999,ROUND(100/B22*C22-100,1),IF(ROUND(100/B22*C22-100,1)&gt;999,999,-999)))</f>
        <v>-59</v>
      </c>
      <c r="E22" s="8">
        <f>IFERROR(100/'Skjema total MA'!C22*C22,0)</f>
        <v>0.34849820510695023</v>
      </c>
      <c r="F22" s="260"/>
      <c r="G22" s="260"/>
      <c r="H22" s="285"/>
      <c r="I22" s="8"/>
      <c r="J22" s="258">
        <f t="shared" ref="J22:K37" si="4">SUM(B22,F22)</f>
        <v>9172</v>
      </c>
      <c r="K22" s="258">
        <f t="shared" si="4"/>
        <v>3757</v>
      </c>
      <c r="L22" s="341">
        <f t="shared" ref="L22:L30" si="5">IF(J22=0, "    ---- ", IF(ABS(ROUND(100/J22*K22-100,1))&lt;999,ROUND(100/J22*K22-100,1),IF(ROUND(100/J22*K22-100,1)&gt;999,999,-999)))</f>
        <v>-59</v>
      </c>
      <c r="M22" s="21">
        <f>IFERROR(100/'Skjema total MA'!I22*K22,0)</f>
        <v>0.24645765435909947</v>
      </c>
    </row>
    <row r="23" spans="1:13" ht="15.6" x14ac:dyDescent="0.25">
      <c r="A23" s="382" t="s">
        <v>178</v>
      </c>
      <c r="B23" s="228">
        <v>9172</v>
      </c>
      <c r="C23" s="228">
        <v>3757</v>
      </c>
      <c r="D23" s="123">
        <f t="shared" si="3"/>
        <v>-59</v>
      </c>
      <c r="E23" s="8">
        <f>IFERROR(100/'Skjema total MA'!C23*C23,0)</f>
        <v>0.47079387831632752</v>
      </c>
      <c r="F23" s="236"/>
      <c r="G23" s="236"/>
      <c r="H23" s="123"/>
      <c r="I23" s="335"/>
      <c r="J23" s="236">
        <f t="shared" si="4"/>
        <v>9172</v>
      </c>
      <c r="K23" s="236">
        <f t="shared" si="4"/>
        <v>3757</v>
      </c>
      <c r="L23" s="123">
        <f t="shared" si="5"/>
        <v>-59</v>
      </c>
      <c r="M23" s="20">
        <f>IFERROR(100/'Skjema total MA'!I23*K23,0)</f>
        <v>0.46574402764713319</v>
      </c>
    </row>
    <row r="24" spans="1:13" ht="15.6" x14ac:dyDescent="0.25">
      <c r="A24" s="382" t="s">
        <v>179</v>
      </c>
      <c r="B24" s="228"/>
      <c r="C24" s="228"/>
      <c r="D24" s="123"/>
      <c r="E24" s="8"/>
      <c r="F24" s="236"/>
      <c r="G24" s="236"/>
      <c r="H24" s="123"/>
      <c r="I24" s="335"/>
      <c r="J24" s="236"/>
      <c r="K24" s="236"/>
      <c r="L24" s="123"/>
      <c r="M24" s="20"/>
    </row>
    <row r="25" spans="1:13" ht="15.6" x14ac:dyDescent="0.25">
      <c r="A25" s="382" t="s">
        <v>180</v>
      </c>
      <c r="B25" s="228"/>
      <c r="C25" s="228"/>
      <c r="D25" s="123"/>
      <c r="E25" s="8"/>
      <c r="F25" s="236"/>
      <c r="G25" s="236"/>
      <c r="H25" s="123"/>
      <c r="I25" s="335"/>
      <c r="J25" s="236"/>
      <c r="K25" s="236"/>
      <c r="L25" s="123"/>
      <c r="M25" s="20"/>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v>7625</v>
      </c>
      <c r="C28" s="234">
        <v>2806</v>
      </c>
      <c r="D28" s="123">
        <f t="shared" si="3"/>
        <v>-63.2</v>
      </c>
      <c r="E28" s="8">
        <f>IFERROR(100/'Skjema total MA'!C28*C28,0)</f>
        <v>0.20817790266665231</v>
      </c>
      <c r="F28" s="181"/>
      <c r="G28" s="234"/>
      <c r="H28" s="123"/>
      <c r="I28" s="23"/>
      <c r="J28" s="36">
        <f t="shared" si="4"/>
        <v>7625</v>
      </c>
      <c r="K28" s="36">
        <f t="shared" si="4"/>
        <v>2806</v>
      </c>
      <c r="L28" s="206">
        <f t="shared" si="5"/>
        <v>-63.2</v>
      </c>
      <c r="M28" s="20">
        <f>IFERROR(100/'Skjema total MA'!I28*K28,0)</f>
        <v>0.20817790266665231</v>
      </c>
    </row>
    <row r="29" spans="1:13" ht="15.6" x14ac:dyDescent="0.25">
      <c r="A29" s="10" t="s">
        <v>172</v>
      </c>
      <c r="B29" s="183">
        <v>19388</v>
      </c>
      <c r="C29" s="183">
        <v>19098</v>
      </c>
      <c r="D29" s="127">
        <f t="shared" si="3"/>
        <v>-1.5</v>
      </c>
      <c r="E29" s="8">
        <f>IFERROR(100/'Skjema total MA'!C29*C29,0)</f>
        <v>4.2912180967411707E-2</v>
      </c>
      <c r="F29" s="250"/>
      <c r="G29" s="250"/>
      <c r="H29" s="127"/>
      <c r="I29" s="8"/>
      <c r="J29" s="183">
        <f t="shared" si="4"/>
        <v>19388</v>
      </c>
      <c r="K29" s="183">
        <f t="shared" si="4"/>
        <v>19098</v>
      </c>
      <c r="L29" s="342">
        <f t="shared" si="5"/>
        <v>-1.5</v>
      </c>
      <c r="M29" s="21">
        <f>IFERROR(100/'Skjema total MA'!I29*K29,0)</f>
        <v>2.523280656293873E-2</v>
      </c>
    </row>
    <row r="30" spans="1:13" ht="15.6" x14ac:dyDescent="0.25">
      <c r="A30" s="382" t="s">
        <v>178</v>
      </c>
      <c r="B30" s="228">
        <v>19388</v>
      </c>
      <c r="C30" s="228">
        <v>19098</v>
      </c>
      <c r="D30" s="123">
        <f t="shared" si="3"/>
        <v>-1.5</v>
      </c>
      <c r="E30" s="8">
        <f>IFERROR(100/'Skjema total MA'!C30*C30,0)</f>
        <v>9.5979393914833969E-2</v>
      </c>
      <c r="F30" s="236"/>
      <c r="G30" s="236"/>
      <c r="H30" s="123"/>
      <c r="I30" s="335"/>
      <c r="J30" s="236">
        <f t="shared" si="4"/>
        <v>19388</v>
      </c>
      <c r="K30" s="236">
        <f t="shared" si="4"/>
        <v>19098</v>
      </c>
      <c r="L30" s="123">
        <f t="shared" si="5"/>
        <v>-1.5</v>
      </c>
      <c r="M30" s="20">
        <f>IFERROR(100/'Skjema total MA'!I30*K30,0)</f>
        <v>8.1457586096305462E-2</v>
      </c>
    </row>
    <row r="31" spans="1:13" ht="15.6" x14ac:dyDescent="0.25">
      <c r="A31" s="382" t="s">
        <v>179</v>
      </c>
      <c r="B31" s="228"/>
      <c r="C31" s="228"/>
      <c r="D31" s="123"/>
      <c r="E31" s="8"/>
      <c r="F31" s="236"/>
      <c r="G31" s="236"/>
      <c r="H31" s="123"/>
      <c r="I31" s="335"/>
      <c r="J31" s="236"/>
      <c r="K31" s="236"/>
      <c r="L31" s="123"/>
      <c r="M31" s="20"/>
    </row>
    <row r="32" spans="1:13" ht="15.6" x14ac:dyDescent="0.25">
      <c r="A32" s="382" t="s">
        <v>180</v>
      </c>
      <c r="B32" s="228"/>
      <c r="C32" s="228"/>
      <c r="D32" s="123"/>
      <c r="E32" s="8"/>
      <c r="F32" s="236"/>
      <c r="G32" s="236"/>
      <c r="H32" s="123"/>
      <c r="I32" s="335"/>
      <c r="J32" s="236"/>
      <c r="K32" s="236"/>
      <c r="L32" s="123"/>
      <c r="M32" s="20"/>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c r="C34" s="251"/>
      <c r="D34" s="127"/>
      <c r="E34" s="8"/>
      <c r="F34" s="250"/>
      <c r="G34" s="251"/>
      <c r="H34" s="127"/>
      <c r="I34" s="8"/>
      <c r="J34" s="183"/>
      <c r="K34" s="183"/>
      <c r="L34" s="342"/>
      <c r="M34" s="21"/>
    </row>
    <row r="35" spans="1:13" ht="15.6" x14ac:dyDescent="0.25">
      <c r="A35" s="10" t="s">
        <v>174</v>
      </c>
      <c r="B35" s="183"/>
      <c r="C35" s="251"/>
      <c r="D35" s="127"/>
      <c r="E35" s="8"/>
      <c r="F35" s="250"/>
      <c r="G35" s="251"/>
      <c r="H35" s="127"/>
      <c r="I35" s="8"/>
      <c r="J35" s="183"/>
      <c r="K35" s="183"/>
      <c r="L35" s="342"/>
      <c r="M35" s="21"/>
    </row>
    <row r="36" spans="1:13" ht="15.6" x14ac:dyDescent="0.25">
      <c r="A36" s="9" t="s">
        <v>185</v>
      </c>
      <c r="B36" s="183"/>
      <c r="C36" s="251">
        <v>204</v>
      </c>
      <c r="D36" s="127" t="str">
        <f t="shared" si="3"/>
        <v xml:space="preserve">    ---- </v>
      </c>
      <c r="E36" s="8">
        <f>IFERROR(100/'Skjema total MA'!C36*C36,0)</f>
        <v>46.636459652604103</v>
      </c>
      <c r="F36" s="261"/>
      <c r="G36" s="262"/>
      <c r="H36" s="127"/>
      <c r="I36" s="348"/>
      <c r="J36" s="183"/>
      <c r="K36" s="183">
        <f t="shared" si="4"/>
        <v>204</v>
      </c>
      <c r="L36" s="342"/>
      <c r="M36" s="21">
        <f>IFERROR(100/'Skjema total MA'!I36*K36,0)</f>
        <v>46.636459652604103</v>
      </c>
    </row>
    <row r="37" spans="1:13" ht="15.6" x14ac:dyDescent="0.25">
      <c r="A37" s="9" t="s">
        <v>186</v>
      </c>
      <c r="B37" s="183"/>
      <c r="C37" s="251">
        <v>16388</v>
      </c>
      <c r="D37" s="127" t="str">
        <f t="shared" si="3"/>
        <v xml:space="preserve">    ---- </v>
      </c>
      <c r="E37" s="8">
        <f>IFERROR(100/'Skjema total MA'!C37*C37,0)</f>
        <v>0.71808541635390766</v>
      </c>
      <c r="F37" s="261"/>
      <c r="G37" s="263"/>
      <c r="H37" s="127"/>
      <c r="I37" s="348"/>
      <c r="J37" s="183"/>
      <c r="K37" s="183">
        <f t="shared" si="4"/>
        <v>16388</v>
      </c>
      <c r="L37" s="342"/>
      <c r="M37" s="21">
        <f>IFERROR(100/'Skjema total MA'!I37*K37,0)</f>
        <v>0.71808541635390766</v>
      </c>
    </row>
    <row r="38" spans="1:13" ht="15.6" x14ac:dyDescent="0.25">
      <c r="A38" s="9" t="s">
        <v>187</v>
      </c>
      <c r="B38" s="183"/>
      <c r="C38" s="251"/>
      <c r="D38" s="346"/>
      <c r="E38" s="21"/>
      <c r="F38" s="261"/>
      <c r="G38" s="262"/>
      <c r="H38" s="127"/>
      <c r="I38" s="348"/>
      <c r="J38" s="183"/>
      <c r="K38" s="183"/>
      <c r="L38" s="342"/>
      <c r="M38" s="21"/>
    </row>
    <row r="39" spans="1:13" ht="15.6" x14ac:dyDescent="0.25">
      <c r="A39" s="15" t="s">
        <v>188</v>
      </c>
      <c r="B39" s="223"/>
      <c r="C39" s="257"/>
      <c r="D39" s="347"/>
      <c r="E39" s="30"/>
      <c r="F39" s="264"/>
      <c r="G39" s="265"/>
      <c r="H39" s="125"/>
      <c r="I39" s="30"/>
      <c r="J39" s="183"/>
      <c r="K39" s="183"/>
      <c r="L39" s="343"/>
      <c r="M39" s="30"/>
    </row>
    <row r="40" spans="1:13" ht="15.6" x14ac:dyDescent="0.3">
      <c r="A40" s="35"/>
      <c r="B40" s="205"/>
      <c r="C40" s="205"/>
      <c r="D40" s="595"/>
      <c r="E40" s="594"/>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24204</v>
      </c>
      <c r="C47" s="253">
        <v>1758</v>
      </c>
      <c r="D47" s="341">
        <f t="shared" ref="D47:D48" si="6">IF(B47=0, "    ---- ", IF(ABS(ROUND(100/B47*C47-100,1))&lt;999,ROUND(100/B47*C47-100,1),IF(ROUND(100/B47*C47-100,1)&gt;999,999,-999)))</f>
        <v>-92.7</v>
      </c>
      <c r="E47" s="8">
        <f>IFERROR(100/'Skjema total MA'!C47*C47,0)</f>
        <v>3.5500990628203721E-2</v>
      </c>
      <c r="F47" s="109"/>
      <c r="G47" s="27"/>
      <c r="H47" s="118"/>
      <c r="I47" s="118"/>
      <c r="J47" s="31"/>
      <c r="K47" s="31"/>
      <c r="L47" s="118"/>
      <c r="M47" s="118"/>
    </row>
    <row r="48" spans="1:13" ht="15.6" x14ac:dyDescent="0.25">
      <c r="A48" s="18" t="s">
        <v>190</v>
      </c>
      <c r="B48" s="228">
        <v>24204</v>
      </c>
      <c r="C48" s="229">
        <v>1758</v>
      </c>
      <c r="D48" s="206">
        <f t="shared" si="6"/>
        <v>-92.7</v>
      </c>
      <c r="E48" s="23">
        <f>IFERROR(100/'Skjema total MA'!C48*C48,0)</f>
        <v>7.3134605092057756E-2</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c r="C53" s="253"/>
      <c r="D53" s="342"/>
      <c r="E53" s="8"/>
      <c r="F53" s="109"/>
      <c r="G53" s="27"/>
      <c r="H53" s="109"/>
      <c r="I53" s="109"/>
      <c r="J53" s="27"/>
      <c r="K53" s="27"/>
      <c r="L53" s="118"/>
      <c r="M53" s="118"/>
    </row>
    <row r="54" spans="1:13" ht="15.6" x14ac:dyDescent="0.25">
      <c r="A54" s="18" t="s">
        <v>190</v>
      </c>
      <c r="B54" s="228"/>
      <c r="C54" s="229"/>
      <c r="D54" s="206"/>
      <c r="E54" s="23"/>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v>6665</v>
      </c>
      <c r="C66" s="288">
        <v>6439</v>
      </c>
      <c r="D66" s="285">
        <f t="shared" ref="D66:D122" si="7">IF(B66=0, "    ---- ", IF(ABS(ROUND(100/B66*C66-100,1))&lt;999,ROUND(100/B66*C66-100,1),IF(ROUND(100/B66*C66-100,1)&gt;999,999,-999)))</f>
        <v>-3.4</v>
      </c>
      <c r="E66" s="559">
        <f>IFERROR(100/'Skjema total MA'!C66*C66,0)</f>
        <v>0.21182163927945344</v>
      </c>
      <c r="F66" s="560"/>
      <c r="G66" s="287"/>
      <c r="H66" s="285"/>
      <c r="I66" s="559"/>
      <c r="J66" s="258">
        <f t="shared" ref="J66:K76" si="8">SUM(B66,F66)</f>
        <v>6665</v>
      </c>
      <c r="K66" s="258">
        <f t="shared" si="8"/>
        <v>6439</v>
      </c>
      <c r="L66" s="342">
        <f t="shared" ref="L66:L122" si="9">IF(J66=0, "    ---- ", IF(ABS(ROUND(100/J66*K66-100,1))&lt;999,ROUND(100/J66*K66-100,1),IF(ROUND(100/J66*K66-100,1)&gt;999,999,-999)))</f>
        <v>-3.4</v>
      </c>
      <c r="M66" s="8">
        <f>IFERROR(100/'Skjema total MA'!I66*K66,0)</f>
        <v>3.5262056387900913E-2</v>
      </c>
    </row>
    <row r="67" spans="1:13" x14ac:dyDescent="0.25">
      <c r="A67" s="39"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v>6665</v>
      </c>
      <c r="C76" s="109">
        <v>6439</v>
      </c>
      <c r="D76" s="123">
        <f t="shared" si="7"/>
        <v>-3.4</v>
      </c>
      <c r="E76" s="20">
        <f>IFERROR(100/'Skjema total MA'!C76*C76,0)</f>
        <v>0.57146593221592989</v>
      </c>
      <c r="F76" s="36"/>
      <c r="G76" s="109"/>
      <c r="H76" s="123"/>
      <c r="I76" s="20"/>
      <c r="J76" s="36">
        <f t="shared" si="8"/>
        <v>6665</v>
      </c>
      <c r="K76" s="36">
        <f t="shared" si="8"/>
        <v>6439</v>
      </c>
      <c r="L76" s="206">
        <f t="shared" si="9"/>
        <v>-3.4</v>
      </c>
      <c r="M76" s="23">
        <f>IFERROR(100/'Skjema total MA'!I76*K76,0)</f>
        <v>0.57146593221592989</v>
      </c>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v>46466</v>
      </c>
      <c r="C87" s="288">
        <v>52139</v>
      </c>
      <c r="D87" s="127">
        <f t="shared" si="7"/>
        <v>12.2</v>
      </c>
      <c r="E87" s="21">
        <f>IFERROR(100/'Skjema total MA'!C87*C87,0)</f>
        <v>1.2575737146370648E-2</v>
      </c>
      <c r="F87" s="225"/>
      <c r="G87" s="287"/>
      <c r="H87" s="127"/>
      <c r="I87" s="21"/>
      <c r="J87" s="183">
        <f t="shared" ref="J87:K111" si="10">SUM(B87,F87)</f>
        <v>46466</v>
      </c>
      <c r="K87" s="183">
        <f t="shared" si="10"/>
        <v>52139</v>
      </c>
      <c r="L87" s="342">
        <f t="shared" si="9"/>
        <v>12.2</v>
      </c>
      <c r="M87" s="8">
        <f>IFERROR(100/'Skjema total MA'!I87*K87,0)</f>
        <v>4.3113053145966453E-3</v>
      </c>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v>46466</v>
      </c>
      <c r="C97" s="109">
        <v>52139</v>
      </c>
      <c r="D97" s="123">
        <f t="shared" si="7"/>
        <v>12.2</v>
      </c>
      <c r="E97" s="20">
        <f>IFERROR(100/'Skjema total MA'!C98*C97,0)</f>
        <v>1.3484964198918209E-2</v>
      </c>
      <c r="F97" s="36"/>
      <c r="G97" s="109"/>
      <c r="H97" s="123"/>
      <c r="I97" s="20"/>
      <c r="J97" s="36">
        <f t="shared" si="10"/>
        <v>46466</v>
      </c>
      <c r="K97" s="36">
        <f t="shared" si="10"/>
        <v>52139</v>
      </c>
      <c r="L97" s="206">
        <f t="shared" si="9"/>
        <v>12.2</v>
      </c>
      <c r="M97" s="23">
        <f>IFERROR(100/'Skjema total MA'!I98*K97,0)</f>
        <v>4.463432990784214E-3</v>
      </c>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v>1353</v>
      </c>
      <c r="C111" s="118">
        <v>2320</v>
      </c>
      <c r="D111" s="127">
        <f t="shared" si="7"/>
        <v>71.5</v>
      </c>
      <c r="E111" s="21">
        <f>IFERROR(100/'Skjema total MA'!C111*C111,0)</f>
        <v>0.77443107544301437</v>
      </c>
      <c r="F111" s="183"/>
      <c r="G111" s="118"/>
      <c r="H111" s="127"/>
      <c r="I111" s="21"/>
      <c r="J111" s="183">
        <f t="shared" si="10"/>
        <v>1353</v>
      </c>
      <c r="K111" s="183">
        <f t="shared" si="10"/>
        <v>2320</v>
      </c>
      <c r="L111" s="342">
        <f t="shared" si="9"/>
        <v>71.5</v>
      </c>
      <c r="M111" s="8">
        <f>IFERROR(100/'Skjema total MA'!I111*K111,0)</f>
        <v>9.500876860649864E-3</v>
      </c>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v>1353</v>
      </c>
      <c r="C114" s="109">
        <v>2320</v>
      </c>
      <c r="D114" s="123">
        <f t="shared" si="7"/>
        <v>71.5</v>
      </c>
      <c r="E114" s="20">
        <f>IFERROR(100/'Skjema total MA'!C114*C114,0)</f>
        <v>3.3546322205711756</v>
      </c>
      <c r="F114" s="36"/>
      <c r="G114" s="109"/>
      <c r="H114" s="123"/>
      <c r="I114" s="20"/>
      <c r="J114" s="36">
        <f t="shared" ref="J114:K122" si="11">SUM(B114,F114)</f>
        <v>1353</v>
      </c>
      <c r="K114" s="36">
        <f t="shared" si="11"/>
        <v>2320</v>
      </c>
      <c r="L114" s="206">
        <f t="shared" si="9"/>
        <v>71.5</v>
      </c>
      <c r="M114" s="23">
        <f>IFERROR(100/'Skjema total MA'!I114*K114,0)</f>
        <v>3.2041824772838612</v>
      </c>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v>337</v>
      </c>
      <c r="C119" s="118">
        <v>207</v>
      </c>
      <c r="D119" s="127">
        <f t="shared" si="7"/>
        <v>-38.6</v>
      </c>
      <c r="E119" s="21">
        <f>IFERROR(100/'Skjema total MA'!C119*C119,0)</f>
        <v>6.0293924830376926E-2</v>
      </c>
      <c r="F119" s="183"/>
      <c r="G119" s="118"/>
      <c r="H119" s="127"/>
      <c r="I119" s="21"/>
      <c r="J119" s="183">
        <f t="shared" si="11"/>
        <v>337</v>
      </c>
      <c r="K119" s="183">
        <f t="shared" si="11"/>
        <v>207</v>
      </c>
      <c r="L119" s="342">
        <f t="shared" si="9"/>
        <v>-38.6</v>
      </c>
      <c r="M119" s="8">
        <f>IFERROR(100/'Skjema total MA'!I119*K119,0)</f>
        <v>8.1808099732354222E-4</v>
      </c>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v>337</v>
      </c>
      <c r="C122" s="109">
        <v>207</v>
      </c>
      <c r="D122" s="123">
        <f t="shared" si="7"/>
        <v>-38.6</v>
      </c>
      <c r="E122" s="20">
        <f>IFERROR(100/'Skjema total MA'!C122*C122,0)</f>
        <v>8.3694793792170874E-2</v>
      </c>
      <c r="F122" s="36"/>
      <c r="G122" s="109"/>
      <c r="H122" s="123"/>
      <c r="I122" s="20"/>
      <c r="J122" s="36">
        <f t="shared" si="11"/>
        <v>337</v>
      </c>
      <c r="K122" s="36">
        <f t="shared" si="11"/>
        <v>207</v>
      </c>
      <c r="L122" s="206">
        <f t="shared" si="9"/>
        <v>-38.6</v>
      </c>
      <c r="M122" s="23">
        <f>IFERROR(100/'Skjema total MA'!I122*K122,0)</f>
        <v>8.3694793792170874E-2</v>
      </c>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189" priority="7">
      <formula>kvartal &lt; 4</formula>
    </cfRule>
  </conditionalFormatting>
  <conditionalFormatting sqref="A69:A74">
    <cfRule type="expression" dxfId="188" priority="6">
      <formula>kvartal &lt; 4</formula>
    </cfRule>
  </conditionalFormatting>
  <conditionalFormatting sqref="A80:A85">
    <cfRule type="expression" dxfId="187" priority="5">
      <formula>kvartal &lt; 4</formula>
    </cfRule>
  </conditionalFormatting>
  <conditionalFormatting sqref="A90:A95">
    <cfRule type="expression" dxfId="186" priority="4">
      <formula>kvartal &lt; 4</formula>
    </cfRule>
  </conditionalFormatting>
  <conditionalFormatting sqref="A101:A106">
    <cfRule type="expression" dxfId="185" priority="3">
      <formula>kvartal &lt; 4</formula>
    </cfRule>
  </conditionalFormatting>
  <conditionalFormatting sqref="A115:C115">
    <cfRule type="expression" dxfId="184" priority="2">
      <formula>kvartal &lt; 4</formula>
    </cfRule>
  </conditionalFormatting>
  <conditionalFormatting sqref="A123:C123">
    <cfRule type="expression" dxfId="183" priority="1">
      <formula>kvartal &lt; 4</formula>
    </cfRule>
  </conditionalFormatting>
  <conditionalFormatting sqref="B69:C69">
    <cfRule type="expression" dxfId="182" priority="57">
      <formula>kvartal &lt; 4</formula>
    </cfRule>
  </conditionalFormatting>
  <conditionalFormatting sqref="B72:C72">
    <cfRule type="expression" dxfId="181" priority="55">
      <formula>kvartal &lt; 4</formula>
    </cfRule>
  </conditionalFormatting>
  <conditionalFormatting sqref="F115:G115">
    <cfRule type="expression" dxfId="180" priority="27">
      <formula>kvartal &lt; 4</formula>
    </cfRule>
  </conditionalFormatting>
  <conditionalFormatting sqref="F123:G123">
    <cfRule type="expression" dxfId="179" priority="26">
      <formula>kvartal &lt; 4</formula>
    </cfRule>
  </conditionalFormatting>
  <conditionalFormatting sqref="J115:K115">
    <cfRule type="expression" dxfId="178" priority="9">
      <formula>kvartal &lt; 4</formula>
    </cfRule>
  </conditionalFormatting>
  <conditionalFormatting sqref="J123:K123">
    <cfRule type="expression" dxfId="177" priority="8">
      <formula>kvartal &lt; 4</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6044-2CB6-449D-AC95-3178BBB2285A}">
  <sheetPr codeName="Ark34"/>
  <dimension ref="A1:AK62"/>
  <sheetViews>
    <sheetView showGridLines="0" zoomScale="70" zoomScaleNormal="70" workbookViewId="0">
      <pane xSplit="1" ySplit="8" topLeftCell="B9" activePane="bottomRight" state="frozen"/>
      <selection pane="topRight" activeCell="A42" sqref="A42"/>
      <selection pane="bottomLeft" activeCell="A42" sqref="A42"/>
      <selection pane="bottomRight" activeCell="K35" sqref="K35"/>
    </sheetView>
  </sheetViews>
  <sheetFormatPr baseColWidth="10" defaultColWidth="11.44140625" defaultRowHeight="13.2" x14ac:dyDescent="0.25"/>
  <cols>
    <col min="1" max="1" width="104.5546875" style="364" bestFit="1" customWidth="1"/>
    <col min="2" max="37" width="11.6640625" style="364" customWidth="1"/>
    <col min="38" max="16384" width="11.44140625" style="364"/>
  </cols>
  <sheetData>
    <row r="1" spans="1:37" ht="20.399999999999999" x14ac:dyDescent="0.35">
      <c r="A1" s="367" t="s">
        <v>226</v>
      </c>
      <c r="B1" s="368"/>
      <c r="C1" s="368"/>
      <c r="D1" s="368"/>
      <c r="E1" s="368"/>
      <c r="F1" s="368"/>
      <c r="G1" s="368"/>
      <c r="H1" s="368"/>
      <c r="I1" s="368"/>
      <c r="J1" s="368"/>
    </row>
    <row r="2" spans="1:37" ht="20.399999999999999" x14ac:dyDescent="0.35">
      <c r="A2" s="367" t="s">
        <v>27</v>
      </c>
      <c r="B2" s="484"/>
      <c r="C2" s="484"/>
      <c r="D2" s="485"/>
      <c r="E2" s="485"/>
      <c r="F2" s="486"/>
      <c r="G2" s="365"/>
      <c r="H2" s="365"/>
      <c r="I2" s="365"/>
      <c r="J2" s="365"/>
      <c r="K2" s="365"/>
      <c r="L2" s="365"/>
      <c r="M2" s="365"/>
      <c r="N2" s="365"/>
      <c r="O2" s="365"/>
      <c r="P2" s="365"/>
      <c r="Q2" s="365"/>
      <c r="R2" s="365"/>
      <c r="S2" s="365"/>
      <c r="T2" s="365"/>
      <c r="U2" s="365"/>
      <c r="V2" s="365"/>
      <c r="W2" s="365"/>
      <c r="X2" s="365"/>
      <c r="Y2" s="365"/>
      <c r="Z2" s="365"/>
      <c r="AA2" s="487"/>
      <c r="AB2" s="365"/>
      <c r="AC2" s="365"/>
      <c r="AD2" s="487"/>
      <c r="AE2" s="365"/>
      <c r="AF2" s="365"/>
      <c r="AG2" s="365"/>
      <c r="AH2" s="365"/>
      <c r="AI2" s="365"/>
      <c r="AJ2" s="365"/>
      <c r="AK2" s="365"/>
    </row>
    <row r="3" spans="1:37" ht="17.399999999999999" x14ac:dyDescent="0.3">
      <c r="A3" s="488" t="s">
        <v>227</v>
      </c>
      <c r="B3" s="489"/>
      <c r="C3" s="489"/>
      <c r="D3" s="489"/>
      <c r="E3" s="485"/>
      <c r="F3" s="532"/>
      <c r="G3" s="532"/>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row>
    <row r="4" spans="1:37" ht="18.75" customHeight="1" x14ac:dyDescent="0.3">
      <c r="A4" s="490" t="s">
        <v>153</v>
      </c>
      <c r="B4" s="491"/>
      <c r="C4" s="492"/>
      <c r="D4" s="493"/>
      <c r="E4" s="491"/>
      <c r="F4" s="492"/>
      <c r="G4" s="493"/>
      <c r="H4" s="491"/>
      <c r="I4" s="492"/>
      <c r="J4" s="493"/>
      <c r="K4" s="370"/>
      <c r="L4" s="370"/>
      <c r="M4" s="370"/>
      <c r="N4" s="371"/>
      <c r="O4" s="370"/>
      <c r="P4" s="372"/>
      <c r="Q4" s="371"/>
      <c r="R4" s="370"/>
      <c r="S4" s="372"/>
      <c r="T4" s="371"/>
      <c r="U4" s="370"/>
      <c r="V4" s="372"/>
      <c r="W4" s="371"/>
      <c r="X4" s="370"/>
      <c r="Y4" s="372"/>
      <c r="Z4" s="371"/>
      <c r="AA4" s="370"/>
      <c r="AB4" s="372"/>
      <c r="AC4" s="371"/>
      <c r="AD4" s="370"/>
      <c r="AE4" s="372"/>
      <c r="AF4" s="494"/>
      <c r="AG4" s="495"/>
      <c r="AH4" s="496"/>
      <c r="AI4" s="371"/>
      <c r="AJ4" s="370"/>
      <c r="AK4" s="497"/>
    </row>
    <row r="5" spans="1:37" ht="18.75" customHeight="1" x14ac:dyDescent="0.3">
      <c r="A5" s="428" t="s">
        <v>119</v>
      </c>
      <c r="B5" s="596" t="s">
        <v>228</v>
      </c>
      <c r="C5" s="597"/>
      <c r="D5" s="598"/>
      <c r="E5" s="596"/>
      <c r="F5" s="597"/>
      <c r="G5" s="598"/>
      <c r="H5" s="596" t="s">
        <v>229</v>
      </c>
      <c r="I5" s="597"/>
      <c r="J5" s="598"/>
      <c r="K5" s="596" t="s">
        <v>230</v>
      </c>
      <c r="L5" s="597"/>
      <c r="M5" s="598"/>
      <c r="N5" s="596"/>
      <c r="O5" s="597"/>
      <c r="P5" s="598"/>
      <c r="Q5" s="533"/>
      <c r="R5" s="534"/>
      <c r="S5" s="535"/>
      <c r="T5" s="596" t="s">
        <v>231</v>
      </c>
      <c r="U5" s="597"/>
      <c r="V5" s="598"/>
      <c r="W5" s="596" t="s">
        <v>239</v>
      </c>
      <c r="X5" s="597"/>
      <c r="Y5" s="598"/>
      <c r="Z5" s="596" t="s">
        <v>232</v>
      </c>
      <c r="AA5" s="597"/>
      <c r="AB5" s="598"/>
      <c r="AC5" s="596" t="s">
        <v>233</v>
      </c>
      <c r="AD5" s="597"/>
      <c r="AE5" s="598"/>
      <c r="AF5" s="596" t="s">
        <v>120</v>
      </c>
      <c r="AG5" s="597"/>
      <c r="AH5" s="598"/>
      <c r="AI5" s="596" t="s">
        <v>234</v>
      </c>
      <c r="AJ5" s="597"/>
      <c r="AK5" s="598"/>
    </row>
    <row r="6" spans="1:37" ht="21" customHeight="1" x14ac:dyDescent="0.3">
      <c r="A6" s="429"/>
      <c r="B6" s="599" t="s">
        <v>235</v>
      </c>
      <c r="C6" s="600"/>
      <c r="D6" s="601"/>
      <c r="E6" s="599" t="s">
        <v>236</v>
      </c>
      <c r="F6" s="600"/>
      <c r="G6" s="601"/>
      <c r="H6" s="599" t="s">
        <v>235</v>
      </c>
      <c r="I6" s="600"/>
      <c r="J6" s="601"/>
      <c r="K6" s="599" t="s">
        <v>237</v>
      </c>
      <c r="L6" s="600"/>
      <c r="M6" s="601"/>
      <c r="N6" s="599" t="s">
        <v>54</v>
      </c>
      <c r="O6" s="600"/>
      <c r="P6" s="601"/>
      <c r="Q6" s="599" t="s">
        <v>59</v>
      </c>
      <c r="R6" s="600"/>
      <c r="S6" s="601"/>
      <c r="T6" s="599" t="s">
        <v>238</v>
      </c>
      <c r="U6" s="600"/>
      <c r="V6" s="601"/>
      <c r="W6" s="599" t="s">
        <v>295</v>
      </c>
      <c r="X6" s="600"/>
      <c r="Y6" s="601"/>
      <c r="Z6" s="599" t="s">
        <v>235</v>
      </c>
      <c r="AA6" s="600"/>
      <c r="AB6" s="601"/>
      <c r="AC6" s="599" t="s">
        <v>235</v>
      </c>
      <c r="AD6" s="600"/>
      <c r="AE6" s="601"/>
      <c r="AF6" s="599" t="s">
        <v>240</v>
      </c>
      <c r="AG6" s="600"/>
      <c r="AH6" s="601"/>
      <c r="AI6" s="599" t="s">
        <v>241</v>
      </c>
      <c r="AJ6" s="600"/>
      <c r="AK6" s="601"/>
    </row>
    <row r="7" spans="1:37" ht="18.75" customHeight="1" x14ac:dyDescent="0.3">
      <c r="A7" s="429"/>
      <c r="B7" s="429"/>
      <c r="C7" s="429"/>
      <c r="D7" s="430" t="s">
        <v>84</v>
      </c>
      <c r="E7" s="429"/>
      <c r="F7" s="429"/>
      <c r="G7" s="430" t="s">
        <v>84</v>
      </c>
      <c r="H7" s="429"/>
      <c r="I7" s="429"/>
      <c r="J7" s="430" t="s">
        <v>84</v>
      </c>
      <c r="K7" s="429"/>
      <c r="L7" s="429"/>
      <c r="M7" s="430" t="s">
        <v>84</v>
      </c>
      <c r="N7" s="429"/>
      <c r="O7" s="429"/>
      <c r="P7" s="430" t="s">
        <v>84</v>
      </c>
      <c r="Q7" s="429"/>
      <c r="R7" s="429"/>
      <c r="S7" s="430" t="s">
        <v>84</v>
      </c>
      <c r="T7" s="429"/>
      <c r="U7" s="429"/>
      <c r="V7" s="430" t="s">
        <v>84</v>
      </c>
      <c r="W7" s="429"/>
      <c r="X7" s="429"/>
      <c r="Y7" s="430" t="s">
        <v>84</v>
      </c>
      <c r="Z7" s="429"/>
      <c r="AA7" s="429"/>
      <c r="AB7" s="430" t="s">
        <v>84</v>
      </c>
      <c r="AC7" s="429"/>
      <c r="AD7" s="429"/>
      <c r="AE7" s="430" t="s">
        <v>84</v>
      </c>
      <c r="AF7" s="429"/>
      <c r="AG7" s="429"/>
      <c r="AH7" s="430" t="s">
        <v>84</v>
      </c>
      <c r="AI7" s="429"/>
      <c r="AJ7" s="429"/>
      <c r="AK7" s="430" t="s">
        <v>84</v>
      </c>
    </row>
    <row r="8" spans="1:37" ht="18.75" customHeight="1" x14ac:dyDescent="0.35">
      <c r="A8" s="431" t="s">
        <v>242</v>
      </c>
      <c r="B8" s="419">
        <v>2025</v>
      </c>
      <c r="C8" s="419">
        <v>2026</v>
      </c>
      <c r="D8" s="432" t="s">
        <v>87</v>
      </c>
      <c r="E8" s="419">
        <v>2025</v>
      </c>
      <c r="F8" s="419">
        <v>2026</v>
      </c>
      <c r="G8" s="432" t="s">
        <v>87</v>
      </c>
      <c r="H8" s="419">
        <v>2025</v>
      </c>
      <c r="I8" s="419">
        <v>2026</v>
      </c>
      <c r="J8" s="432" t="s">
        <v>87</v>
      </c>
      <c r="K8" s="419">
        <v>2025</v>
      </c>
      <c r="L8" s="419">
        <v>2026</v>
      </c>
      <c r="M8" s="432" t="s">
        <v>87</v>
      </c>
      <c r="N8" s="419">
        <v>2025</v>
      </c>
      <c r="O8" s="419">
        <v>2026</v>
      </c>
      <c r="P8" s="432" t="s">
        <v>87</v>
      </c>
      <c r="Q8" s="419">
        <v>2025</v>
      </c>
      <c r="R8" s="419">
        <v>2026</v>
      </c>
      <c r="S8" s="432" t="s">
        <v>87</v>
      </c>
      <c r="T8" s="419">
        <v>2025</v>
      </c>
      <c r="U8" s="419">
        <v>2026</v>
      </c>
      <c r="V8" s="432" t="s">
        <v>87</v>
      </c>
      <c r="W8" s="419">
        <v>2025</v>
      </c>
      <c r="X8" s="419">
        <v>2026</v>
      </c>
      <c r="Y8" s="432" t="s">
        <v>87</v>
      </c>
      <c r="Z8" s="419">
        <v>2025</v>
      </c>
      <c r="AA8" s="419">
        <v>2026</v>
      </c>
      <c r="AB8" s="432" t="s">
        <v>87</v>
      </c>
      <c r="AC8" s="419">
        <v>2025</v>
      </c>
      <c r="AD8" s="419">
        <v>2026</v>
      </c>
      <c r="AE8" s="432" t="s">
        <v>87</v>
      </c>
      <c r="AF8" s="419">
        <v>2025</v>
      </c>
      <c r="AG8" s="419">
        <v>2026</v>
      </c>
      <c r="AH8" s="432" t="s">
        <v>87</v>
      </c>
      <c r="AI8" s="419">
        <v>2025</v>
      </c>
      <c r="AJ8" s="419">
        <v>2026</v>
      </c>
      <c r="AK8" s="432" t="s">
        <v>87</v>
      </c>
    </row>
    <row r="9" spans="1:37" ht="18.75" customHeight="1" x14ac:dyDescent="0.35">
      <c r="A9" s="429" t="s">
        <v>243</v>
      </c>
      <c r="B9" s="523"/>
      <c r="C9" s="386"/>
      <c r="D9" s="388"/>
      <c r="E9" s="523"/>
      <c r="F9" s="386"/>
      <c r="G9" s="388"/>
      <c r="H9" s="523"/>
      <c r="I9" s="386"/>
      <c r="J9" s="388"/>
      <c r="K9" s="523"/>
      <c r="L9" s="386"/>
      <c r="M9" s="386"/>
      <c r="N9" s="544"/>
      <c r="O9" s="388"/>
      <c r="P9" s="388"/>
      <c r="Q9" s="523"/>
      <c r="R9" s="386"/>
      <c r="S9" s="388"/>
      <c r="T9" s="544"/>
      <c r="U9" s="388"/>
      <c r="V9" s="388"/>
      <c r="W9" s="523"/>
      <c r="X9" s="386"/>
      <c r="Y9" s="388"/>
      <c r="Z9" s="523"/>
      <c r="AA9" s="386"/>
      <c r="AB9" s="388"/>
      <c r="AC9" s="523"/>
      <c r="AD9" s="386"/>
      <c r="AE9" s="388"/>
      <c r="AF9" s="388"/>
      <c r="AG9" s="388"/>
      <c r="AH9" s="388"/>
      <c r="AI9" s="433"/>
      <c r="AJ9" s="433"/>
      <c r="AK9" s="433"/>
    </row>
    <row r="10" spans="1:37" s="365" customFormat="1" ht="18.75" customHeight="1" x14ac:dyDescent="0.35">
      <c r="A10" s="427" t="s">
        <v>244</v>
      </c>
      <c r="B10" s="434"/>
      <c r="C10" s="350"/>
      <c r="D10" s="277"/>
      <c r="E10" s="434"/>
      <c r="F10" s="350"/>
      <c r="G10" s="277"/>
      <c r="H10" s="434"/>
      <c r="I10" s="350"/>
      <c r="J10" s="277"/>
      <c r="K10" s="434"/>
      <c r="L10" s="350"/>
      <c r="M10" s="350"/>
      <c r="N10" s="435"/>
      <c r="O10" s="277"/>
      <c r="P10" s="277"/>
      <c r="Q10" s="434"/>
      <c r="R10" s="350"/>
      <c r="S10" s="277"/>
      <c r="T10" s="435"/>
      <c r="U10" s="277"/>
      <c r="V10" s="277"/>
      <c r="W10" s="434"/>
      <c r="X10" s="350"/>
      <c r="Y10" s="277"/>
      <c r="Z10" s="434"/>
      <c r="AA10" s="350"/>
      <c r="AB10" s="277"/>
      <c r="AC10" s="434"/>
      <c r="AD10" s="350"/>
      <c r="AE10" s="277"/>
      <c r="AF10" s="277"/>
      <c r="AG10" s="277"/>
      <c r="AH10" s="277"/>
      <c r="AI10" s="436"/>
      <c r="AJ10" s="436"/>
      <c r="AK10" s="436"/>
    </row>
    <row r="11" spans="1:37" s="365" customFormat="1" ht="18.75" customHeight="1" x14ac:dyDescent="0.35">
      <c r="A11" s="427" t="s">
        <v>245</v>
      </c>
      <c r="B11" s="435">
        <v>6390.7669999999998</v>
      </c>
      <c r="C11" s="277">
        <v>6672.9709999999995</v>
      </c>
      <c r="D11" s="277">
        <f t="shared" ref="D11:D17" si="0">IF(B11=0, "    ---- ", IF(ABS(ROUND(100/B11*C11-100,1))&lt;999,ROUND(100/B11*C11-100,1),IF(ROUND(100/B11*C11-100,1)&gt;999,999,-999)))</f>
        <v>4.4000000000000004</v>
      </c>
      <c r="E11" s="435">
        <v>1228.1454335399999</v>
      </c>
      <c r="F11" s="277">
        <v>1198.86284531</v>
      </c>
      <c r="G11" s="277">
        <f t="shared" ref="G11:G17" si="1">IF(E11=0, "    ---- ", IF(ABS(ROUND(100/E11*F11-100,1))&lt;999,ROUND(100/E11*F11-100,1),IF(ROUND(100/E11*F11-100,1)&gt;999,999,-999)))</f>
        <v>-2.4</v>
      </c>
      <c r="H11" s="435">
        <v>849.21600000000001</v>
      </c>
      <c r="I11" s="277">
        <v>933.66200000000003</v>
      </c>
      <c r="J11" s="277">
        <f t="shared" ref="J11:J15" si="2">IF(H11=0, "    ---- ", IF(ABS(ROUND(100/H11*I11-100,1))&lt;999,ROUND(100/H11*I11-100,1),IF(ROUND(100/H11*I11-100,1)&gt;999,999,-999)))</f>
        <v>9.9</v>
      </c>
      <c r="K11" s="435">
        <v>2103</v>
      </c>
      <c r="L11" s="277">
        <v>2298</v>
      </c>
      <c r="M11" s="277">
        <f t="shared" ref="M11:M17" si="3">IF(K11=0, "    ---- ", IF(ABS(ROUND(100/K11*L11-100,1))&lt;999,ROUND(100/K11*L11-100,1),IF(ROUND(100/K11*L11-100,1)&gt;999,999,-999)))</f>
        <v>9.3000000000000007</v>
      </c>
      <c r="N11" s="435">
        <v>8070.3090714099999</v>
      </c>
      <c r="O11" s="277">
        <v>8774.8366761599991</v>
      </c>
      <c r="P11" s="277">
        <f t="shared" ref="P11:P17" si="4">IF(N11=0, "    ---- ", IF(ABS(ROUND(100/N11*O11-100,1))&lt;999,ROUND(100/N11*O11-100,1),IF(ROUND(100/N11*O11-100,1)&gt;999,999,-999)))</f>
        <v>8.6999999999999993</v>
      </c>
      <c r="Q11" s="435">
        <v>5666.5</v>
      </c>
      <c r="R11" s="277">
        <v>6805.9499999999989</v>
      </c>
      <c r="S11" s="277">
        <f t="shared" ref="S11:S17" si="5">IF(Q11=0, "    ---- ", IF(ABS(ROUND(100/Q11*R11-100,1))&lt;999,ROUND(100/Q11*R11-100,1),IF(ROUND(100/Q11*R11-100,1)&gt;999,999,-999)))</f>
        <v>20.100000000000001</v>
      </c>
      <c r="T11" s="435">
        <v>908</v>
      </c>
      <c r="U11" s="277">
        <v>695</v>
      </c>
      <c r="V11" s="277">
        <f t="shared" ref="V11:V15" si="6">IF(T11=0, "    ---- ", IF(ABS(ROUND(100/T11*U11-100,1))&lt;999,ROUND(100/T11*U11-100,1),IF(ROUND(100/T11*U11-100,1)&gt;999,999,-999)))</f>
        <v>-23.5</v>
      </c>
      <c r="W11" s="435">
        <v>2383.9098133300004</v>
      </c>
      <c r="X11" s="277">
        <v>2491.1367915099986</v>
      </c>
      <c r="Y11" s="277">
        <f t="shared" ref="Y11:Y17" si="7">IF(W11=0, "    ---- ", IF(ABS(ROUND(100/W11*X11-100,1))&lt;999,ROUND(100/W11*X11-100,1),IF(ROUND(100/W11*X11-100,1)&gt;999,999,-999)))</f>
        <v>4.5</v>
      </c>
      <c r="Z11" s="147">
        <v>7742.6626696400008</v>
      </c>
      <c r="AA11" s="277">
        <v>8050.504611710001</v>
      </c>
      <c r="AB11" s="277">
        <f t="shared" ref="AB11:AB17" si="8">IF(Z11=0, "    ---- ", IF(ABS(ROUND(100/Z11*AA11-100,1))&lt;999,ROUND(100/Z11*AA11-100,1),IF(ROUND(100/Z11*AA11-100,1)&gt;999,999,-999)))</f>
        <v>4</v>
      </c>
      <c r="AC11" s="435">
        <v>95</v>
      </c>
      <c r="AD11" s="277">
        <v>32</v>
      </c>
      <c r="AE11" s="277">
        <f t="shared" ref="AE11:AE14" si="9">IF(AC11=0, "    ---- ", IF(ABS(ROUND(100/AC11*AD11-100,1))&lt;999,ROUND(100/AC11*AD11-100,1),IF(ROUND(100/AC11*AD11-100,1)&gt;999,999,-999)))</f>
        <v>-66.3</v>
      </c>
      <c r="AF11" s="277">
        <f t="shared" ref="AF11:AG26" si="10">B11+E11+H11+K11+N11+Q11+T11+W11+Z11</f>
        <v>35342.509987919999</v>
      </c>
      <c r="AG11" s="277">
        <f t="shared" si="10"/>
        <v>37920.923924689996</v>
      </c>
      <c r="AH11" s="277">
        <f t="shared" ref="AH11:AH46" si="11">IF(AF11=0, "    ---- ", IF(ABS(ROUND(100/AF11*AG11-100,1))&lt;999,ROUND(100/AF11*AG11-100,1),IF(ROUND(100/AF11*AG11-100,1)&gt;999,999,-999)))</f>
        <v>7.3</v>
      </c>
      <c r="AI11" s="353">
        <f t="shared" ref="AI11:AJ21" si="12">B11+E11+H11+K11+N11+Q11+T11+W11+Z11+AC11</f>
        <v>35437.509987919999</v>
      </c>
      <c r="AJ11" s="353">
        <f t="shared" si="12"/>
        <v>37952.923924689996</v>
      </c>
      <c r="AK11" s="277">
        <f t="shared" ref="AK11:AK17" si="13">IF(AI11=0, "    ---- ", IF(ABS(ROUND(100/AI11*AJ11-100,1))&lt;999,ROUND(100/AI11*AJ11-100,1),IF(ROUND(100/AI11*AJ11-100,1)&gt;999,999,-999)))</f>
        <v>7.1</v>
      </c>
    </row>
    <row r="12" spans="1:37" s="365" customFormat="1" ht="18.75" customHeight="1" x14ac:dyDescent="0.35">
      <c r="A12" s="427" t="s">
        <v>246</v>
      </c>
      <c r="B12" s="435">
        <v>-119.99299999999999</v>
      </c>
      <c r="C12" s="277">
        <v>-111.45</v>
      </c>
      <c r="D12" s="277">
        <f t="shared" si="0"/>
        <v>-7.1</v>
      </c>
      <c r="E12" s="435">
        <v>-6.6702466600000001</v>
      </c>
      <c r="F12" s="277">
        <v>-13.155571629999999</v>
      </c>
      <c r="G12" s="277">
        <f t="shared" si="1"/>
        <v>97.2</v>
      </c>
      <c r="H12" s="435">
        <v>1.5309999999999999</v>
      </c>
      <c r="I12" s="277">
        <v>-3.8759999999999999</v>
      </c>
      <c r="J12" s="277">
        <f t="shared" si="2"/>
        <v>-353.2</v>
      </c>
      <c r="K12" s="435">
        <v>-14</v>
      </c>
      <c r="L12" s="277"/>
      <c r="M12" s="277">
        <f t="shared" si="3"/>
        <v>-100</v>
      </c>
      <c r="N12" s="435"/>
      <c r="O12" s="277"/>
      <c r="P12" s="277"/>
      <c r="Q12" s="435">
        <v>-31.269199999999998</v>
      </c>
      <c r="R12" s="277">
        <v>-34.049999999999997</v>
      </c>
      <c r="S12" s="277">
        <f t="shared" si="5"/>
        <v>8.9</v>
      </c>
      <c r="T12" s="435"/>
      <c r="U12" s="277"/>
      <c r="V12" s="277"/>
      <c r="W12" s="435">
        <v>-2.8580000000000001</v>
      </c>
      <c r="X12" s="277">
        <v>-3.0757470199999997</v>
      </c>
      <c r="Y12" s="277">
        <f t="shared" si="7"/>
        <v>7.6</v>
      </c>
      <c r="Z12" s="435">
        <v>-11.553695400000004</v>
      </c>
      <c r="AA12" s="277">
        <v>-15.910034440000004</v>
      </c>
      <c r="AB12" s="277">
        <f t="shared" si="8"/>
        <v>37.700000000000003</v>
      </c>
      <c r="AC12" s="435">
        <v>-34</v>
      </c>
      <c r="AD12" s="277">
        <v>-9</v>
      </c>
      <c r="AE12" s="277">
        <f t="shared" si="9"/>
        <v>-73.5</v>
      </c>
      <c r="AF12" s="277">
        <f t="shared" si="10"/>
        <v>-184.81314205999999</v>
      </c>
      <c r="AG12" s="277">
        <f t="shared" si="10"/>
        <v>-181.51735308999997</v>
      </c>
      <c r="AH12" s="277">
        <f t="shared" si="11"/>
        <v>-1.8</v>
      </c>
      <c r="AI12" s="353">
        <f t="shared" si="12"/>
        <v>-218.81314205999999</v>
      </c>
      <c r="AJ12" s="353">
        <f t="shared" si="12"/>
        <v>-190.51735308999997</v>
      </c>
      <c r="AK12" s="277">
        <f t="shared" si="13"/>
        <v>-12.9</v>
      </c>
    </row>
    <row r="13" spans="1:37" s="365" customFormat="1" ht="18.75" customHeight="1" x14ac:dyDescent="0.35">
      <c r="A13" s="427" t="s">
        <v>247</v>
      </c>
      <c r="B13" s="435">
        <v>5905.7659999999996</v>
      </c>
      <c r="C13" s="541">
        <v>6638.7240000000002</v>
      </c>
      <c r="D13" s="277">
        <f t="shared" si="0"/>
        <v>12.4</v>
      </c>
      <c r="E13" s="435"/>
      <c r="F13" s="277"/>
      <c r="G13" s="277"/>
      <c r="H13" s="435"/>
      <c r="I13" s="277"/>
      <c r="J13" s="277"/>
      <c r="K13" s="435">
        <v>4149</v>
      </c>
      <c r="L13" s="277">
        <v>3406</v>
      </c>
      <c r="M13" s="277">
        <f t="shared" si="3"/>
        <v>-17.899999999999999</v>
      </c>
      <c r="N13" s="435">
        <v>39.561441000000002</v>
      </c>
      <c r="O13" s="277">
        <v>2772.0372478000004</v>
      </c>
      <c r="P13" s="277">
        <f t="shared" si="4"/>
        <v>999</v>
      </c>
      <c r="Q13" s="435">
        <v>3603.69</v>
      </c>
      <c r="R13" s="277">
        <v>8092.1</v>
      </c>
      <c r="S13" s="277">
        <f t="shared" si="5"/>
        <v>124.6</v>
      </c>
      <c r="T13" s="435"/>
      <c r="U13" s="277"/>
      <c r="V13" s="277"/>
      <c r="W13" s="435">
        <v>3075.8528301400002</v>
      </c>
      <c r="X13" s="277">
        <v>2352.7850505699994</v>
      </c>
      <c r="Y13" s="277">
        <f t="shared" si="7"/>
        <v>-23.5</v>
      </c>
      <c r="Z13" s="435">
        <v>7631.5189918200003</v>
      </c>
      <c r="AA13" s="277">
        <v>4420.1894243899997</v>
      </c>
      <c r="AB13" s="277">
        <f t="shared" si="8"/>
        <v>-42.1</v>
      </c>
      <c r="AC13" s="435">
        <v>1</v>
      </c>
      <c r="AD13" s="277"/>
      <c r="AE13" s="277">
        <f t="shared" si="9"/>
        <v>-100</v>
      </c>
      <c r="AF13" s="277">
        <f t="shared" si="10"/>
        <v>24405.389262960001</v>
      </c>
      <c r="AG13" s="277">
        <f t="shared" si="10"/>
        <v>27681.835722759999</v>
      </c>
      <c r="AH13" s="277">
        <f t="shared" si="11"/>
        <v>13.4</v>
      </c>
      <c r="AI13" s="353">
        <f t="shared" si="12"/>
        <v>24406.389262960001</v>
      </c>
      <c r="AJ13" s="353">
        <f t="shared" si="12"/>
        <v>27681.835722759999</v>
      </c>
      <c r="AK13" s="277">
        <f t="shared" si="13"/>
        <v>13.4</v>
      </c>
    </row>
    <row r="14" spans="1:37" s="365" customFormat="1" ht="18.75" customHeight="1" x14ac:dyDescent="0.35">
      <c r="A14" s="427" t="s">
        <v>248</v>
      </c>
      <c r="B14" s="434">
        <f>SUM(B11:B13)</f>
        <v>12176.539999999999</v>
      </c>
      <c r="C14" s="542">
        <f>SUM(C11:C13)</f>
        <v>13200.244999999999</v>
      </c>
      <c r="D14" s="277">
        <f t="shared" si="0"/>
        <v>8.4</v>
      </c>
      <c r="E14" s="434">
        <f>SUM(E11:E13)</f>
        <v>1221.4751868799999</v>
      </c>
      <c r="F14" s="350">
        <f>SUM(F11:F13)</f>
        <v>1185.7072736800001</v>
      </c>
      <c r="G14" s="277">
        <f t="shared" si="1"/>
        <v>-2.9</v>
      </c>
      <c r="H14" s="434">
        <f>SUM(H11:H13)</f>
        <v>850.74699999999996</v>
      </c>
      <c r="I14" s="350">
        <f>SUM(I11:I13)</f>
        <v>929.78600000000006</v>
      </c>
      <c r="J14" s="277">
        <f t="shared" si="2"/>
        <v>9.3000000000000007</v>
      </c>
      <c r="K14" s="434">
        <f>SUM(K11:K13)</f>
        <v>6238</v>
      </c>
      <c r="L14" s="350">
        <f>SUM(L11:L13)</f>
        <v>5704</v>
      </c>
      <c r="M14" s="277">
        <f t="shared" si="3"/>
        <v>-8.6</v>
      </c>
      <c r="N14" s="434">
        <v>8109.8705124099997</v>
      </c>
      <c r="O14" s="350">
        <v>11546.87392396</v>
      </c>
      <c r="P14" s="277">
        <f t="shared" si="4"/>
        <v>42.4</v>
      </c>
      <c r="Q14" s="434">
        <f>SUM(Q11:Q13)</f>
        <v>9238.9207999999999</v>
      </c>
      <c r="R14" s="350">
        <f>SUM(R11:R13)</f>
        <v>14864</v>
      </c>
      <c r="S14" s="277">
        <f t="shared" si="5"/>
        <v>60.9</v>
      </c>
      <c r="T14" s="434">
        <v>908</v>
      </c>
      <c r="U14" s="350">
        <f>SUM(U11:U13)</f>
        <v>695</v>
      </c>
      <c r="V14" s="277">
        <f t="shared" si="6"/>
        <v>-23.5</v>
      </c>
      <c r="W14" s="434">
        <f>SUM(W11:W13)</f>
        <v>5456.9046434700003</v>
      </c>
      <c r="X14" s="350">
        <f>SUM(X11:X13)</f>
        <v>4840.8460950599983</v>
      </c>
      <c r="Y14" s="277">
        <f t="shared" si="7"/>
        <v>-11.3</v>
      </c>
      <c r="Z14" s="434">
        <f>SUM(Z11:Z13)</f>
        <v>15362.627966060001</v>
      </c>
      <c r="AA14" s="350">
        <f>SUM(AA11:AA13)</f>
        <v>12454.78400166</v>
      </c>
      <c r="AB14" s="277">
        <f t="shared" si="8"/>
        <v>-18.899999999999999</v>
      </c>
      <c r="AC14" s="434">
        <f>SUM(AC11:AC13)</f>
        <v>62</v>
      </c>
      <c r="AD14" s="350">
        <f>SUM(AD11:AD13)</f>
        <v>23</v>
      </c>
      <c r="AE14" s="277">
        <f t="shared" si="9"/>
        <v>-62.9</v>
      </c>
      <c r="AF14" s="277">
        <f t="shared" si="10"/>
        <v>59563.086108820004</v>
      </c>
      <c r="AG14" s="277">
        <f t="shared" si="10"/>
        <v>65421.242294360003</v>
      </c>
      <c r="AH14" s="277">
        <f t="shared" si="11"/>
        <v>9.8000000000000007</v>
      </c>
      <c r="AI14" s="353">
        <f t="shared" si="12"/>
        <v>59625.086108820004</v>
      </c>
      <c r="AJ14" s="353">
        <f t="shared" si="12"/>
        <v>65444.242294360003</v>
      </c>
      <c r="AK14" s="277">
        <f t="shared" si="13"/>
        <v>9.8000000000000007</v>
      </c>
    </row>
    <row r="15" spans="1:37" s="365" customFormat="1" ht="18.75" customHeight="1" x14ac:dyDescent="0.35">
      <c r="A15" s="427" t="s">
        <v>249</v>
      </c>
      <c r="B15" s="147">
        <v>1888.0840000000001</v>
      </c>
      <c r="C15" s="541">
        <v>1881.557</v>
      </c>
      <c r="D15" s="277">
        <f t="shared" si="0"/>
        <v>-0.3</v>
      </c>
      <c r="E15" s="548">
        <v>67.475971680000001</v>
      </c>
      <c r="F15" s="389">
        <v>12.398566349999994</v>
      </c>
      <c r="G15" s="277">
        <f t="shared" si="1"/>
        <v>-81.599999999999994</v>
      </c>
      <c r="H15" s="548">
        <v>26.890999999999998</v>
      </c>
      <c r="I15" s="389">
        <v>12.087</v>
      </c>
      <c r="J15" s="277">
        <f t="shared" si="2"/>
        <v>-55.1</v>
      </c>
      <c r="K15" s="147">
        <v>97</v>
      </c>
      <c r="L15" s="353">
        <v>104</v>
      </c>
      <c r="M15" s="277">
        <f t="shared" si="3"/>
        <v>7.2</v>
      </c>
      <c r="N15" s="147">
        <v>-368.27238075999998</v>
      </c>
      <c r="O15" s="353">
        <v>7145.5146942900001</v>
      </c>
      <c r="P15" s="277">
        <f t="shared" si="4"/>
        <v>-999</v>
      </c>
      <c r="Q15" s="147">
        <v>349.87220000000002</v>
      </c>
      <c r="R15" s="353">
        <v>270</v>
      </c>
      <c r="S15" s="277">
        <f t="shared" si="5"/>
        <v>-22.8</v>
      </c>
      <c r="T15" s="147">
        <v>356</v>
      </c>
      <c r="U15" s="353">
        <v>-396</v>
      </c>
      <c r="V15" s="277">
        <f t="shared" si="6"/>
        <v>-211.2</v>
      </c>
      <c r="W15" s="524">
        <v>200.93966926999997</v>
      </c>
      <c r="X15" s="376">
        <v>71.061196440000046</v>
      </c>
      <c r="Y15" s="277">
        <f t="shared" si="7"/>
        <v>-64.599999999999994</v>
      </c>
      <c r="Z15" s="147">
        <v>1135.4690246699972</v>
      </c>
      <c r="AA15" s="353">
        <v>1022.1522283599943</v>
      </c>
      <c r="AB15" s="277">
        <f t="shared" si="8"/>
        <v>-10</v>
      </c>
      <c r="AC15" s="147"/>
      <c r="AD15" s="353"/>
      <c r="AE15" s="277"/>
      <c r="AF15" s="277">
        <f t="shared" si="10"/>
        <v>3753.4594848599982</v>
      </c>
      <c r="AG15" s="277">
        <f t="shared" si="10"/>
        <v>10122.770685439995</v>
      </c>
      <c r="AH15" s="277">
        <f t="shared" si="11"/>
        <v>169.7</v>
      </c>
      <c r="AI15" s="353">
        <f t="shared" si="12"/>
        <v>3753.4594848599982</v>
      </c>
      <c r="AJ15" s="353">
        <f t="shared" si="12"/>
        <v>10122.770685439995</v>
      </c>
      <c r="AK15" s="277">
        <f t="shared" si="13"/>
        <v>169.7</v>
      </c>
    </row>
    <row r="16" spans="1:37" s="365" customFormat="1" ht="18.75" customHeight="1" x14ac:dyDescent="0.35">
      <c r="A16" s="427" t="s">
        <v>250</v>
      </c>
      <c r="B16" s="147">
        <v>-2116.194</v>
      </c>
      <c r="C16" s="541">
        <v>-1530.2739999999999</v>
      </c>
      <c r="D16" s="277">
        <f t="shared" si="0"/>
        <v>-27.7</v>
      </c>
      <c r="E16" s="548"/>
      <c r="F16" s="389"/>
      <c r="G16" s="277"/>
      <c r="H16" s="548"/>
      <c r="I16" s="389"/>
      <c r="J16" s="277"/>
      <c r="K16" s="147">
        <v>-2551</v>
      </c>
      <c r="L16" s="353">
        <v>-2206</v>
      </c>
      <c r="M16" s="350">
        <f t="shared" si="3"/>
        <v>-13.5</v>
      </c>
      <c r="N16" s="147">
        <v>-24.5751013</v>
      </c>
      <c r="O16" s="353">
        <v>21.635611999999998</v>
      </c>
      <c r="P16" s="437">
        <f t="shared" si="4"/>
        <v>-188</v>
      </c>
      <c r="Q16" s="147">
        <v>-3431.2730999999999</v>
      </c>
      <c r="R16" s="353">
        <v>-5845.6</v>
      </c>
      <c r="S16" s="277">
        <f t="shared" si="5"/>
        <v>70.400000000000006</v>
      </c>
      <c r="T16" s="147"/>
      <c r="U16" s="353"/>
      <c r="V16" s="277"/>
      <c r="W16" s="524">
        <v>-1081.8478755599965</v>
      </c>
      <c r="X16" s="376">
        <v>-1610.3918108200016</v>
      </c>
      <c r="Y16" s="277">
        <f t="shared" si="7"/>
        <v>48.9</v>
      </c>
      <c r="Z16" s="147">
        <v>-4944.7851522200135</v>
      </c>
      <c r="AA16" s="353">
        <v>-318.2567413300012</v>
      </c>
      <c r="AB16" s="277">
        <f t="shared" si="8"/>
        <v>-93.6</v>
      </c>
      <c r="AC16" s="147"/>
      <c r="AD16" s="353"/>
      <c r="AE16" s="277"/>
      <c r="AF16" s="277">
        <f t="shared" si="10"/>
        <v>-14149.67522908001</v>
      </c>
      <c r="AG16" s="277">
        <f t="shared" si="10"/>
        <v>-11488.886940150001</v>
      </c>
      <c r="AH16" s="277">
        <f t="shared" si="11"/>
        <v>-18.8</v>
      </c>
      <c r="AI16" s="353">
        <f t="shared" si="12"/>
        <v>-14149.67522908001</v>
      </c>
      <c r="AJ16" s="353">
        <f t="shared" si="12"/>
        <v>-11488.886940150001</v>
      </c>
      <c r="AK16" s="277">
        <f t="shared" si="13"/>
        <v>-18.8</v>
      </c>
    </row>
    <row r="17" spans="1:37" s="365" customFormat="1" ht="18.75" customHeight="1" x14ac:dyDescent="0.35">
      <c r="A17" s="427" t="s">
        <v>251</v>
      </c>
      <c r="B17" s="147">
        <v>15.714</v>
      </c>
      <c r="C17" s="541">
        <v>19.245000000000001</v>
      </c>
      <c r="D17" s="277">
        <f t="shared" si="0"/>
        <v>22.5</v>
      </c>
      <c r="E17" s="548">
        <v>3.5490036199999997</v>
      </c>
      <c r="F17" s="389">
        <v>3.1585087000000001</v>
      </c>
      <c r="G17" s="277">
        <f t="shared" si="1"/>
        <v>-11</v>
      </c>
      <c r="H17" s="548"/>
      <c r="I17" s="389"/>
      <c r="J17" s="277"/>
      <c r="K17" s="147">
        <v>88</v>
      </c>
      <c r="L17" s="353">
        <v>101</v>
      </c>
      <c r="M17" s="350">
        <f t="shared" si="3"/>
        <v>14.8</v>
      </c>
      <c r="N17" s="147">
        <v>374.27320900000001</v>
      </c>
      <c r="O17" s="353">
        <v>333.63552900000002</v>
      </c>
      <c r="P17" s="277">
        <f t="shared" si="4"/>
        <v>-10.9</v>
      </c>
      <c r="Q17" s="147">
        <v>113.9119</v>
      </c>
      <c r="R17" s="353">
        <v>106</v>
      </c>
      <c r="S17" s="277">
        <f t="shared" si="5"/>
        <v>-6.9</v>
      </c>
      <c r="T17" s="147"/>
      <c r="U17" s="353"/>
      <c r="V17" s="277"/>
      <c r="W17" s="524">
        <v>133.09494417999997</v>
      </c>
      <c r="X17" s="376">
        <v>107.45764512000001</v>
      </c>
      <c r="Y17" s="277">
        <f t="shared" si="7"/>
        <v>-19.3</v>
      </c>
      <c r="Z17" s="147">
        <v>255.20319761999997</v>
      </c>
      <c r="AA17" s="353">
        <v>283.81985088000005</v>
      </c>
      <c r="AB17" s="277">
        <f t="shared" si="8"/>
        <v>11.2</v>
      </c>
      <c r="AC17" s="147"/>
      <c r="AD17" s="353"/>
      <c r="AE17" s="277"/>
      <c r="AF17" s="277">
        <f t="shared" si="10"/>
        <v>983.74625442000001</v>
      </c>
      <c r="AG17" s="277">
        <f t="shared" si="10"/>
        <v>954.31653370000004</v>
      </c>
      <c r="AH17" s="277">
        <f t="shared" si="11"/>
        <v>-3</v>
      </c>
      <c r="AI17" s="353">
        <f t="shared" si="12"/>
        <v>983.74625442000001</v>
      </c>
      <c r="AJ17" s="353">
        <f t="shared" si="12"/>
        <v>954.31653370000004</v>
      </c>
      <c r="AK17" s="277">
        <f t="shared" si="13"/>
        <v>-3</v>
      </c>
    </row>
    <row r="18" spans="1:37" s="365" customFormat="1" ht="18.75" customHeight="1" x14ac:dyDescent="0.35">
      <c r="A18" s="427" t="s">
        <v>252</v>
      </c>
      <c r="B18" s="147"/>
      <c r="C18" s="541"/>
      <c r="D18" s="277"/>
      <c r="E18" s="548"/>
      <c r="F18" s="389"/>
      <c r="G18" s="277"/>
      <c r="H18" s="548"/>
      <c r="I18" s="389"/>
      <c r="J18" s="277"/>
      <c r="K18" s="147"/>
      <c r="L18" s="353"/>
      <c r="M18" s="350"/>
      <c r="N18" s="147"/>
      <c r="O18" s="353"/>
      <c r="P18" s="277"/>
      <c r="Q18" s="537"/>
      <c r="R18" s="377"/>
      <c r="S18" s="277"/>
      <c r="T18" s="147"/>
      <c r="U18" s="353"/>
      <c r="V18" s="277"/>
      <c r="W18" s="524"/>
      <c r="X18" s="376"/>
      <c r="Y18" s="277"/>
      <c r="Z18" s="147"/>
      <c r="AA18" s="353"/>
      <c r="AB18" s="277"/>
      <c r="AC18" s="147"/>
      <c r="AD18" s="353"/>
      <c r="AE18" s="277"/>
      <c r="AF18" s="277"/>
      <c r="AG18" s="277"/>
      <c r="AH18" s="277"/>
      <c r="AI18" s="353"/>
      <c r="AJ18" s="353"/>
      <c r="AK18" s="436"/>
    </row>
    <row r="19" spans="1:37" s="365" customFormat="1" ht="18.75" customHeight="1" x14ac:dyDescent="0.35">
      <c r="A19" s="427" t="s">
        <v>253</v>
      </c>
      <c r="B19" s="434">
        <v>-4440.6719999999996</v>
      </c>
      <c r="C19" s="542">
        <v>-4198.5029999999997</v>
      </c>
      <c r="D19" s="277">
        <f>IF(B19=0, "    ---- ", IF(ABS(ROUND(100/B19*C19-100,1))&lt;999,ROUND(100/B19*C19-100,1),IF(ROUND(100/B19*C19-100,1)&gt;999,999,-999)))</f>
        <v>-5.5</v>
      </c>
      <c r="E19" s="434">
        <v>-540.32107165999992</v>
      </c>
      <c r="F19" s="350">
        <v>-578.40952201999994</v>
      </c>
      <c r="G19" s="277">
        <f>IF(E19=0, "    ---- ", IF(ABS(ROUND(100/E19*F19-100,1))&lt;999,ROUND(100/E19*F19-100,1),IF(ROUND(100/E19*F19-100,1)&gt;999,999,-999)))</f>
        <v>7</v>
      </c>
      <c r="H19" s="434">
        <v>-52.926000000000002</v>
      </c>
      <c r="I19" s="350">
        <v>-56.671999999999997</v>
      </c>
      <c r="J19" s="277">
        <f>IF(H19=0, "    ---- ", IF(ABS(ROUND(100/H19*I19-100,1))&lt;999,ROUND(100/H19*I19-100,1),IF(ROUND(100/H19*I19-100,1)&gt;999,999,-999)))</f>
        <v>7.1</v>
      </c>
      <c r="K19" s="434">
        <v>-388</v>
      </c>
      <c r="L19" s="350">
        <v>-462</v>
      </c>
      <c r="M19" s="277">
        <f>IF(K19=0, "    ---- ", IF(ABS(ROUND(100/K19*L19-100,1))&lt;999,ROUND(100/K19*L19-100,1),IF(ROUND(100/K19*L19-100,1)&gt;999,999,-999)))</f>
        <v>19.100000000000001</v>
      </c>
      <c r="N19" s="434">
        <v>-6943.8296426800007</v>
      </c>
      <c r="O19" s="350">
        <v>-7314.1649600399996</v>
      </c>
      <c r="P19" s="277">
        <f>IF(N19=0, "    ---- ", IF(ABS(ROUND(100/N19*O19-100,1))&lt;999,ROUND(100/N19*O19-100,1),IF(ROUND(100/N19*O19-100,1)&gt;999,999,-999)))</f>
        <v>5.3</v>
      </c>
      <c r="Q19" s="434">
        <v>-7720.4643999999998</v>
      </c>
      <c r="R19" s="350">
        <v>-3010</v>
      </c>
      <c r="S19" s="277">
        <f>IF(Q19=0, "    ---- ", IF(ABS(ROUND(100/Q19*R19-100,1))&lt;999,ROUND(100/Q19*R19-100,1),IF(ROUND(100/Q19*R19-100,1)&gt;999,999,-999)))</f>
        <v>-61</v>
      </c>
      <c r="T19" s="434">
        <v>-961</v>
      </c>
      <c r="U19" s="350">
        <v>-1019</v>
      </c>
      <c r="V19" s="277">
        <f>IF(T19=0, "    ---- ", IF(ABS(ROUND(100/T19*U19-100,1))&lt;999,ROUND(100/T19*U19-100,1),IF(ROUND(100/T19*U19-100,1)&gt;999,999,-999)))</f>
        <v>6</v>
      </c>
      <c r="W19" s="525">
        <v>-592.81531613999994</v>
      </c>
      <c r="X19" s="378">
        <v>-614.67898249999962</v>
      </c>
      <c r="Y19" s="277">
        <f>IF(W19=0, "    ---- ", IF(ABS(ROUND(100/W19*X19-100,1))&lt;999,ROUND(100/W19*X19-100,1),IF(ROUND(100/W19*X19-100,1)&gt;999,999,-999)))</f>
        <v>3.7</v>
      </c>
      <c r="Z19" s="434">
        <v>-4352.6336827100013</v>
      </c>
      <c r="AA19" s="350">
        <v>-4295.1039667199993</v>
      </c>
      <c r="AB19" s="277">
        <f>IF(Z19=0, "    ---- ", IF(ABS(ROUND(100/Z19*AA19-100,1))&lt;999,ROUND(100/Z19*AA19-100,1),IF(ROUND(100/Z19*AA19-100,1)&gt;999,999,-999)))</f>
        <v>-1.3</v>
      </c>
      <c r="AC19" s="434">
        <v>-2</v>
      </c>
      <c r="AD19" s="350">
        <v>-7</v>
      </c>
      <c r="AE19" s="277">
        <f>IF(AC19=0, "    ---- ", IF(ABS(ROUND(100/AC19*AD19-100,1))&lt;999,ROUND(100/AC19*AD19-100,1),IF(ROUND(100/AC19*AD19-100,1)&gt;999,999,-999)))</f>
        <v>250</v>
      </c>
      <c r="AF19" s="277">
        <f t="shared" si="10"/>
        <v>-25992.662113190003</v>
      </c>
      <c r="AG19" s="277">
        <f t="shared" si="10"/>
        <v>-21548.532431279997</v>
      </c>
      <c r="AH19" s="277">
        <f t="shared" si="11"/>
        <v>-17.100000000000001</v>
      </c>
      <c r="AI19" s="353">
        <f t="shared" si="12"/>
        <v>-25994.662113190003</v>
      </c>
      <c r="AJ19" s="353">
        <f t="shared" si="12"/>
        <v>-21555.532431279997</v>
      </c>
      <c r="AK19" s="277">
        <f>IF(AI19=0, "    ---- ", IF(ABS(ROUND(100/AI19*AJ19-100,1))&lt;999,ROUND(100/AI19*AJ19-100,1),IF(ROUND(100/AI19*AJ19-100,1)&gt;999,999,-999)))</f>
        <v>-17.100000000000001</v>
      </c>
    </row>
    <row r="20" spans="1:37" s="365" customFormat="1" ht="36" x14ac:dyDescent="0.35">
      <c r="A20" s="566" t="s">
        <v>254</v>
      </c>
      <c r="B20" s="435">
        <v>-5570.3130000000001</v>
      </c>
      <c r="C20" s="541">
        <v>-7995.4</v>
      </c>
      <c r="D20" s="277">
        <f>IF(B20=0, "    ---- ", IF(ABS(ROUND(100/B20*C20-100,1))&lt;999,ROUND(100/B20*C20-100,1),IF(ROUND(100/B20*C20-100,1)&gt;999,999,-999)))</f>
        <v>43.5</v>
      </c>
      <c r="E20" s="435">
        <v>28.833831730000004</v>
      </c>
      <c r="F20" s="277">
        <v>25.907137180000003</v>
      </c>
      <c r="G20" s="277">
        <f>IF(E20=0, "    ---- ", IF(ABS(ROUND(100/E20*F20-100,1))&lt;999,ROUND(100/E20*F20-100,1),IF(ROUND(100/E20*F20-100,1)&gt;999,999,-999)))</f>
        <v>-10.199999999999999</v>
      </c>
      <c r="H20" s="435"/>
      <c r="I20" s="277"/>
      <c r="J20" s="277"/>
      <c r="K20" s="435">
        <v>-2837</v>
      </c>
      <c r="L20" s="277">
        <v>-3130</v>
      </c>
      <c r="M20" s="277">
        <f>IF(K20=0, "    ---- ", IF(ABS(ROUND(100/K20*L20-100,1))&lt;999,ROUND(100/K20*L20-100,1),IF(ROUND(100/K20*L20-100,1)&gt;999,999,-999)))</f>
        <v>10.3</v>
      </c>
      <c r="N20" s="435">
        <v>-4289.0735640000003</v>
      </c>
      <c r="O20" s="277">
        <v>-890.230099</v>
      </c>
      <c r="P20" s="277">
        <f>IF(N20=0, "    ---- ", IF(ABS(ROUND(100/N20*O20-100,1))&lt;999,ROUND(100/N20*O20-100,1),IF(ROUND(100/N20*O20-100,1)&gt;999,999,-999)))</f>
        <v>-79.2</v>
      </c>
      <c r="Q20" s="538">
        <v>-4356</v>
      </c>
      <c r="R20" s="539">
        <v>-3688</v>
      </c>
      <c r="S20" s="277">
        <f>IF(Q20=0, "    ---- ", IF(ABS(ROUND(100/Q20*R20-100,1))&lt;999,ROUND(100/Q20*R20-100,1),IF(ROUND(100/Q20*R20-100,1)&gt;999,999,-999)))</f>
        <v>-15.3</v>
      </c>
      <c r="T20" s="526">
        <v>0</v>
      </c>
      <c r="U20" s="379"/>
      <c r="V20" s="277"/>
      <c r="W20" s="526">
        <v>-2435.3999567700012</v>
      </c>
      <c r="X20" s="379">
        <v>-3672.7341833600003</v>
      </c>
      <c r="Y20" s="277">
        <f>IF(W20=0, "    ---- ", IF(ABS(ROUND(100/W20*X20-100,1))&lt;999,ROUND(100/W20*X20-100,1),IF(ROUND(100/W20*X20-100,1)&gt;999,999,-999)))</f>
        <v>50.8</v>
      </c>
      <c r="Z20" s="435">
        <v>-6313.9057551000005</v>
      </c>
      <c r="AA20" s="277">
        <v>-7025.8361084899998</v>
      </c>
      <c r="AB20" s="277">
        <f>IF(Z20=0, "    ---- ", IF(ABS(ROUND(100/Z20*AA20-100,1))&lt;999,ROUND(100/Z20*AA20-100,1),IF(ROUND(100/Z20*AA20-100,1)&gt;999,999,-999)))</f>
        <v>11.3</v>
      </c>
      <c r="AC20" s="435"/>
      <c r="AD20" s="277">
        <v>-2</v>
      </c>
      <c r="AE20" s="277" t="str">
        <f>IF(AC20=0, "    ---- ", IF(ABS(ROUND(100/AC20*AD20-100,1))&lt;999,ROUND(100/AC20*AD20-100,1),IF(ROUND(100/AC20*AD20-100,1)&gt;999,999,-999)))</f>
        <v xml:space="preserve">    ---- </v>
      </c>
      <c r="AF20" s="277">
        <f t="shared" si="10"/>
        <v>-25772.858444140002</v>
      </c>
      <c r="AG20" s="277">
        <f t="shared" si="10"/>
        <v>-26376.293253669999</v>
      </c>
      <c r="AH20" s="277">
        <f>IF(AF20=0, "    ---- ", IF(ABS(ROUND(100/AF20*AG20-100,1))&lt;999,ROUND(100/AF20*AG20-100,1),IF(ROUND(100/AF20*AG20-100,1)&gt;999,999,-999)))</f>
        <v>2.2999999999999998</v>
      </c>
      <c r="AI20" s="353">
        <f t="shared" si="12"/>
        <v>-25772.858444140002</v>
      </c>
      <c r="AJ20" s="353">
        <f t="shared" si="12"/>
        <v>-26378.293253669999</v>
      </c>
      <c r="AK20" s="277">
        <f>IF(AI20=0, "    ---- ", IF(ABS(ROUND(100/AI20*AJ20-100,1))&lt;999,ROUND(100/AI20*AJ20-100,1),IF(ROUND(100/AI20*AJ20-100,1)&gt;999,999,-999)))</f>
        <v>2.2999999999999998</v>
      </c>
    </row>
    <row r="21" spans="1:37" s="365" customFormat="1" ht="18.75" customHeight="1" x14ac:dyDescent="0.35">
      <c r="A21" s="427" t="s">
        <v>255</v>
      </c>
      <c r="B21" s="434">
        <f>SUM(B19:B20)</f>
        <v>-10010.985000000001</v>
      </c>
      <c r="C21" s="542">
        <f>SUM(C19:C20)</f>
        <v>-12193.902999999998</v>
      </c>
      <c r="D21" s="277">
        <f>IF(B21=0, "    ---- ", IF(ABS(ROUND(100/B21*C21-100,1))&lt;999,ROUND(100/B21*C21-100,1),IF(ROUND(100/B21*C21-100,1)&gt;999,999,-999)))</f>
        <v>21.8</v>
      </c>
      <c r="E21" s="434">
        <f>SUM(E19:E20)</f>
        <v>-511.48723992999993</v>
      </c>
      <c r="F21" s="350">
        <f>SUM(F19:F20)</f>
        <v>-552.50238483999999</v>
      </c>
      <c r="G21" s="277">
        <f>IF(E21=0, "    ---- ", IF(ABS(ROUND(100/E21*F21-100,1))&lt;999,ROUND(100/E21*F21-100,1),IF(ROUND(100/E21*F21-100,1)&gt;999,999,-999)))</f>
        <v>8</v>
      </c>
      <c r="H21" s="434">
        <f>SUM(H19:H20)</f>
        <v>-52.926000000000002</v>
      </c>
      <c r="I21" s="350">
        <f>SUM(I19:I20)</f>
        <v>-56.671999999999997</v>
      </c>
      <c r="J21" s="277">
        <f>IF(H21=0, "    ---- ", IF(ABS(ROUND(100/H21*I21-100,1))&lt;999,ROUND(100/H21*I21-100,1),IF(ROUND(100/H21*I21-100,1)&gt;999,999,-999)))</f>
        <v>7.1</v>
      </c>
      <c r="K21" s="434">
        <f>SUM(K19:K20)</f>
        <v>-3225</v>
      </c>
      <c r="L21" s="350">
        <f>SUM(L19:L20)</f>
        <v>-3592</v>
      </c>
      <c r="M21" s="277">
        <f>IF(K21=0, "    ---- ", IF(ABS(ROUND(100/K21*L21-100,1))&lt;999,ROUND(100/K21*L21-100,1),IF(ROUND(100/K21*L21-100,1)&gt;999,999,-999)))</f>
        <v>11.4</v>
      </c>
      <c r="N21" s="434">
        <v>-11232.903206680001</v>
      </c>
      <c r="O21" s="350">
        <v>-8204.39505904</v>
      </c>
      <c r="P21" s="277">
        <f>IF(N21=0, "    ---- ", IF(ABS(ROUND(100/N21*O21-100,1))&lt;999,ROUND(100/N21*O21-100,1),IF(ROUND(100/N21*O21-100,1)&gt;999,999,-999)))</f>
        <v>-27</v>
      </c>
      <c r="Q21" s="434">
        <f>SUM(Q19:Q20)</f>
        <v>-12076.464400000001</v>
      </c>
      <c r="R21" s="350">
        <f>SUM(R19:R20)</f>
        <v>-6698</v>
      </c>
      <c r="S21" s="277">
        <f>IF(Q21=0, "    ---- ", IF(ABS(ROUND(100/Q21*R21-100,1))&lt;999,ROUND(100/Q21*R21-100,1),IF(ROUND(100/Q21*R21-100,1)&gt;999,999,-999)))</f>
        <v>-44.5</v>
      </c>
      <c r="T21" s="434">
        <v>-961</v>
      </c>
      <c r="U21" s="350">
        <f>SUM(U19:U20)</f>
        <v>-1019</v>
      </c>
      <c r="V21" s="277">
        <f>IF(T21=0, "    ---- ", IF(ABS(ROUND(100/T21*U21-100,1))&lt;999,ROUND(100/T21*U21-100,1),IF(ROUND(100/T21*U21-100,1)&gt;999,999,-999)))</f>
        <v>6</v>
      </c>
      <c r="W21" s="434">
        <f>SUM(W19:W20)</f>
        <v>-3028.2152729100012</v>
      </c>
      <c r="X21" s="350">
        <f>SUM(X19:X20)</f>
        <v>-4287.4131658599999</v>
      </c>
      <c r="Y21" s="277">
        <f>IF(W21=0, "    ---- ", IF(ABS(ROUND(100/W21*X21-100,1))&lt;999,ROUND(100/W21*X21-100,1),IF(ROUND(100/W21*X21-100,1)&gt;999,999,-999)))</f>
        <v>41.6</v>
      </c>
      <c r="Z21" s="434">
        <f>SUM(Z19:Z20)</f>
        <v>-10666.539437810003</v>
      </c>
      <c r="AA21" s="350">
        <f>SUM(AA19:AA20)</f>
        <v>-11320.940075209999</v>
      </c>
      <c r="AB21" s="277">
        <f>IF(Z21=0, "    ---- ", IF(ABS(ROUND(100/Z21*AA21-100,1))&lt;999,ROUND(100/Z21*AA21-100,1),IF(ROUND(100/Z21*AA21-100,1)&gt;999,999,-999)))</f>
        <v>6.1</v>
      </c>
      <c r="AC21" s="434">
        <f>SUM(AC19:AC20)</f>
        <v>-2</v>
      </c>
      <c r="AD21" s="350">
        <f>SUM(AD19:AD20)</f>
        <v>-9</v>
      </c>
      <c r="AE21" s="277">
        <f>IF(AC21=0, "    ---- ", IF(ABS(ROUND(100/AC21*AD21-100,1))&lt;999,ROUND(100/AC21*AD21-100,1),IF(ROUND(100/AC21*AD21-100,1)&gt;999,999,-999)))</f>
        <v>350</v>
      </c>
      <c r="AF21" s="277">
        <f t="shared" si="10"/>
        <v>-51765.520557329997</v>
      </c>
      <c r="AG21" s="277">
        <f t="shared" si="10"/>
        <v>-47924.825684949996</v>
      </c>
      <c r="AH21" s="277">
        <f t="shared" si="11"/>
        <v>-7.4</v>
      </c>
      <c r="AI21" s="353">
        <f t="shared" si="12"/>
        <v>-51767.520557329997</v>
      </c>
      <c r="AJ21" s="353">
        <f t="shared" si="12"/>
        <v>-47933.825684949996</v>
      </c>
      <c r="AK21" s="277">
        <f>IF(AI21=0, "    ---- ", IF(ABS(ROUND(100/AI21*AJ21-100,1))&lt;999,ROUND(100/AI21*AJ21-100,1),IF(ROUND(100/AI21*AJ21-100,1)&gt;999,999,-999)))</f>
        <v>-7.4</v>
      </c>
    </row>
    <row r="22" spans="1:37" s="365" customFormat="1" ht="18.75" customHeight="1" x14ac:dyDescent="0.35">
      <c r="A22" s="427" t="s">
        <v>256</v>
      </c>
      <c r="B22" s="147"/>
      <c r="C22" s="541"/>
      <c r="D22" s="277"/>
      <c r="E22" s="527"/>
      <c r="F22" s="387"/>
      <c r="G22" s="277"/>
      <c r="H22" s="527"/>
      <c r="I22" s="387"/>
      <c r="J22" s="277"/>
      <c r="K22" s="147"/>
      <c r="L22" s="353"/>
      <c r="M22" s="277"/>
      <c r="N22" s="147"/>
      <c r="O22" s="353"/>
      <c r="P22" s="277"/>
      <c r="Q22" s="527"/>
      <c r="R22" s="387"/>
      <c r="S22" s="277"/>
      <c r="T22" s="527"/>
      <c r="U22" s="387"/>
      <c r="V22" s="277"/>
      <c r="W22" s="527"/>
      <c r="X22" s="387"/>
      <c r="Y22" s="277"/>
      <c r="Z22" s="147"/>
      <c r="AA22" s="353"/>
      <c r="AB22" s="277"/>
      <c r="AC22" s="147"/>
      <c r="AD22" s="353"/>
      <c r="AE22" s="277"/>
      <c r="AF22" s="277"/>
      <c r="AG22" s="277"/>
      <c r="AH22" s="277"/>
      <c r="AI22" s="277"/>
      <c r="AJ22" s="277"/>
      <c r="AK22" s="277"/>
    </row>
    <row r="23" spans="1:37" s="365" customFormat="1" ht="18.75" customHeight="1" x14ac:dyDescent="0.35">
      <c r="A23" s="427" t="s">
        <v>257</v>
      </c>
      <c r="B23" s="435">
        <v>1438.441</v>
      </c>
      <c r="C23" s="541">
        <v>1188.6120000000001</v>
      </c>
      <c r="D23" s="277">
        <f t="shared" ref="D23:D30" si="14">IF(B23=0, "    ---- ", IF(ABS(ROUND(100/B23*C23-100,1))&lt;999,ROUND(100/B23*C23-100,1),IF(ROUND(100/B23*C23-100,1)&gt;999,999,-999)))</f>
        <v>-17.399999999999999</v>
      </c>
      <c r="E23" s="435">
        <v>-260.18772637000001</v>
      </c>
      <c r="F23" s="277">
        <v>-177.87939356999993</v>
      </c>
      <c r="G23" s="277">
        <f>IF(E23=0, "    ---- ", IF(ABS(ROUND(100/E23*F23-100,1))&lt;999,ROUND(100/E23*F23-100,1),IF(ROUND(100/E23*F23-100,1)&gt;999,999,-999)))</f>
        <v>-31.6</v>
      </c>
      <c r="H23" s="435">
        <v>-725.84500000000003</v>
      </c>
      <c r="I23" s="277">
        <v>-764.50400000000002</v>
      </c>
      <c r="J23" s="277">
        <f>IF(H23=0, "    ---- ", IF(ABS(ROUND(100/H23*I23-100,1))&lt;999,ROUND(100/H23*I23-100,1),IF(ROUND(100/H23*I23-100,1)&gt;999,999,-999)))</f>
        <v>5.3</v>
      </c>
      <c r="K23" s="435">
        <v>-380</v>
      </c>
      <c r="L23" s="277">
        <v>-336</v>
      </c>
      <c r="M23" s="277">
        <f t="shared" ref="M23:M32" si="15">IF(K23=0, "    ---- ", IF(ABS(ROUND(100/K23*L23-100,1))&lt;999,ROUND(100/K23*L23-100,1),IF(ROUND(100/K23*L23-100,1)&gt;999,999,-999)))</f>
        <v>-11.6</v>
      </c>
      <c r="N23" s="435">
        <v>359.36625456000002</v>
      </c>
      <c r="O23" s="277">
        <v>-6582.56880955</v>
      </c>
      <c r="P23" s="277">
        <f t="shared" ref="P23:P31" si="16">IF(N23=0, "    ---- ", IF(ABS(ROUND(100/N23*O23-100,1))&lt;999,ROUND(100/N23*O23-100,1),IF(ROUND(100/N23*O23-100,1)&gt;999,999,-999)))</f>
        <v>-999</v>
      </c>
      <c r="Q23" s="435">
        <v>-296.49639999999999</v>
      </c>
      <c r="R23" s="277">
        <v>-388</v>
      </c>
      <c r="S23" s="277">
        <f t="shared" ref="S23:S30" si="17">IF(Q23=0, "    ---- ", IF(ABS(ROUND(100/Q23*R23-100,1))&lt;999,ROUND(100/Q23*R23-100,1),IF(ROUND(100/Q23*R23-100,1)&gt;999,999,-999)))</f>
        <v>30.9</v>
      </c>
      <c r="T23" s="435">
        <v>-238</v>
      </c>
      <c r="U23" s="277">
        <v>27</v>
      </c>
      <c r="V23" s="277">
        <f>IF(T23=0, "    ---- ", IF(ABS(ROUND(100/T23*U23-100,1))&lt;999,ROUND(100/T23*U23-100,1),IF(ROUND(100/T23*U23-100,1)&gt;999,999,-999)))</f>
        <v>-111.3</v>
      </c>
      <c r="W23" s="435">
        <v>-977.70298674000014</v>
      </c>
      <c r="X23" s="277">
        <v>6.7961795299999066</v>
      </c>
      <c r="Y23" s="277">
        <f t="shared" ref="Y23:Y30" si="18">IF(W23=0, "    ---- ", IF(ABS(ROUND(100/W23*X23-100,1))&lt;999,ROUND(100/W23*X23-100,1),IF(ROUND(100/W23*X23-100,1)&gt;999,999,-999)))</f>
        <v>-100.7</v>
      </c>
      <c r="Z23" s="435">
        <v>-3824.0277751400026</v>
      </c>
      <c r="AA23" s="277">
        <v>-912.68314222000242</v>
      </c>
      <c r="AB23" s="277">
        <f t="shared" ref="AB23:AB30" si="19">IF(Z23=0, "    ---- ", IF(ABS(ROUND(100/Z23*AA23-100,1))&lt;999,ROUND(100/Z23*AA23-100,1),IF(ROUND(100/Z23*AA23-100,1)&gt;999,999,-999)))</f>
        <v>-76.099999999999994</v>
      </c>
      <c r="AC23" s="435">
        <v>-42</v>
      </c>
      <c r="AD23" s="277">
        <v>4</v>
      </c>
      <c r="AE23" s="277">
        <f t="shared" ref="AE23:AE30" si="20">IF(AC23=0, "    ---- ", IF(ABS(ROUND(100/AC23*AD23-100,1))&lt;999,ROUND(100/AC23*AD23-100,1),IF(ROUND(100/AC23*AD23-100,1)&gt;999,999,-999)))</f>
        <v>-109.5</v>
      </c>
      <c r="AF23" s="277">
        <f t="shared" si="10"/>
        <v>-4904.4526336900026</v>
      </c>
      <c r="AG23" s="277">
        <f t="shared" si="10"/>
        <v>-7939.2271658100026</v>
      </c>
      <c r="AH23" s="277">
        <f t="shared" si="11"/>
        <v>61.9</v>
      </c>
      <c r="AI23" s="277"/>
      <c r="AJ23" s="277"/>
      <c r="AK23" s="277"/>
    </row>
    <row r="24" spans="1:37" s="365" customFormat="1" ht="18.75" customHeight="1" x14ac:dyDescent="0.35">
      <c r="A24" s="427" t="s">
        <v>258</v>
      </c>
      <c r="B24" s="435">
        <v>-287.93299999999999</v>
      </c>
      <c r="C24" s="541">
        <v>-216.70599999999999</v>
      </c>
      <c r="D24" s="277">
        <f>IF(B24=0, "    ---- ", IF(ABS(ROUND(100/B24*C24-100,1))&lt;999,ROUND(100/B24*C24-100,1),IF(ROUND(100/B24*C24-100,1)&gt;999,999,-999)))</f>
        <v>-24.7</v>
      </c>
      <c r="E24" s="435"/>
      <c r="F24" s="277"/>
      <c r="G24" s="277"/>
      <c r="H24" s="435">
        <v>-3</v>
      </c>
      <c r="I24" s="277">
        <v>-6.423</v>
      </c>
      <c r="J24" s="277">
        <f>IF(H24=0, "    ---- ", IF(ABS(ROUND(100/H24*I24-100,1))&lt;999,ROUND(100/H24*I24-100,1),IF(ROUND(100/H24*I24-100,1)&gt;999,999,-999)))</f>
        <v>114.1</v>
      </c>
      <c r="K24" s="435">
        <v>-5</v>
      </c>
      <c r="L24" s="277">
        <v>-37</v>
      </c>
      <c r="M24" s="277">
        <f>IF(K24=0, "    ---- ", IF(ABS(ROUND(100/K24*L24-100,1))&lt;999,ROUND(100/K24*L24-100,1),IF(ROUND(100/K24*L24-100,1)&gt;999,999,-999)))</f>
        <v>640</v>
      </c>
      <c r="N24" s="435"/>
      <c r="O24" s="277"/>
      <c r="P24" s="277"/>
      <c r="Q24" s="435">
        <v>110</v>
      </c>
      <c r="R24" s="277">
        <v>93</v>
      </c>
      <c r="S24" s="277">
        <f>IF(Q24=0, "    ---- ", IF(ABS(ROUND(100/Q24*R24-100,1))&lt;999,ROUND(100/Q24*R24-100,1),IF(ROUND(100/Q24*R24-100,1)&gt;999,999,-999)))</f>
        <v>-15.5</v>
      </c>
      <c r="T24" s="435">
        <v>187</v>
      </c>
      <c r="U24" s="277">
        <v>947</v>
      </c>
      <c r="V24" s="277">
        <f>IF(T24=0, "    ---- ", IF(ABS(ROUND(100/T24*U24-100,1))&lt;999,ROUND(100/T24*U24-100,1),IF(ROUND(100/T24*U24-100,1)&gt;999,999,-999)))</f>
        <v>406.4</v>
      </c>
      <c r="W24" s="435">
        <v>13.242593169999994</v>
      </c>
      <c r="X24" s="277">
        <v>16.473173740000043</v>
      </c>
      <c r="Y24" s="277">
        <f>IF(W24=0, "    ---- ", IF(ABS(ROUND(100/W24*X24-100,1))&lt;999,ROUND(100/W24*X24-100,1),IF(ROUND(100/W24*X24-100,1)&gt;999,999,-999)))</f>
        <v>24.4</v>
      </c>
      <c r="Z24" s="435">
        <v>-110.91931099999999</v>
      </c>
      <c r="AA24" s="277">
        <v>499.86026711000005</v>
      </c>
      <c r="AB24" s="277">
        <f>IF(Z24=0, "    ---- ", IF(ABS(ROUND(100/Z24*AA24-100,1))&lt;999,ROUND(100/Z24*AA24-100,1),IF(ROUND(100/Z24*AA24-100,1)&gt;999,999,-999)))</f>
        <v>-550.70000000000005</v>
      </c>
      <c r="AC24" s="435"/>
      <c r="AD24" s="277"/>
      <c r="AE24" s="277"/>
      <c r="AF24" s="277">
        <f t="shared" si="10"/>
        <v>-96.609717829999994</v>
      </c>
      <c r="AG24" s="277">
        <f t="shared" si="10"/>
        <v>1296.2044408500001</v>
      </c>
      <c r="AH24" s="277">
        <f>IF(AF24=0, "    ---- ", IF(ABS(ROUND(100/AF24*AG24-100,1))&lt;999,ROUND(100/AF24*AG24-100,1),IF(ROUND(100/AF24*AG24-100,1)&gt;999,999,-999)))</f>
        <v>-999</v>
      </c>
      <c r="AI24" s="277"/>
      <c r="AJ24" s="277"/>
      <c r="AK24" s="277"/>
    </row>
    <row r="25" spans="1:37" s="365" customFormat="1" ht="18.75" customHeight="1" x14ac:dyDescent="0.35">
      <c r="A25" s="569" t="s">
        <v>420</v>
      </c>
      <c r="B25" s="435"/>
      <c r="C25" s="541"/>
      <c r="D25" s="277"/>
      <c r="E25" s="435"/>
      <c r="F25" s="277"/>
      <c r="G25" s="277"/>
      <c r="H25" s="435"/>
      <c r="I25" s="277"/>
      <c r="J25" s="277"/>
      <c r="K25" s="435"/>
      <c r="L25" s="277"/>
      <c r="M25" s="277"/>
      <c r="N25" s="435"/>
      <c r="O25" s="277"/>
      <c r="P25" s="277"/>
      <c r="Q25" s="435"/>
      <c r="R25" s="277"/>
      <c r="S25" s="277"/>
      <c r="T25" s="435"/>
      <c r="U25" s="277"/>
      <c r="V25" s="277"/>
      <c r="W25" s="435"/>
      <c r="X25" s="277"/>
      <c r="Y25" s="277"/>
      <c r="Z25" s="435"/>
      <c r="AA25" s="277"/>
      <c r="AB25" s="277"/>
      <c r="AC25" s="435"/>
      <c r="AD25" s="277"/>
      <c r="AE25" s="277"/>
      <c r="AF25" s="277">
        <f t="shared" si="10"/>
        <v>0</v>
      </c>
      <c r="AG25" s="277">
        <f t="shared" si="10"/>
        <v>0</v>
      </c>
      <c r="AH25" s="277" t="str">
        <f>IF(AF25=0, "    ---- ", IF(ABS(ROUND(100/AF25*AG25-100,1))&lt;999,ROUND(100/AF25*AG25-100,1),IF(ROUND(100/AF25*AG25-100,1)&gt;999,999,-999)))</f>
        <v xml:space="preserve">    ---- </v>
      </c>
      <c r="AI25" s="277"/>
      <c r="AJ25" s="277"/>
      <c r="AK25" s="277"/>
    </row>
    <row r="26" spans="1:37" s="365" customFormat="1" ht="18.75" customHeight="1" x14ac:dyDescent="0.35">
      <c r="A26" s="427" t="s">
        <v>259</v>
      </c>
      <c r="B26" s="435">
        <v>-2.069</v>
      </c>
      <c r="C26" s="541">
        <v>-1.9259999999999999</v>
      </c>
      <c r="D26" s="277">
        <f>IF(B26=0, "    ---- ", IF(ABS(ROUND(100/B26*C26-100,1))&lt;999,ROUND(100/B26*C26-100,1),IF(ROUND(100/B26*C26-100,1)&gt;999,999,-999)))</f>
        <v>-6.9</v>
      </c>
      <c r="E26" s="435"/>
      <c r="F26" s="277"/>
      <c r="G26" s="277"/>
      <c r="H26" s="435"/>
      <c r="I26" s="277"/>
      <c r="J26" s="277"/>
      <c r="K26" s="435">
        <v>36</v>
      </c>
      <c r="L26" s="277">
        <v>110</v>
      </c>
      <c r="M26" s="350">
        <f t="shared" ref="M26" si="21">IF(K26=0, "    ---- ", IF(ABS(ROUND(100/K26*L26-100,1))&lt;999,ROUND(100/K26*L26-100,1),IF(ROUND(100/K26*L26-100,1)&gt;999,999,-999)))</f>
        <v>205.6</v>
      </c>
      <c r="N26" s="435">
        <v>-313.94869799999998</v>
      </c>
      <c r="O26" s="277">
        <v>-318.79101700000001</v>
      </c>
      <c r="P26" s="277">
        <f>IF(N26=0, "    ---- ", IF(ABS(ROUND(100/N26*O26-100,1))&lt;999,ROUND(100/N26*O26-100,1),IF(ROUND(100/N26*O26-100,1)&gt;999,999,-999)))</f>
        <v>1.5</v>
      </c>
      <c r="Q26" s="435">
        <v>-1</v>
      </c>
      <c r="R26" s="277">
        <v>-1</v>
      </c>
      <c r="S26" s="277">
        <f>IF(Q26=0, "    ---- ", IF(ABS(ROUND(100/Q26*R26-100,1))&lt;999,ROUND(100/Q26*R26-100,1),IF(ROUND(100/Q26*R26-100,1)&gt;999,999,-999)))</f>
        <v>0</v>
      </c>
      <c r="T26" s="435">
        <v>-32</v>
      </c>
      <c r="U26" s="277">
        <v>-37</v>
      </c>
      <c r="V26" s="277">
        <f>IF(T26=0, "    ---- ", IF(ABS(ROUND(100/T26*U26-100,1))&lt;999,ROUND(100/T26*U26-100,1),IF(ROUND(100/T26*U26-100,1)&gt;999,999,-999)))</f>
        <v>15.6</v>
      </c>
      <c r="W26" s="435">
        <v>0.317998</v>
      </c>
      <c r="X26" s="277">
        <v>0.30021900000000001</v>
      </c>
      <c r="Y26" s="277">
        <f>IF(W26=0, "    ---- ", IF(ABS(ROUND(100/W26*X26-100,1))&lt;999,ROUND(100/W26*X26-100,1),IF(ROUND(100/W26*X26-100,1)&gt;999,999,-999)))</f>
        <v>-5.6</v>
      </c>
      <c r="Z26" s="435">
        <v>-33.371235600000006</v>
      </c>
      <c r="AA26" s="277">
        <v>-0.259492</v>
      </c>
      <c r="AB26" s="277">
        <f>IF(Z26=0, "    ---- ", IF(ABS(ROUND(100/Z26*AA26-100,1))&lt;999,ROUND(100/Z26*AA26-100,1),IF(ROUND(100/Z26*AA26-100,1)&gt;999,999,-999)))</f>
        <v>-99.2</v>
      </c>
      <c r="AC26" s="435"/>
      <c r="AD26" s="277"/>
      <c r="AE26" s="277"/>
      <c r="AF26" s="277">
        <f t="shared" si="10"/>
        <v>-346.07093559999998</v>
      </c>
      <c r="AG26" s="277">
        <f>C26+F26+I26+L26+O26+R26+U26+X26+AA26</f>
        <v>-248.67628999999999</v>
      </c>
      <c r="AH26" s="277">
        <f>IF(AF26=0, "    ---- ", IF(ABS(ROUND(100/AF26*AG26-100,1))&lt;999,ROUND(100/AF26*AG26-100,1),IF(ROUND(100/AF26*AG26-100,1)&gt;999,999,-999)))</f>
        <v>-28.1</v>
      </c>
      <c r="AI26" s="277"/>
      <c r="AJ26" s="277"/>
      <c r="AK26" s="277"/>
    </row>
    <row r="27" spans="1:37" s="365" customFormat="1" ht="20.399999999999999" x14ac:dyDescent="0.35">
      <c r="A27" s="569" t="s">
        <v>260</v>
      </c>
      <c r="B27" s="147"/>
      <c r="C27" s="541"/>
      <c r="D27" s="277"/>
      <c r="E27" s="147"/>
      <c r="F27" s="277"/>
      <c r="G27" s="277"/>
      <c r="H27" s="147"/>
      <c r="I27" s="277"/>
      <c r="J27" s="277"/>
      <c r="K27" s="147"/>
      <c r="L27" s="277"/>
      <c r="M27" s="277"/>
      <c r="N27" s="147"/>
      <c r="O27" s="277"/>
      <c r="P27" s="277"/>
      <c r="Q27" s="147"/>
      <c r="R27" s="277"/>
      <c r="S27" s="277"/>
      <c r="T27" s="435"/>
      <c r="U27" s="277"/>
      <c r="V27" s="277"/>
      <c r="W27" s="147"/>
      <c r="X27" s="277"/>
      <c r="Y27" s="277"/>
      <c r="Z27" s="147"/>
      <c r="AA27" s="277">
        <v>66.546062899999995</v>
      </c>
      <c r="AB27" s="277" t="str">
        <f t="shared" si="19"/>
        <v xml:space="preserve">    ---- </v>
      </c>
      <c r="AC27" s="147"/>
      <c r="AD27" s="277"/>
      <c r="AE27" s="277"/>
      <c r="AF27" s="277">
        <f t="shared" ref="AF27:AG35" si="22">B27+E27+H27+K27+N27+Q27+T27+W27+Z27</f>
        <v>0</v>
      </c>
      <c r="AG27" s="277">
        <f t="shared" si="22"/>
        <v>66.546062899999995</v>
      </c>
      <c r="AH27" s="277" t="str">
        <f>IF(AF27=0, "    ---- ", IF(ABS(ROUND(100/AF27*AG27-100,1))&lt;999,ROUND(100/AF27*AG27-100,1),IF(ROUND(100/AF27*AG27-100,1)&gt;999,999,-999)))</f>
        <v xml:space="preserve">    ---- </v>
      </c>
      <c r="AI27" s="277"/>
      <c r="AJ27" s="277"/>
      <c r="AK27" s="277"/>
    </row>
    <row r="28" spans="1:37" s="365" customFormat="1" ht="18.75" customHeight="1" x14ac:dyDescent="0.35">
      <c r="A28" s="427" t="s">
        <v>261</v>
      </c>
      <c r="B28" s="435">
        <v>-518.34199999999998</v>
      </c>
      <c r="C28" s="541">
        <v>-579.51900000000001</v>
      </c>
      <c r="D28" s="277">
        <f t="shared" si="14"/>
        <v>11.8</v>
      </c>
      <c r="E28" s="435"/>
      <c r="F28" s="277"/>
      <c r="G28" s="277"/>
      <c r="H28" s="435">
        <v>-3.621</v>
      </c>
      <c r="I28" s="277">
        <v>-3.1619999999999999</v>
      </c>
      <c r="J28" s="277">
        <f>IF(H28=0, "    ---- ", IF(ABS(ROUND(100/H28*I28-100,1))&lt;999,ROUND(100/H28*I28-100,1),IF(ROUND(100/H28*I28-100,1)&gt;999,999,-999)))</f>
        <v>-12.7</v>
      </c>
      <c r="K28" s="435"/>
      <c r="L28" s="277"/>
      <c r="M28" s="277"/>
      <c r="N28" s="435">
        <v>4050.9078979999999</v>
      </c>
      <c r="O28" s="277">
        <v>-45.614230679999999</v>
      </c>
      <c r="P28" s="277">
        <f>IF(N28=0, "    ---- ", IF(ABS(ROUND(100/N28*O28-100,1))&lt;999,ROUND(100/N28*O28-100,1),IF(ROUND(100/N28*O28-100,1)&gt;999,999,-999)))</f>
        <v>-101.1</v>
      </c>
      <c r="Q28" s="435"/>
      <c r="R28" s="277"/>
      <c r="S28" s="277"/>
      <c r="T28" s="435"/>
      <c r="U28" s="277"/>
      <c r="V28" s="277"/>
      <c r="W28" s="435"/>
      <c r="X28" s="277"/>
      <c r="Y28" s="277"/>
      <c r="Z28" s="435">
        <v>-106.94053309999994</v>
      </c>
      <c r="AA28" s="277">
        <v>-122.87859001000004</v>
      </c>
      <c r="AB28" s="277">
        <f t="shared" si="19"/>
        <v>14.9</v>
      </c>
      <c r="AC28" s="435"/>
      <c r="AD28" s="277"/>
      <c r="AE28" s="277"/>
      <c r="AF28" s="277">
        <f t="shared" si="22"/>
        <v>3422.0043648999999</v>
      </c>
      <c r="AG28" s="277">
        <f t="shared" si="22"/>
        <v>-751.17382069000007</v>
      </c>
      <c r="AH28" s="277">
        <f t="shared" si="11"/>
        <v>-122</v>
      </c>
      <c r="AI28" s="277"/>
      <c r="AJ28" s="277"/>
      <c r="AK28" s="277"/>
    </row>
    <row r="29" spans="1:37" s="365" customFormat="1" ht="18" x14ac:dyDescent="0.35">
      <c r="A29" s="566" t="s">
        <v>262</v>
      </c>
      <c r="B29" s="435">
        <v>3.3109999999999999</v>
      </c>
      <c r="C29" s="541">
        <v>19.288</v>
      </c>
      <c r="D29" s="277">
        <f t="shared" si="14"/>
        <v>482.5</v>
      </c>
      <c r="E29" s="435"/>
      <c r="F29" s="277"/>
      <c r="G29" s="277"/>
      <c r="H29" s="435"/>
      <c r="I29" s="277"/>
      <c r="J29" s="277"/>
      <c r="K29" s="435"/>
      <c r="L29" s="277"/>
      <c r="M29" s="277"/>
      <c r="N29" s="435"/>
      <c r="O29" s="277"/>
      <c r="P29" s="277"/>
      <c r="Q29" s="435">
        <v>1</v>
      </c>
      <c r="R29" s="277">
        <v>11</v>
      </c>
      <c r="S29" s="277">
        <f t="shared" si="17"/>
        <v>999</v>
      </c>
      <c r="T29" s="435"/>
      <c r="U29" s="277"/>
      <c r="V29" s="277"/>
      <c r="W29" s="435"/>
      <c r="X29" s="277">
        <v>1.6221657899999995</v>
      </c>
      <c r="Y29" s="277" t="str">
        <f t="shared" si="18"/>
        <v xml:space="preserve">    ---- </v>
      </c>
      <c r="Z29" s="435">
        <v>592.21955700000001</v>
      </c>
      <c r="AA29" s="277">
        <v>26.357256890000002</v>
      </c>
      <c r="AB29" s="277">
        <f t="shared" si="19"/>
        <v>-95.5</v>
      </c>
      <c r="AC29" s="435"/>
      <c r="AD29" s="277"/>
      <c r="AE29" s="277"/>
      <c r="AF29" s="277">
        <f t="shared" si="22"/>
        <v>596.53055700000004</v>
      </c>
      <c r="AG29" s="277">
        <f t="shared" si="22"/>
        <v>58.267422680000003</v>
      </c>
      <c r="AH29" s="277">
        <f t="shared" si="11"/>
        <v>-90.2</v>
      </c>
      <c r="AI29" s="277"/>
      <c r="AJ29" s="277"/>
      <c r="AK29" s="277"/>
    </row>
    <row r="30" spans="1:37" s="365" customFormat="1" ht="18.75" customHeight="1" x14ac:dyDescent="0.35">
      <c r="A30" s="427" t="s">
        <v>263</v>
      </c>
      <c r="B30" s="435">
        <f>SUM(B23:B29)</f>
        <v>633.40800000000013</v>
      </c>
      <c r="C30" s="541">
        <f>SUM(C23:C29)</f>
        <v>409.74900000000002</v>
      </c>
      <c r="D30" s="277">
        <f t="shared" si="14"/>
        <v>-35.299999999999997</v>
      </c>
      <c r="E30" s="435">
        <f>SUM(E23:E29)</f>
        <v>-260.18772637000001</v>
      </c>
      <c r="F30" s="277">
        <f>SUM(F23:F29)</f>
        <v>-177.87939356999993</v>
      </c>
      <c r="G30" s="277">
        <f>IF(E30=0, "    ---- ", IF(ABS(ROUND(100/E30*F30-100,1))&lt;999,ROUND(100/E30*F30-100,1),IF(ROUND(100/E30*F30-100,1)&gt;999,999,-999)))</f>
        <v>-31.6</v>
      </c>
      <c r="H30" s="435">
        <f>SUM(H23:H29)</f>
        <v>-732.46600000000001</v>
      </c>
      <c r="I30" s="277">
        <f>SUM(I23:I29)</f>
        <v>-774.08900000000006</v>
      </c>
      <c r="J30" s="277">
        <f>IF(H30=0, "    ---- ", IF(ABS(ROUND(100/H30*I30-100,1))&lt;999,ROUND(100/H30*I30-100,1),IF(ROUND(100/H30*I30-100,1)&gt;999,999,-999)))</f>
        <v>5.7</v>
      </c>
      <c r="K30" s="435">
        <f>SUM(K23:K29)</f>
        <v>-349</v>
      </c>
      <c r="L30" s="277">
        <f>SUM(L23:L29)</f>
        <v>-263</v>
      </c>
      <c r="M30" s="277">
        <f t="shared" si="15"/>
        <v>-24.6</v>
      </c>
      <c r="N30" s="435">
        <v>4096.3254545600003</v>
      </c>
      <c r="O30" s="277">
        <v>-6946.9740572300007</v>
      </c>
      <c r="P30" s="277">
        <f t="shared" si="16"/>
        <v>-269.60000000000002</v>
      </c>
      <c r="Q30" s="435">
        <f>SUM(Q23:Q29)</f>
        <v>-186.49639999999999</v>
      </c>
      <c r="R30" s="277">
        <f>SUM(R23:R29)</f>
        <v>-285</v>
      </c>
      <c r="S30" s="277">
        <f t="shared" si="17"/>
        <v>52.8</v>
      </c>
      <c r="T30" s="435">
        <v>-83</v>
      </c>
      <c r="U30" s="277">
        <f>SUM(U23:U29)</f>
        <v>937</v>
      </c>
      <c r="V30" s="277">
        <f>IF(T30=0, "    ---- ", IF(ABS(ROUND(100/T30*U30-100,1))&lt;999,ROUND(100/T30*U30-100,1),IF(ROUND(100/T30*U30-100,1)&gt;999,999,-999)))</f>
        <v>-999</v>
      </c>
      <c r="W30" s="435">
        <f>SUM(W23:W29)</f>
        <v>-964.14239557000019</v>
      </c>
      <c r="X30" s="277">
        <f>SUM(X23:X29)</f>
        <v>25.191738059999949</v>
      </c>
      <c r="Y30" s="277">
        <f t="shared" si="18"/>
        <v>-102.6</v>
      </c>
      <c r="Z30" s="435">
        <f>SUM(Z23:Z29)</f>
        <v>-3483.0392978400027</v>
      </c>
      <c r="AA30" s="277">
        <f>SUM(AA23:AA29)</f>
        <v>-443.05763733000242</v>
      </c>
      <c r="AB30" s="277">
        <f t="shared" si="19"/>
        <v>-87.3</v>
      </c>
      <c r="AC30" s="435">
        <f>SUM(AC23:AC29)</f>
        <v>-42</v>
      </c>
      <c r="AD30" s="277">
        <f>SUM(AD23:AD29)</f>
        <v>4</v>
      </c>
      <c r="AE30" s="277">
        <f t="shared" si="20"/>
        <v>-109.5</v>
      </c>
      <c r="AF30" s="277">
        <f t="shared" si="22"/>
        <v>-1328.5983652200025</v>
      </c>
      <c r="AG30" s="277">
        <f t="shared" si="22"/>
        <v>-7518.0593500700033</v>
      </c>
      <c r="AH30" s="277">
        <f t="shared" si="11"/>
        <v>465.9</v>
      </c>
      <c r="AI30" s="277"/>
      <c r="AJ30" s="277"/>
      <c r="AK30" s="277"/>
    </row>
    <row r="31" spans="1:37" s="365" customFormat="1" ht="18.75" customHeight="1" x14ac:dyDescent="0.35">
      <c r="A31" s="427" t="s">
        <v>264</v>
      </c>
      <c r="B31" s="435">
        <v>-1672.1030000000001</v>
      </c>
      <c r="C31" s="541">
        <v>-675.67499999999995</v>
      </c>
      <c r="D31" s="277">
        <f>IF(B31=0, "    ---- ", IF(ABS(ROUND(100/B31*C31-100,1))&lt;999,ROUND(100/B31*C31-100,1),IF(ROUND(100/B31*C31-100,1)&gt;999,999,-999)))</f>
        <v>-59.6</v>
      </c>
      <c r="E31" s="435"/>
      <c r="F31" s="277"/>
      <c r="G31" s="277"/>
      <c r="H31" s="435"/>
      <c r="I31" s="277"/>
      <c r="J31" s="277"/>
      <c r="K31" s="435">
        <v>-81</v>
      </c>
      <c r="L31" s="277">
        <v>389</v>
      </c>
      <c r="M31" s="277">
        <f t="shared" si="15"/>
        <v>-580.20000000000005</v>
      </c>
      <c r="N31" s="435">
        <v>39.490929999999999</v>
      </c>
      <c r="O31" s="277">
        <v>564.26367605999997</v>
      </c>
      <c r="P31" s="277">
        <f t="shared" si="16"/>
        <v>999</v>
      </c>
      <c r="Q31" s="435">
        <v>6595.7578999999996</v>
      </c>
      <c r="R31" s="277">
        <v>-1780.4</v>
      </c>
      <c r="S31" s="277">
        <f>IF(Q31=0, "    ---- ", IF(ABS(ROUND(100/Q31*R31-100,1))&lt;999,ROUND(100/Q31*R31-100,1),IF(ROUND(100/Q31*R31-100,1)&gt;999,999,-999)))</f>
        <v>-127</v>
      </c>
      <c r="T31" s="435"/>
      <c r="U31" s="277"/>
      <c r="V31" s="277"/>
      <c r="W31" s="435">
        <v>-357.78361531000076</v>
      </c>
      <c r="X31" s="277">
        <v>1087.6002631799997</v>
      </c>
      <c r="Y31" s="277">
        <f>IF(W31=0, "    ---- ", IF(ABS(ROUND(100/W31*X31-100,1))&lt;999,ROUND(100/W31*X31-100,1),IF(ROUND(100/W31*X31-100,1)&gt;999,999,-999)))</f>
        <v>-404</v>
      </c>
      <c r="Z31" s="435">
        <v>3421.3380090014998</v>
      </c>
      <c r="AA31" s="277">
        <v>-527.58812893000015</v>
      </c>
      <c r="AB31" s="277">
        <f>IF(Z31=0, "    ---- ", IF(ABS(ROUND(100/Z31*AA31-100,1))&lt;999,ROUND(100/Z31*AA31-100,1),IF(ROUND(100/Z31*AA31-100,1)&gt;999,999,-999)))</f>
        <v>-115.4</v>
      </c>
      <c r="AC31" s="435"/>
      <c r="AD31" s="277"/>
      <c r="AE31" s="277"/>
      <c r="AF31" s="277">
        <f t="shared" si="22"/>
        <v>7945.7002236914986</v>
      </c>
      <c r="AG31" s="277">
        <f t="shared" si="22"/>
        <v>-942.79918969000039</v>
      </c>
      <c r="AH31" s="277">
        <f t="shared" si="11"/>
        <v>-111.9</v>
      </c>
      <c r="AI31" s="277"/>
      <c r="AJ31" s="277"/>
      <c r="AK31" s="277"/>
    </row>
    <row r="32" spans="1:37" s="365" customFormat="1" ht="18.75" customHeight="1" x14ac:dyDescent="0.35">
      <c r="A32" s="427" t="s">
        <v>265</v>
      </c>
      <c r="B32" s="435">
        <v>-216.5</v>
      </c>
      <c r="C32" s="541">
        <v>-312.81700000000001</v>
      </c>
      <c r="D32" s="277">
        <f>IF(B32=0, "    ---- ", IF(ABS(ROUND(100/B32*C32-100,1))&lt;999,ROUND(100/B32*C32-100,1),IF(ROUND(100/B32*C32-100,1)&gt;999,999,-999)))</f>
        <v>44.5</v>
      </c>
      <c r="E32" s="435">
        <v>-0.48796587999999991</v>
      </c>
      <c r="F32" s="277"/>
      <c r="G32" s="277"/>
      <c r="H32" s="435"/>
      <c r="I32" s="277"/>
      <c r="J32" s="277"/>
      <c r="K32" s="435">
        <v>-24</v>
      </c>
      <c r="L32" s="277">
        <v>-13</v>
      </c>
      <c r="M32" s="277">
        <f t="shared" si="15"/>
        <v>-45.8</v>
      </c>
      <c r="N32" s="435">
        <v>-168</v>
      </c>
      <c r="O32" s="277">
        <v>-3607.2837340000001</v>
      </c>
      <c r="P32" s="277">
        <f>IF(N32=0, "    ---- ", IF(ABS(ROUND(100/N32*O32-100,1))&lt;999,ROUND(100/N32*O32-100,1),IF(ROUND(100/N32*O32-100,1)&gt;999,999,-999)))</f>
        <v>999</v>
      </c>
      <c r="Q32" s="435">
        <v>-78.577600000000004</v>
      </c>
      <c r="R32" s="277">
        <v>-20</v>
      </c>
      <c r="S32" s="277">
        <f>IF(Q32=0, "    ---- ", IF(ABS(ROUND(100/Q32*R32-100,1))&lt;999,ROUND(100/Q32*R32-100,1),IF(ROUND(100/Q32*R32-100,1)&gt;999,999,-999)))</f>
        <v>-74.5</v>
      </c>
      <c r="T32" s="435">
        <v>-31</v>
      </c>
      <c r="U32" s="277">
        <v>-87</v>
      </c>
      <c r="V32" s="277">
        <f>IF(T32=0, "    ---- ", IF(ABS(ROUND(100/T32*U32-100,1))&lt;999,ROUND(100/T32*U32-100,1),IF(ROUND(100/T32*U32-100,1)&gt;999,999,-999)))</f>
        <v>180.6</v>
      </c>
      <c r="W32" s="435">
        <v>-97.83027988000002</v>
      </c>
      <c r="X32" s="277">
        <v>26.765453929999968</v>
      </c>
      <c r="Y32" s="277">
        <f>IF(W32=0, "    ---- ", IF(ABS(ROUND(100/W32*X32-100,1))&lt;999,ROUND(100/W32*X32-100,1),IF(ROUND(100/W32*X32-100,1)&gt;999,999,-999)))</f>
        <v>-127.4</v>
      </c>
      <c r="Z32" s="435">
        <v>-218.40467000000001</v>
      </c>
      <c r="AA32" s="277">
        <v>-190.06053800000001</v>
      </c>
      <c r="AB32" s="277">
        <f>IF(Z32=0, "    ---- ", IF(ABS(ROUND(100/Z32*AA32-100,1))&lt;999,ROUND(100/Z32*AA32-100,1),IF(ROUND(100/Z32*AA32-100,1)&gt;999,999,-999)))</f>
        <v>-13</v>
      </c>
      <c r="AC32" s="435"/>
      <c r="AD32" s="277"/>
      <c r="AE32" s="277"/>
      <c r="AF32" s="277">
        <f t="shared" si="22"/>
        <v>-834.80051576000005</v>
      </c>
      <c r="AG32" s="277">
        <f t="shared" si="22"/>
        <v>-4203.3958180700001</v>
      </c>
      <c r="AH32" s="277">
        <f t="shared" si="11"/>
        <v>403.5</v>
      </c>
      <c r="AI32" s="277"/>
      <c r="AJ32" s="277"/>
      <c r="AK32" s="277"/>
    </row>
    <row r="33" spans="1:37" s="365" customFormat="1" ht="18.75" customHeight="1" x14ac:dyDescent="0.35">
      <c r="A33" s="427" t="s">
        <v>266</v>
      </c>
      <c r="B33" s="435">
        <v>-315.53800000000001</v>
      </c>
      <c r="C33" s="541">
        <v>-322.56400000000002</v>
      </c>
      <c r="D33" s="277">
        <f>IF(B33=0, "    ---- ", IF(ABS(ROUND(100/B33*C33-100,1))&lt;999,ROUND(100/B33*C33-100,1),IF(ROUND(100/B33*C33-100,1)&gt;999,999,-999)))</f>
        <v>2.2000000000000002</v>
      </c>
      <c r="E33" s="435">
        <v>-256.65190959999995</v>
      </c>
      <c r="F33" s="277">
        <v>-260.18018986999999</v>
      </c>
      <c r="G33" s="277">
        <f>IF(E33=0, "    ---- ", IF(ABS(ROUND(100/E33*F33-100,1))&lt;999,ROUND(100/E33*F33-100,1),IF(ROUND(100/E33*F33-100,1)&gt;999,999,-999)))</f>
        <v>1.4</v>
      </c>
      <c r="H33" s="435">
        <v>-78.709000000000003</v>
      </c>
      <c r="I33" s="277">
        <v>-92.186000000000007</v>
      </c>
      <c r="J33" s="277">
        <f>IF(H33=0, "    ---- ", IF(ABS(ROUND(100/H33*I33-100,1))&lt;999,ROUND(100/H33*I33-100,1),IF(ROUND(100/H33*I33-100,1)&gt;999,999,-999)))</f>
        <v>17.100000000000001</v>
      </c>
      <c r="K33" s="435">
        <v>-136</v>
      </c>
      <c r="L33" s="277">
        <v>-145</v>
      </c>
      <c r="M33" s="277">
        <f>IF(K33=0, "    ---- ", IF(ABS(ROUND(100/K33*L33-100,1))&lt;999,ROUND(100/K33*L33-100,1),IF(ROUND(100/K33*L33-100,1)&gt;999,999,-999)))</f>
        <v>6.6</v>
      </c>
      <c r="N33" s="435">
        <v>-479.47274302999995</v>
      </c>
      <c r="O33" s="277">
        <v>-519.59349716999998</v>
      </c>
      <c r="P33" s="277">
        <f>IF(N33=0, "    ---- ", IF(ABS(ROUND(100/N33*O33-100,1))&lt;999,ROUND(100/N33*O33-100,1),IF(ROUND(100/N33*O33-100,1)&gt;999,999,-999)))</f>
        <v>8.4</v>
      </c>
      <c r="Q33" s="435">
        <v>-242.2227</v>
      </c>
      <c r="R33" s="277">
        <v>-263</v>
      </c>
      <c r="S33" s="277">
        <f>IF(Q33=0, "    ---- ", IF(ABS(ROUND(100/Q33*R33-100,1))&lt;999,ROUND(100/Q33*R33-100,1),IF(ROUND(100/Q33*R33-100,1)&gt;999,999,-999)))</f>
        <v>8.6</v>
      </c>
      <c r="T33" s="435"/>
      <c r="U33" s="277"/>
      <c r="V33" s="277"/>
      <c r="W33" s="435">
        <v>-246.40517062115947</v>
      </c>
      <c r="X33" s="277">
        <v>-223.03912353999954</v>
      </c>
      <c r="Y33" s="277">
        <f>IF(W33=0, "    ---- ", IF(ABS(ROUND(100/W33*X33-100,1))&lt;999,ROUND(100/W33*X33-100,1),IF(ROUND(100/W33*X33-100,1)&gt;999,999,-999)))</f>
        <v>-9.5</v>
      </c>
      <c r="Z33" s="435">
        <v>-476.76687379999998</v>
      </c>
      <c r="AA33" s="277">
        <v>-471.94661470000005</v>
      </c>
      <c r="AB33" s="277">
        <f>IF(Z33=0, "    ---- ", IF(ABS(ROUND(100/Z33*AA33-100,1))&lt;999,ROUND(100/Z33*AA33-100,1),IF(ROUND(100/Z33*AA33-100,1)&gt;999,999,-999)))</f>
        <v>-1</v>
      </c>
      <c r="AC33" s="435">
        <v>-20</v>
      </c>
      <c r="AD33" s="277">
        <v>-19</v>
      </c>
      <c r="AE33" s="277">
        <f>IF(AC33=0, "    ---- ", IF(ABS(ROUND(100/AC33*AD33-100,1))&lt;999,ROUND(100/AC33*AD33-100,1),IF(ROUND(100/AC33*AD33-100,1)&gt;999,999,-999)))</f>
        <v>-5</v>
      </c>
      <c r="AF33" s="277">
        <f t="shared" si="22"/>
        <v>-2231.7663970511594</v>
      </c>
      <c r="AG33" s="277">
        <f t="shared" si="22"/>
        <v>-2297.5094252799995</v>
      </c>
      <c r="AH33" s="277">
        <f t="shared" si="11"/>
        <v>2.9</v>
      </c>
      <c r="AI33" s="277"/>
      <c r="AJ33" s="277"/>
      <c r="AK33" s="277"/>
    </row>
    <row r="34" spans="1:37" s="365" customFormat="1" ht="18.75" customHeight="1" x14ac:dyDescent="0.35">
      <c r="A34" s="427" t="s">
        <v>267</v>
      </c>
      <c r="B34" s="147">
        <v>3.19</v>
      </c>
      <c r="C34" s="541">
        <v>-5.94</v>
      </c>
      <c r="D34" s="353">
        <f>IF(B34=0, "    ---- ", IF(ABS(ROUND(100/B34*C34-100,1))&lt;999,ROUND(100/B34*C34-100,1),IF(ROUND(100/B34*C34-100,1)&gt;999,999,-999)))</f>
        <v>-286.2</v>
      </c>
      <c r="E34" s="147">
        <v>-2.1313138999999999</v>
      </c>
      <c r="F34" s="353">
        <v>-3.9339818200000005</v>
      </c>
      <c r="G34" s="277">
        <f>IF(E34=0, "    ---- ", IF(ABS(ROUND(100/E34*F34-100,1))&lt;999,ROUND(100/E34*F34-100,1),IF(ROUND(100/E34*F34-100,1)&gt;999,999,-999)))</f>
        <v>84.6</v>
      </c>
      <c r="H34" s="147"/>
      <c r="I34" s="353"/>
      <c r="J34" s="353"/>
      <c r="K34" s="147"/>
      <c r="L34" s="353"/>
      <c r="M34" s="353"/>
      <c r="N34" s="147">
        <v>-373.75486599999999</v>
      </c>
      <c r="O34" s="353">
        <v>-332.61672399999998</v>
      </c>
      <c r="P34" s="353">
        <f>IF(N34=0, "    ---- ", IF(ABS(ROUND(100/N34*O34-100,1))&lt;999,ROUND(100/N34*O34-100,1),IF(ROUND(100/N34*O34-100,1)&gt;999,999,-999)))</f>
        <v>-11</v>
      </c>
      <c r="Q34" s="147">
        <v>-5.0232928499999998</v>
      </c>
      <c r="R34" s="353">
        <v>-5</v>
      </c>
      <c r="S34" s="353">
        <f>IF(Q34=0, "    ---- ", IF(ABS(ROUND(100/Q34*R34-100,1))&lt;999,ROUND(100/Q34*R34-100,1),IF(ROUND(100/Q34*R34-100,1)&gt;999,999,-999)))</f>
        <v>-0.5</v>
      </c>
      <c r="T34" s="147">
        <v>-70</v>
      </c>
      <c r="U34" s="353">
        <v>-66</v>
      </c>
      <c r="V34" s="277">
        <f>IF(T34=0, "    ---- ", IF(ABS(ROUND(100/T34*U34-100,1))&lt;999,ROUND(100/T34*U34-100,1),IF(ROUND(100/T34*U34-100,1)&gt;999,999,-999)))</f>
        <v>-5.7</v>
      </c>
      <c r="W34" s="147">
        <v>-0.5030213899999999</v>
      </c>
      <c r="X34" s="353">
        <v>-0.87775528000000003</v>
      </c>
      <c r="Y34" s="353">
        <f>IF(W34=0, "    ---- ", IF(ABS(ROUND(100/W34*X34-100,1))&lt;999,ROUND(100/W34*X34-100,1),IF(ROUND(100/W34*X34-100,1)&gt;999,999,-999)))</f>
        <v>74.5</v>
      </c>
      <c r="Z34" s="147">
        <v>-10.081334919999811</v>
      </c>
      <c r="AA34" s="353">
        <v>-28.518706999999999</v>
      </c>
      <c r="AB34" s="353">
        <f>IF(Z34=0, "    ---- ", IF(ABS(ROUND(100/Z34*AA34-100,1))&lt;999,ROUND(100/Z34*AA34-100,1),IF(ROUND(100/Z34*AA34-100,1)&gt;999,999,-999)))</f>
        <v>182.9</v>
      </c>
      <c r="AC34" s="147"/>
      <c r="AD34" s="353"/>
      <c r="AE34" s="353"/>
      <c r="AF34" s="277">
        <f t="shared" si="22"/>
        <v>-458.30382905999983</v>
      </c>
      <c r="AG34" s="277">
        <f t="shared" si="22"/>
        <v>-442.88716809999994</v>
      </c>
      <c r="AH34" s="353">
        <f t="shared" si="11"/>
        <v>-3.4</v>
      </c>
      <c r="AI34" s="353"/>
      <c r="AJ34" s="353"/>
      <c r="AK34" s="353"/>
    </row>
    <row r="35" spans="1:37" s="373" customFormat="1" ht="18.75" customHeight="1" x14ac:dyDescent="0.3">
      <c r="A35" s="438" t="s">
        <v>268</v>
      </c>
      <c r="B35" s="150">
        <f>SUM(B14+B15+B16+B17+B21+B30+B31+B32+B33+B34)</f>
        <v>385.61599999999993</v>
      </c>
      <c r="C35" s="357">
        <f>SUM(C14+C15+C16+C17+C21+C30+C31+C32+C33+C34)</f>
        <v>469.62300000000266</v>
      </c>
      <c r="D35" s="358">
        <f>IF(B35=0, "    ---- ", IF(ABS(ROUND(100/B35*C35-100,1))&lt;999,ROUND(100/B35*C35-100,1),IF(ROUND(100/B35*C35-100,1)&gt;999,999,-999)))</f>
        <v>21.8</v>
      </c>
      <c r="E35" s="150">
        <f>SUM(E14+E15+E16+E17+E21+E30+E31+E32+E33+E34)</f>
        <v>261.55400649999967</v>
      </c>
      <c r="F35" s="357">
        <f>SUM(F14+F15+F16+F17+F21+F30+F31+F32+F33+F34)</f>
        <v>206.76839863000023</v>
      </c>
      <c r="G35" s="358">
        <f>IF(E35=0, "    ---- ", IF(ABS(ROUND(100/E35*F35-100,1))&lt;999,ROUND(100/E35*F35-100,1),IF(ROUND(100/E35*F35-100,1)&gt;999,999,-999)))</f>
        <v>-20.9</v>
      </c>
      <c r="H35" s="150">
        <f>SUM(H14+H15+H16+H17+H21+H30+H31+H32+H33+H34)</f>
        <v>13.536999999999864</v>
      </c>
      <c r="I35" s="357">
        <f>SUM(I14+I15+I16+I17+I21+I30+I31+I32+I33+I34)</f>
        <v>18.925999999999959</v>
      </c>
      <c r="J35" s="358">
        <f>IF(H35=0, "    ---- ", IF(ABS(ROUND(100/H35*I35-100,1))&lt;999,ROUND(100/H35*I35-100,1),IF(ROUND(100/H35*I35-100,1)&gt;999,999,-999)))</f>
        <v>39.799999999999997</v>
      </c>
      <c r="K35" s="150">
        <f>SUM(K14+K15+K16+K17+K21+K30+K31+K32+K33+K34)</f>
        <v>57</v>
      </c>
      <c r="L35" s="357">
        <f>SUM(L14+L15+L16+L17+L21+L30+L31+L32+L33+L34)</f>
        <v>79</v>
      </c>
      <c r="M35" s="358">
        <f>IF(K35=0, "    ---- ", IF(ABS(ROUND(100/K35*L35-100,1))&lt;999,ROUND(100/K35*L35-100,1),IF(ROUND(100/K35*L35-100,1)&gt;999,999,-999)))</f>
        <v>38.6</v>
      </c>
      <c r="N35" s="150">
        <v>-27.018191800000409</v>
      </c>
      <c r="O35" s="357">
        <v>1.0603638699957401</v>
      </c>
      <c r="P35" s="358">
        <f>IF(N35=0, "    ---- ", IF(ABS(ROUND(100/N35*O35-100,1))&lt;999,ROUND(100/N35*O35-100,1),IF(ROUND(100/N35*O35-100,1)&gt;999,999,-999)))</f>
        <v>-103.9</v>
      </c>
      <c r="Q35" s="150">
        <f>SUM(Q14+Q15+Q16+Q17+Q21+Q30+Q31+Q32+Q33+Q34)</f>
        <v>278.40530714999824</v>
      </c>
      <c r="R35" s="357">
        <f>SUM(R14+R15+R16+R17+R21+R30+R31+R32+R33+R34)</f>
        <v>342.99999999999955</v>
      </c>
      <c r="S35" s="358">
        <f>IF(Q35=0, "    ---- ", IF(ABS(ROUND(100/Q35*R35-100,1))&lt;999,ROUND(100/Q35*R35-100,1),IF(ROUND(100/Q35*R35-100,1)&gt;999,999,-999)))</f>
        <v>23.2</v>
      </c>
      <c r="T35" s="150">
        <v>119</v>
      </c>
      <c r="U35" s="357">
        <f>SUM(U14+U15+U16+U17+U21+U30+U31+U32+U33+U34)</f>
        <v>64</v>
      </c>
      <c r="V35" s="358">
        <f>IF(T35=0, "    ---- ", IF(ABS(ROUND(100/T35*U35-100,1))&lt;999,ROUND(100/T35*U35-100,1),IF(ROUND(100/T35*U35-100,1)&gt;999,999,-999)))</f>
        <v>-46.2</v>
      </c>
      <c r="W35" s="150">
        <f>SUM(W14+W15+W16+W17+W21+W30+W31+W32+W33+W34)</f>
        <v>14.211625678842907</v>
      </c>
      <c r="X35" s="357">
        <f>SUM(X14+X15+X16+X17+X21+X30+X31+X32+X33+X34)</f>
        <v>37.200536289997586</v>
      </c>
      <c r="Y35" s="358">
        <f>IF(W35=0, "    ---- ", IF(ABS(ROUND(100/W35*X35-100,1))&lt;999,ROUND(100/W35*X35-100,1),IF(ROUND(100/W35*X35-100,1)&gt;999,999,-999)))</f>
        <v>161.80000000000001</v>
      </c>
      <c r="Z35" s="150">
        <f>SUM(Z14+Z15+Z16+Z17+Z21+Z30+Z31+Z32+Z33+Z34)</f>
        <v>375.02143076147843</v>
      </c>
      <c r="AA35" s="357">
        <f>SUM(AA14+AA15+AA16+AA17+AA21+AA30+AA31+AA32+AA33+AA34)</f>
        <v>460.38763839998973</v>
      </c>
      <c r="AB35" s="358">
        <f>IF(Z35=0, "    ---- ", IF(ABS(ROUND(100/Z35*AA35-100,1))&lt;999,ROUND(100/Z35*AA35-100,1),IF(ROUND(100/Z35*AA35-100,1)&gt;999,999,-999)))</f>
        <v>22.8</v>
      </c>
      <c r="AC35" s="150">
        <f>SUM(AC14+AC15+AC16+AC17+AC21+AC30+AC31+AC32+AC33+AC34)</f>
        <v>-2</v>
      </c>
      <c r="AD35" s="357">
        <f>SUM(AD14+AD15+AD16+AD17+AD21+AD30+AD31+AD32+AD33+AD34)</f>
        <v>-1</v>
      </c>
      <c r="AE35" s="358">
        <f>IF(AC35=0, "    ---- ", IF(ABS(ROUND(100/AC35*AD35-100,1))&lt;999,ROUND(100/AC35*AD35-100,1),IF(ROUND(100/AC35*AD35-100,1)&gt;999,999,-999)))</f>
        <v>-50</v>
      </c>
      <c r="AF35" s="358">
        <f t="shared" si="22"/>
        <v>1477.3271782903184</v>
      </c>
      <c r="AG35" s="358">
        <f t="shared" si="22"/>
        <v>1679.9659371899854</v>
      </c>
      <c r="AH35" s="358">
        <f t="shared" si="11"/>
        <v>13.7</v>
      </c>
      <c r="AI35" s="358"/>
      <c r="AJ35" s="358"/>
      <c r="AK35" s="358"/>
    </row>
    <row r="36" spans="1:37" s="373" customFormat="1" ht="18.75" customHeight="1" x14ac:dyDescent="0.3">
      <c r="A36" s="439"/>
      <c r="B36" s="528"/>
      <c r="C36" s="380"/>
      <c r="D36" s="351"/>
      <c r="E36" s="528"/>
      <c r="F36" s="380"/>
      <c r="G36" s="351"/>
      <c r="H36" s="528"/>
      <c r="I36" s="380"/>
      <c r="J36" s="351"/>
      <c r="K36" s="528"/>
      <c r="L36" s="380"/>
      <c r="M36" s="351"/>
      <c r="N36" s="528"/>
      <c r="O36" s="380"/>
      <c r="P36" s="351"/>
      <c r="Q36" s="528"/>
      <c r="R36" s="380"/>
      <c r="S36" s="351"/>
      <c r="T36" s="528"/>
      <c r="U36" s="380"/>
      <c r="V36" s="351"/>
      <c r="W36" s="528"/>
      <c r="X36" s="380"/>
      <c r="Y36" s="440"/>
      <c r="Z36" s="528"/>
      <c r="AA36" s="380"/>
      <c r="AB36" s="440"/>
      <c r="AC36" s="528"/>
      <c r="AD36" s="380"/>
      <c r="AE36" s="440"/>
      <c r="AF36" s="440"/>
      <c r="AG36" s="440"/>
      <c r="AH36" s="440"/>
      <c r="AI36" s="441"/>
      <c r="AJ36" s="442"/>
      <c r="AK36" s="443"/>
    </row>
    <row r="37" spans="1:37" s="373" customFormat="1" ht="18.75" customHeight="1" x14ac:dyDescent="0.3">
      <c r="A37" s="429" t="s">
        <v>269</v>
      </c>
      <c r="B37" s="528"/>
      <c r="C37" s="380"/>
      <c r="D37" s="351"/>
      <c r="E37" s="528"/>
      <c r="F37" s="380"/>
      <c r="G37" s="351"/>
      <c r="H37" s="528"/>
      <c r="I37" s="380"/>
      <c r="J37" s="351"/>
      <c r="K37" s="528"/>
      <c r="L37" s="380"/>
      <c r="M37" s="351"/>
      <c r="N37" s="528"/>
      <c r="O37" s="380"/>
      <c r="P37" s="351"/>
      <c r="Q37" s="528"/>
      <c r="R37" s="380"/>
      <c r="S37" s="351"/>
      <c r="T37" s="528"/>
      <c r="U37" s="380"/>
      <c r="V37" s="351"/>
      <c r="W37" s="528"/>
      <c r="X37" s="380"/>
      <c r="Y37" s="351"/>
      <c r="Z37" s="528"/>
      <c r="AA37" s="380"/>
      <c r="AB37" s="351"/>
      <c r="AC37" s="528"/>
      <c r="AD37" s="380"/>
      <c r="AE37" s="351"/>
      <c r="AF37" s="351"/>
      <c r="AG37" s="351"/>
      <c r="AH37" s="351"/>
      <c r="AI37" s="444"/>
      <c r="AJ37" s="445"/>
      <c r="AK37" s="446"/>
    </row>
    <row r="38" spans="1:37" s="363" customFormat="1" ht="18.75" customHeight="1" x14ac:dyDescent="0.35">
      <c r="A38" s="427" t="s">
        <v>270</v>
      </c>
      <c r="B38" s="529">
        <v>313.089</v>
      </c>
      <c r="C38" s="375">
        <v>282.084</v>
      </c>
      <c r="D38" s="277">
        <f t="shared" ref="D38:D44" si="23">IF(B38=0, "    ---- ", IF(ABS(ROUND(100/B38*C38-100,1))&lt;999,ROUND(100/B38*C38-100,1),IF(ROUND(100/B38*C38-100,1)&gt;999,999,-999)))</f>
        <v>-9.9</v>
      </c>
      <c r="E38" s="529">
        <v>41.08743157</v>
      </c>
      <c r="F38" s="375">
        <v>4.8425362899999946</v>
      </c>
      <c r="G38" s="277">
        <f t="shared" ref="G38:G44" si="24">IF(E38=0, "    ---- ", IF(ABS(ROUND(100/E38*F38-100,1))&lt;999,ROUND(100/E38*F38-100,1),IF(ROUND(100/E38*F38-100,1)&gt;999,999,-999)))</f>
        <v>-88.2</v>
      </c>
      <c r="H38" s="529">
        <v>5.9290000000000003</v>
      </c>
      <c r="I38" s="375">
        <v>1.206</v>
      </c>
      <c r="J38" s="277">
        <f t="shared" ref="J38:J44" si="25">IF(H38=0, "    ---- ", IF(ABS(ROUND(100/H38*I38-100,1))&lt;999,ROUND(100/H38*I38-100,1),IF(ROUND(100/H38*I38-100,1)&gt;999,999,-999)))</f>
        <v>-79.7</v>
      </c>
      <c r="K38" s="529">
        <v>15</v>
      </c>
      <c r="L38" s="375">
        <v>16</v>
      </c>
      <c r="M38" s="277">
        <f t="shared" ref="M38:M44" si="26">IF(K38=0, "    ---- ", IF(ABS(ROUND(100/K38*L38-100,1))&lt;999,ROUND(100/K38*L38-100,1),IF(ROUND(100/K38*L38-100,1)&gt;999,999,-999)))</f>
        <v>6.7</v>
      </c>
      <c r="N38" s="529">
        <v>280.92283916000002</v>
      </c>
      <c r="O38" s="375">
        <v>160.40079705000002</v>
      </c>
      <c r="P38" s="277">
        <f t="shared" ref="P38:P45" si="27">IF(N38=0, "    ---- ", IF(ABS(ROUND(100/N38*O38-100,1))&lt;999,ROUND(100/N38*O38-100,1),IF(ROUND(100/N38*O38-100,1)&gt;999,999,-999)))</f>
        <v>-42.9</v>
      </c>
      <c r="Q38" s="529">
        <v>127.29</v>
      </c>
      <c r="R38" s="375">
        <v>122</v>
      </c>
      <c r="S38" s="277">
        <f t="shared" ref="S38:S45" si="28">IF(Q38=0, "    ---- ", IF(ABS(ROUND(100/Q38*R38-100,1))&lt;999,ROUND(100/Q38*R38-100,1),IF(ROUND(100/Q38*R38-100,1)&gt;999,999,-999)))</f>
        <v>-4.2</v>
      </c>
      <c r="T38" s="529">
        <v>77</v>
      </c>
      <c r="U38" s="375">
        <v>94</v>
      </c>
      <c r="V38" s="277">
        <f t="shared" ref="V38:V44" si="29">IF(T38=0, "    ---- ", IF(ABS(ROUND(100/T38*U38-100,1))&lt;999,ROUND(100/T38*U38-100,1),IF(ROUND(100/T38*U38-100,1)&gt;999,999,-999)))</f>
        <v>22.1</v>
      </c>
      <c r="W38" s="529">
        <v>66.765888909987979</v>
      </c>
      <c r="X38" s="375">
        <v>1.520195279999998</v>
      </c>
      <c r="Y38" s="277">
        <f t="shared" ref="Y38:Y44" si="30">IF(W38=0, "    ---- ", IF(ABS(ROUND(100/W38*X38-100,1))&lt;999,ROUND(100/W38*X38-100,1),IF(ROUND(100/W38*X38-100,1)&gt;999,999,-999)))</f>
        <v>-97.7</v>
      </c>
      <c r="Z38" s="529">
        <v>1480.5390086699999</v>
      </c>
      <c r="AA38" s="375">
        <v>1177.1319709699997</v>
      </c>
      <c r="AB38" s="277">
        <f t="shared" ref="AB38:AB45" si="31">IF(Z38=0, "    ---- ", IF(ABS(ROUND(100/Z38*AA38-100,1))&lt;999,ROUND(100/Z38*AA38-100,1),IF(ROUND(100/Z38*AA38-100,1)&gt;999,999,-999)))</f>
        <v>-20.5</v>
      </c>
      <c r="AC38" s="529">
        <v>1</v>
      </c>
      <c r="AD38" s="375">
        <v>1</v>
      </c>
      <c r="AE38" s="277">
        <f t="shared" ref="AE38:AE44" si="32">IF(AC38=0, "    ---- ", IF(ABS(ROUND(100/AC38*AD38-100,1))&lt;999,ROUND(100/AC38*AD38-100,1),IF(ROUND(100/AC38*AD38-100,1)&gt;999,999,-999)))</f>
        <v>0</v>
      </c>
      <c r="AF38" s="277">
        <f t="shared" ref="AF38:AG46" si="33">B38+E38+H38+K38+N38+Q38+T38+W38+Z38</f>
        <v>2407.6231683099877</v>
      </c>
      <c r="AG38" s="277">
        <f t="shared" si="33"/>
        <v>1859.1854995899998</v>
      </c>
      <c r="AH38" s="277">
        <f t="shared" si="11"/>
        <v>-22.8</v>
      </c>
      <c r="AI38" s="436"/>
      <c r="AJ38" s="447"/>
      <c r="AK38" s="387"/>
    </row>
    <row r="39" spans="1:37" s="363" customFormat="1" ht="18.75" customHeight="1" x14ac:dyDescent="0.35">
      <c r="A39" s="427" t="s">
        <v>271</v>
      </c>
      <c r="B39" s="529">
        <v>2.4809999999999999</v>
      </c>
      <c r="C39" s="375">
        <v>2.585</v>
      </c>
      <c r="D39" s="277">
        <f t="shared" si="23"/>
        <v>4.2</v>
      </c>
      <c r="E39" s="529"/>
      <c r="F39" s="375">
        <v>0</v>
      </c>
      <c r="G39" s="277" t="str">
        <f t="shared" si="24"/>
        <v xml:space="preserve">    ---- </v>
      </c>
      <c r="H39" s="529"/>
      <c r="I39" s="375"/>
      <c r="J39" s="277"/>
      <c r="K39" s="529"/>
      <c r="L39" s="375"/>
      <c r="M39" s="277"/>
      <c r="N39" s="529">
        <v>17.371972739999997</v>
      </c>
      <c r="O39" s="375">
        <v>12.995846140000001</v>
      </c>
      <c r="P39" s="277">
        <f t="shared" si="27"/>
        <v>-25.2</v>
      </c>
      <c r="Q39" s="529">
        <v>0.27</v>
      </c>
      <c r="R39" s="375">
        <v>0</v>
      </c>
      <c r="S39" s="277">
        <f t="shared" si="28"/>
        <v>-100</v>
      </c>
      <c r="T39" s="529"/>
      <c r="U39" s="375"/>
      <c r="V39" s="277"/>
      <c r="W39" s="529">
        <v>8.7281759999999995</v>
      </c>
      <c r="X39" s="375">
        <v>9.1757960000000001</v>
      </c>
      <c r="Y39" s="277">
        <f t="shared" si="30"/>
        <v>5.0999999999999996</v>
      </c>
      <c r="Z39" s="529">
        <v>14.597076270000002</v>
      </c>
      <c r="AA39" s="375">
        <v>11.198777920000001</v>
      </c>
      <c r="AB39" s="277">
        <f t="shared" si="31"/>
        <v>-23.3</v>
      </c>
      <c r="AC39" s="529"/>
      <c r="AD39" s="375"/>
      <c r="AE39" s="277"/>
      <c r="AF39" s="277">
        <f t="shared" si="33"/>
        <v>43.448225010000002</v>
      </c>
      <c r="AG39" s="277">
        <f t="shared" si="33"/>
        <v>35.955420060000009</v>
      </c>
      <c r="AH39" s="277">
        <f t="shared" si="11"/>
        <v>-17.2</v>
      </c>
      <c r="AI39" s="277"/>
      <c r="AJ39" s="448"/>
      <c r="AK39" s="277"/>
    </row>
    <row r="40" spans="1:37" s="363" customFormat="1" ht="18.75" customHeight="1" x14ac:dyDescent="0.35">
      <c r="A40" s="427" t="s">
        <v>272</v>
      </c>
      <c r="B40" s="529">
        <v>-127.57</v>
      </c>
      <c r="C40" s="375">
        <v>-99.516999999999996</v>
      </c>
      <c r="D40" s="277">
        <f t="shared" si="23"/>
        <v>-22</v>
      </c>
      <c r="E40" s="529">
        <v>-9.5727980400000003</v>
      </c>
      <c r="F40" s="375">
        <v>-4.3361765199999995</v>
      </c>
      <c r="G40" s="277">
        <f t="shared" si="24"/>
        <v>-54.7</v>
      </c>
      <c r="H40" s="529"/>
      <c r="I40" s="375"/>
      <c r="J40" s="277"/>
      <c r="K40" s="529">
        <v>-5</v>
      </c>
      <c r="L40" s="375">
        <v>-4</v>
      </c>
      <c r="M40" s="277">
        <f t="shared" si="26"/>
        <v>-20</v>
      </c>
      <c r="N40" s="529">
        <v>-66.621284340000003</v>
      </c>
      <c r="O40" s="375">
        <v>-17.354743160000002</v>
      </c>
      <c r="P40" s="277">
        <f t="shared" si="27"/>
        <v>-74</v>
      </c>
      <c r="Q40" s="529">
        <v>-50.25</v>
      </c>
      <c r="R40" s="375">
        <v>-29</v>
      </c>
      <c r="S40" s="277">
        <f t="shared" si="28"/>
        <v>-42.3</v>
      </c>
      <c r="T40" s="529">
        <v>-8</v>
      </c>
      <c r="U40" s="375">
        <v>-7</v>
      </c>
      <c r="V40" s="277">
        <f t="shared" si="29"/>
        <v>-12.5</v>
      </c>
      <c r="W40" s="529">
        <v>-2.5235741488404884</v>
      </c>
      <c r="X40" s="375">
        <v>-0.55555920999999908</v>
      </c>
      <c r="Y40" s="277">
        <f t="shared" si="30"/>
        <v>-78</v>
      </c>
      <c r="Z40" s="529">
        <v>-234.42313262999997</v>
      </c>
      <c r="AA40" s="375">
        <v>-199.4543106000001</v>
      </c>
      <c r="AB40" s="277">
        <f t="shared" si="31"/>
        <v>-14.9</v>
      </c>
      <c r="AC40" s="529"/>
      <c r="AD40" s="375"/>
      <c r="AE40" s="277"/>
      <c r="AF40" s="277">
        <f t="shared" si="33"/>
        <v>-503.9607891588405</v>
      </c>
      <c r="AG40" s="277">
        <f t="shared" si="33"/>
        <v>-361.21778949000009</v>
      </c>
      <c r="AH40" s="277">
        <f t="shared" si="11"/>
        <v>-28.3</v>
      </c>
      <c r="AI40" s="277"/>
      <c r="AJ40" s="448"/>
      <c r="AK40" s="277"/>
    </row>
    <row r="41" spans="1:37" s="450" customFormat="1" ht="18.75" customHeight="1" x14ac:dyDescent="0.3">
      <c r="A41" s="439" t="s">
        <v>273</v>
      </c>
      <c r="B41" s="528">
        <f>SUM(B38:B40)</f>
        <v>188</v>
      </c>
      <c r="C41" s="380">
        <f>SUM(C38:C40)</f>
        <v>185.15199999999999</v>
      </c>
      <c r="D41" s="351">
        <f t="shared" si="23"/>
        <v>-1.5</v>
      </c>
      <c r="E41" s="528">
        <f>SUM(E38:E40)</f>
        <v>31.514633529999998</v>
      </c>
      <c r="F41" s="380">
        <f>SUM(F38:F40)</f>
        <v>0.5063597699999951</v>
      </c>
      <c r="G41" s="351">
        <f t="shared" si="24"/>
        <v>-98.4</v>
      </c>
      <c r="H41" s="528">
        <f>SUM(H38:H40)</f>
        <v>5.9290000000000003</v>
      </c>
      <c r="I41" s="380">
        <f>SUM(I38:I40)</f>
        <v>1.206</v>
      </c>
      <c r="J41" s="351">
        <f t="shared" si="25"/>
        <v>-79.7</v>
      </c>
      <c r="K41" s="528">
        <f>SUM(K38:K40)</f>
        <v>10</v>
      </c>
      <c r="L41" s="380">
        <f>SUM(L38:L40)</f>
        <v>12</v>
      </c>
      <c r="M41" s="351">
        <f t="shared" si="26"/>
        <v>20</v>
      </c>
      <c r="N41" s="528">
        <v>231.67352756000003</v>
      </c>
      <c r="O41" s="380">
        <v>156.04190003000002</v>
      </c>
      <c r="P41" s="351">
        <f t="shared" si="27"/>
        <v>-32.6</v>
      </c>
      <c r="Q41" s="528">
        <f>SUM(Q38:Q40)</f>
        <v>77.31</v>
      </c>
      <c r="R41" s="380">
        <f>SUM(R38:R40)</f>
        <v>93</v>
      </c>
      <c r="S41" s="351">
        <f t="shared" si="28"/>
        <v>20.3</v>
      </c>
      <c r="T41" s="528">
        <v>69</v>
      </c>
      <c r="U41" s="380">
        <f>SUM(U38:U40)</f>
        <v>87</v>
      </c>
      <c r="V41" s="351">
        <f t="shared" si="29"/>
        <v>26.1</v>
      </c>
      <c r="W41" s="528">
        <f>SUM(W38:W40)</f>
        <v>72.970490761147488</v>
      </c>
      <c r="X41" s="380">
        <f>SUM(X38:X40)</f>
        <v>10.140432069999999</v>
      </c>
      <c r="Y41" s="351">
        <f t="shared" si="30"/>
        <v>-86.1</v>
      </c>
      <c r="Z41" s="528">
        <f>SUM(Z38:Z40)</f>
        <v>1260.7129523099998</v>
      </c>
      <c r="AA41" s="380">
        <f>SUM(AA38:AA40)</f>
        <v>988.87643828999967</v>
      </c>
      <c r="AB41" s="351">
        <f t="shared" si="31"/>
        <v>-21.6</v>
      </c>
      <c r="AC41" s="528">
        <f>SUM(AC38:AC40)</f>
        <v>1</v>
      </c>
      <c r="AD41" s="380">
        <f>SUM(AD38:AD40)</f>
        <v>1</v>
      </c>
      <c r="AE41" s="351">
        <f t="shared" si="32"/>
        <v>0</v>
      </c>
      <c r="AF41" s="351">
        <f t="shared" si="33"/>
        <v>1947.1106041611474</v>
      </c>
      <c r="AG41" s="351">
        <f t="shared" si="33"/>
        <v>1533.9231301599998</v>
      </c>
      <c r="AH41" s="351">
        <f t="shared" si="11"/>
        <v>-21.2</v>
      </c>
      <c r="AI41" s="351"/>
      <c r="AJ41" s="449"/>
      <c r="AK41" s="351"/>
    </row>
    <row r="42" spans="1:37" s="450" customFormat="1" ht="18.75" customHeight="1" x14ac:dyDescent="0.3">
      <c r="A42" s="439" t="s">
        <v>274</v>
      </c>
      <c r="B42" s="528">
        <f>B35+B41</f>
        <v>573.61599999999999</v>
      </c>
      <c r="C42" s="380">
        <f>C35+C41</f>
        <v>654.77500000000259</v>
      </c>
      <c r="D42" s="351">
        <f t="shared" si="23"/>
        <v>14.1</v>
      </c>
      <c r="E42" s="528">
        <f>E35+E41</f>
        <v>293.06864002999964</v>
      </c>
      <c r="F42" s="380">
        <f>F35+F41</f>
        <v>207.27475840000022</v>
      </c>
      <c r="G42" s="351">
        <f t="shared" si="24"/>
        <v>-29.3</v>
      </c>
      <c r="H42" s="528">
        <f>H35+H41</f>
        <v>19.465999999999866</v>
      </c>
      <c r="I42" s="380">
        <f>I35+I41</f>
        <v>20.131999999999959</v>
      </c>
      <c r="J42" s="351">
        <f t="shared" si="25"/>
        <v>3.4</v>
      </c>
      <c r="K42" s="528">
        <f>K35+K41</f>
        <v>67</v>
      </c>
      <c r="L42" s="380">
        <f>L35+L41</f>
        <v>91</v>
      </c>
      <c r="M42" s="351">
        <f t="shared" si="26"/>
        <v>35.799999999999997</v>
      </c>
      <c r="N42" s="528">
        <v>204.65533575999962</v>
      </c>
      <c r="O42" s="380">
        <v>157.10226389999576</v>
      </c>
      <c r="P42" s="351">
        <f t="shared" si="27"/>
        <v>-23.2</v>
      </c>
      <c r="Q42" s="528">
        <f>Q35+Q41</f>
        <v>355.71530714999824</v>
      </c>
      <c r="R42" s="380">
        <f>R35+R41</f>
        <v>435.99999999999955</v>
      </c>
      <c r="S42" s="351">
        <f t="shared" si="28"/>
        <v>22.6</v>
      </c>
      <c r="T42" s="528">
        <v>188</v>
      </c>
      <c r="U42" s="380">
        <f>U35+U41</f>
        <v>151</v>
      </c>
      <c r="V42" s="351">
        <f t="shared" si="29"/>
        <v>-19.7</v>
      </c>
      <c r="W42" s="528">
        <f>W35+W41</f>
        <v>87.182116439990395</v>
      </c>
      <c r="X42" s="380">
        <f>X35+X41</f>
        <v>47.340968359997589</v>
      </c>
      <c r="Y42" s="351">
        <f t="shared" si="30"/>
        <v>-45.7</v>
      </c>
      <c r="Z42" s="528">
        <f>Z35+Z41</f>
        <v>1635.7343830714781</v>
      </c>
      <c r="AA42" s="380">
        <f>AA35+AA41</f>
        <v>1449.2640766899895</v>
      </c>
      <c r="AB42" s="351">
        <f t="shared" si="31"/>
        <v>-11.4</v>
      </c>
      <c r="AC42" s="528">
        <f>AC35+AC41</f>
        <v>-1</v>
      </c>
      <c r="AD42" s="380">
        <f>AD35+AD41</f>
        <v>0</v>
      </c>
      <c r="AE42" s="351">
        <f t="shared" si="32"/>
        <v>-100</v>
      </c>
      <c r="AF42" s="351">
        <f t="shared" si="33"/>
        <v>3424.4377824514659</v>
      </c>
      <c r="AG42" s="351">
        <f t="shared" si="33"/>
        <v>3213.889067349985</v>
      </c>
      <c r="AH42" s="351">
        <f t="shared" si="11"/>
        <v>-6.1</v>
      </c>
      <c r="AI42" s="351"/>
      <c r="AJ42" s="449"/>
      <c r="AK42" s="351"/>
    </row>
    <row r="43" spans="1:37" s="363" customFormat="1" ht="18.75" customHeight="1" x14ac:dyDescent="0.35">
      <c r="A43" s="427" t="s">
        <v>275</v>
      </c>
      <c r="B43" s="529">
        <v>-145.96700000000001</v>
      </c>
      <c r="C43" s="375">
        <v>-173.554</v>
      </c>
      <c r="D43" s="277">
        <f t="shared" si="23"/>
        <v>18.899999999999999</v>
      </c>
      <c r="E43" s="529">
        <v>-75.672979639999994</v>
      </c>
      <c r="F43" s="375">
        <v>-42.961045630000001</v>
      </c>
      <c r="G43" s="277">
        <f t="shared" si="24"/>
        <v>-43.2</v>
      </c>
      <c r="H43" s="529">
        <v>-4.8170000000000002</v>
      </c>
      <c r="I43" s="375"/>
      <c r="J43" s="277">
        <f t="shared" si="25"/>
        <v>-100</v>
      </c>
      <c r="K43" s="529">
        <v>-17</v>
      </c>
      <c r="L43" s="375">
        <v>-23</v>
      </c>
      <c r="M43" s="277">
        <f t="shared" si="26"/>
        <v>35.299999999999997</v>
      </c>
      <c r="N43" s="529">
        <v>-54.847311474999998</v>
      </c>
      <c r="O43" s="375">
        <v>-41.669196475</v>
      </c>
      <c r="P43" s="277">
        <f t="shared" si="27"/>
        <v>-24</v>
      </c>
      <c r="Q43" s="529">
        <v>-88.81</v>
      </c>
      <c r="R43" s="375">
        <v>-109</v>
      </c>
      <c r="S43" s="277">
        <f t="shared" si="28"/>
        <v>22.7</v>
      </c>
      <c r="T43" s="529">
        <v>-51</v>
      </c>
      <c r="U43" s="375">
        <v>-61</v>
      </c>
      <c r="V43" s="277">
        <f t="shared" si="29"/>
        <v>19.600000000000001</v>
      </c>
      <c r="W43" s="529">
        <v>-20.375167879999999</v>
      </c>
      <c r="X43" s="375">
        <v>-15.365087079999997</v>
      </c>
      <c r="Y43" s="277">
        <f t="shared" si="30"/>
        <v>-24.6</v>
      </c>
      <c r="Z43" s="529">
        <v>-43</v>
      </c>
      <c r="AA43" s="375">
        <v>-335</v>
      </c>
      <c r="AB43" s="277">
        <f t="shared" si="31"/>
        <v>679.1</v>
      </c>
      <c r="AC43" s="529"/>
      <c r="AD43" s="375"/>
      <c r="AE43" s="277"/>
      <c r="AF43" s="277">
        <f t="shared" si="33"/>
        <v>-501.48945899500001</v>
      </c>
      <c r="AG43" s="277">
        <f t="shared" si="33"/>
        <v>-801.54932918500003</v>
      </c>
      <c r="AH43" s="277">
        <f t="shared" si="11"/>
        <v>59.8</v>
      </c>
      <c r="AI43" s="277"/>
      <c r="AJ43" s="448"/>
      <c r="AK43" s="277"/>
    </row>
    <row r="44" spans="1:37" s="450" customFormat="1" ht="18.75" customHeight="1" x14ac:dyDescent="0.3">
      <c r="A44" s="439" t="s">
        <v>276</v>
      </c>
      <c r="B44" s="528">
        <f>B42+B43</f>
        <v>427.649</v>
      </c>
      <c r="C44" s="380">
        <f>C42+C43</f>
        <v>481.22100000000262</v>
      </c>
      <c r="D44" s="351">
        <f t="shared" si="23"/>
        <v>12.5</v>
      </c>
      <c r="E44" s="528">
        <f>E42+E43</f>
        <v>217.39566038999965</v>
      </c>
      <c r="F44" s="380">
        <f>F42+F43</f>
        <v>164.31371277000022</v>
      </c>
      <c r="G44" s="351">
        <f t="shared" si="24"/>
        <v>-24.4</v>
      </c>
      <c r="H44" s="528">
        <f>H42+H43</f>
        <v>14.648999999999866</v>
      </c>
      <c r="I44" s="380">
        <f>I42+I43</f>
        <v>20.131999999999959</v>
      </c>
      <c r="J44" s="351">
        <f t="shared" si="25"/>
        <v>37.4</v>
      </c>
      <c r="K44" s="528">
        <f>K42+K43</f>
        <v>50</v>
      </c>
      <c r="L44" s="380">
        <f>L42+L43</f>
        <v>68</v>
      </c>
      <c r="M44" s="351">
        <f t="shared" si="26"/>
        <v>36</v>
      </c>
      <c r="N44" s="528">
        <v>149.80802428499962</v>
      </c>
      <c r="O44" s="380">
        <v>115.43306742499576</v>
      </c>
      <c r="P44" s="351">
        <f t="shared" si="27"/>
        <v>-22.9</v>
      </c>
      <c r="Q44" s="528">
        <f>Q42+Q43</f>
        <v>266.90530714999824</v>
      </c>
      <c r="R44" s="380">
        <f>R42+R43</f>
        <v>326.99999999999955</v>
      </c>
      <c r="S44" s="351">
        <f t="shared" si="28"/>
        <v>22.5</v>
      </c>
      <c r="T44" s="528">
        <v>137</v>
      </c>
      <c r="U44" s="380">
        <f>U42+U43</f>
        <v>90</v>
      </c>
      <c r="V44" s="351">
        <f t="shared" si="29"/>
        <v>-34.299999999999997</v>
      </c>
      <c r="W44" s="528">
        <f>W42+W43</f>
        <v>66.806948559990389</v>
      </c>
      <c r="X44" s="380">
        <f>X42+X43</f>
        <v>31.975881279997594</v>
      </c>
      <c r="Y44" s="351">
        <f t="shared" si="30"/>
        <v>-52.1</v>
      </c>
      <c r="Z44" s="528">
        <f>Z42+Z43</f>
        <v>1592.7343830714781</v>
      </c>
      <c r="AA44" s="380">
        <f>AA42+AA43</f>
        <v>1114.2640766899895</v>
      </c>
      <c r="AB44" s="351">
        <f t="shared" si="31"/>
        <v>-30</v>
      </c>
      <c r="AC44" s="528">
        <f>AC42+AC43</f>
        <v>-1</v>
      </c>
      <c r="AD44" s="380">
        <f>AD42+AD43</f>
        <v>0</v>
      </c>
      <c r="AE44" s="351">
        <f t="shared" si="32"/>
        <v>-100</v>
      </c>
      <c r="AF44" s="351">
        <f t="shared" si="33"/>
        <v>2922.9483234564659</v>
      </c>
      <c r="AG44" s="351">
        <f t="shared" si="33"/>
        <v>2412.3397381649852</v>
      </c>
      <c r="AH44" s="351">
        <f t="shared" si="11"/>
        <v>-17.5</v>
      </c>
      <c r="AI44" s="351"/>
      <c r="AJ44" s="449"/>
      <c r="AK44" s="351"/>
    </row>
    <row r="45" spans="1:37" s="363" customFormat="1" ht="18.75" customHeight="1" x14ac:dyDescent="0.35">
      <c r="A45" s="427" t="s">
        <v>277</v>
      </c>
      <c r="B45" s="529"/>
      <c r="C45" s="375"/>
      <c r="D45" s="277"/>
      <c r="E45" s="529"/>
      <c r="F45" s="375"/>
      <c r="G45" s="277"/>
      <c r="H45" s="529"/>
      <c r="I45" s="375"/>
      <c r="J45" s="277"/>
      <c r="K45" s="529"/>
      <c r="L45" s="375"/>
      <c r="M45" s="277"/>
      <c r="N45" s="529">
        <v>9.8931004749999989</v>
      </c>
      <c r="O45" s="375">
        <v>110.348447315</v>
      </c>
      <c r="P45" s="277">
        <f t="shared" si="27"/>
        <v>999</v>
      </c>
      <c r="Q45" s="529">
        <v>-6.08</v>
      </c>
      <c r="R45" s="375">
        <v>4</v>
      </c>
      <c r="S45" s="277">
        <f t="shared" si="28"/>
        <v>-165.8</v>
      </c>
      <c r="T45" s="529"/>
      <c r="U45" s="375"/>
      <c r="V45" s="277"/>
      <c r="W45" s="529"/>
      <c r="X45" s="375"/>
      <c r="Y45" s="277"/>
      <c r="Z45" s="529">
        <v>0</v>
      </c>
      <c r="AA45" s="375">
        <v>3.421783447265625E-9</v>
      </c>
      <c r="AB45" s="277" t="str">
        <f t="shared" si="31"/>
        <v xml:space="preserve">    ---- </v>
      </c>
      <c r="AC45" s="529"/>
      <c r="AD45" s="375"/>
      <c r="AE45" s="277"/>
      <c r="AF45" s="277">
        <f t="shared" si="33"/>
        <v>3.8131004749999988</v>
      </c>
      <c r="AG45" s="277">
        <f t="shared" si="33"/>
        <v>114.34844731842179</v>
      </c>
      <c r="AH45" s="277">
        <f t="shared" si="11"/>
        <v>999</v>
      </c>
      <c r="AI45" s="277"/>
      <c r="AJ45" s="448"/>
      <c r="AK45" s="277"/>
    </row>
    <row r="46" spans="1:37" s="450" customFormat="1" ht="18.75" customHeight="1" x14ac:dyDescent="0.3">
      <c r="A46" s="438" t="s">
        <v>278</v>
      </c>
      <c r="B46" s="530">
        <f>B44+B45</f>
        <v>427.649</v>
      </c>
      <c r="C46" s="381">
        <f>C44+C45</f>
        <v>481.22100000000262</v>
      </c>
      <c r="D46" s="358">
        <f>IF(B46=0, "    ---- ", IF(ABS(ROUND(100/B46*C46-100,1))&lt;999,ROUND(100/B46*C46-100,1),IF(ROUND(100/B46*C46-100,1)&gt;999,999,-999)))</f>
        <v>12.5</v>
      </c>
      <c r="E46" s="530">
        <f>E44+E45</f>
        <v>217.39566038999965</v>
      </c>
      <c r="F46" s="381">
        <f>F44+F45</f>
        <v>164.31371277000022</v>
      </c>
      <c r="G46" s="358">
        <f>IF(E46=0, "    ---- ", IF(ABS(ROUND(100/E46*F46-100,1))&lt;999,ROUND(100/E46*F46-100,1),IF(ROUND(100/E46*F46-100,1)&gt;999,999,-999)))</f>
        <v>-24.4</v>
      </c>
      <c r="H46" s="530">
        <f>H44+H45</f>
        <v>14.648999999999866</v>
      </c>
      <c r="I46" s="381">
        <f>I44+I45</f>
        <v>20.131999999999959</v>
      </c>
      <c r="J46" s="358">
        <f>IF(H46=0, "    ---- ", IF(ABS(ROUND(100/H46*I46-100,1))&lt;999,ROUND(100/H46*I46-100,1),IF(ROUND(100/H46*I46-100,1)&gt;999,999,-999)))</f>
        <v>37.4</v>
      </c>
      <c r="K46" s="530">
        <f>K44+K45</f>
        <v>50</v>
      </c>
      <c r="L46" s="381">
        <f>L44+L45</f>
        <v>68</v>
      </c>
      <c r="M46" s="358">
        <f>IF(K46=0, "    ---- ", IF(ABS(ROUND(100/K46*L46-100,1))&lt;999,ROUND(100/K46*L46-100,1),IF(ROUND(100/K46*L46-100,1)&gt;999,999,-999)))</f>
        <v>36</v>
      </c>
      <c r="N46" s="530">
        <v>159.70112475999963</v>
      </c>
      <c r="O46" s="381">
        <v>225.78151473999577</v>
      </c>
      <c r="P46" s="358">
        <f>IF(N46=0, "    ---- ", IF(ABS(ROUND(100/N46*O46-100,1))&lt;999,ROUND(100/N46*O46-100,1),IF(ROUND(100/N46*O46-100,1)&gt;999,999,-999)))</f>
        <v>41.4</v>
      </c>
      <c r="Q46" s="530">
        <f>Q44+Q45</f>
        <v>260.82530714999825</v>
      </c>
      <c r="R46" s="381">
        <f>R44+R45</f>
        <v>330.99999999999955</v>
      </c>
      <c r="S46" s="358">
        <f>IF(Q46=0, "    ---- ", IF(ABS(ROUND(100/Q46*R46-100,1))&lt;999,ROUND(100/Q46*R46-100,1),IF(ROUND(100/Q46*R46-100,1)&gt;999,999,-999)))</f>
        <v>26.9</v>
      </c>
      <c r="T46" s="530">
        <v>137</v>
      </c>
      <c r="U46" s="381">
        <f>U44+U45</f>
        <v>90</v>
      </c>
      <c r="V46" s="358">
        <f>IF(T46=0, "    ---- ", IF(ABS(ROUND(100/T46*U46-100,1))&lt;999,ROUND(100/T46*U46-100,1),IF(ROUND(100/T46*U46-100,1)&gt;999,999,-999)))</f>
        <v>-34.299999999999997</v>
      </c>
      <c r="W46" s="530">
        <f>W44+W45</f>
        <v>66.806948559990389</v>
      </c>
      <c r="X46" s="381">
        <f>X44+X45</f>
        <v>31.975881279997594</v>
      </c>
      <c r="Y46" s="358">
        <f>IF(W46=0, "    ---- ", IF(ABS(ROUND(100/W46*X46-100,1))&lt;999,ROUND(100/W46*X46-100,1),IF(ROUND(100/W46*X46-100,1)&gt;999,999,-999)))</f>
        <v>-52.1</v>
      </c>
      <c r="Z46" s="530">
        <f>Z44+Z45</f>
        <v>1592.7343830714781</v>
      </c>
      <c r="AA46" s="381">
        <f>AA44+AA45</f>
        <v>1114.2640766934112</v>
      </c>
      <c r="AB46" s="358">
        <f>IF(Z46=0, "    ---- ", IF(ABS(ROUND(100/Z46*AA46-100,1))&lt;999,ROUND(100/Z46*AA46-100,1),IF(ROUND(100/Z46*AA46-100,1)&gt;999,999,-999)))</f>
        <v>-30</v>
      </c>
      <c r="AC46" s="530">
        <f>AC44+AC45</f>
        <v>-1</v>
      </c>
      <c r="AD46" s="381">
        <f>AD44+AD45</f>
        <v>0</v>
      </c>
      <c r="AE46" s="358">
        <f>IF(AC46=0, "    ---- ", IF(ABS(ROUND(100/AC46*AD46-100,1))&lt;999,ROUND(100/AC46*AD46-100,1),IF(ROUND(100/AC46*AD46-100,1)&gt;999,999,-999)))</f>
        <v>-100</v>
      </c>
      <c r="AF46" s="351">
        <f t="shared" si="33"/>
        <v>2926.7614239314657</v>
      </c>
      <c r="AG46" s="351">
        <f t="shared" si="33"/>
        <v>2526.6881854834069</v>
      </c>
      <c r="AH46" s="358">
        <f t="shared" si="11"/>
        <v>-13.7</v>
      </c>
      <c r="AI46" s="451"/>
      <c r="AJ46" s="452"/>
      <c r="AK46" s="453"/>
    </row>
    <row r="47" spans="1:37" s="450" customFormat="1" ht="18.75" customHeight="1" x14ac:dyDescent="0.3">
      <c r="A47" s="454"/>
      <c r="B47" s="455"/>
      <c r="C47" s="455"/>
      <c r="D47" s="440"/>
      <c r="E47" s="455"/>
      <c r="F47" s="455"/>
      <c r="G47" s="440"/>
      <c r="H47" s="455"/>
      <c r="I47" s="455"/>
      <c r="J47" s="440"/>
      <c r="K47" s="455"/>
      <c r="L47" s="455"/>
      <c r="M47" s="456"/>
      <c r="N47" s="455"/>
      <c r="O47" s="455"/>
      <c r="P47" s="440"/>
      <c r="Q47" s="455"/>
      <c r="R47" s="455"/>
      <c r="S47" s="440"/>
      <c r="T47" s="455"/>
      <c r="U47" s="455"/>
      <c r="V47" s="440"/>
      <c r="W47" s="455"/>
      <c r="X47" s="455"/>
      <c r="Y47" s="440"/>
      <c r="Z47" s="455"/>
      <c r="AA47" s="455"/>
      <c r="AB47" s="440"/>
      <c r="AC47" s="455"/>
      <c r="AD47" s="455"/>
      <c r="AE47" s="440"/>
      <c r="AF47" s="456"/>
      <c r="AG47" s="456"/>
      <c r="AH47" s="440"/>
      <c r="AI47" s="457"/>
      <c r="AJ47" s="457"/>
      <c r="AK47" s="458"/>
    </row>
    <row r="48" spans="1:37" s="450" customFormat="1" ht="18.75" customHeight="1" x14ac:dyDescent="0.35">
      <c r="A48" s="384" t="s">
        <v>279</v>
      </c>
      <c r="B48" s="459"/>
      <c r="C48" s="459"/>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row>
    <row r="49" spans="1:37" s="363" customFormat="1" ht="18.75" customHeight="1" x14ac:dyDescent="0.35">
      <c r="A49" s="459" t="s">
        <v>280</v>
      </c>
      <c r="B49" s="459"/>
      <c r="C49" s="459"/>
      <c r="D49" s="459"/>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row>
    <row r="50" spans="1:37" s="363" customFormat="1" ht="18.75" customHeight="1" x14ac:dyDescent="0.35">
      <c r="A50" s="459" t="s">
        <v>281</v>
      </c>
      <c r="B50" s="459"/>
      <c r="C50" s="459"/>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row>
    <row r="51" spans="1:37" s="363" customFormat="1" ht="18.75" customHeight="1" x14ac:dyDescent="0.35">
      <c r="A51" s="459" t="s">
        <v>282</v>
      </c>
      <c r="B51" s="459"/>
      <c r="C51" s="45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row>
    <row r="52" spans="1:37" s="363" customFormat="1" ht="18.75" customHeight="1" x14ac:dyDescent="0.35">
      <c r="A52" s="459" t="s">
        <v>283</v>
      </c>
      <c r="B52" s="459"/>
      <c r="C52" s="459"/>
      <c r="D52" s="459"/>
      <c r="E52" s="459"/>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row>
    <row r="53" spans="1:37" s="363" customFormat="1" ht="18.75" customHeight="1" x14ac:dyDescent="0.35">
      <c r="A53" s="459" t="s">
        <v>284</v>
      </c>
      <c r="B53" s="459"/>
      <c r="C53" s="459"/>
      <c r="D53" s="459"/>
      <c r="E53" s="459"/>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row>
    <row r="54" spans="1:37" s="363" customFormat="1" ht="18.75" customHeight="1" x14ac:dyDescent="0.35">
      <c r="A54" s="459" t="s">
        <v>285</v>
      </c>
      <c r="B54" s="459"/>
      <c r="C54" s="459"/>
      <c r="D54" s="459"/>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K54" s="459"/>
    </row>
    <row r="55" spans="1:37" s="363" customFormat="1" ht="18.75" customHeight="1" x14ac:dyDescent="0.35">
      <c r="A55" s="459" t="s">
        <v>286</v>
      </c>
      <c r="B55" s="459"/>
      <c r="C55" s="459"/>
      <c r="D55" s="459"/>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row>
    <row r="56" spans="1:37" s="363" customFormat="1" ht="18.75" customHeight="1" x14ac:dyDescent="0.35">
      <c r="A56" s="459" t="s">
        <v>287</v>
      </c>
      <c r="B56" s="459"/>
      <c r="C56" s="459"/>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59"/>
      <c r="AE56" s="459"/>
      <c r="AF56" s="459"/>
      <c r="AG56" s="459"/>
      <c r="AH56" s="459"/>
      <c r="AI56" s="459"/>
      <c r="AJ56" s="459"/>
      <c r="AK56" s="459"/>
    </row>
    <row r="57" spans="1:37" s="363" customFormat="1" ht="18.75" customHeight="1" x14ac:dyDescent="0.35">
      <c r="A57" s="459" t="s">
        <v>288</v>
      </c>
      <c r="B57" s="459"/>
      <c r="C57" s="459"/>
      <c r="D57" s="459"/>
      <c r="E57" s="459"/>
      <c r="F57" s="459"/>
      <c r="G57" s="459"/>
      <c r="H57" s="459"/>
      <c r="I57" s="459"/>
      <c r="J57" s="459"/>
      <c r="K57" s="459"/>
      <c r="L57" s="459"/>
      <c r="M57" s="459"/>
      <c r="N57" s="459"/>
      <c r="O57" s="459"/>
      <c r="P57" s="459"/>
      <c r="Q57" s="459"/>
      <c r="R57" s="459"/>
      <c r="S57" s="459"/>
      <c r="T57" s="459"/>
      <c r="U57" s="459"/>
      <c r="V57" s="459"/>
      <c r="W57" s="459"/>
      <c r="X57" s="459"/>
      <c r="Y57" s="459"/>
      <c r="Z57" s="459"/>
      <c r="AA57" s="459"/>
      <c r="AB57" s="459"/>
      <c r="AC57" s="459"/>
      <c r="AD57" s="459"/>
      <c r="AE57" s="459"/>
      <c r="AF57" s="459"/>
      <c r="AG57" s="459"/>
      <c r="AH57" s="459"/>
      <c r="AI57" s="459"/>
      <c r="AJ57" s="459"/>
      <c r="AK57" s="459"/>
    </row>
    <row r="58" spans="1:37" s="450" customFormat="1" ht="18.75" customHeight="1" x14ac:dyDescent="0.35">
      <c r="A58" s="385" t="s">
        <v>289</v>
      </c>
      <c r="B58" s="460"/>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row>
    <row r="59" spans="1:37" s="366" customFormat="1" ht="18.75" customHeight="1" x14ac:dyDescent="0.35">
      <c r="A59" s="363" t="s">
        <v>290</v>
      </c>
    </row>
    <row r="60" spans="1:37" s="366" customFormat="1" ht="18.75" customHeight="1" x14ac:dyDescent="0.35">
      <c r="A60" s="363" t="s">
        <v>291</v>
      </c>
    </row>
    <row r="61" spans="1:37" s="366" customFormat="1" ht="18.75" customHeight="1" x14ac:dyDescent="0.35">
      <c r="A61" s="363" t="s">
        <v>292</v>
      </c>
    </row>
    <row r="62" spans="1:37" s="366" customFormat="1" ht="18" x14ac:dyDescent="0.35"/>
  </sheetData>
  <mergeCells count="23">
    <mergeCell ref="AI6:AK6"/>
    <mergeCell ref="Q6:S6"/>
    <mergeCell ref="T6:V6"/>
    <mergeCell ref="W6:Y6"/>
    <mergeCell ref="Z6:AB6"/>
    <mergeCell ref="AC6:AE6"/>
    <mergeCell ref="AF6:AH6"/>
    <mergeCell ref="W5:Y5"/>
    <mergeCell ref="Z5:AB5"/>
    <mergeCell ref="AC5:AE5"/>
    <mergeCell ref="AF5:AH5"/>
    <mergeCell ref="AI5:AK5"/>
    <mergeCell ref="B6:D6"/>
    <mergeCell ref="E6:G6"/>
    <mergeCell ref="H6:J6"/>
    <mergeCell ref="K6:M6"/>
    <mergeCell ref="N6:P6"/>
    <mergeCell ref="T5:V5"/>
    <mergeCell ref="B5:D5"/>
    <mergeCell ref="E5:G5"/>
    <mergeCell ref="H5:J5"/>
    <mergeCell ref="K5:M5"/>
    <mergeCell ref="N5:P5"/>
  </mergeCells>
  <conditionalFormatting sqref="B30">
    <cfRule type="expression" dxfId="176" priority="62">
      <formula>#REF! ="30≠24+25+26+27+28+29"</formula>
    </cfRule>
  </conditionalFormatting>
  <conditionalFormatting sqref="B14:C14">
    <cfRule type="expression" dxfId="175" priority="63">
      <formula>#REF! ="14≠11+12+13"</formula>
    </cfRule>
  </conditionalFormatting>
  <conditionalFormatting sqref="B21:C21">
    <cfRule type="expression" dxfId="174" priority="64">
      <formula>#REF! ="22≠19+20+21"</formula>
    </cfRule>
  </conditionalFormatting>
  <conditionalFormatting sqref="B35:C35">
    <cfRule type="expression" dxfId="173" priority="65">
      <formula>#REF! ="35≠14+15+16+17+22+30+31+32+33+34"</formula>
    </cfRule>
  </conditionalFormatting>
  <conditionalFormatting sqref="B46:C46">
    <cfRule type="expression" dxfId="172" priority="61">
      <formula>#REF! ="46≠35+38+39+40+43+45"</formula>
    </cfRule>
  </conditionalFormatting>
  <conditionalFormatting sqref="E14:F14">
    <cfRule type="expression" dxfId="171" priority="1">
      <formula>#REF! ="14≠11+12+13"</formula>
    </cfRule>
  </conditionalFormatting>
  <conditionalFormatting sqref="E21:F21">
    <cfRule type="expression" dxfId="170" priority="2">
      <formula>#REF! ="22≠19+20+21"</formula>
    </cfRule>
  </conditionalFormatting>
  <conditionalFormatting sqref="E30:F30">
    <cfRule type="expression" dxfId="169" priority="3">
      <formula>#REF! ="30≠24+25+26+27+28+29"</formula>
    </cfRule>
  </conditionalFormatting>
  <conditionalFormatting sqref="E35:F35">
    <cfRule type="expression" dxfId="168" priority="5">
      <formula>#REF! ="35≠14+15+16+17+22+30+31+32+33+34"</formula>
    </cfRule>
  </conditionalFormatting>
  <conditionalFormatting sqref="E46:F46">
    <cfRule type="expression" dxfId="167" priority="4">
      <formula>#REF! ="46≠35+38+39+40+43+45"</formula>
    </cfRule>
  </conditionalFormatting>
  <conditionalFormatting sqref="H14:I14">
    <cfRule type="expression" dxfId="166" priority="12">
      <formula>#REF! ="14≠11+12+13"</formula>
    </cfRule>
  </conditionalFormatting>
  <conditionalFormatting sqref="H21:I21">
    <cfRule type="expression" dxfId="165" priority="13">
      <formula>#REF! ="22≠19+20+21"</formula>
    </cfRule>
  </conditionalFormatting>
  <conditionalFormatting sqref="H30:I30">
    <cfRule type="expression" dxfId="164" priority="11">
      <formula>#REF! ="30≠24+25+26+27+28+29"</formula>
    </cfRule>
  </conditionalFormatting>
  <conditionalFormatting sqref="H35:I35">
    <cfRule type="expression" dxfId="163" priority="14">
      <formula>#REF! ="35≠14+15+16+17+22+30+31+32+33+34"</formula>
    </cfRule>
  </conditionalFormatting>
  <conditionalFormatting sqref="H46:I46">
    <cfRule type="expression" dxfId="162" priority="15">
      <formula>#REF! ="46≠35+38+39+40+43+45"</formula>
    </cfRule>
  </conditionalFormatting>
  <conditionalFormatting sqref="K14:L14">
    <cfRule type="expression" dxfId="161" priority="52">
      <formula>#REF! ="14≠11+12+13"</formula>
    </cfRule>
  </conditionalFormatting>
  <conditionalFormatting sqref="K21:L21">
    <cfRule type="expression" dxfId="160" priority="53">
      <formula>#REF! ="22≠19+20+21"</formula>
    </cfRule>
  </conditionalFormatting>
  <conditionalFormatting sqref="K30:L30">
    <cfRule type="expression" dxfId="159" priority="51">
      <formula>#REF! ="30≠24+25+26+27+28+29"</formula>
    </cfRule>
  </conditionalFormatting>
  <conditionalFormatting sqref="K35:L35">
    <cfRule type="expression" dxfId="158" priority="54">
      <formula>#REF! ="35≠14+15+16+17+22+30+31+32+33+34"</formula>
    </cfRule>
  </conditionalFormatting>
  <conditionalFormatting sqref="K46:L46">
    <cfRule type="expression" dxfId="157" priority="55">
      <formula>#REF! ="46≠35+38+39+40+43+45"</formula>
    </cfRule>
  </conditionalFormatting>
  <conditionalFormatting sqref="N14:O14">
    <cfRule type="expression" dxfId="156" priority="22">
      <formula>#REF! ="14≠11+12+13"</formula>
    </cfRule>
  </conditionalFormatting>
  <conditionalFormatting sqref="N21:O21">
    <cfRule type="expression" dxfId="155" priority="23">
      <formula>#REF! ="22≠19+20+21"</formula>
    </cfRule>
  </conditionalFormatting>
  <conditionalFormatting sqref="N30:O30">
    <cfRule type="expression" dxfId="154" priority="21">
      <formula>#REF! ="30≠24+25+26+27+28+29"</formula>
    </cfRule>
  </conditionalFormatting>
  <conditionalFormatting sqref="N35:O35">
    <cfRule type="expression" dxfId="153" priority="24">
      <formula>#REF! ="35≠14+15+16+17+22+30+31+32+33+34"</formula>
    </cfRule>
  </conditionalFormatting>
  <conditionalFormatting sqref="N46:O46">
    <cfRule type="expression" dxfId="152" priority="25">
      <formula>#REF! ="46≠35+38+39+40+43+45"</formula>
    </cfRule>
  </conditionalFormatting>
  <conditionalFormatting sqref="Q14:R14">
    <cfRule type="expression" dxfId="151" priority="81">
      <formula>#REF! ="14≠11+12+13"</formula>
    </cfRule>
  </conditionalFormatting>
  <conditionalFormatting sqref="Q21:R21">
    <cfRule type="expression" dxfId="150" priority="82">
      <formula>#REF! ="22≠19+20+21"</formula>
    </cfRule>
  </conditionalFormatting>
  <conditionalFormatting sqref="Q30:R30">
    <cfRule type="expression" dxfId="149" priority="80">
      <formula>#REF! ="30≠24+25+26+27+28+29"</formula>
    </cfRule>
  </conditionalFormatting>
  <conditionalFormatting sqref="Q35:R35">
    <cfRule type="expression" dxfId="148" priority="83">
      <formula>#REF! ="35≠14+15+16+17+22+30+31+32+33+34"</formula>
    </cfRule>
  </conditionalFormatting>
  <conditionalFormatting sqref="Q46:R46">
    <cfRule type="expression" dxfId="147" priority="84">
      <formula>#REF! ="46≠35+38+39+40+43+45"</formula>
    </cfRule>
  </conditionalFormatting>
  <conditionalFormatting sqref="T14:U14">
    <cfRule type="expression" dxfId="146" priority="34">
      <formula>#REF! ="14≠11+12+13"</formula>
    </cfRule>
  </conditionalFormatting>
  <conditionalFormatting sqref="T21:U21">
    <cfRule type="expression" dxfId="145" priority="35">
      <formula>#REF! ="22≠19+20+21"</formula>
    </cfRule>
  </conditionalFormatting>
  <conditionalFormatting sqref="T30:U30">
    <cfRule type="expression" dxfId="144" priority="31">
      <formula>#REF! ="30≠24+25+26+27+28+29"</formula>
    </cfRule>
  </conditionalFormatting>
  <conditionalFormatting sqref="T35:U35">
    <cfRule type="expression" dxfId="143" priority="32">
      <formula>#REF! ="35≠14+15+16+17+22+30+31+32+33+34"</formula>
    </cfRule>
  </conditionalFormatting>
  <conditionalFormatting sqref="T46:U46">
    <cfRule type="expression" dxfId="142" priority="33">
      <formula>#REF! ="46≠35+38+39+40+43+45"</formula>
    </cfRule>
  </conditionalFormatting>
  <conditionalFormatting sqref="W14:X14">
    <cfRule type="expression" dxfId="141" priority="91">
      <formula>#REF! ="14≠11+12+13"</formula>
    </cfRule>
  </conditionalFormatting>
  <conditionalFormatting sqref="W21:X21">
    <cfRule type="expression" dxfId="140" priority="92">
      <formula>#REF! ="22≠19+20+21"</formula>
    </cfRule>
  </conditionalFormatting>
  <conditionalFormatting sqref="W30:X30">
    <cfRule type="expression" dxfId="139" priority="90">
      <formula>#REF! ="30≠24+25+26+27+28+29"</formula>
    </cfRule>
  </conditionalFormatting>
  <conditionalFormatting sqref="W35:X35">
    <cfRule type="expression" dxfId="138" priority="93">
      <formula>#REF! ="35≠14+15+16+17+22+30+31+32+33+34"</formula>
    </cfRule>
  </conditionalFormatting>
  <conditionalFormatting sqref="W46:X46">
    <cfRule type="expression" dxfId="137" priority="94">
      <formula>#REF! ="46≠35+38+39+40+43+45"</formula>
    </cfRule>
  </conditionalFormatting>
  <conditionalFormatting sqref="Z14:AA14">
    <cfRule type="expression" dxfId="136" priority="71">
      <formula>#REF! ="14≠11+12+13"</formula>
    </cfRule>
  </conditionalFormatting>
  <conditionalFormatting sqref="Z21:AA21">
    <cfRule type="expression" dxfId="135" priority="72">
      <formula>#REF! ="22≠19+20+21"</formula>
    </cfRule>
  </conditionalFormatting>
  <conditionalFormatting sqref="Z30:AA30">
    <cfRule type="expression" dxfId="134" priority="70">
      <formula>#REF! ="30≠24+25+26+27+28+29"</formula>
    </cfRule>
  </conditionalFormatting>
  <conditionalFormatting sqref="Z35:AA35">
    <cfRule type="expression" dxfId="133" priority="73">
      <formula>#REF! ="35≠14+15+16+17+22+30+31+32+33+34"</formula>
    </cfRule>
  </conditionalFormatting>
  <conditionalFormatting sqref="Z46:AA46">
    <cfRule type="expression" dxfId="132" priority="74">
      <formula>#REF! ="46≠35+38+39+40+43+45"</formula>
    </cfRule>
  </conditionalFormatting>
  <conditionalFormatting sqref="AC14:AD14">
    <cfRule type="expression" dxfId="131" priority="42">
      <formula>#REF! ="14≠11+12+13"</formula>
    </cfRule>
  </conditionalFormatting>
  <conditionalFormatting sqref="AC21:AD21">
    <cfRule type="expression" dxfId="130" priority="43">
      <formula>#REF! ="22≠19+20+21"</formula>
    </cfRule>
  </conditionalFormatting>
  <conditionalFormatting sqref="AC30:AD30">
    <cfRule type="expression" dxfId="129" priority="41">
      <formula>#REF! ="30≠24+25+26+27+28+29"</formula>
    </cfRule>
  </conditionalFormatting>
  <conditionalFormatting sqref="AC35:AD35">
    <cfRule type="expression" dxfId="128" priority="44">
      <formula>#REF! ="35≠14+15+16+17+22+30+31+32+33+34"</formula>
    </cfRule>
  </conditionalFormatting>
  <conditionalFormatting sqref="AC46:AD46">
    <cfRule type="expression" dxfId="127" priority="45">
      <formula>#REF! ="46≠35+38+39+40+43+45"</formula>
    </cfRule>
  </conditionalFormatting>
  <conditionalFormatting sqref="AF35:AG35 AI35:AJ35">
    <cfRule type="expression" dxfId="126" priority="427">
      <formula>#REF! ="35≠14+15+16+17+22+30+31+32+33+34"</formula>
    </cfRule>
  </conditionalFormatting>
  <conditionalFormatting sqref="AI30:AJ30">
    <cfRule type="expression" dxfId="125" priority="426">
      <formula>#REF! ="30≠24+25+26+27+28+29"</formula>
    </cfRule>
  </conditionalFormatting>
  <conditionalFormatting sqref="AI46:AJ46">
    <cfRule type="expression" dxfId="124" priority="429">
      <formula>#REF! ="46≠35+38+39+40+43+45"</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A444-C37C-499D-8F4D-6A034CA46052}">
  <sheetPr codeName="Ark39"/>
  <dimension ref="A1:AY114"/>
  <sheetViews>
    <sheetView showGridLines="0" zoomScale="70" zoomScaleNormal="70" workbookViewId="0">
      <pane xSplit="1" ySplit="8" topLeftCell="B9" activePane="bottomRight" state="frozen"/>
      <selection pane="topRight" activeCell="A42" sqref="A42"/>
      <selection pane="bottomLeft" activeCell="A42" sqref="A42"/>
      <selection pane="bottomRight" activeCell="A4" sqref="A4"/>
    </sheetView>
  </sheetViews>
  <sheetFormatPr baseColWidth="10" defaultColWidth="11.44140625" defaultRowHeight="13.2" x14ac:dyDescent="0.25"/>
  <cols>
    <col min="1" max="1" width="111.33203125" style="364" customWidth="1"/>
    <col min="2" max="31" width="11.6640625" style="364" customWidth="1"/>
    <col min="32" max="32" width="15.109375" style="364" customWidth="1"/>
    <col min="33" max="33" width="13" style="364" customWidth="1"/>
    <col min="34" max="34" width="11.6640625" style="364" customWidth="1"/>
    <col min="35" max="36" width="13" style="364" customWidth="1"/>
    <col min="37" max="37" width="11.6640625" style="364" customWidth="1"/>
    <col min="38" max="16384" width="11.44140625" style="364"/>
  </cols>
  <sheetData>
    <row r="1" spans="1:51" ht="20.25" customHeight="1" x14ac:dyDescent="0.35">
      <c r="A1" s="367" t="s">
        <v>293</v>
      </c>
      <c r="B1" s="368"/>
      <c r="C1" s="368"/>
      <c r="D1" s="368"/>
      <c r="E1" s="368"/>
      <c r="F1" s="368"/>
      <c r="G1" s="368"/>
      <c r="H1" s="368"/>
      <c r="I1" s="368"/>
      <c r="J1" s="368"/>
    </row>
    <row r="2" spans="1:51" ht="20.100000000000001" customHeight="1" x14ac:dyDescent="0.35">
      <c r="A2" s="367" t="s">
        <v>35</v>
      </c>
      <c r="C2" s="485"/>
      <c r="D2" s="486"/>
      <c r="E2" s="486"/>
    </row>
    <row r="3" spans="1:51" ht="20.100000000000001" customHeight="1" x14ac:dyDescent="0.3">
      <c r="A3" s="369" t="s">
        <v>296</v>
      </c>
      <c r="B3" s="498"/>
      <c r="C3" s="498"/>
      <c r="D3" s="498"/>
      <c r="E3" s="498"/>
      <c r="F3" s="498"/>
      <c r="G3" s="498"/>
      <c r="H3" s="498"/>
      <c r="I3" s="498"/>
      <c r="J3" s="498"/>
    </row>
    <row r="4" spans="1:51" ht="18.75" customHeight="1" x14ac:dyDescent="0.3">
      <c r="A4" s="490" t="s">
        <v>153</v>
      </c>
      <c r="B4" s="499"/>
      <c r="C4" s="499"/>
      <c r="D4" s="500"/>
      <c r="E4" s="501"/>
      <c r="F4" s="499"/>
      <c r="G4" s="500"/>
      <c r="H4" s="501"/>
      <c r="I4" s="499"/>
      <c r="J4" s="500"/>
      <c r="K4" s="370"/>
      <c r="L4" s="370"/>
      <c r="M4" s="370"/>
      <c r="N4" s="371"/>
      <c r="O4" s="370"/>
      <c r="P4" s="372"/>
      <c r="Q4" s="371"/>
      <c r="R4" s="370"/>
      <c r="S4" s="372"/>
      <c r="T4" s="371"/>
      <c r="U4" s="370"/>
      <c r="V4" s="372"/>
      <c r="W4" s="371"/>
      <c r="X4" s="370"/>
      <c r="Y4" s="372"/>
      <c r="Z4" s="371"/>
      <c r="AA4" s="370"/>
      <c r="AB4" s="372"/>
      <c r="AC4" s="371"/>
      <c r="AD4" s="370"/>
      <c r="AE4" s="372"/>
      <c r="AF4" s="371"/>
      <c r="AG4" s="370"/>
      <c r="AH4" s="372"/>
      <c r="AI4" s="371"/>
      <c r="AJ4" s="370"/>
      <c r="AK4" s="372"/>
      <c r="AL4" s="502"/>
      <c r="AM4" s="502"/>
      <c r="AN4" s="502"/>
      <c r="AO4" s="502"/>
      <c r="AP4" s="502"/>
      <c r="AQ4" s="502"/>
      <c r="AR4" s="502"/>
      <c r="AS4" s="502"/>
      <c r="AT4" s="502"/>
      <c r="AU4" s="502"/>
      <c r="AV4" s="502"/>
      <c r="AW4" s="502"/>
      <c r="AX4" s="502"/>
      <c r="AY4" s="502"/>
    </row>
    <row r="5" spans="1:51" ht="18.75" customHeight="1" x14ac:dyDescent="0.3">
      <c r="A5" s="428" t="s">
        <v>119</v>
      </c>
      <c r="B5" s="596" t="s">
        <v>228</v>
      </c>
      <c r="C5" s="597"/>
      <c r="D5" s="598"/>
      <c r="E5" s="596"/>
      <c r="F5" s="597"/>
      <c r="G5" s="598"/>
      <c r="H5" s="596" t="s">
        <v>229</v>
      </c>
      <c r="I5" s="597"/>
      <c r="J5" s="598"/>
      <c r="K5" s="596" t="s">
        <v>230</v>
      </c>
      <c r="L5" s="597"/>
      <c r="M5" s="598"/>
      <c r="N5" s="533" t="s">
        <v>294</v>
      </c>
      <c r="O5" s="534"/>
      <c r="P5" s="535"/>
      <c r="Q5" s="533"/>
      <c r="R5" s="534"/>
      <c r="S5" s="535"/>
      <c r="T5" s="596" t="s">
        <v>231</v>
      </c>
      <c r="U5" s="597"/>
      <c r="V5" s="598"/>
      <c r="W5" s="596" t="s">
        <v>239</v>
      </c>
      <c r="X5" s="597"/>
      <c r="Y5" s="598"/>
      <c r="Z5" s="596" t="s">
        <v>232</v>
      </c>
      <c r="AA5" s="597"/>
      <c r="AB5" s="598"/>
      <c r="AC5" s="596" t="s">
        <v>233</v>
      </c>
      <c r="AD5" s="597"/>
      <c r="AE5" s="598"/>
      <c r="AF5" s="596" t="s">
        <v>120</v>
      </c>
      <c r="AG5" s="597"/>
      <c r="AH5" s="598"/>
      <c r="AI5" s="596" t="s">
        <v>120</v>
      </c>
      <c r="AJ5" s="597"/>
      <c r="AK5" s="598"/>
      <c r="AL5" s="512"/>
      <c r="AM5" s="512"/>
      <c r="AN5" s="602"/>
      <c r="AO5" s="602"/>
      <c r="AP5" s="602"/>
      <c r="AQ5" s="602"/>
      <c r="AR5" s="602"/>
      <c r="AS5" s="602"/>
      <c r="AT5" s="602"/>
      <c r="AU5" s="602"/>
      <c r="AV5" s="602"/>
      <c r="AW5" s="602"/>
      <c r="AX5" s="602"/>
      <c r="AY5" s="602"/>
    </row>
    <row r="6" spans="1:51" ht="21" customHeight="1" x14ac:dyDescent="0.3">
      <c r="A6" s="429"/>
      <c r="B6" s="599" t="s">
        <v>235</v>
      </c>
      <c r="C6" s="600"/>
      <c r="D6" s="601"/>
      <c r="E6" s="599" t="s">
        <v>236</v>
      </c>
      <c r="F6" s="600"/>
      <c r="G6" s="601"/>
      <c r="H6" s="599" t="s">
        <v>235</v>
      </c>
      <c r="I6" s="600"/>
      <c r="J6" s="601"/>
      <c r="K6" s="599" t="s">
        <v>237</v>
      </c>
      <c r="L6" s="600"/>
      <c r="M6" s="601"/>
      <c r="N6" s="599" t="s">
        <v>54</v>
      </c>
      <c r="O6" s="600"/>
      <c r="P6" s="601"/>
      <c r="Q6" s="599" t="s">
        <v>59</v>
      </c>
      <c r="R6" s="600"/>
      <c r="S6" s="601"/>
      <c r="T6" s="599" t="s">
        <v>238</v>
      </c>
      <c r="U6" s="600"/>
      <c r="V6" s="601"/>
      <c r="W6" s="599" t="s">
        <v>295</v>
      </c>
      <c r="X6" s="600"/>
      <c r="Y6" s="601"/>
      <c r="Z6" s="599" t="s">
        <v>235</v>
      </c>
      <c r="AA6" s="600"/>
      <c r="AB6" s="601"/>
      <c r="AC6" s="599" t="s">
        <v>235</v>
      </c>
      <c r="AD6" s="600"/>
      <c r="AE6" s="601"/>
      <c r="AF6" s="599" t="s">
        <v>297</v>
      </c>
      <c r="AG6" s="600"/>
      <c r="AH6" s="601"/>
      <c r="AI6" s="599" t="s">
        <v>298</v>
      </c>
      <c r="AJ6" s="600"/>
      <c r="AK6" s="601"/>
      <c r="AL6" s="512"/>
      <c r="AM6" s="512"/>
      <c r="AN6" s="602"/>
      <c r="AO6" s="602"/>
      <c r="AP6" s="602"/>
      <c r="AQ6" s="602"/>
      <c r="AR6" s="602"/>
      <c r="AS6" s="602"/>
      <c r="AT6" s="602"/>
      <c r="AU6" s="602"/>
      <c r="AV6" s="602"/>
      <c r="AW6" s="602"/>
      <c r="AX6" s="602"/>
      <c r="AY6" s="602"/>
    </row>
    <row r="7" spans="1:51" ht="18.75" customHeight="1" x14ac:dyDescent="0.3">
      <c r="A7" s="429"/>
      <c r="B7" s="503"/>
      <c r="C7" s="503"/>
      <c r="D7" s="430" t="s">
        <v>84</v>
      </c>
      <c r="E7" s="503"/>
      <c r="F7" s="503"/>
      <c r="G7" s="430" t="s">
        <v>84</v>
      </c>
      <c r="H7" s="503"/>
      <c r="I7" s="503"/>
      <c r="J7" s="430" t="s">
        <v>84</v>
      </c>
      <c r="K7" s="503"/>
      <c r="L7" s="503"/>
      <c r="M7" s="430" t="s">
        <v>84</v>
      </c>
      <c r="N7" s="503"/>
      <c r="O7" s="503"/>
      <c r="P7" s="430" t="s">
        <v>84</v>
      </c>
      <c r="Q7" s="503"/>
      <c r="R7" s="503"/>
      <c r="S7" s="430" t="s">
        <v>84</v>
      </c>
      <c r="T7" s="503"/>
      <c r="U7" s="503"/>
      <c r="V7" s="430" t="s">
        <v>84</v>
      </c>
      <c r="W7" s="503"/>
      <c r="X7" s="503"/>
      <c r="Y7" s="430" t="s">
        <v>84</v>
      </c>
      <c r="Z7" s="503"/>
      <c r="AA7" s="503"/>
      <c r="AB7" s="430" t="s">
        <v>84</v>
      </c>
      <c r="AC7" s="503"/>
      <c r="AD7" s="503"/>
      <c r="AE7" s="430" t="s">
        <v>84</v>
      </c>
      <c r="AF7" s="503"/>
      <c r="AG7" s="503"/>
      <c r="AH7" s="430" t="s">
        <v>84</v>
      </c>
      <c r="AI7" s="503"/>
      <c r="AJ7" s="503"/>
      <c r="AK7" s="430" t="s">
        <v>84</v>
      </c>
      <c r="AL7" s="512"/>
      <c r="AM7" s="512"/>
      <c r="AN7" s="512"/>
      <c r="AO7" s="512"/>
      <c r="AP7" s="512"/>
      <c r="AQ7" s="512"/>
      <c r="AR7" s="512"/>
      <c r="AS7" s="512"/>
      <c r="AT7" s="512"/>
      <c r="AU7" s="512"/>
      <c r="AV7" s="512"/>
      <c r="AW7" s="512"/>
      <c r="AX7" s="512"/>
      <c r="AY7" s="512"/>
    </row>
    <row r="8" spans="1:51" ht="18.75" customHeight="1" x14ac:dyDescent="0.35">
      <c r="A8" s="360" t="s">
        <v>299</v>
      </c>
      <c r="B8" s="418">
        <v>2025</v>
      </c>
      <c r="C8" s="418">
        <v>2026</v>
      </c>
      <c r="D8" s="432" t="s">
        <v>87</v>
      </c>
      <c r="E8" s="418">
        <f>B8</f>
        <v>2025</v>
      </c>
      <c r="F8" s="418">
        <f>C8</f>
        <v>2026</v>
      </c>
      <c r="G8" s="432" t="s">
        <v>87</v>
      </c>
      <c r="H8" s="418">
        <f>E8</f>
        <v>2025</v>
      </c>
      <c r="I8" s="418">
        <f>F8</f>
        <v>2026</v>
      </c>
      <c r="J8" s="432" t="s">
        <v>87</v>
      </c>
      <c r="K8" s="418">
        <f>H8</f>
        <v>2025</v>
      </c>
      <c r="L8" s="418">
        <f>I8</f>
        <v>2026</v>
      </c>
      <c r="M8" s="432" t="s">
        <v>87</v>
      </c>
      <c r="N8" s="418">
        <f>K8</f>
        <v>2025</v>
      </c>
      <c r="O8" s="418">
        <f>L8</f>
        <v>2026</v>
      </c>
      <c r="P8" s="432" t="s">
        <v>87</v>
      </c>
      <c r="Q8" s="418">
        <f>N8</f>
        <v>2025</v>
      </c>
      <c r="R8" s="418">
        <f>O8</f>
        <v>2026</v>
      </c>
      <c r="S8" s="432" t="s">
        <v>87</v>
      </c>
      <c r="T8" s="418">
        <f>Q8</f>
        <v>2025</v>
      </c>
      <c r="U8" s="418">
        <f>R8</f>
        <v>2026</v>
      </c>
      <c r="V8" s="432" t="s">
        <v>87</v>
      </c>
      <c r="W8" s="418">
        <f>T8</f>
        <v>2025</v>
      </c>
      <c r="X8" s="418">
        <f>U8</f>
        <v>2026</v>
      </c>
      <c r="Y8" s="432" t="s">
        <v>87</v>
      </c>
      <c r="Z8" s="418">
        <f>W8</f>
        <v>2025</v>
      </c>
      <c r="AA8" s="418">
        <f>X8</f>
        <v>2026</v>
      </c>
      <c r="AB8" s="432" t="s">
        <v>87</v>
      </c>
      <c r="AC8" s="418">
        <f>Z8</f>
        <v>2025</v>
      </c>
      <c r="AD8" s="418">
        <f>AA8</f>
        <v>2026</v>
      </c>
      <c r="AE8" s="432" t="s">
        <v>87</v>
      </c>
      <c r="AF8" s="418">
        <f>AC8</f>
        <v>2025</v>
      </c>
      <c r="AG8" s="418">
        <f>AD8</f>
        <v>2026</v>
      </c>
      <c r="AH8" s="432" t="s">
        <v>87</v>
      </c>
      <c r="AI8" s="418">
        <f>AF8</f>
        <v>2025</v>
      </c>
      <c r="AJ8" s="418">
        <f>AG8</f>
        <v>2026</v>
      </c>
      <c r="AK8" s="432" t="s">
        <v>87</v>
      </c>
      <c r="AL8" s="504"/>
      <c r="AM8" s="505"/>
      <c r="AN8" s="504"/>
      <c r="AO8" s="504"/>
      <c r="AP8" s="505"/>
      <c r="AQ8" s="504"/>
      <c r="AR8" s="504"/>
      <c r="AS8" s="505"/>
      <c r="AT8" s="504"/>
      <c r="AU8" s="504"/>
      <c r="AV8" s="505"/>
      <c r="AW8" s="504"/>
      <c r="AX8" s="504"/>
      <c r="AY8" s="505"/>
    </row>
    <row r="9" spans="1:51" ht="18.75" customHeight="1" x14ac:dyDescent="0.35">
      <c r="A9" s="361"/>
      <c r="B9" s="461"/>
      <c r="C9" s="351"/>
      <c r="D9" s="349"/>
      <c r="E9" s="461"/>
      <c r="F9" s="349"/>
      <c r="G9" s="349"/>
      <c r="H9" s="461"/>
      <c r="I9" s="349"/>
      <c r="J9" s="349"/>
      <c r="K9" s="434"/>
      <c r="L9" s="350"/>
      <c r="M9" s="350"/>
      <c r="N9" s="434"/>
      <c r="O9" s="350"/>
      <c r="P9" s="277"/>
      <c r="Q9" s="434"/>
      <c r="R9" s="350"/>
      <c r="S9" s="277"/>
      <c r="T9" s="434"/>
      <c r="U9" s="350"/>
      <c r="V9" s="277"/>
      <c r="W9" s="434"/>
      <c r="X9" s="350"/>
      <c r="Y9" s="277"/>
      <c r="Z9" s="434"/>
      <c r="AA9" s="350"/>
      <c r="AB9" s="277"/>
      <c r="AC9" s="434"/>
      <c r="AD9" s="350"/>
      <c r="AE9" s="277"/>
      <c r="AF9" s="350"/>
      <c r="AG9" s="350"/>
      <c r="AH9" s="277"/>
      <c r="AI9" s="350"/>
      <c r="AJ9" s="350"/>
      <c r="AK9" s="277"/>
    </row>
    <row r="10" spans="1:51" s="365" customFormat="1" ht="18.75" customHeight="1" x14ac:dyDescent="0.35">
      <c r="A10" s="439" t="s">
        <v>300</v>
      </c>
      <c r="B10" s="462"/>
      <c r="C10" s="351"/>
      <c r="D10" s="351"/>
      <c r="E10" s="462"/>
      <c r="F10" s="351"/>
      <c r="G10" s="351"/>
      <c r="H10" s="462"/>
      <c r="I10" s="351"/>
      <c r="J10" s="351"/>
      <c r="K10" s="434"/>
      <c r="L10" s="350"/>
      <c r="M10" s="350"/>
      <c r="N10" s="434"/>
      <c r="O10" s="350"/>
      <c r="P10" s="277"/>
      <c r="Q10" s="434"/>
      <c r="R10" s="350"/>
      <c r="S10" s="277"/>
      <c r="T10" s="434"/>
      <c r="U10" s="350"/>
      <c r="V10" s="277"/>
      <c r="W10" s="434"/>
      <c r="X10" s="350"/>
      <c r="Y10" s="277"/>
      <c r="Z10" s="434"/>
      <c r="AA10" s="350"/>
      <c r="AB10" s="277"/>
      <c r="AC10" s="434"/>
      <c r="AD10" s="350"/>
      <c r="AE10" s="277"/>
      <c r="AF10" s="350"/>
      <c r="AG10" s="350"/>
      <c r="AH10" s="277"/>
      <c r="AI10" s="350"/>
      <c r="AJ10" s="350"/>
      <c r="AK10" s="277"/>
    </row>
    <row r="11" spans="1:51" s="365" customFormat="1" ht="18.75" customHeight="1" x14ac:dyDescent="0.35">
      <c r="A11" s="362"/>
      <c r="B11" s="462"/>
      <c r="C11" s="351"/>
      <c r="D11" s="351"/>
      <c r="E11" s="462"/>
      <c r="F11" s="351"/>
      <c r="G11" s="351"/>
      <c r="H11" s="462"/>
      <c r="I11" s="351"/>
      <c r="J11" s="351"/>
      <c r="K11" s="434"/>
      <c r="L11" s="350"/>
      <c r="M11" s="350"/>
      <c r="N11" s="434"/>
      <c r="O11" s="350"/>
      <c r="P11" s="277"/>
      <c r="Q11" s="434"/>
      <c r="R11" s="350"/>
      <c r="S11" s="277"/>
      <c r="T11" s="434"/>
      <c r="U11" s="350"/>
      <c r="V11" s="277"/>
      <c r="W11" s="434"/>
      <c r="X11" s="350"/>
      <c r="Y11" s="277"/>
      <c r="Z11" s="434"/>
      <c r="AA11" s="350"/>
      <c r="AB11" s="277"/>
      <c r="AC11" s="434"/>
      <c r="AD11" s="350"/>
      <c r="AE11" s="277"/>
      <c r="AF11" s="350"/>
      <c r="AG11" s="350"/>
      <c r="AH11" s="277"/>
      <c r="AI11" s="350"/>
      <c r="AJ11" s="350"/>
      <c r="AK11" s="277"/>
    </row>
    <row r="12" spans="1:51" s="365" customFormat="1" ht="20.100000000000001" customHeight="1" x14ac:dyDescent="0.35">
      <c r="A12" s="439" t="s">
        <v>301</v>
      </c>
      <c r="B12" s="149"/>
      <c r="C12" s="352"/>
      <c r="D12" s="352"/>
      <c r="E12" s="149"/>
      <c r="F12" s="352"/>
      <c r="G12" s="352"/>
      <c r="H12" s="149"/>
      <c r="I12" s="352"/>
      <c r="J12" s="352"/>
      <c r="K12" s="434"/>
      <c r="L12" s="350"/>
      <c r="M12" s="350"/>
      <c r="N12" s="434"/>
      <c r="O12" s="350"/>
      <c r="P12" s="277"/>
      <c r="Q12" s="434"/>
      <c r="R12" s="350"/>
      <c r="S12" s="277"/>
      <c r="T12" s="434"/>
      <c r="U12" s="350"/>
      <c r="V12" s="277"/>
      <c r="W12" s="434"/>
      <c r="X12" s="350"/>
      <c r="Y12" s="277"/>
      <c r="Z12" s="434"/>
      <c r="AA12" s="350"/>
      <c r="AB12" s="277"/>
      <c r="AC12" s="434"/>
      <c r="AD12" s="350"/>
      <c r="AE12" s="277"/>
      <c r="AF12" s="350"/>
      <c r="AG12" s="350"/>
      <c r="AH12" s="277"/>
      <c r="AI12" s="350"/>
      <c r="AJ12" s="350"/>
      <c r="AK12" s="277"/>
    </row>
    <row r="13" spans="1:51" s="365" customFormat="1" ht="20.100000000000001" customHeight="1" x14ac:dyDescent="0.35">
      <c r="A13" s="439" t="s">
        <v>302</v>
      </c>
      <c r="B13" s="149"/>
      <c r="C13" s="352"/>
      <c r="D13" s="352"/>
      <c r="E13" s="149"/>
      <c r="F13" s="352"/>
      <c r="G13" s="352"/>
      <c r="H13" s="149"/>
      <c r="I13" s="352"/>
      <c r="J13" s="352"/>
      <c r="K13" s="76"/>
      <c r="L13" s="394"/>
      <c r="M13" s="394"/>
      <c r="N13" s="76"/>
      <c r="O13" s="394"/>
      <c r="P13" s="353"/>
      <c r="Q13" s="76"/>
      <c r="R13" s="394"/>
      <c r="S13" s="353"/>
      <c r="T13" s="76"/>
      <c r="U13" s="394"/>
      <c r="V13" s="353"/>
      <c r="W13" s="76"/>
      <c r="X13" s="394"/>
      <c r="Y13" s="353"/>
      <c r="Z13" s="76"/>
      <c r="AA13" s="394"/>
      <c r="AB13" s="353"/>
      <c r="AC13" s="76"/>
      <c r="AD13" s="394"/>
      <c r="AE13" s="353"/>
      <c r="AF13" s="394"/>
      <c r="AG13" s="394"/>
      <c r="AH13" s="353"/>
      <c r="AI13" s="394"/>
      <c r="AJ13" s="394"/>
      <c r="AK13" s="353"/>
    </row>
    <row r="14" spans="1:51" s="365" customFormat="1" ht="20.100000000000001" customHeight="1" x14ac:dyDescent="0.35">
      <c r="A14" s="427" t="s">
        <v>303</v>
      </c>
      <c r="B14" s="147"/>
      <c r="C14" s="353"/>
      <c r="D14" s="353"/>
      <c r="E14" s="147"/>
      <c r="F14" s="353"/>
      <c r="G14" s="353"/>
      <c r="H14" s="147"/>
      <c r="I14" s="353"/>
      <c r="J14" s="353"/>
      <c r="K14" s="76">
        <v>25</v>
      </c>
      <c r="L14" s="394">
        <v>84</v>
      </c>
      <c r="M14" s="394">
        <f t="shared" ref="M14" si="0">IF(K14=0, "    ---- ", IF(ABS(ROUND(100/K14*L14-100,1))&lt;999,ROUND(100/K14*L14-100,1),IF(ROUND(100/K14*L14-100,1)&gt;999,999,-999)))</f>
        <v>236</v>
      </c>
      <c r="N14" s="76">
        <v>1322.1865066300002</v>
      </c>
      <c r="O14" s="394">
        <v>1404.3456136300001</v>
      </c>
      <c r="P14" s="353">
        <f t="shared" ref="P14:P28" si="1">IF(N14=0, "    ---- ", IF(ABS(ROUND(100/N14*O14-100,1))&lt;999,ROUND(100/N14*O14-100,1),IF(ROUND(100/N14*O14-100,1)&gt;999,999,-999)))</f>
        <v>6.2</v>
      </c>
      <c r="Q14" s="76"/>
      <c r="R14" s="394"/>
      <c r="S14" s="353"/>
      <c r="T14" s="76"/>
      <c r="U14" s="394"/>
      <c r="V14" s="353"/>
      <c r="W14" s="76"/>
      <c r="X14" s="394"/>
      <c r="Y14" s="353" t="str">
        <f t="shared" ref="Y14:Y28" si="2">IF(W14=0, "    ---- ", IF(ABS(ROUND(100/W14*X14-100,1))&lt;999,ROUND(100/W14*X14-100,1),IF(ROUND(100/W14*X14-100,1)&gt;999,999,-999)))</f>
        <v xml:space="preserve">    ---- </v>
      </c>
      <c r="Z14" s="76"/>
      <c r="AA14" s="394"/>
      <c r="AB14" s="353"/>
      <c r="AC14" s="76"/>
      <c r="AD14" s="394"/>
      <c r="AE14" s="353"/>
      <c r="AF14" s="394">
        <f t="shared" ref="AF14:AG22" si="3">B14+E14+H14+K14+N14+Q14+T14+W14+Z14</f>
        <v>1347.1865066300002</v>
      </c>
      <c r="AG14" s="394">
        <f t="shared" si="3"/>
        <v>1488.3456136300001</v>
      </c>
      <c r="AH14" s="353">
        <f t="shared" ref="AH14:AH28" si="4">IF(AF14=0, "    ---- ", IF(ABS(ROUND(100/AF14*AG14-100,1))&lt;999,ROUND(100/AF14*AG14-100,1),IF(ROUND(100/AF14*AG14-100,1)&gt;999,999,-999)))</f>
        <v>10.5</v>
      </c>
      <c r="AI14" s="394">
        <f t="shared" ref="AI14:AJ22" si="5">B14+E14+H14+K14+N14+Q14+T14+W14+Z14+AC14</f>
        <v>1347.1865066300002</v>
      </c>
      <c r="AJ14" s="394">
        <f t="shared" si="5"/>
        <v>1488.3456136300001</v>
      </c>
      <c r="AK14" s="353">
        <f t="shared" ref="AK14:AK29" si="6">IF(AI14=0, "    ---- ", IF(ABS(ROUND(100/AI14*AJ14-100,1))&lt;999,ROUND(100/AI14*AJ14-100,1),IF(ROUND(100/AI14*AJ14-100,1)&gt;999,999,-999)))</f>
        <v>10.5</v>
      </c>
    </row>
    <row r="15" spans="1:51" s="365" customFormat="1" ht="20.100000000000001" customHeight="1" x14ac:dyDescent="0.35">
      <c r="A15" s="427" t="s">
        <v>304</v>
      </c>
      <c r="B15" s="147">
        <v>1232.5510312799997</v>
      </c>
      <c r="C15" s="353">
        <v>1215</v>
      </c>
      <c r="D15" s="353">
        <f t="shared" ref="D15:D28" si="7">IF(B15=0, "    ---- ", IF(ABS(ROUND(100/B15*C15-100,1))&lt;999,ROUND(100/B15*C15-100,1),IF(ROUND(100/B15*C15-100,1)&gt;999,999,-999)))</f>
        <v>-1.4</v>
      </c>
      <c r="E15" s="147"/>
      <c r="F15" s="353"/>
      <c r="G15" s="353"/>
      <c r="H15" s="147"/>
      <c r="I15" s="353"/>
      <c r="J15" s="353"/>
      <c r="K15" s="76"/>
      <c r="L15" s="394"/>
      <c r="M15" s="394"/>
      <c r="N15" s="76">
        <v>9956.8825838600005</v>
      </c>
      <c r="O15" s="394">
        <v>10646.205712610001</v>
      </c>
      <c r="P15" s="353">
        <f t="shared" si="1"/>
        <v>6.9</v>
      </c>
      <c r="Q15" s="76">
        <v>4</v>
      </c>
      <c r="R15" s="394">
        <v>4</v>
      </c>
      <c r="S15" s="353">
        <f t="shared" ref="S15:S18" si="8">IF(Q15=0, "    ---- ", IF(ABS(ROUND(100/Q15*R15-100,1))&lt;999,ROUND(100/Q15*R15-100,1),IF(ROUND(100/Q15*R15-100,1)&gt;999,999,-999)))</f>
        <v>0</v>
      </c>
      <c r="T15" s="76">
        <v>1384</v>
      </c>
      <c r="U15" s="394">
        <f>1178+377</f>
        <v>1555</v>
      </c>
      <c r="V15" s="353">
        <f t="shared" ref="V15:V28" si="9">IF(T15=0, "    ---- ", IF(ABS(ROUND(100/T15*U15-100,1))&lt;999,ROUND(100/T15*U15-100,1),IF(ROUND(100/T15*U15-100,1)&gt;999,999,-999)))</f>
        <v>12.4</v>
      </c>
      <c r="W15" s="76">
        <v>1401.992</v>
      </c>
      <c r="X15" s="394">
        <v>1353.6475674099997</v>
      </c>
      <c r="Y15" s="353">
        <f t="shared" si="2"/>
        <v>-3.4</v>
      </c>
      <c r="Z15" s="76">
        <v>13573.2936778</v>
      </c>
      <c r="AA15" s="394">
        <v>13197.420992729998</v>
      </c>
      <c r="AB15" s="353">
        <f t="shared" ref="AB15:AB28" si="10">IF(Z15=0, "    ---- ", IF(ABS(ROUND(100/Z15*AA15-100,1))&lt;999,ROUND(100/Z15*AA15-100,1),IF(ROUND(100/Z15*AA15-100,1)&gt;999,999,-999)))</f>
        <v>-2.8</v>
      </c>
      <c r="AC15" s="76"/>
      <c r="AD15" s="394"/>
      <c r="AE15" s="353"/>
      <c r="AF15" s="394">
        <f t="shared" si="3"/>
        <v>27552.719292940001</v>
      </c>
      <c r="AG15" s="394">
        <f t="shared" si="3"/>
        <v>27971.274272750001</v>
      </c>
      <c r="AH15" s="353">
        <f t="shared" si="4"/>
        <v>1.5</v>
      </c>
      <c r="AI15" s="394">
        <f t="shared" si="5"/>
        <v>27552.719292940001</v>
      </c>
      <c r="AJ15" s="394">
        <f t="shared" si="5"/>
        <v>27971.274272750001</v>
      </c>
      <c r="AK15" s="353">
        <f t="shared" si="6"/>
        <v>1.5</v>
      </c>
    </row>
    <row r="16" spans="1:51" s="365" customFormat="1" ht="20.100000000000001" customHeight="1" x14ac:dyDescent="0.35">
      <c r="A16" s="427" t="s">
        <v>305</v>
      </c>
      <c r="B16" s="147">
        <v>16822.52686432</v>
      </c>
      <c r="C16" s="353">
        <f>SUM(C17+C19)</f>
        <v>12132.175999999999</v>
      </c>
      <c r="D16" s="353"/>
      <c r="E16" s="147">
        <f>SUM(E17+E19)</f>
        <v>753.24641009000004</v>
      </c>
      <c r="F16" s="353">
        <f>SUM(F17+F19)</f>
        <v>856.66541709000001</v>
      </c>
      <c r="G16" s="353">
        <f t="shared" ref="G16:G18" si="11">IF(E16=0, "    ---- ", IF(ABS(ROUND(100/E16*F16-100,1))&lt;999,ROUND(100/E16*F16-100,1),IF(ROUND(100/E16*F16-100,1)&gt;999,999,-999)))</f>
        <v>13.7</v>
      </c>
      <c r="H16" s="147"/>
      <c r="I16" s="353"/>
      <c r="J16" s="353"/>
      <c r="K16" s="76">
        <f>SUM(K17+K19)</f>
        <v>139</v>
      </c>
      <c r="L16" s="394">
        <f>SUM(L17+L19)</f>
        <v>127</v>
      </c>
      <c r="M16" s="394">
        <f t="shared" ref="M16" si="12">IF(K16=0, "    ---- ", IF(ABS(ROUND(100/K16*L16-100,1))&lt;999,ROUND(100/K16*L16-100,1),IF(ROUND(100/K16*L16-100,1)&gt;999,999,-999)))</f>
        <v>-8.6</v>
      </c>
      <c r="N16" s="76">
        <v>19875.926415040001</v>
      </c>
      <c r="O16" s="394">
        <v>17265.2838348</v>
      </c>
      <c r="P16" s="353">
        <f t="shared" si="1"/>
        <v>-13.1</v>
      </c>
      <c r="Q16" s="76">
        <f>SUM(Q17+Q19)</f>
        <v>8835.39</v>
      </c>
      <c r="R16" s="394">
        <f>SUM(R17+R19)</f>
        <v>8046.41</v>
      </c>
      <c r="S16" s="353">
        <f t="shared" si="8"/>
        <v>-8.9</v>
      </c>
      <c r="T16" s="76">
        <v>5458</v>
      </c>
      <c r="U16" s="394">
        <f>SUM(U17+U19)</f>
        <v>5697</v>
      </c>
      <c r="V16" s="353">
        <f t="shared" si="9"/>
        <v>4.4000000000000004</v>
      </c>
      <c r="W16" s="76">
        <f>SUM(W17+W19)</f>
        <v>1342.347</v>
      </c>
      <c r="X16" s="394">
        <f>SUM(X17+X19)</f>
        <v>1282.7890243599998</v>
      </c>
      <c r="Y16" s="353">
        <f t="shared" si="2"/>
        <v>-4.4000000000000004</v>
      </c>
      <c r="Z16" s="76">
        <f>SUM(Z17+Z19)</f>
        <v>15185.346501960001</v>
      </c>
      <c r="AA16" s="394">
        <f>SUM(AA17+AA19)</f>
        <v>12143.975472119999</v>
      </c>
      <c r="AB16" s="353">
        <f t="shared" si="10"/>
        <v>-20</v>
      </c>
      <c r="AC16" s="76"/>
      <c r="AD16" s="394"/>
      <c r="AE16" s="353"/>
      <c r="AF16" s="394">
        <f t="shared" si="3"/>
        <v>68411.78319141001</v>
      </c>
      <c r="AG16" s="394">
        <f t="shared" si="3"/>
        <v>57551.299748370002</v>
      </c>
      <c r="AH16" s="353">
        <f t="shared" si="4"/>
        <v>-15.9</v>
      </c>
      <c r="AI16" s="394">
        <f t="shared" si="5"/>
        <v>68411.78319141001</v>
      </c>
      <c r="AJ16" s="394">
        <f t="shared" si="5"/>
        <v>57551.299748370002</v>
      </c>
      <c r="AK16" s="353">
        <f t="shared" si="6"/>
        <v>-15.9</v>
      </c>
    </row>
    <row r="17" spans="1:37" s="365" customFormat="1" ht="20.100000000000001" customHeight="1" x14ac:dyDescent="0.35">
      <c r="A17" s="427" t="s">
        <v>306</v>
      </c>
      <c r="B17" s="147">
        <v>16218.156999999999</v>
      </c>
      <c r="C17" s="353">
        <v>12132.175999999999</v>
      </c>
      <c r="D17" s="353"/>
      <c r="E17" s="147">
        <v>753.24641009000004</v>
      </c>
      <c r="F17" s="353">
        <v>856.66541709000001</v>
      </c>
      <c r="G17" s="353">
        <f t="shared" si="11"/>
        <v>13.7</v>
      </c>
      <c r="H17" s="147"/>
      <c r="I17" s="353"/>
      <c r="J17" s="353"/>
      <c r="K17" s="76"/>
      <c r="L17" s="394"/>
      <c r="M17" s="394"/>
      <c r="N17" s="76">
        <v>5439.4116815899997</v>
      </c>
      <c r="O17" s="394">
        <v>767.99054748000003</v>
      </c>
      <c r="P17" s="353">
        <f t="shared" si="1"/>
        <v>-85.9</v>
      </c>
      <c r="Q17" s="76">
        <v>8835.39</v>
      </c>
      <c r="R17" s="394">
        <v>8046.41</v>
      </c>
      <c r="S17" s="353">
        <f t="shared" si="8"/>
        <v>-8.9</v>
      </c>
      <c r="T17" s="76"/>
      <c r="U17" s="394"/>
      <c r="V17" s="353"/>
      <c r="W17" s="76">
        <v>1342.347</v>
      </c>
      <c r="X17" s="394">
        <v>1282.7890243599998</v>
      </c>
      <c r="Y17" s="353">
        <f t="shared" si="2"/>
        <v>-4.4000000000000004</v>
      </c>
      <c r="Z17" s="76"/>
      <c r="AA17" s="394"/>
      <c r="AB17" s="353" t="str">
        <f t="shared" si="10"/>
        <v xml:space="preserve">    ---- </v>
      </c>
      <c r="AC17" s="76"/>
      <c r="AD17" s="394"/>
      <c r="AE17" s="353"/>
      <c r="AF17" s="394">
        <f t="shared" si="3"/>
        <v>32588.552091680001</v>
      </c>
      <c r="AG17" s="394">
        <f t="shared" si="3"/>
        <v>23086.030988930001</v>
      </c>
      <c r="AH17" s="353">
        <f t="shared" si="4"/>
        <v>-29.2</v>
      </c>
      <c r="AI17" s="394">
        <f t="shared" si="5"/>
        <v>32588.552091680001</v>
      </c>
      <c r="AJ17" s="394">
        <f t="shared" si="5"/>
        <v>23086.030988930001</v>
      </c>
      <c r="AK17" s="353">
        <f t="shared" si="6"/>
        <v>-29.2</v>
      </c>
    </row>
    <row r="18" spans="1:37" s="365" customFormat="1" ht="20.100000000000001" customHeight="1" x14ac:dyDescent="0.35">
      <c r="A18" s="427" t="s">
        <v>307</v>
      </c>
      <c r="B18" s="147">
        <v>16218.156999999999</v>
      </c>
      <c r="C18" s="353">
        <v>12132.175999999999</v>
      </c>
      <c r="D18" s="353"/>
      <c r="E18" s="147">
        <v>753.24641009000004</v>
      </c>
      <c r="F18" s="353">
        <v>856.66541709000001</v>
      </c>
      <c r="G18" s="353">
        <f t="shared" si="11"/>
        <v>13.7</v>
      </c>
      <c r="H18" s="147"/>
      <c r="I18" s="353"/>
      <c r="J18" s="353"/>
      <c r="K18" s="76"/>
      <c r="L18" s="394"/>
      <c r="M18" s="394"/>
      <c r="N18" s="76">
        <v>5439.4116815899997</v>
      </c>
      <c r="O18" s="394">
        <v>767.99054748000003</v>
      </c>
      <c r="P18" s="353">
        <f t="shared" si="1"/>
        <v>-85.9</v>
      </c>
      <c r="Q18" s="76">
        <v>8835.39</v>
      </c>
      <c r="R18" s="394">
        <v>8046.41</v>
      </c>
      <c r="S18" s="353">
        <f t="shared" si="8"/>
        <v>-8.9</v>
      </c>
      <c r="T18" s="76"/>
      <c r="U18" s="394"/>
      <c r="V18" s="353"/>
      <c r="W18" s="76">
        <v>9.8894178599996696</v>
      </c>
      <c r="X18" s="394">
        <v>1282.7890243599998</v>
      </c>
      <c r="Y18" s="353">
        <f t="shared" si="2"/>
        <v>999</v>
      </c>
      <c r="Z18" s="76"/>
      <c r="AA18" s="394"/>
      <c r="AB18" s="353" t="str">
        <f t="shared" si="10"/>
        <v xml:space="preserve">    ---- </v>
      </c>
      <c r="AC18" s="76"/>
      <c r="AD18" s="394"/>
      <c r="AE18" s="353"/>
      <c r="AF18" s="394">
        <f t="shared" si="3"/>
        <v>31256.094509539998</v>
      </c>
      <c r="AG18" s="394">
        <f t="shared" si="3"/>
        <v>23086.030988930001</v>
      </c>
      <c r="AH18" s="353">
        <f t="shared" si="4"/>
        <v>-26.1</v>
      </c>
      <c r="AI18" s="394">
        <f t="shared" si="5"/>
        <v>31256.094509539998</v>
      </c>
      <c r="AJ18" s="394">
        <f t="shared" si="5"/>
        <v>23086.030988930001</v>
      </c>
      <c r="AK18" s="353">
        <f t="shared" si="6"/>
        <v>-26.1</v>
      </c>
    </row>
    <row r="19" spans="1:37" s="365" customFormat="1" ht="20.100000000000001" customHeight="1" x14ac:dyDescent="0.35">
      <c r="A19" s="427" t="s">
        <v>308</v>
      </c>
      <c r="B19" s="147">
        <v>604.37</v>
      </c>
      <c r="C19" s="353">
        <v>0</v>
      </c>
      <c r="D19" s="353"/>
      <c r="E19" s="147"/>
      <c r="F19" s="353">
        <v>0</v>
      </c>
      <c r="G19" s="353"/>
      <c r="H19" s="147"/>
      <c r="I19" s="353"/>
      <c r="J19" s="353"/>
      <c r="K19" s="76">
        <v>139</v>
      </c>
      <c r="L19" s="394">
        <v>127</v>
      </c>
      <c r="M19" s="394">
        <f t="shared" ref="M19:M28" si="13">IF(K19=0, "    ---- ", IF(ABS(ROUND(100/K19*L19-100,1))&lt;999,ROUND(100/K19*L19-100,1),IF(ROUND(100/K19*L19-100,1)&gt;999,999,-999)))</f>
        <v>-8.6</v>
      </c>
      <c r="N19" s="76">
        <v>14436.514733450002</v>
      </c>
      <c r="O19" s="394">
        <v>16497.293287320001</v>
      </c>
      <c r="P19" s="353">
        <f t="shared" si="1"/>
        <v>14.3</v>
      </c>
      <c r="Q19" s="76"/>
      <c r="R19" s="394"/>
      <c r="S19" s="353"/>
      <c r="T19" s="76">
        <v>5458</v>
      </c>
      <c r="U19" s="394">
        <v>5697</v>
      </c>
      <c r="V19" s="353">
        <f t="shared" si="9"/>
        <v>4.4000000000000004</v>
      </c>
      <c r="W19" s="76"/>
      <c r="X19" s="394"/>
      <c r="Y19" s="353" t="str">
        <f t="shared" si="2"/>
        <v xml:space="preserve">    ---- </v>
      </c>
      <c r="Z19" s="76">
        <v>15185.346501960001</v>
      </c>
      <c r="AA19" s="394">
        <v>12143.975472119999</v>
      </c>
      <c r="AB19" s="353">
        <f t="shared" si="10"/>
        <v>-20</v>
      </c>
      <c r="AC19" s="76"/>
      <c r="AD19" s="394"/>
      <c r="AE19" s="353"/>
      <c r="AF19" s="394">
        <f t="shared" si="3"/>
        <v>35823.231235409999</v>
      </c>
      <c r="AG19" s="394">
        <f t="shared" si="3"/>
        <v>34465.268759439998</v>
      </c>
      <c r="AH19" s="353">
        <f t="shared" si="4"/>
        <v>-3.8</v>
      </c>
      <c r="AI19" s="394">
        <f t="shared" si="5"/>
        <v>35823.231235409999</v>
      </c>
      <c r="AJ19" s="394">
        <f t="shared" si="5"/>
        <v>34465.268759439998</v>
      </c>
      <c r="AK19" s="353">
        <f t="shared" si="6"/>
        <v>-3.8</v>
      </c>
    </row>
    <row r="20" spans="1:37" s="365" customFormat="1" ht="20.100000000000001" customHeight="1" x14ac:dyDescent="0.35">
      <c r="A20" s="427" t="s">
        <v>309</v>
      </c>
      <c r="B20" s="147">
        <f>B21+B22+B23+B24+B25</f>
        <v>11516.511999999999</v>
      </c>
      <c r="C20" s="353">
        <f>C21+C22+C23+C24+C25</f>
        <v>13991.004835639998</v>
      </c>
      <c r="D20" s="353">
        <f t="shared" si="7"/>
        <v>21.5</v>
      </c>
      <c r="E20" s="147">
        <v>2855.3140137400001</v>
      </c>
      <c r="F20" s="353">
        <f>F21+F22+F23+F24+F25</f>
        <v>2625.1689994500007</v>
      </c>
      <c r="G20" s="353">
        <f>IF(E20=0, "    ---- ", IF(ABS(ROUND(100/E20*F20-100,1))&lt;999,ROUND(100/E20*F20-100,1),IF(ROUND(100/E20*F20-100,1)&gt;999,999,-999)))</f>
        <v>-8.1</v>
      </c>
      <c r="H20" s="147">
        <f>H21+H22+H23+H24+H25</f>
        <v>404.14499999999998</v>
      </c>
      <c r="I20" s="353">
        <f>I21+I22+I23+I24+I25</f>
        <v>454.41699999999997</v>
      </c>
      <c r="J20" s="353">
        <f t="shared" ref="J20:J28" si="14">IF(H20=0, "    ---- ", IF(ABS(ROUND(100/H20*I20-100,1))&lt;999,ROUND(100/H20*I20-100,1),IF(ROUND(100/H20*I20-100,1)&gt;999,999,-999)))</f>
        <v>12.4</v>
      </c>
      <c r="K20" s="147">
        <f>K21+K22+K23+K24+K25</f>
        <v>1183</v>
      </c>
      <c r="L20" s="353">
        <f>L21+L22+L23+L24+L25</f>
        <v>1714</v>
      </c>
      <c r="M20" s="394">
        <f t="shared" si="13"/>
        <v>44.9</v>
      </c>
      <c r="N20" s="147">
        <v>17214.598285830001</v>
      </c>
      <c r="O20" s="353">
        <v>17109.267429309999</v>
      </c>
      <c r="P20" s="353">
        <f t="shared" si="1"/>
        <v>-0.6</v>
      </c>
      <c r="Q20" s="147">
        <f>Q21+Q22+Q23+Q24+Q25</f>
        <v>1184.55</v>
      </c>
      <c r="R20" s="353">
        <f>R21+R22+R23+R24+R25</f>
        <v>1107.2500000000002</v>
      </c>
      <c r="S20" s="353">
        <f t="shared" ref="S20:S28" si="15">IF(Q20=0, "    ---- ", IF(ABS(ROUND(100/Q20*R20-100,1))&lt;999,ROUND(100/Q20*R20-100,1),IF(ROUND(100/Q20*R20-100,1)&gt;999,999,-999)))</f>
        <v>-6.5</v>
      </c>
      <c r="T20" s="147">
        <v>4601</v>
      </c>
      <c r="U20" s="353">
        <f>U21+U22+U23+U24+U25</f>
        <v>5100</v>
      </c>
      <c r="V20" s="353">
        <f t="shared" si="9"/>
        <v>10.8</v>
      </c>
      <c r="W20" s="147">
        <f>W21+W22+W23+W24+W25</f>
        <v>3639.6419999999998</v>
      </c>
      <c r="X20" s="353">
        <f>X21+X22+X23+X24+X25</f>
        <v>3231.2805542398519</v>
      </c>
      <c r="Y20" s="353">
        <f t="shared" si="2"/>
        <v>-11.2</v>
      </c>
      <c r="Z20" s="147">
        <f>Z21+Z22+Z23+Z24+Z25</f>
        <v>4448.0215789900003</v>
      </c>
      <c r="AA20" s="353">
        <f>AA21+AA22+AA23+AA24+AA25</f>
        <v>5122.9991887999995</v>
      </c>
      <c r="AB20" s="353">
        <f t="shared" si="10"/>
        <v>15.2</v>
      </c>
      <c r="AC20" s="147">
        <f>AC21+AC22+AC23+AC24+AC25</f>
        <v>66</v>
      </c>
      <c r="AD20" s="353">
        <f>AD21+AD22+AD23+AD24+AD25</f>
        <v>97</v>
      </c>
      <c r="AE20" s="353">
        <f t="shared" ref="AE20:AE23" si="16">IF(AC20=0, "    ---- ", IF(ABS(ROUND(100/AC20*AD20-100,1))&lt;999,ROUND(100/AC20*AD20-100,1),IF(ROUND(100/AC20*AD20-100,1)&gt;999,999,-999)))</f>
        <v>47</v>
      </c>
      <c r="AF20" s="394">
        <f t="shared" si="3"/>
        <v>47046.782878560007</v>
      </c>
      <c r="AG20" s="394">
        <f t="shared" si="3"/>
        <v>50455.388007439848</v>
      </c>
      <c r="AH20" s="353">
        <f t="shared" si="4"/>
        <v>7.2</v>
      </c>
      <c r="AI20" s="394">
        <f t="shared" si="5"/>
        <v>47112.782878560007</v>
      </c>
      <c r="AJ20" s="394">
        <f t="shared" si="5"/>
        <v>50552.388007439848</v>
      </c>
      <c r="AK20" s="353">
        <f t="shared" si="6"/>
        <v>7.3</v>
      </c>
    </row>
    <row r="21" spans="1:37" s="365" customFormat="1" ht="20.100000000000001" customHeight="1" x14ac:dyDescent="0.35">
      <c r="A21" s="427" t="s">
        <v>310</v>
      </c>
      <c r="B21" s="147">
        <v>1178.2570000000001</v>
      </c>
      <c r="C21" s="353">
        <v>1151.56900421</v>
      </c>
      <c r="D21" s="353">
        <f t="shared" si="7"/>
        <v>-2.2999999999999998</v>
      </c>
      <c r="E21" s="147"/>
      <c r="F21" s="353">
        <v>0</v>
      </c>
      <c r="G21" s="353"/>
      <c r="H21" s="147">
        <v>61.305999999999997</v>
      </c>
      <c r="I21" s="353">
        <v>69.2</v>
      </c>
      <c r="J21" s="353">
        <f t="shared" si="14"/>
        <v>12.9</v>
      </c>
      <c r="K21" s="76">
        <v>18</v>
      </c>
      <c r="L21" s="394">
        <v>5</v>
      </c>
      <c r="M21" s="394">
        <f t="shared" si="13"/>
        <v>-72.2</v>
      </c>
      <c r="N21" s="76">
        <v>1419.4277886199998</v>
      </c>
      <c r="O21" s="394">
        <v>1610.00231153</v>
      </c>
      <c r="P21" s="353">
        <f t="shared" si="1"/>
        <v>13.4</v>
      </c>
      <c r="Q21" s="76">
        <v>9.84</v>
      </c>
      <c r="R21" s="394">
        <v>0.92</v>
      </c>
      <c r="S21" s="353">
        <f t="shared" si="15"/>
        <v>-90.7</v>
      </c>
      <c r="T21" s="76">
        <v>2130</v>
      </c>
      <c r="U21" s="394">
        <v>2326</v>
      </c>
      <c r="V21" s="353">
        <f t="shared" si="9"/>
        <v>9.1999999999999993</v>
      </c>
      <c r="W21" s="76">
        <v>2.2410000000000001</v>
      </c>
      <c r="X21" s="394">
        <v>2.3954883099999997</v>
      </c>
      <c r="Y21" s="353">
        <f t="shared" si="2"/>
        <v>6.9</v>
      </c>
      <c r="Z21" s="76">
        <v>393.09831654000016</v>
      </c>
      <c r="AA21" s="394">
        <v>482.70818831999998</v>
      </c>
      <c r="AB21" s="353">
        <f t="shared" si="10"/>
        <v>22.8</v>
      </c>
      <c r="AC21" s="76"/>
      <c r="AD21" s="394"/>
      <c r="AE21" s="353"/>
      <c r="AF21" s="394">
        <f t="shared" si="3"/>
        <v>5212.1701051600003</v>
      </c>
      <c r="AG21" s="394">
        <f t="shared" si="3"/>
        <v>5647.7949923699998</v>
      </c>
      <c r="AH21" s="353">
        <f t="shared" si="4"/>
        <v>8.4</v>
      </c>
      <c r="AI21" s="394">
        <f t="shared" si="5"/>
        <v>5212.1701051600003</v>
      </c>
      <c r="AJ21" s="394">
        <f t="shared" si="5"/>
        <v>5647.7949923699998</v>
      </c>
      <c r="AK21" s="353">
        <f t="shared" si="6"/>
        <v>8.4</v>
      </c>
    </row>
    <row r="22" spans="1:37" s="365" customFormat="1" ht="20.100000000000001" customHeight="1" x14ac:dyDescent="0.35">
      <c r="A22" s="427" t="s">
        <v>311</v>
      </c>
      <c r="B22" s="147">
        <v>10219.703</v>
      </c>
      <c r="C22" s="353">
        <v>12766.829215969998</v>
      </c>
      <c r="D22" s="353">
        <f t="shared" si="7"/>
        <v>24.9</v>
      </c>
      <c r="E22" s="147">
        <v>2753.1519692600004</v>
      </c>
      <c r="F22" s="353">
        <v>2691.1236480000007</v>
      </c>
      <c r="G22" s="353">
        <f>IF(E22=0, "    ---- ", IF(ABS(ROUND(100/E22*F22-100,1))&lt;999,ROUND(100/E22*F22-100,1),IF(ROUND(100/E22*F22-100,1)&gt;999,999,-999)))</f>
        <v>-2.2999999999999998</v>
      </c>
      <c r="H22" s="147">
        <v>246.364</v>
      </c>
      <c r="I22" s="353">
        <v>275.846</v>
      </c>
      <c r="J22" s="353">
        <f t="shared" si="14"/>
        <v>12</v>
      </c>
      <c r="K22" s="76">
        <v>1165</v>
      </c>
      <c r="L22" s="394">
        <v>1709</v>
      </c>
      <c r="M22" s="394">
        <f t="shared" si="13"/>
        <v>46.7</v>
      </c>
      <c r="N22" s="76">
        <v>13523.459092219999</v>
      </c>
      <c r="O22" s="394">
        <v>14240.868545920001</v>
      </c>
      <c r="P22" s="353">
        <f t="shared" si="1"/>
        <v>5.3</v>
      </c>
      <c r="Q22" s="76">
        <v>725.75</v>
      </c>
      <c r="R22" s="394">
        <v>1103.8800000000001</v>
      </c>
      <c r="S22" s="353">
        <f t="shared" si="15"/>
        <v>52.1</v>
      </c>
      <c r="T22" s="76">
        <v>2426</v>
      </c>
      <c r="U22" s="394">
        <v>2734</v>
      </c>
      <c r="V22" s="353">
        <f t="shared" si="9"/>
        <v>12.7</v>
      </c>
      <c r="W22" s="76">
        <v>2800.2269999999999</v>
      </c>
      <c r="X22" s="394">
        <v>2893.9817377099944</v>
      </c>
      <c r="Y22" s="353">
        <f t="shared" si="2"/>
        <v>3.3</v>
      </c>
      <c r="Z22" s="76">
        <v>3979.8464881900004</v>
      </c>
      <c r="AA22" s="394">
        <v>3998.9577989999993</v>
      </c>
      <c r="AB22" s="353">
        <f t="shared" si="10"/>
        <v>0.5</v>
      </c>
      <c r="AC22" s="76"/>
      <c r="AD22" s="394">
        <v>97</v>
      </c>
      <c r="AE22" s="353" t="str">
        <f t="shared" si="16"/>
        <v xml:space="preserve">    ---- </v>
      </c>
      <c r="AF22" s="394">
        <f t="shared" si="3"/>
        <v>37839.50154967</v>
      </c>
      <c r="AG22" s="394">
        <f t="shared" si="3"/>
        <v>42414.486946599987</v>
      </c>
      <c r="AH22" s="353">
        <f t="shared" si="4"/>
        <v>12.1</v>
      </c>
      <c r="AI22" s="394">
        <f t="shared" si="5"/>
        <v>37839.50154967</v>
      </c>
      <c r="AJ22" s="394">
        <f t="shared" si="5"/>
        <v>42511.486946599987</v>
      </c>
      <c r="AK22" s="353">
        <f t="shared" si="6"/>
        <v>12.3</v>
      </c>
    </row>
    <row r="23" spans="1:37" s="365" customFormat="1" ht="20.100000000000001" customHeight="1" x14ac:dyDescent="0.35">
      <c r="A23" s="427" t="s">
        <v>312</v>
      </c>
      <c r="B23" s="147">
        <v>1.9470000000000001</v>
      </c>
      <c r="C23" s="353">
        <v>63.335472090000003</v>
      </c>
      <c r="D23" s="353">
        <f t="shared" si="7"/>
        <v>999</v>
      </c>
      <c r="E23" s="147">
        <v>51.080043020000012</v>
      </c>
      <c r="F23" s="353">
        <v>-68.967160509999999</v>
      </c>
      <c r="G23" s="353">
        <f>IF(E23=0, "    ---- ", IF(ABS(ROUND(100/E23*F23-100,1))&lt;999,ROUND(100/E23*F23-100,1),IF(ROUND(100/E23*F23-100,1)&gt;999,999,-999)))</f>
        <v>-235</v>
      </c>
      <c r="H23" s="147"/>
      <c r="I23" s="353"/>
      <c r="J23" s="353"/>
      <c r="K23" s="76"/>
      <c r="L23" s="394"/>
      <c r="M23" s="394"/>
      <c r="N23" s="76">
        <v>1735.19069055</v>
      </c>
      <c r="O23" s="394">
        <v>1200.2213393</v>
      </c>
      <c r="P23" s="353">
        <f t="shared" si="1"/>
        <v>-30.8</v>
      </c>
      <c r="Q23" s="76">
        <v>0.1</v>
      </c>
      <c r="R23" s="394">
        <v>0.1</v>
      </c>
      <c r="S23" s="353">
        <f t="shared" si="15"/>
        <v>0</v>
      </c>
      <c r="T23" s="76"/>
      <c r="U23" s="394"/>
      <c r="V23" s="353"/>
      <c r="W23" s="76">
        <v>50.872</v>
      </c>
      <c r="X23" s="394">
        <v>79.715459899998308</v>
      </c>
      <c r="Y23" s="353">
        <f t="shared" si="2"/>
        <v>56.7</v>
      </c>
      <c r="Z23" s="76"/>
      <c r="AA23" s="394"/>
      <c r="AB23" s="353" t="str">
        <f t="shared" si="10"/>
        <v xml:space="preserve">    ---- </v>
      </c>
      <c r="AC23" s="76">
        <v>66</v>
      </c>
      <c r="AD23" s="394"/>
      <c r="AE23" s="353">
        <f t="shared" si="16"/>
        <v>-100</v>
      </c>
      <c r="AF23" s="394">
        <f>B23+E23+H23+K23+N23+Q23+T23+W23+Z23</f>
        <v>1839.18973357</v>
      </c>
      <c r="AG23" s="394">
        <f>C23+F23+I23+L23+O23+R23+U23+X23+AA23</f>
        <v>1274.405110779998</v>
      </c>
      <c r="AH23" s="353">
        <f t="shared" si="4"/>
        <v>-30.7</v>
      </c>
      <c r="AI23" s="394">
        <f>B23+E23+H23+K23+N23+Q23+T23+W23+Z23+AC23</f>
        <v>1905.18973357</v>
      </c>
      <c r="AJ23" s="394">
        <f>C23+F23+I23+L23+O23+R23+U23+X23+AA23+AD23</f>
        <v>1274.405110779998</v>
      </c>
      <c r="AK23" s="353">
        <f t="shared" si="6"/>
        <v>-33.1</v>
      </c>
    </row>
    <row r="24" spans="1:37" s="365" customFormat="1" ht="20.100000000000001" customHeight="1" x14ac:dyDescent="0.35">
      <c r="A24" s="427" t="s">
        <v>313</v>
      </c>
      <c r="B24" s="147">
        <v>45.134</v>
      </c>
      <c r="C24" s="353">
        <v>6.4223448399999974</v>
      </c>
      <c r="D24" s="353">
        <f t="shared" si="7"/>
        <v>-85.8</v>
      </c>
      <c r="E24" s="147"/>
      <c r="F24" s="353">
        <v>0</v>
      </c>
      <c r="G24" s="353"/>
      <c r="H24" s="147"/>
      <c r="I24" s="353"/>
      <c r="J24" s="353"/>
      <c r="K24" s="76"/>
      <c r="L24" s="394"/>
      <c r="M24" s="394"/>
      <c r="N24" s="76">
        <v>536.51993252</v>
      </c>
      <c r="O24" s="394">
        <v>57.435965250000002</v>
      </c>
      <c r="P24" s="353">
        <f t="shared" si="1"/>
        <v>-89.3</v>
      </c>
      <c r="Q24" s="76">
        <v>2.02</v>
      </c>
      <c r="R24" s="394">
        <v>0.42</v>
      </c>
      <c r="S24" s="353">
        <f t="shared" si="15"/>
        <v>-79.2</v>
      </c>
      <c r="T24" s="76">
        <v>45</v>
      </c>
      <c r="U24" s="394">
        <v>40</v>
      </c>
      <c r="V24" s="353">
        <f t="shared" si="9"/>
        <v>-11.1</v>
      </c>
      <c r="W24" s="76">
        <v>12.705</v>
      </c>
      <c r="X24" s="394">
        <v>10.158600079999998</v>
      </c>
      <c r="Y24" s="353"/>
      <c r="Z24" s="76">
        <v>75.076774259999951</v>
      </c>
      <c r="AA24" s="394">
        <v>641.33320147999984</v>
      </c>
      <c r="AB24" s="353">
        <f t="shared" si="10"/>
        <v>754.2</v>
      </c>
      <c r="AC24" s="76"/>
      <c r="AD24" s="394"/>
      <c r="AE24" s="353"/>
      <c r="AF24" s="394">
        <f t="shared" ref="AF24:AG29" si="17">B24+E24+H24+K24+N24+Q24+T24+W24+Z24</f>
        <v>716.45570678000001</v>
      </c>
      <c r="AG24" s="394">
        <f t="shared" si="17"/>
        <v>755.77011164999988</v>
      </c>
      <c r="AH24" s="353">
        <f t="shared" si="4"/>
        <v>5.5</v>
      </c>
      <c r="AI24" s="394">
        <f t="shared" ref="AI24:AJ29" si="18">B24+E24+H24+K24+N24+Q24+T24+W24+Z24+AC24</f>
        <v>716.45570678000001</v>
      </c>
      <c r="AJ24" s="394">
        <f t="shared" si="18"/>
        <v>755.77011164999988</v>
      </c>
      <c r="AK24" s="353">
        <f t="shared" si="6"/>
        <v>5.5</v>
      </c>
    </row>
    <row r="25" spans="1:37" s="365" customFormat="1" ht="20.100000000000001" customHeight="1" x14ac:dyDescent="0.35">
      <c r="A25" s="427" t="s">
        <v>314</v>
      </c>
      <c r="B25" s="147">
        <v>71.471000000000004</v>
      </c>
      <c r="C25" s="353">
        <v>2.8487985300000478</v>
      </c>
      <c r="D25" s="353">
        <f t="shared" si="7"/>
        <v>-96</v>
      </c>
      <c r="E25" s="147">
        <v>51.082001459999994</v>
      </c>
      <c r="F25" s="353">
        <v>3.0125119599999985</v>
      </c>
      <c r="G25" s="353">
        <f>IF(E25=0, "    ---- ", IF(ABS(ROUND(100/E25*F25-100,1))&lt;999,ROUND(100/E25*F25-100,1),IF(ROUND(100/E25*F25-100,1)&gt;999,999,-999)))</f>
        <v>-94.1</v>
      </c>
      <c r="H25" s="147">
        <v>96.474999999999994</v>
      </c>
      <c r="I25" s="353">
        <v>109.371</v>
      </c>
      <c r="J25" s="353">
        <f t="shared" si="14"/>
        <v>13.4</v>
      </c>
      <c r="K25" s="76"/>
      <c r="L25" s="394"/>
      <c r="M25" s="394"/>
      <c r="N25" s="76">
        <v>7.8191999999999997E-4</v>
      </c>
      <c r="O25" s="394">
        <v>0.73926731000000001</v>
      </c>
      <c r="P25" s="353">
        <f t="shared" si="1"/>
        <v>999</v>
      </c>
      <c r="Q25" s="76">
        <v>446.84</v>
      </c>
      <c r="R25" s="394">
        <v>1.93</v>
      </c>
      <c r="S25" s="353">
        <f t="shared" si="15"/>
        <v>-99.6</v>
      </c>
      <c r="T25" s="76"/>
      <c r="U25" s="394"/>
      <c r="V25" s="353"/>
      <c r="W25" s="76">
        <v>773.59699999999998</v>
      </c>
      <c r="X25" s="394">
        <v>245.02926823985965</v>
      </c>
      <c r="Y25" s="353">
        <f t="shared" si="2"/>
        <v>-68.3</v>
      </c>
      <c r="Z25" s="76"/>
      <c r="AA25" s="394"/>
      <c r="AB25" s="353" t="str">
        <f t="shared" si="10"/>
        <v xml:space="preserve">    ---- </v>
      </c>
      <c r="AC25" s="76"/>
      <c r="AD25" s="394"/>
      <c r="AE25" s="353"/>
      <c r="AF25" s="394">
        <f t="shared" si="17"/>
        <v>1439.4657833799999</v>
      </c>
      <c r="AG25" s="394">
        <f t="shared" si="17"/>
        <v>362.93084603985972</v>
      </c>
      <c r="AH25" s="353">
        <f t="shared" si="4"/>
        <v>-74.8</v>
      </c>
      <c r="AI25" s="394">
        <f t="shared" si="18"/>
        <v>1439.4657833799999</v>
      </c>
      <c r="AJ25" s="394">
        <f t="shared" si="18"/>
        <v>362.93084603985972</v>
      </c>
      <c r="AK25" s="353">
        <f t="shared" si="6"/>
        <v>-74.8</v>
      </c>
    </row>
    <row r="26" spans="1:37" s="365" customFormat="1" ht="20.100000000000001" customHeight="1" x14ac:dyDescent="0.35">
      <c r="A26" s="427" t="s">
        <v>315</v>
      </c>
      <c r="B26" s="147"/>
      <c r="C26" s="353"/>
      <c r="D26" s="353"/>
      <c r="E26" s="147"/>
      <c r="F26" s="353"/>
      <c r="G26" s="353"/>
      <c r="H26" s="147"/>
      <c r="I26" s="353"/>
      <c r="J26" s="353"/>
      <c r="K26" s="76"/>
      <c r="L26" s="394"/>
      <c r="M26" s="394"/>
      <c r="N26" s="76"/>
      <c r="O26" s="394"/>
      <c r="P26" s="353"/>
      <c r="Q26" s="76"/>
      <c r="R26" s="394"/>
      <c r="S26" s="353"/>
      <c r="T26" s="76"/>
      <c r="U26" s="394"/>
      <c r="V26" s="353"/>
      <c r="W26" s="76"/>
      <c r="X26" s="394">
        <v>0</v>
      </c>
      <c r="Y26" s="353"/>
      <c r="Z26" s="76"/>
      <c r="AA26" s="394"/>
      <c r="AB26" s="353"/>
      <c r="AC26" s="76"/>
      <c r="AD26" s="394"/>
      <c r="AE26" s="353"/>
      <c r="AF26" s="394">
        <f t="shared" si="17"/>
        <v>0</v>
      </c>
      <c r="AG26" s="394">
        <f t="shared" si="17"/>
        <v>0</v>
      </c>
      <c r="AH26" s="353" t="str">
        <f t="shared" si="4"/>
        <v xml:space="preserve">    ---- </v>
      </c>
      <c r="AI26" s="394">
        <f t="shared" si="18"/>
        <v>0</v>
      </c>
      <c r="AJ26" s="394">
        <f t="shared" si="18"/>
        <v>0</v>
      </c>
      <c r="AK26" s="353" t="str">
        <f t="shared" si="6"/>
        <v xml:space="preserve">    ---- </v>
      </c>
    </row>
    <row r="27" spans="1:37" s="365" customFormat="1" ht="20.100000000000001" customHeight="1" x14ac:dyDescent="0.35">
      <c r="A27" s="463" t="s">
        <v>316</v>
      </c>
      <c r="B27" s="147">
        <f>SUM(B14+B15+B16+B20+B26)</f>
        <v>29571.589895599998</v>
      </c>
      <c r="C27" s="353">
        <f>SUM(C14+C15+C16+C20+C26)</f>
        <v>27338.18083564</v>
      </c>
      <c r="D27" s="353">
        <f t="shared" si="7"/>
        <v>-7.6</v>
      </c>
      <c r="E27" s="147">
        <f>SUM(E14+E15+E16+E20+E26)</f>
        <v>3608.5604238300002</v>
      </c>
      <c r="F27" s="353">
        <f>SUM(F14+F15+F16+F20+F26)</f>
        <v>3481.8344165400008</v>
      </c>
      <c r="G27" s="353">
        <f>IF(E27=0, "    ---- ", IF(ABS(ROUND(100/E27*F27-100,1))&lt;999,ROUND(100/E27*F27-100,1),IF(ROUND(100/E27*F27-100,1)&gt;999,999,-999)))</f>
        <v>-3.5</v>
      </c>
      <c r="H27" s="147">
        <f>SUM(H14+H15+H16+H20+H26)</f>
        <v>404.14499999999998</v>
      </c>
      <c r="I27" s="353">
        <f>SUM(I14+I15+I16+I20+I26)</f>
        <v>454.41699999999997</v>
      </c>
      <c r="J27" s="353">
        <f t="shared" si="14"/>
        <v>12.4</v>
      </c>
      <c r="K27" s="76">
        <f>SUM(K14+K15+K16+K20+K26)</f>
        <v>1347</v>
      </c>
      <c r="L27" s="394">
        <f>SUM(L14+L15+L16+L20+L26)</f>
        <v>1925</v>
      </c>
      <c r="M27" s="394">
        <f t="shared" si="13"/>
        <v>42.9</v>
      </c>
      <c r="N27" s="76">
        <v>48369.593791360006</v>
      </c>
      <c r="O27" s="394">
        <v>46425.102590349998</v>
      </c>
      <c r="P27" s="353">
        <f t="shared" si="1"/>
        <v>-4</v>
      </c>
      <c r="Q27" s="76">
        <f>SUM(Q14+Q15+Q16+Q20+Q26)</f>
        <v>10023.939999999999</v>
      </c>
      <c r="R27" s="394">
        <f>SUM(R14+R15+R16+R20+R26)</f>
        <v>9157.66</v>
      </c>
      <c r="S27" s="353">
        <f t="shared" si="15"/>
        <v>-8.6</v>
      </c>
      <c r="T27" s="76">
        <v>11443</v>
      </c>
      <c r="U27" s="394">
        <f>SUM(U14+U15+U16+U20+U26)</f>
        <v>12352</v>
      </c>
      <c r="V27" s="353">
        <f t="shared" si="9"/>
        <v>7.9</v>
      </c>
      <c r="W27" s="76">
        <f>SUM(W14+W15+W16+W20+W26)</f>
        <v>6383.9809999999998</v>
      </c>
      <c r="X27" s="394">
        <f>SUM(X14+X15+X16+X20+X26)</f>
        <v>5867.7171460098516</v>
      </c>
      <c r="Y27" s="353">
        <f t="shared" si="2"/>
        <v>-8.1</v>
      </c>
      <c r="Z27" s="76">
        <f>SUM(Z14+Z15+Z16+Z20+Z26)</f>
        <v>33206.66175875</v>
      </c>
      <c r="AA27" s="394">
        <f>SUM(AA14+AA15+AA16+AA20+AA26)</f>
        <v>30464.395653649997</v>
      </c>
      <c r="AB27" s="353">
        <f t="shared" si="10"/>
        <v>-8.3000000000000007</v>
      </c>
      <c r="AC27" s="76">
        <f>SUM(AC14+AC15+AC16+AC20+AC26)</f>
        <v>66</v>
      </c>
      <c r="AD27" s="394">
        <f>SUM(AD14+AD15+AD16+AD20+AD26)</f>
        <v>97</v>
      </c>
      <c r="AE27" s="353">
        <f>IF(AC27=0, "    ---- ", IF(ABS(ROUND(100/AC27*AD27-100,1))&lt;999,ROUND(100/AC27*AD27-100,1),IF(ROUND(100/AC27*AD27-100,1)&gt;999,999,-999)))</f>
        <v>47</v>
      </c>
      <c r="AF27" s="394">
        <f t="shared" si="17"/>
        <v>144358.47186954002</v>
      </c>
      <c r="AG27" s="394">
        <f t="shared" si="17"/>
        <v>137466.30764218984</v>
      </c>
      <c r="AH27" s="353">
        <f t="shared" si="4"/>
        <v>-4.8</v>
      </c>
      <c r="AI27" s="394">
        <f t="shared" si="18"/>
        <v>144424.47186954002</v>
      </c>
      <c r="AJ27" s="394">
        <f t="shared" si="18"/>
        <v>137563.30764218984</v>
      </c>
      <c r="AK27" s="353">
        <f t="shared" si="6"/>
        <v>-4.8</v>
      </c>
    </row>
    <row r="28" spans="1:37" s="365" customFormat="1" ht="20.100000000000001" customHeight="1" x14ac:dyDescent="0.35">
      <c r="A28" s="427" t="s">
        <v>317</v>
      </c>
      <c r="B28" s="147">
        <v>1451.306241369999</v>
      </c>
      <c r="C28" s="353">
        <v>1708.7438409500062</v>
      </c>
      <c r="D28" s="353">
        <f t="shared" si="7"/>
        <v>17.7</v>
      </c>
      <c r="E28" s="147">
        <v>863.22528557999988</v>
      </c>
      <c r="F28" s="353">
        <v>541.59399704000009</v>
      </c>
      <c r="G28" s="353">
        <f>IF(E28=0, "    ---- ", IF(ABS(ROUND(100/E28*F28-100,1))&lt;999,ROUND(100/E28*F28-100,1),IF(ROUND(100/E28*F28-100,1)&gt;999,999,-999)))</f>
        <v>-37.299999999999997</v>
      </c>
      <c r="H28" s="147">
        <v>896.92899999999997</v>
      </c>
      <c r="I28" s="353">
        <v>973.41800000000001</v>
      </c>
      <c r="J28" s="353">
        <f t="shared" si="14"/>
        <v>8.5</v>
      </c>
      <c r="K28" s="76">
        <v>378</v>
      </c>
      <c r="L28" s="394">
        <v>256</v>
      </c>
      <c r="M28" s="394">
        <f t="shared" si="13"/>
        <v>-32.299999999999997</v>
      </c>
      <c r="N28" s="76">
        <v>9160.2725991900006</v>
      </c>
      <c r="O28" s="394">
        <v>5650.5804013300003</v>
      </c>
      <c r="P28" s="353">
        <f t="shared" si="1"/>
        <v>-38.299999999999997</v>
      </c>
      <c r="Q28" s="76">
        <v>1513.56</v>
      </c>
      <c r="R28" s="394">
        <v>1154.27</v>
      </c>
      <c r="S28" s="353">
        <f t="shared" si="15"/>
        <v>-23.7</v>
      </c>
      <c r="T28" s="76">
        <v>980</v>
      </c>
      <c r="U28" s="394">
        <f>102+587+73+10</f>
        <v>772</v>
      </c>
      <c r="V28" s="353">
        <f t="shared" si="9"/>
        <v>-21.2</v>
      </c>
      <c r="W28" s="76">
        <v>1229.723</v>
      </c>
      <c r="X28" s="394">
        <v>1548.0087996199782</v>
      </c>
      <c r="Y28" s="353">
        <f t="shared" si="2"/>
        <v>25.9</v>
      </c>
      <c r="Z28" s="76">
        <v>31321.184307259966</v>
      </c>
      <c r="AA28" s="394">
        <v>11279.438525370002</v>
      </c>
      <c r="AB28" s="353">
        <f t="shared" si="10"/>
        <v>-64</v>
      </c>
      <c r="AC28" s="76">
        <v>151</v>
      </c>
      <c r="AD28" s="394">
        <v>127</v>
      </c>
      <c r="AE28" s="353">
        <f>IF(AC28=0, "    ---- ", IF(ABS(ROUND(100/AC28*AD28-100,1))&lt;999,ROUND(100/AC28*AD28-100,1),IF(ROUND(100/AC28*AD28-100,1)&gt;999,999,-999)))</f>
        <v>-15.9</v>
      </c>
      <c r="AF28" s="394">
        <f t="shared" si="17"/>
        <v>47794.200433399965</v>
      </c>
      <c r="AG28" s="394">
        <f t="shared" si="17"/>
        <v>23884.053564309987</v>
      </c>
      <c r="AH28" s="353">
        <f t="shared" si="4"/>
        <v>-50</v>
      </c>
      <c r="AI28" s="394">
        <f t="shared" si="18"/>
        <v>47945.200433399965</v>
      </c>
      <c r="AJ28" s="394">
        <f t="shared" si="18"/>
        <v>24011.053564309987</v>
      </c>
      <c r="AK28" s="353">
        <f t="shared" si="6"/>
        <v>-49.9</v>
      </c>
    </row>
    <row r="29" spans="1:37" s="365" customFormat="1" ht="20.100000000000001" customHeight="1" x14ac:dyDescent="0.35">
      <c r="A29" s="427" t="s">
        <v>318</v>
      </c>
      <c r="B29" s="147">
        <f>SUM(B27+B28)</f>
        <v>31022.896136969997</v>
      </c>
      <c r="C29" s="353">
        <f>SUM(C27+C28)</f>
        <v>29046.924676590006</v>
      </c>
      <c r="D29" s="353">
        <f>IF(B29=0, "    ---- ", IF(ABS(ROUND(100/B29*C29-100,1))&lt;999,ROUND(100/B29*C29-100,1),IF(ROUND(100/B29*C29-100,1)&gt;999,999,-999)))</f>
        <v>-6.4</v>
      </c>
      <c r="E29" s="147">
        <f>SUM(E27+E28)</f>
        <v>4471.78570941</v>
      </c>
      <c r="F29" s="353">
        <f>SUM(F27+F28)</f>
        <v>4023.4284135800008</v>
      </c>
      <c r="G29" s="353">
        <f>IF(E29=0, "    ---- ", IF(ABS(ROUND(100/E29*F29-100,1))&lt;999,ROUND(100/E29*F29-100,1),IF(ROUND(100/E29*F29-100,1)&gt;999,999,-999)))</f>
        <v>-10</v>
      </c>
      <c r="H29" s="147">
        <f>SUM(H27+H28)</f>
        <v>1301.0740000000001</v>
      </c>
      <c r="I29" s="353">
        <f>SUM(I27+I28)</f>
        <v>1427.835</v>
      </c>
      <c r="J29" s="353">
        <f>IF(H29=0, "    ---- ", IF(ABS(ROUND(100/H29*I29-100,1))&lt;999,ROUND(100/H29*I29-100,1),IF(ROUND(100/H29*I29-100,1)&gt;999,999,-999)))</f>
        <v>9.6999999999999993</v>
      </c>
      <c r="K29" s="147">
        <f>SUM(K27+K28)</f>
        <v>1725</v>
      </c>
      <c r="L29" s="353">
        <f>SUM(L27+L28)</f>
        <v>2181</v>
      </c>
      <c r="M29" s="353">
        <f>IF(K29=0, "    ---- ", IF(ABS(ROUND(100/K29*L29-100,1))&lt;999,ROUND(100/K29*L29-100,1),IF(ROUND(100/K29*L29-100,1)&gt;999,999,-999)))</f>
        <v>26.4</v>
      </c>
      <c r="N29" s="147">
        <v>57529.866390550007</v>
      </c>
      <c r="O29" s="353">
        <v>52075.682991679998</v>
      </c>
      <c r="P29" s="353">
        <f>IF(N29=0, "    ---- ", IF(ABS(ROUND(100/N29*O29-100,1))&lt;999,ROUND(100/N29*O29-100,1),IF(ROUND(100/N29*O29-100,1)&gt;999,999,-999)))</f>
        <v>-9.5</v>
      </c>
      <c r="Q29" s="147">
        <f>SUM(Q27+Q28)</f>
        <v>11537.499999999998</v>
      </c>
      <c r="R29" s="353">
        <f>SUM(R27+R28)</f>
        <v>10311.93</v>
      </c>
      <c r="S29" s="353">
        <f>IF(Q29=0, "    ---- ", IF(ABS(ROUND(100/Q29*R29-100,1))&lt;999,ROUND(100/Q29*R29-100,1),IF(ROUND(100/Q29*R29-100,1)&gt;999,999,-999)))</f>
        <v>-10.6</v>
      </c>
      <c r="T29" s="147">
        <v>12423</v>
      </c>
      <c r="U29" s="353">
        <f>SUM(U27+U28)</f>
        <v>13124</v>
      </c>
      <c r="V29" s="353">
        <f>IF(T29=0, "    ---- ", IF(ABS(ROUND(100/T29*U29-100,1))&lt;999,ROUND(100/T29*U29-100,1),IF(ROUND(100/T29*U29-100,1)&gt;999,999,-999)))</f>
        <v>5.6</v>
      </c>
      <c r="W29" s="147">
        <f>SUM(W27+W28)</f>
        <v>7613.7039999999997</v>
      </c>
      <c r="X29" s="353">
        <f>SUM(X27+X28)</f>
        <v>7415.7259456298298</v>
      </c>
      <c r="Y29" s="353">
        <f>IF(W29=0, "    ---- ", IF(ABS(ROUND(100/W29*X29-100,1))&lt;999,ROUND(100/W29*X29-100,1),IF(ROUND(100/W29*X29-100,1)&gt;999,999,-999)))</f>
        <v>-2.6</v>
      </c>
      <c r="Z29" s="147">
        <f>SUM(Z27+Z28)</f>
        <v>64527.846066009966</v>
      </c>
      <c r="AA29" s="353">
        <f>SUM(AA27+AA28)</f>
        <v>41743.834179019999</v>
      </c>
      <c r="AB29" s="353">
        <f>IF(Z29=0, "    ---- ", IF(ABS(ROUND(100/Z29*AA29-100,1))&lt;999,ROUND(100/Z29*AA29-100,1),IF(ROUND(100/Z29*AA29-100,1)&gt;999,999,-999)))</f>
        <v>-35.299999999999997</v>
      </c>
      <c r="AC29" s="147">
        <f>SUM(AC27+AC28)</f>
        <v>217</v>
      </c>
      <c r="AD29" s="353">
        <f>SUM(AD27+AD28)</f>
        <v>224</v>
      </c>
      <c r="AE29" s="353">
        <f>IF(AC29=0, "    ---- ", IF(ABS(ROUND(100/AC29*AD29-100,1))&lt;999,ROUND(100/AC29*AD29-100,1),IF(ROUND(100/AC29*AD29-100,1)&gt;999,999,-999)))</f>
        <v>3.2</v>
      </c>
      <c r="AF29" s="394">
        <f t="shared" si="17"/>
        <v>192152.67230293999</v>
      </c>
      <c r="AG29" s="394">
        <f t="shared" si="17"/>
        <v>161350.36120649983</v>
      </c>
      <c r="AH29" s="353">
        <f>IF(AF29=0, "    ---- ", IF(ABS(ROUND(100/AF29*AG29-100,1))&lt;999,ROUND(100/AF29*AG29-100,1),IF(ROUND(100/AF29*AG29-100,1)&gt;999,999,-999)))</f>
        <v>-16</v>
      </c>
      <c r="AI29" s="394">
        <f t="shared" si="18"/>
        <v>192369.67230293999</v>
      </c>
      <c r="AJ29" s="394">
        <f t="shared" si="18"/>
        <v>161574.36120649983</v>
      </c>
      <c r="AK29" s="464">
        <f t="shared" si="6"/>
        <v>-16</v>
      </c>
    </row>
    <row r="30" spans="1:37" s="365" customFormat="1" ht="20.100000000000001" customHeight="1" x14ac:dyDescent="0.35">
      <c r="A30" s="427"/>
      <c r="B30" s="434"/>
      <c r="C30" s="350"/>
      <c r="D30" s="353"/>
      <c r="E30" s="434"/>
      <c r="F30" s="350"/>
      <c r="G30" s="353"/>
      <c r="H30" s="434"/>
      <c r="I30" s="350"/>
      <c r="J30" s="353"/>
      <c r="K30" s="147"/>
      <c r="L30" s="353"/>
      <c r="M30" s="350"/>
      <c r="N30" s="434"/>
      <c r="O30" s="350"/>
      <c r="P30" s="277"/>
      <c r="Q30" s="434"/>
      <c r="R30" s="350"/>
      <c r="S30" s="277"/>
      <c r="T30" s="434"/>
      <c r="U30" s="350"/>
      <c r="V30" s="277"/>
      <c r="W30" s="434"/>
      <c r="X30" s="350"/>
      <c r="Y30" s="277"/>
      <c r="Z30" s="434"/>
      <c r="AA30" s="350"/>
      <c r="AB30" s="277"/>
      <c r="AC30" s="434"/>
      <c r="AD30" s="350"/>
      <c r="AE30" s="277"/>
      <c r="AF30" s="350"/>
      <c r="AG30" s="350"/>
      <c r="AH30" s="277"/>
      <c r="AI30" s="350"/>
      <c r="AJ30" s="350"/>
      <c r="AK30" s="354"/>
    </row>
    <row r="31" spans="1:37" s="365" customFormat="1" ht="20.100000000000001" customHeight="1" x14ac:dyDescent="0.35">
      <c r="A31" s="439" t="s">
        <v>319</v>
      </c>
      <c r="B31" s="147"/>
      <c r="C31" s="353"/>
      <c r="D31" s="353"/>
      <c r="E31" s="147"/>
      <c r="F31" s="353"/>
      <c r="G31" s="353"/>
      <c r="H31" s="147"/>
      <c r="I31" s="353"/>
      <c r="J31" s="353"/>
      <c r="K31" s="147"/>
      <c r="L31" s="353"/>
      <c r="M31" s="350"/>
      <c r="N31" s="147"/>
      <c r="O31" s="353"/>
      <c r="P31" s="277"/>
      <c r="Q31" s="147"/>
      <c r="R31" s="353"/>
      <c r="S31" s="277"/>
      <c r="T31" s="147"/>
      <c r="U31" s="353"/>
      <c r="V31" s="277"/>
      <c r="W31" s="147"/>
      <c r="X31" s="353"/>
      <c r="Y31" s="277"/>
      <c r="Z31" s="147"/>
      <c r="AA31" s="353"/>
      <c r="AB31" s="277"/>
      <c r="AC31" s="147"/>
      <c r="AD31" s="353"/>
      <c r="AE31" s="277"/>
      <c r="AF31" s="350"/>
      <c r="AG31" s="350"/>
      <c r="AH31" s="277"/>
      <c r="AI31" s="350"/>
      <c r="AJ31" s="350"/>
      <c r="AK31" s="354"/>
    </row>
    <row r="32" spans="1:37" s="365" customFormat="1" ht="20.100000000000001" customHeight="1" x14ac:dyDescent="0.35">
      <c r="A32" s="439" t="s">
        <v>320</v>
      </c>
      <c r="B32" s="147"/>
      <c r="C32" s="353"/>
      <c r="D32" s="277"/>
      <c r="E32" s="147"/>
      <c r="F32" s="353"/>
      <c r="G32" s="277"/>
      <c r="H32" s="147"/>
      <c r="I32" s="353"/>
      <c r="J32" s="277"/>
      <c r="K32" s="147"/>
      <c r="L32" s="353"/>
      <c r="M32" s="350"/>
      <c r="N32" s="147"/>
      <c r="O32" s="353"/>
      <c r="P32" s="277"/>
      <c r="Q32" s="147"/>
      <c r="R32" s="353"/>
      <c r="S32" s="277"/>
      <c r="T32" s="147"/>
      <c r="U32" s="353"/>
      <c r="V32" s="277"/>
      <c r="W32" s="147"/>
      <c r="X32" s="353"/>
      <c r="Y32" s="277"/>
      <c r="Z32" s="147"/>
      <c r="AA32" s="353"/>
      <c r="AB32" s="277"/>
      <c r="AC32" s="147"/>
      <c r="AD32" s="353"/>
      <c r="AE32" s="277"/>
      <c r="AF32" s="350"/>
      <c r="AG32" s="350"/>
      <c r="AH32" s="277"/>
      <c r="AI32" s="350"/>
      <c r="AJ32" s="350"/>
      <c r="AK32" s="354"/>
    </row>
    <row r="33" spans="1:37" s="365" customFormat="1" ht="20.100000000000001" customHeight="1" x14ac:dyDescent="0.35">
      <c r="A33" s="427" t="s">
        <v>321</v>
      </c>
      <c r="B33" s="147">
        <v>14.226000000000001</v>
      </c>
      <c r="C33" s="353">
        <v>14.226000000000001</v>
      </c>
      <c r="D33" s="353">
        <f t="shared" ref="D33:D93" si="19">IF(B33=0, "    ---- ", IF(ABS(ROUND(100/B33*C33-100,1))&lt;999,ROUND(100/B33*C33-100,1),IF(ROUND(100/B33*C33-100,1)&gt;999,999,-999)))</f>
        <v>0</v>
      </c>
      <c r="E33" s="147"/>
      <c r="F33" s="353"/>
      <c r="G33" s="353"/>
      <c r="H33" s="147"/>
      <c r="I33" s="353"/>
      <c r="J33" s="353"/>
      <c r="K33" s="147"/>
      <c r="L33" s="353"/>
      <c r="M33" s="350"/>
      <c r="N33" s="147"/>
      <c r="O33" s="353"/>
      <c r="P33" s="277"/>
      <c r="Q33" s="147"/>
      <c r="R33" s="353"/>
      <c r="S33" s="277"/>
      <c r="T33" s="147"/>
      <c r="U33" s="353"/>
      <c r="V33" s="277"/>
      <c r="W33" s="147"/>
      <c r="X33" s="353"/>
      <c r="Y33" s="277" t="str">
        <f t="shared" ref="Y33:Y93" si="20">IF(W33=0, "    ---- ", IF(ABS(ROUND(100/W33*X33-100,1))&lt;999,ROUND(100/W33*X33-100,1),IF(ROUND(100/W33*X33-100,1)&gt;999,999,-999)))</f>
        <v xml:space="preserve">    ---- </v>
      </c>
      <c r="Z33" s="147"/>
      <c r="AA33" s="353"/>
      <c r="AB33" s="277"/>
      <c r="AC33" s="147"/>
      <c r="AD33" s="353"/>
      <c r="AE33" s="277"/>
      <c r="AF33" s="394">
        <f t="shared" ref="AF33:AG46" si="21">B33+E33+H33+K33+N33+Q33+T33+W33+Z33</f>
        <v>14.226000000000001</v>
      </c>
      <c r="AG33" s="394">
        <f t="shared" si="21"/>
        <v>14.226000000000001</v>
      </c>
      <c r="AH33" s="277">
        <f t="shared" ref="AH33:AH93" si="22">IF(AF33=0, "    ---- ", IF(ABS(ROUND(100/AF33*AG33-100,1))&lt;999,ROUND(100/AF33*AG33-100,1),IF(ROUND(100/AF33*AG33-100,1)&gt;999,999,-999)))</f>
        <v>0</v>
      </c>
      <c r="AI33" s="394">
        <f t="shared" ref="AI33:AJ46" si="23">B33+E33+H33+K33+N33+Q33+T33+W33+Z33+AC33</f>
        <v>14.226000000000001</v>
      </c>
      <c r="AJ33" s="394">
        <f t="shared" si="23"/>
        <v>14.226000000000001</v>
      </c>
      <c r="AK33" s="354">
        <f t="shared" ref="AK33:AK93" si="24">IF(AI33=0, "    ---- ", IF(ABS(ROUND(100/AI33*AJ33-100,1))&lt;999,ROUND(100/AI33*AJ33-100,1),IF(ROUND(100/AI33*AJ33-100,1)&gt;999,999,-999)))</f>
        <v>0</v>
      </c>
    </row>
    <row r="34" spans="1:37" s="365" customFormat="1" ht="20.100000000000001" customHeight="1" x14ac:dyDescent="0.35">
      <c r="A34" s="427" t="s">
        <v>322</v>
      </c>
      <c r="B34" s="147">
        <v>17288.885999999999</v>
      </c>
      <c r="C34" s="353">
        <v>15748.124</v>
      </c>
      <c r="D34" s="353">
        <f t="shared" si="19"/>
        <v>-8.9</v>
      </c>
      <c r="E34" s="147">
        <v>446.18724366999993</v>
      </c>
      <c r="F34" s="353">
        <v>995.33742342999994</v>
      </c>
      <c r="G34" s="353">
        <f t="shared" ref="G34:G37" si="25">IF(E34=0, "    ---- ", IF(ABS(ROUND(100/E34*F34-100,1))&lt;999,ROUND(100/E34*F34-100,1),IF(ROUND(100/E34*F34-100,1)&gt;999,999,-999)))</f>
        <v>123.1</v>
      </c>
      <c r="H34" s="147"/>
      <c r="I34" s="353"/>
      <c r="J34" s="353"/>
      <c r="K34" s="147">
        <v>320</v>
      </c>
      <c r="L34" s="353">
        <v>485</v>
      </c>
      <c r="M34" s="350">
        <f>IF(K34=0, "    ---- ", IF(ABS(ROUND(100/K34*L34-100,1))&lt;999,ROUND(100/K34*L34-100,1),IF(ROUND(100/K34*L34-100,1)&gt;999,999,-999)))</f>
        <v>51.6</v>
      </c>
      <c r="N34" s="147">
        <v>99949.936962079999</v>
      </c>
      <c r="O34" s="353">
        <v>112762.33413491999</v>
      </c>
      <c r="P34" s="277">
        <f>IF(N34=0, "    ---- ", IF(ABS(ROUND(100/N34*O34-100,1))&lt;999,ROUND(100/N34*O34-100,1),IF(ROUND(100/N34*O34-100,1)&gt;999,999,-999)))</f>
        <v>12.8</v>
      </c>
      <c r="Q34" s="147">
        <v>6315.158501240001</v>
      </c>
      <c r="R34" s="353">
        <v>7004.3823807899998</v>
      </c>
      <c r="S34" s="277">
        <f t="shared" ref="S34:S93" si="26">IF(Q34=0, "    ---- ", IF(ABS(ROUND(100/Q34*R34-100,1))&lt;999,ROUND(100/Q34*R34-100,1),IF(ROUND(100/Q34*R34-100,1)&gt;999,999,-999)))</f>
        <v>10.9</v>
      </c>
      <c r="T34" s="147">
        <v>20661</v>
      </c>
      <c r="U34" s="353">
        <v>22526</v>
      </c>
      <c r="V34" s="277">
        <f t="shared" ref="V34:V42" si="27">IF(T34=0, "    ---- ", IF(ABS(ROUND(100/T34*U34-100,1))&lt;999,ROUND(100/T34*U34-100,1),IF(ROUND(100/T34*U34-100,1)&gt;999,999,-999)))</f>
        <v>9</v>
      </c>
      <c r="W34" s="147">
        <v>4263.4690000000001</v>
      </c>
      <c r="X34" s="353">
        <v>4222.6042482599996</v>
      </c>
      <c r="Y34" s="277">
        <f t="shared" si="20"/>
        <v>-1</v>
      </c>
      <c r="Z34" s="147">
        <v>21863.984999050001</v>
      </c>
      <c r="AA34" s="353">
        <v>23509.899477719991</v>
      </c>
      <c r="AB34" s="277">
        <f t="shared" ref="AB34:AB93" si="28">IF(Z34=0, "    ---- ", IF(ABS(ROUND(100/Z34*AA34-100,1))&lt;999,ROUND(100/Z34*AA34-100,1),IF(ROUND(100/Z34*AA34-100,1)&gt;999,999,-999)))</f>
        <v>7.5</v>
      </c>
      <c r="AC34" s="147"/>
      <c r="AD34" s="353"/>
      <c r="AE34" s="277"/>
      <c r="AF34" s="394">
        <f t="shared" si="21"/>
        <v>171108.62270604004</v>
      </c>
      <c r="AG34" s="394">
        <f t="shared" si="21"/>
        <v>187253.68166511998</v>
      </c>
      <c r="AH34" s="277">
        <f t="shared" si="22"/>
        <v>9.4</v>
      </c>
      <c r="AI34" s="394">
        <f t="shared" si="23"/>
        <v>171108.62270604004</v>
      </c>
      <c r="AJ34" s="394">
        <f t="shared" si="23"/>
        <v>187253.68166511998</v>
      </c>
      <c r="AK34" s="354">
        <f t="shared" si="24"/>
        <v>9.4</v>
      </c>
    </row>
    <row r="35" spans="1:37" s="365" customFormat="1" ht="20.100000000000001" customHeight="1" x14ac:dyDescent="0.35">
      <c r="A35" s="427" t="s">
        <v>323</v>
      </c>
      <c r="B35" s="147">
        <f>SUM(B36+B38)</f>
        <v>133117.60399999999</v>
      </c>
      <c r="C35" s="353">
        <f>SUM(C36+C38)</f>
        <v>134922.81193312004</v>
      </c>
      <c r="D35" s="353">
        <f t="shared" si="19"/>
        <v>1.4</v>
      </c>
      <c r="E35" s="147">
        <v>5679.011071410001</v>
      </c>
      <c r="F35" s="353">
        <f>SUM(F36+F38)</f>
        <v>6141.9814338600008</v>
      </c>
      <c r="G35" s="353">
        <f t="shared" si="25"/>
        <v>8.1999999999999993</v>
      </c>
      <c r="H35" s="147">
        <f>SUM(H36+H38)</f>
        <v>776.70799999999997</v>
      </c>
      <c r="I35" s="353">
        <f>SUM(I36+I38)</f>
        <v>931.52599999999995</v>
      </c>
      <c r="J35" s="353">
        <f t="shared" ref="J35:J36" si="29">IF(H35=0, "    ---- ", IF(ABS(ROUND(100/H35*I35-100,1))&lt;999,ROUND(100/H35*I35-100,1),IF(ROUND(100/H35*I35-100,1)&gt;999,999,-999)))</f>
        <v>19.899999999999999</v>
      </c>
      <c r="K35" s="147">
        <f>SUM(K36+K38)</f>
        <v>9093</v>
      </c>
      <c r="L35" s="353">
        <f>SUM(L36+L38)</f>
        <v>10496</v>
      </c>
      <c r="M35" s="350">
        <f>IF(K35=0, "    ---- ", IF(ABS(ROUND(100/K35*L35-100,1))&lt;999,ROUND(100/K35*L35-100,1),IF(ROUND(100/K35*L35-100,1)&gt;999,999,-999)))</f>
        <v>15.4</v>
      </c>
      <c r="N35" s="147">
        <v>296169.89553109999</v>
      </c>
      <c r="O35" s="353">
        <v>302578.32413915999</v>
      </c>
      <c r="P35" s="277">
        <f>IF(N35=0, "    ---- ", IF(ABS(ROUND(100/N35*O35-100,1))&lt;999,ROUND(100/N35*O35-100,1),IF(ROUND(100/N35*O35-100,1)&gt;999,999,-999)))</f>
        <v>2.2000000000000002</v>
      </c>
      <c r="Q35" s="147">
        <f>SUM(Q36+Q38)</f>
        <v>38395.3455185899</v>
      </c>
      <c r="R35" s="353">
        <f>SUM(R36+R38)</f>
        <v>36381.424958429998</v>
      </c>
      <c r="S35" s="277">
        <f t="shared" si="26"/>
        <v>-5.2</v>
      </c>
      <c r="T35" s="147">
        <v>31725</v>
      </c>
      <c r="U35" s="353">
        <f>SUM(U36+U38)</f>
        <v>32692</v>
      </c>
      <c r="V35" s="277">
        <f t="shared" si="27"/>
        <v>3</v>
      </c>
      <c r="W35" s="147">
        <f>SUM(W36+W38)</f>
        <v>12373.178</v>
      </c>
      <c r="X35" s="353">
        <f>SUM(X36+X38)</f>
        <v>12983.992425170009</v>
      </c>
      <c r="Y35" s="277">
        <f t="shared" si="20"/>
        <v>4.9000000000000004</v>
      </c>
      <c r="Z35" s="147">
        <f>SUM(Z36+Z38)</f>
        <v>171593.79561246015</v>
      </c>
      <c r="AA35" s="353">
        <f>SUM(AA36+AA38)</f>
        <v>170749.98627574</v>
      </c>
      <c r="AB35" s="277">
        <f t="shared" si="28"/>
        <v>-0.5</v>
      </c>
      <c r="AC35" s="147"/>
      <c r="AD35" s="353"/>
      <c r="AE35" s="277"/>
      <c r="AF35" s="394">
        <f t="shared" si="21"/>
        <v>698923.53773355996</v>
      </c>
      <c r="AG35" s="394">
        <f t="shared" si="21"/>
        <v>707878.04716547998</v>
      </c>
      <c r="AH35" s="277">
        <f t="shared" si="22"/>
        <v>1.3</v>
      </c>
      <c r="AI35" s="394">
        <f t="shared" si="23"/>
        <v>698923.53773355996</v>
      </c>
      <c r="AJ35" s="394">
        <f t="shared" si="23"/>
        <v>707878.04716547998</v>
      </c>
      <c r="AK35" s="354">
        <f t="shared" si="24"/>
        <v>1.3</v>
      </c>
    </row>
    <row r="36" spans="1:37" s="365" customFormat="1" ht="20.100000000000001" customHeight="1" x14ac:dyDescent="0.35">
      <c r="A36" s="427" t="s">
        <v>324</v>
      </c>
      <c r="B36" s="147">
        <v>129135.90700000001</v>
      </c>
      <c r="C36" s="353">
        <v>131464.30199109003</v>
      </c>
      <c r="D36" s="277">
        <f t="shared" si="19"/>
        <v>1.8</v>
      </c>
      <c r="E36" s="147">
        <v>5679.011071410001</v>
      </c>
      <c r="F36" s="353">
        <v>6141.9814338600008</v>
      </c>
      <c r="G36" s="353">
        <f t="shared" si="25"/>
        <v>8.1999999999999993</v>
      </c>
      <c r="H36" s="147">
        <v>776.70799999999997</v>
      </c>
      <c r="I36" s="353">
        <v>931.52599999999995</v>
      </c>
      <c r="J36" s="353">
        <f t="shared" si="29"/>
        <v>19.899999999999999</v>
      </c>
      <c r="K36" s="147"/>
      <c r="L36" s="353"/>
      <c r="M36" s="350"/>
      <c r="N36" s="147"/>
      <c r="O36" s="353"/>
      <c r="P36" s="277"/>
      <c r="Q36" s="147">
        <v>38395.3455185899</v>
      </c>
      <c r="R36" s="353">
        <v>36381.424958429998</v>
      </c>
      <c r="S36" s="277">
        <f t="shared" si="26"/>
        <v>-5.2</v>
      </c>
      <c r="T36" s="147"/>
      <c r="U36" s="353"/>
      <c r="V36" s="277"/>
      <c r="W36" s="147">
        <v>12373.178</v>
      </c>
      <c r="X36" s="353">
        <v>12983.992425170009</v>
      </c>
      <c r="Y36" s="277">
        <f t="shared" si="20"/>
        <v>4.9000000000000004</v>
      </c>
      <c r="Z36" s="147"/>
      <c r="AA36" s="353"/>
      <c r="AB36" s="277" t="str">
        <f t="shared" si="28"/>
        <v xml:space="preserve">    ---- </v>
      </c>
      <c r="AC36" s="147"/>
      <c r="AD36" s="353"/>
      <c r="AE36" s="277"/>
      <c r="AF36" s="394">
        <f t="shared" si="21"/>
        <v>186360.14958999993</v>
      </c>
      <c r="AG36" s="394">
        <f t="shared" si="21"/>
        <v>187903.22680855004</v>
      </c>
      <c r="AH36" s="277">
        <f t="shared" si="22"/>
        <v>0.8</v>
      </c>
      <c r="AI36" s="394">
        <f t="shared" si="23"/>
        <v>186360.14958999993</v>
      </c>
      <c r="AJ36" s="394">
        <f t="shared" si="23"/>
        <v>187903.22680855004</v>
      </c>
      <c r="AK36" s="354">
        <f t="shared" si="24"/>
        <v>0.8</v>
      </c>
    </row>
    <row r="37" spans="1:37" s="365" customFormat="1" ht="20.100000000000001" customHeight="1" x14ac:dyDescent="0.35">
      <c r="A37" s="427" t="s">
        <v>307</v>
      </c>
      <c r="B37" s="147">
        <v>129135.90700000001</v>
      </c>
      <c r="C37" s="353">
        <v>131464.30199109003</v>
      </c>
      <c r="D37" s="353">
        <f t="shared" si="19"/>
        <v>1.8</v>
      </c>
      <c r="E37" s="147">
        <v>5679.011071410001</v>
      </c>
      <c r="F37" s="353">
        <v>6141.9814338600008</v>
      </c>
      <c r="G37" s="353">
        <f t="shared" si="25"/>
        <v>8.1999999999999993</v>
      </c>
      <c r="H37" s="147"/>
      <c r="I37" s="353"/>
      <c r="J37" s="353"/>
      <c r="K37" s="147"/>
      <c r="L37" s="353"/>
      <c r="M37" s="350"/>
      <c r="N37" s="147"/>
      <c r="O37" s="353"/>
      <c r="P37" s="277"/>
      <c r="Q37" s="147">
        <v>38395.3455185899</v>
      </c>
      <c r="R37" s="353">
        <v>36381.424958429998</v>
      </c>
      <c r="S37" s="277">
        <f t="shared" si="26"/>
        <v>-5.2</v>
      </c>
      <c r="T37" s="147"/>
      <c r="U37" s="353"/>
      <c r="V37" s="277"/>
      <c r="W37" s="147">
        <v>33.752145900000102</v>
      </c>
      <c r="X37" s="353">
        <v>12983.992425170009</v>
      </c>
      <c r="Y37" s="277">
        <f t="shared" si="20"/>
        <v>999</v>
      </c>
      <c r="Z37" s="147"/>
      <c r="AA37" s="353"/>
      <c r="AB37" s="277" t="str">
        <f t="shared" si="28"/>
        <v xml:space="preserve">    ---- </v>
      </c>
      <c r="AC37" s="147"/>
      <c r="AD37" s="353"/>
      <c r="AE37" s="277"/>
      <c r="AF37" s="394">
        <f t="shared" si="21"/>
        <v>173244.01573589991</v>
      </c>
      <c r="AG37" s="394">
        <f t="shared" si="21"/>
        <v>186971.70080855003</v>
      </c>
      <c r="AH37" s="277">
        <f t="shared" si="22"/>
        <v>7.9</v>
      </c>
      <c r="AI37" s="394">
        <f t="shared" si="23"/>
        <v>173244.01573589991</v>
      </c>
      <c r="AJ37" s="394">
        <f t="shared" si="23"/>
        <v>186971.70080855003</v>
      </c>
      <c r="AK37" s="354">
        <f t="shared" si="24"/>
        <v>7.9</v>
      </c>
    </row>
    <row r="38" spans="1:37" s="365" customFormat="1" ht="20.100000000000001" customHeight="1" x14ac:dyDescent="0.35">
      <c r="A38" s="427" t="s">
        <v>325</v>
      </c>
      <c r="B38" s="147">
        <v>3981.6970000000001</v>
      </c>
      <c r="C38" s="353">
        <v>3458.5099420299998</v>
      </c>
      <c r="D38" s="353"/>
      <c r="E38" s="147"/>
      <c r="F38" s="353"/>
      <c r="G38" s="353"/>
      <c r="H38" s="147"/>
      <c r="I38" s="353"/>
      <c r="J38" s="353"/>
      <c r="K38" s="147">
        <v>9093</v>
      </c>
      <c r="L38" s="353">
        <v>10496</v>
      </c>
      <c r="M38" s="350">
        <f>IF(K38=0, "    ---- ", IF(ABS(ROUND(100/K38*L38-100,1))&lt;999,ROUND(100/K38*L38-100,1),IF(ROUND(100/K38*L38-100,1)&gt;999,999,-999)))</f>
        <v>15.4</v>
      </c>
      <c r="N38" s="147">
        <v>296169.89553109999</v>
      </c>
      <c r="O38" s="353">
        <v>302578.32413915999</v>
      </c>
      <c r="P38" s="277">
        <f t="shared" ref="P38:P45" si="30">IF(N38=0, "    ---- ", IF(ABS(ROUND(100/N38*O38-100,1))&lt;999,ROUND(100/N38*O38-100,1),IF(ROUND(100/N38*O38-100,1)&gt;999,999,-999)))</f>
        <v>2.2000000000000002</v>
      </c>
      <c r="Q38" s="147"/>
      <c r="R38" s="353"/>
      <c r="S38" s="277"/>
      <c r="T38" s="147">
        <v>31725</v>
      </c>
      <c r="U38" s="353">
        <v>32692</v>
      </c>
      <c r="V38" s="277">
        <f t="shared" si="27"/>
        <v>3</v>
      </c>
      <c r="W38" s="147"/>
      <c r="X38" s="353"/>
      <c r="Y38" s="277" t="str">
        <f t="shared" si="20"/>
        <v xml:space="preserve">    ---- </v>
      </c>
      <c r="Z38" s="147">
        <v>171593.79561246015</v>
      </c>
      <c r="AA38" s="353">
        <v>170749.98627574</v>
      </c>
      <c r="AB38" s="277">
        <f t="shared" si="28"/>
        <v>-0.5</v>
      </c>
      <c r="AC38" s="147"/>
      <c r="AD38" s="353"/>
      <c r="AE38" s="277"/>
      <c r="AF38" s="394">
        <f t="shared" si="21"/>
        <v>512563.38814356015</v>
      </c>
      <c r="AG38" s="394">
        <f t="shared" si="21"/>
        <v>519974.82035693002</v>
      </c>
      <c r="AH38" s="277">
        <f t="shared" si="22"/>
        <v>1.4</v>
      </c>
      <c r="AI38" s="394">
        <f t="shared" si="23"/>
        <v>512563.38814356015</v>
      </c>
      <c r="AJ38" s="394">
        <f t="shared" si="23"/>
        <v>519974.82035693002</v>
      </c>
      <c r="AK38" s="354">
        <f t="shared" si="24"/>
        <v>1.4</v>
      </c>
    </row>
    <row r="39" spans="1:37" s="365" customFormat="1" ht="20.100000000000001" customHeight="1" x14ac:dyDescent="0.35">
      <c r="A39" s="427" t="s">
        <v>326</v>
      </c>
      <c r="B39" s="147">
        <f>SUM(B40+B41+B42+B43+B44)</f>
        <v>39599.193000000007</v>
      </c>
      <c r="C39" s="353">
        <f>SUM(C40+C41+C42+C43+C44)</f>
        <v>35205.823215939905</v>
      </c>
      <c r="D39" s="353">
        <f t="shared" si="19"/>
        <v>-11.1</v>
      </c>
      <c r="E39" s="147">
        <f>SUM(E40+E41+E42+E43+E44)</f>
        <v>3700.6552430099996</v>
      </c>
      <c r="F39" s="353">
        <f>SUM(F40+F41+F42+F43+F44)</f>
        <v>3518.6320637400004</v>
      </c>
      <c r="G39" s="353">
        <f>IF(E39=0, "    ---- ", IF(ABS(ROUND(100/E39*F39-100,1))&lt;999,ROUND(100/E39*F39-100,1),IF(ROUND(100/E39*F39-100,1)&gt;999,999,-999)))</f>
        <v>-4.9000000000000004</v>
      </c>
      <c r="H39" s="147">
        <f>SUM(H40+H41+H42+H43+H44)</f>
        <v>1385.0989999999999</v>
      </c>
      <c r="I39" s="353">
        <f>SUM(I40+I41+I42+I43+I44)</f>
        <v>1563.9450000000002</v>
      </c>
      <c r="J39" s="353">
        <f t="shared" ref="J39:J46" si="31">IF(H39=0, "    ---- ", IF(ABS(ROUND(100/H39*I39-100,1))&lt;999,ROUND(100/H39*I39-100,1),IF(ROUND(100/H39*I39-100,1)&gt;999,999,-999)))</f>
        <v>12.9</v>
      </c>
      <c r="K39" s="147">
        <f>SUM(K40+K41+K42+K43+K44)</f>
        <v>865</v>
      </c>
      <c r="L39" s="353">
        <f>SUM(L40+L41+L42+L43+L44)</f>
        <v>1213</v>
      </c>
      <c r="M39" s="394">
        <f>IF(K39=0, "    ---- ", IF(ABS(ROUND(100/K39*L39-100,1))&lt;999,ROUND(100/K39*L39-100,1),IF(ROUND(100/K39*L39-100,1)&gt;999,999,-999)))</f>
        <v>40.200000000000003</v>
      </c>
      <c r="N39" s="147">
        <v>409228.83408526995</v>
      </c>
      <c r="O39" s="353">
        <v>476197.97318550997</v>
      </c>
      <c r="P39" s="353">
        <f t="shared" si="30"/>
        <v>16.399999999999999</v>
      </c>
      <c r="Q39" s="147">
        <f>SUM(Q40+Q41+Q42+Q43+Q44)</f>
        <v>10791.754822890001</v>
      </c>
      <c r="R39" s="353">
        <f>SUM(R40+R41+R42+R43+R44)</f>
        <v>13656.832643810001</v>
      </c>
      <c r="S39" s="353">
        <f t="shared" si="26"/>
        <v>26.5</v>
      </c>
      <c r="T39" s="147">
        <v>80903</v>
      </c>
      <c r="U39" s="353">
        <f>SUM(U40+U41+U42+U43+U44)</f>
        <v>87728</v>
      </c>
      <c r="V39" s="353">
        <f t="shared" si="27"/>
        <v>8.4</v>
      </c>
      <c r="W39" s="147">
        <f>SUM(W40+W41+W42+W43+W44)</f>
        <v>9126.6010000000006</v>
      </c>
      <c r="X39" s="353">
        <f>SUM(X40+X41+X42+X43+X44)</f>
        <v>9755.101036980006</v>
      </c>
      <c r="Y39" s="353">
        <f t="shared" si="20"/>
        <v>6.9</v>
      </c>
      <c r="Z39" s="147">
        <f>SUM(Z40+Z41+Z42+Z43+Z44)</f>
        <v>32387.998370570051</v>
      </c>
      <c r="AA39" s="353">
        <f>SUM(AA40+AA41+AA42+AA43+AA44)</f>
        <v>36244.473325659936</v>
      </c>
      <c r="AB39" s="353">
        <f t="shared" si="28"/>
        <v>11.9</v>
      </c>
      <c r="AC39" s="147">
        <f>SUM(AC40+AC41+AC42+AC43+AC44)</f>
        <v>20</v>
      </c>
      <c r="AD39" s="353">
        <f>SUM(AD40+AD41+AD42+AD43+AD44)</f>
        <v>23</v>
      </c>
      <c r="AE39" s="277">
        <f t="shared" ref="AE39:AE45" si="32">IF(AC39=0, "    ---- ", IF(ABS(ROUND(100/AC39*AD39-100,1))&lt;999,ROUND(100/AC39*AD39-100,1),IF(ROUND(100/AC39*AD39-100,1)&gt;999,999,-999)))</f>
        <v>15</v>
      </c>
      <c r="AF39" s="394">
        <f t="shared" si="21"/>
        <v>587988.13552173995</v>
      </c>
      <c r="AG39" s="394">
        <f t="shared" si="21"/>
        <v>665083.78047163994</v>
      </c>
      <c r="AH39" s="277">
        <f t="shared" si="22"/>
        <v>13.1</v>
      </c>
      <c r="AI39" s="394">
        <f t="shared" si="23"/>
        <v>588008.13552173995</v>
      </c>
      <c r="AJ39" s="394">
        <f t="shared" si="23"/>
        <v>665106.78047163994</v>
      </c>
      <c r="AK39" s="354">
        <f t="shared" si="24"/>
        <v>13.1</v>
      </c>
    </row>
    <row r="40" spans="1:37" s="365" customFormat="1" ht="20.100000000000001" customHeight="1" x14ac:dyDescent="0.35">
      <c r="A40" s="427" t="s">
        <v>327</v>
      </c>
      <c r="B40" s="147">
        <v>16131.687</v>
      </c>
      <c r="C40" s="353">
        <v>20673.729310810002</v>
      </c>
      <c r="D40" s="277">
        <f t="shared" si="19"/>
        <v>28.2</v>
      </c>
      <c r="E40" s="147">
        <v>1003.238535</v>
      </c>
      <c r="F40" s="353">
        <v>1159.7511365700002</v>
      </c>
      <c r="G40" s="277">
        <f>IF(E40=0, "    ---- ", IF(ABS(ROUND(100/E40*F40-100,1))&lt;999,ROUND(100/E40*F40-100,1),IF(ROUND(100/E40*F40-100,1)&gt;999,999,-999)))</f>
        <v>15.6</v>
      </c>
      <c r="H40" s="147">
        <v>210.11</v>
      </c>
      <c r="I40" s="353">
        <v>238.16300000000001</v>
      </c>
      <c r="J40" s="277">
        <f t="shared" si="31"/>
        <v>13.4</v>
      </c>
      <c r="K40" s="147">
        <v>55</v>
      </c>
      <c r="L40" s="353">
        <v>77</v>
      </c>
      <c r="M40" s="394">
        <f>IF(K40=0, "    ---- ", IF(ABS(ROUND(100/K40*L40-100,1))&lt;999,ROUND(100/K40*L40-100,1),IF(ROUND(100/K40*L40-100,1)&gt;999,999,-999)))</f>
        <v>40</v>
      </c>
      <c r="N40" s="147">
        <v>269082.68106982001</v>
      </c>
      <c r="O40" s="353">
        <v>313055.08318416995</v>
      </c>
      <c r="P40" s="277">
        <f t="shared" si="30"/>
        <v>16.3</v>
      </c>
      <c r="Q40" s="147">
        <v>8515.7063887900003</v>
      </c>
      <c r="R40" s="353">
        <v>9630.2863706799999</v>
      </c>
      <c r="S40" s="277">
        <f t="shared" si="26"/>
        <v>13.1</v>
      </c>
      <c r="T40" s="147">
        <v>45899</v>
      </c>
      <c r="U40" s="353">
        <v>52223</v>
      </c>
      <c r="V40" s="277">
        <f t="shared" si="27"/>
        <v>13.8</v>
      </c>
      <c r="W40" s="147">
        <v>3090.902</v>
      </c>
      <c r="X40" s="353">
        <v>3516.2301152799987</v>
      </c>
      <c r="Y40" s="277">
        <f t="shared" si="20"/>
        <v>13.8</v>
      </c>
      <c r="Z40" s="147">
        <v>23059.905999070048</v>
      </c>
      <c r="AA40" s="353">
        <v>28974.73787131994</v>
      </c>
      <c r="AB40" s="277">
        <f t="shared" si="28"/>
        <v>25.6</v>
      </c>
      <c r="AC40" s="147"/>
      <c r="AD40" s="353"/>
      <c r="AE40" s="277"/>
      <c r="AF40" s="394">
        <f t="shared" si="21"/>
        <v>367048.23099268001</v>
      </c>
      <c r="AG40" s="394">
        <f t="shared" si="21"/>
        <v>429547.98098882992</v>
      </c>
      <c r="AH40" s="277">
        <f t="shared" si="22"/>
        <v>17</v>
      </c>
      <c r="AI40" s="394">
        <f t="shared" si="23"/>
        <v>367048.23099268001</v>
      </c>
      <c r="AJ40" s="394">
        <f t="shared" si="23"/>
        <v>429547.98098882992</v>
      </c>
      <c r="AK40" s="354">
        <f t="shared" si="24"/>
        <v>17</v>
      </c>
    </row>
    <row r="41" spans="1:37" s="365" customFormat="1" ht="20.100000000000001" customHeight="1" x14ac:dyDescent="0.35">
      <c r="A41" s="427" t="s">
        <v>328</v>
      </c>
      <c r="B41" s="147">
        <v>18254.208999999999</v>
      </c>
      <c r="C41" s="353">
        <v>12842.143740830003</v>
      </c>
      <c r="D41" s="353">
        <f t="shared" si="19"/>
        <v>-29.6</v>
      </c>
      <c r="E41" s="147">
        <v>2707.16480065</v>
      </c>
      <c r="F41" s="353">
        <v>2279.5882725699998</v>
      </c>
      <c r="G41" s="353">
        <f>IF(E41=0, "    ---- ", IF(ABS(ROUND(100/E41*F41-100,1))&lt;999,ROUND(100/E41*F41-100,1),IF(ROUND(100/E41*F41-100,1)&gt;999,999,-999)))</f>
        <v>-15.8</v>
      </c>
      <c r="H41" s="147">
        <v>844.34699999999998</v>
      </c>
      <c r="I41" s="353">
        <v>949.36400000000003</v>
      </c>
      <c r="J41" s="353">
        <f>IF(H41=0, "    ---- ", IF(ABS(ROUND(100/H41*I41-100,1))&lt;999,ROUND(100/H41*I41-100,1),IF(ROUND(100/H41*I41-100,1)&gt;999,999,-999)))</f>
        <v>12.4</v>
      </c>
      <c r="K41" s="147">
        <v>841</v>
      </c>
      <c r="L41" s="353">
        <v>1126</v>
      </c>
      <c r="M41" s="350">
        <f>IF(K41=0, "    ---- ", IF(ABS(ROUND(100/K41*L41-100,1))&lt;999,ROUND(100/K41*L41-100,1),IF(ROUND(100/K41*L41-100,1)&gt;999,999,-999)))</f>
        <v>33.9</v>
      </c>
      <c r="N41" s="147">
        <v>110724.27841203999</v>
      </c>
      <c r="O41" s="353">
        <v>133287.73559685002</v>
      </c>
      <c r="P41" s="277">
        <f t="shared" si="30"/>
        <v>20.399999999999999</v>
      </c>
      <c r="Q41" s="147">
        <v>1565.9465416500002</v>
      </c>
      <c r="R41" s="353">
        <v>3644.9427933400002</v>
      </c>
      <c r="S41" s="277">
        <f t="shared" si="26"/>
        <v>132.80000000000001</v>
      </c>
      <c r="T41" s="147">
        <v>29672</v>
      </c>
      <c r="U41" s="353">
        <v>31330</v>
      </c>
      <c r="V41" s="277">
        <f t="shared" si="27"/>
        <v>5.6</v>
      </c>
      <c r="W41" s="147">
        <v>5838.06</v>
      </c>
      <c r="X41" s="353">
        <v>6172.8231284600088</v>
      </c>
      <c r="Y41" s="277">
        <f t="shared" si="20"/>
        <v>5.7</v>
      </c>
      <c r="Z41" s="147">
        <v>7568.5906180400025</v>
      </c>
      <c r="AA41" s="353">
        <v>5813.785842379998</v>
      </c>
      <c r="AB41" s="277">
        <f t="shared" si="28"/>
        <v>-23.2</v>
      </c>
      <c r="AC41" s="147">
        <v>20</v>
      </c>
      <c r="AD41" s="353">
        <v>23</v>
      </c>
      <c r="AE41" s="277">
        <f t="shared" si="32"/>
        <v>15</v>
      </c>
      <c r="AF41" s="394">
        <f t="shared" si="21"/>
        <v>178015.59637237998</v>
      </c>
      <c r="AG41" s="394">
        <f t="shared" si="21"/>
        <v>197446.38337443001</v>
      </c>
      <c r="AH41" s="277">
        <f t="shared" si="22"/>
        <v>10.9</v>
      </c>
      <c r="AI41" s="394">
        <f t="shared" si="23"/>
        <v>178035.59637237998</v>
      </c>
      <c r="AJ41" s="394">
        <f t="shared" si="23"/>
        <v>197469.38337443001</v>
      </c>
      <c r="AK41" s="354">
        <f t="shared" si="24"/>
        <v>10.9</v>
      </c>
    </row>
    <row r="42" spans="1:37" s="365" customFormat="1" ht="20.100000000000001" customHeight="1" x14ac:dyDescent="0.35">
      <c r="A42" s="427" t="s">
        <v>329</v>
      </c>
      <c r="B42" s="147">
        <v>3418.7240000000002</v>
      </c>
      <c r="C42" s="353">
        <v>974.94514606999996</v>
      </c>
      <c r="D42" s="353">
        <f t="shared" si="19"/>
        <v>-71.5</v>
      </c>
      <c r="E42" s="147">
        <v>-51.080043020000012</v>
      </c>
      <c r="F42" s="353">
        <v>68.967160509999999</v>
      </c>
      <c r="G42" s="353">
        <f t="shared" ref="G42" si="33">IF(E42=0, "    ---- ", IF(ABS(ROUND(100/E42*F42-100,1))&lt;999,ROUND(100/E42*F42-100,1),IF(ROUND(100/E42*F42-100,1)&gt;999,999,-999)))</f>
        <v>-235</v>
      </c>
      <c r="H42" s="147"/>
      <c r="I42" s="353"/>
      <c r="J42" s="353"/>
      <c r="K42" s="147"/>
      <c r="L42" s="353"/>
      <c r="M42" s="350"/>
      <c r="N42" s="147">
        <v>19384.606781169998</v>
      </c>
      <c r="O42" s="353">
        <v>18870.634738730001</v>
      </c>
      <c r="P42" s="277">
        <f t="shared" si="30"/>
        <v>-2.7</v>
      </c>
      <c r="Q42" s="147"/>
      <c r="R42" s="353"/>
      <c r="S42" s="277"/>
      <c r="T42" s="147">
        <v>3694</v>
      </c>
      <c r="U42" s="353">
        <v>2614</v>
      </c>
      <c r="V42" s="277">
        <f t="shared" si="27"/>
        <v>-29.2</v>
      </c>
      <c r="W42" s="147">
        <v>6.298</v>
      </c>
      <c r="X42" s="353">
        <v>-78.160361709999947</v>
      </c>
      <c r="Y42" s="277"/>
      <c r="Z42" s="147"/>
      <c r="AA42" s="353"/>
      <c r="AB42" s="277" t="str">
        <f t="shared" si="28"/>
        <v xml:space="preserve">    ---- </v>
      </c>
      <c r="AC42" s="147"/>
      <c r="AD42" s="353"/>
      <c r="AE42" s="277"/>
      <c r="AF42" s="394">
        <f t="shared" si="21"/>
        <v>26452.548738149995</v>
      </c>
      <c r="AG42" s="394">
        <f t="shared" si="21"/>
        <v>22450.386683600002</v>
      </c>
      <c r="AH42" s="277">
        <f t="shared" si="22"/>
        <v>-15.1</v>
      </c>
      <c r="AI42" s="394">
        <f t="shared" si="23"/>
        <v>26452.548738149995</v>
      </c>
      <c r="AJ42" s="394">
        <f t="shared" si="23"/>
        <v>22450.386683600002</v>
      </c>
      <c r="AK42" s="354">
        <f t="shared" si="24"/>
        <v>-15.1</v>
      </c>
    </row>
    <row r="43" spans="1:37" s="365" customFormat="1" ht="20.100000000000001" customHeight="1" x14ac:dyDescent="0.35">
      <c r="A43" s="427" t="s">
        <v>330</v>
      </c>
      <c r="B43" s="147">
        <v>1101.643</v>
      </c>
      <c r="C43" s="353">
        <v>362.33860606000007</v>
      </c>
      <c r="D43" s="353">
        <f t="shared" si="19"/>
        <v>-67.099999999999994</v>
      </c>
      <c r="E43" s="147"/>
      <c r="F43" s="353">
        <v>0</v>
      </c>
      <c r="G43" s="353"/>
      <c r="H43" s="147"/>
      <c r="I43" s="353"/>
      <c r="J43" s="353"/>
      <c r="K43" s="147"/>
      <c r="L43" s="353"/>
      <c r="M43" s="350"/>
      <c r="N43" s="147">
        <v>8000.83152986</v>
      </c>
      <c r="O43" s="353">
        <v>5389.9539863</v>
      </c>
      <c r="P43" s="277">
        <f t="shared" si="30"/>
        <v>-32.6</v>
      </c>
      <c r="Q43" s="147">
        <v>462.66757285</v>
      </c>
      <c r="R43" s="353">
        <v>159.68185762000002</v>
      </c>
      <c r="S43" s="277">
        <f t="shared" si="26"/>
        <v>-65.5</v>
      </c>
      <c r="T43" s="147">
        <v>1638</v>
      </c>
      <c r="U43" s="353">
        <v>1561</v>
      </c>
      <c r="V43" s="277">
        <f>IF(T43=0, "    ---- ", IF(ABS(ROUND(100/T43*U43-100,1))&lt;999,ROUND(100/T43*U43-100,1),IF(ROUND(100/T43*U43-100,1)&gt;999,999,-999)))</f>
        <v>-4.7</v>
      </c>
      <c r="W43" s="147">
        <v>14.923999999999999</v>
      </c>
      <c r="X43" s="353">
        <v>12.571156000000009</v>
      </c>
      <c r="Y43" s="277">
        <f t="shared" si="20"/>
        <v>-15.8</v>
      </c>
      <c r="Z43" s="147">
        <v>1759.5017534599997</v>
      </c>
      <c r="AA43" s="353">
        <v>1455.9496119600001</v>
      </c>
      <c r="AB43" s="277">
        <f t="shared" si="28"/>
        <v>-17.3</v>
      </c>
      <c r="AC43" s="147"/>
      <c r="AD43" s="353"/>
      <c r="AE43" s="277"/>
      <c r="AF43" s="394">
        <f t="shared" si="21"/>
        <v>12977.567856169999</v>
      </c>
      <c r="AG43" s="394">
        <f t="shared" si="21"/>
        <v>8941.4952179400007</v>
      </c>
      <c r="AH43" s="277">
        <f t="shared" si="22"/>
        <v>-31.1</v>
      </c>
      <c r="AI43" s="394">
        <f t="shared" si="23"/>
        <v>12977.567856169999</v>
      </c>
      <c r="AJ43" s="394">
        <f t="shared" si="23"/>
        <v>8941.4952179400007</v>
      </c>
      <c r="AK43" s="354">
        <f t="shared" si="24"/>
        <v>-31.1</v>
      </c>
    </row>
    <row r="44" spans="1:37" s="365" customFormat="1" ht="20.100000000000001" customHeight="1" x14ac:dyDescent="0.35">
      <c r="A44" s="427" t="s">
        <v>331</v>
      </c>
      <c r="B44" s="147">
        <v>692.93</v>
      </c>
      <c r="C44" s="353">
        <v>352.66641216989683</v>
      </c>
      <c r="D44" s="353">
        <f t="shared" si="19"/>
        <v>-49.1</v>
      </c>
      <c r="E44" s="147">
        <v>41.331950379999995</v>
      </c>
      <c r="F44" s="353">
        <v>10.325494090000001</v>
      </c>
      <c r="G44" s="353">
        <f>IF(E44=0, "    ---- ", IF(ABS(ROUND(100/E44*F44-100,1))&lt;999,ROUND(100/E44*F44-100,1),IF(ROUND(100/E44*F44-100,1)&gt;999,999,-999)))</f>
        <v>-75</v>
      </c>
      <c r="H44" s="147">
        <v>330.642</v>
      </c>
      <c r="I44" s="353">
        <v>376.41800000000001</v>
      </c>
      <c r="J44" s="353">
        <f t="shared" si="31"/>
        <v>13.8</v>
      </c>
      <c r="K44" s="147">
        <v>-31</v>
      </c>
      <c r="L44" s="353">
        <v>10</v>
      </c>
      <c r="M44" s="350">
        <f>IF(K44=0, "    ---- ", IF(ABS(ROUND(100/K44*L44-100,1))&lt;999,ROUND(100/K44*L44-100,1),IF(ROUND(100/K44*L44-100,1)&gt;999,999,-999)))</f>
        <v>-132.30000000000001</v>
      </c>
      <c r="N44" s="147">
        <v>2036.4362923800002</v>
      </c>
      <c r="O44" s="353">
        <v>5594.56567946</v>
      </c>
      <c r="P44" s="277">
        <f t="shared" si="30"/>
        <v>174.7</v>
      </c>
      <c r="Q44" s="147">
        <v>247.43431959999998</v>
      </c>
      <c r="R44" s="353">
        <v>221.92162216999998</v>
      </c>
      <c r="S44" s="277">
        <f t="shared" si="26"/>
        <v>-10.3</v>
      </c>
      <c r="T44" s="147"/>
      <c r="U44" s="353"/>
      <c r="V44" s="277"/>
      <c r="W44" s="147">
        <v>176.417</v>
      </c>
      <c r="X44" s="353">
        <v>131.63699894999783</v>
      </c>
      <c r="Y44" s="277">
        <f t="shared" si="20"/>
        <v>-25.4</v>
      </c>
      <c r="Z44" s="147"/>
      <c r="AA44" s="353"/>
      <c r="AB44" s="277" t="str">
        <f t="shared" si="28"/>
        <v xml:space="preserve">    ---- </v>
      </c>
      <c r="AC44" s="147"/>
      <c r="AD44" s="353"/>
      <c r="AE44" s="277"/>
      <c r="AF44" s="394">
        <f t="shared" si="21"/>
        <v>3494.1915623600003</v>
      </c>
      <c r="AG44" s="394">
        <f t="shared" si="21"/>
        <v>6697.534206839895</v>
      </c>
      <c r="AH44" s="277">
        <f t="shared" si="22"/>
        <v>91.7</v>
      </c>
      <c r="AI44" s="394">
        <f t="shared" si="23"/>
        <v>3494.1915623600003</v>
      </c>
      <c r="AJ44" s="394">
        <f t="shared" si="23"/>
        <v>6697.534206839895</v>
      </c>
      <c r="AK44" s="354">
        <f t="shared" si="24"/>
        <v>91.7</v>
      </c>
    </row>
    <row r="45" spans="1:37" s="365" customFormat="1" ht="20.100000000000001" customHeight="1" x14ac:dyDescent="0.35">
      <c r="A45" s="463" t="s">
        <v>332</v>
      </c>
      <c r="B45" s="147">
        <f>SUM(B33+B34+B35+B39)</f>
        <v>190019.90899999999</v>
      </c>
      <c r="C45" s="353">
        <f>SUM(C33+C34+C35+C39)</f>
        <v>185890.98514905997</v>
      </c>
      <c r="D45" s="277">
        <f t="shared" si="19"/>
        <v>-2.2000000000000002</v>
      </c>
      <c r="E45" s="147">
        <f>SUM(E33+E34+E35+E39)</f>
        <v>9825.8535580900007</v>
      </c>
      <c r="F45" s="353">
        <f>SUM(F33+F34+F35+F39)</f>
        <v>10655.950921030002</v>
      </c>
      <c r="G45" s="277">
        <f>IF(E45=0, "    ---- ", IF(ABS(ROUND(100/E45*F45-100,1))&lt;999,ROUND(100/E45*F45-100,1),IF(ROUND(100/E45*F45-100,1)&gt;999,999,-999)))</f>
        <v>8.4</v>
      </c>
      <c r="H45" s="147">
        <f>SUM(H33+H34+H35+H39)</f>
        <v>2161.8069999999998</v>
      </c>
      <c r="I45" s="353">
        <f>SUM(I33+I34+I35+I39)</f>
        <v>2495.471</v>
      </c>
      <c r="J45" s="277">
        <f t="shared" si="31"/>
        <v>15.4</v>
      </c>
      <c r="K45" s="147">
        <f>SUM(K33+K34+K35+K39)</f>
        <v>10278</v>
      </c>
      <c r="L45" s="353">
        <f>SUM(L33+L34+L35+L39)</f>
        <v>12194</v>
      </c>
      <c r="M45" s="350">
        <f>IF(K45=0, "    ---- ", IF(ABS(ROUND(100/K45*L45-100,1))&lt;999,ROUND(100/K45*L45-100,1),IF(ROUND(100/K45*L45-100,1)&gt;999,999,-999)))</f>
        <v>18.600000000000001</v>
      </c>
      <c r="N45" s="147">
        <v>805348.66657845001</v>
      </c>
      <c r="O45" s="353">
        <v>891538.63145958993</v>
      </c>
      <c r="P45" s="277">
        <f t="shared" si="30"/>
        <v>10.7</v>
      </c>
      <c r="Q45" s="147">
        <f>SUM(Q33+Q34+Q35+Q39)</f>
        <v>55502.258842719908</v>
      </c>
      <c r="R45" s="353">
        <f>SUM(R33+R34+R35+R39)</f>
        <v>57042.639983029992</v>
      </c>
      <c r="S45" s="277">
        <f t="shared" si="26"/>
        <v>2.8</v>
      </c>
      <c r="T45" s="147">
        <v>133289</v>
      </c>
      <c r="U45" s="353">
        <f>SUM(U33+U34+U35+U39)</f>
        <v>142946</v>
      </c>
      <c r="V45" s="277">
        <f>IF(T45=0, "    ---- ", IF(ABS(ROUND(100/T45*U45-100,1))&lt;999,ROUND(100/T45*U45-100,1),IF(ROUND(100/T45*U45-100,1)&gt;999,999,-999)))</f>
        <v>7.2</v>
      </c>
      <c r="W45" s="147">
        <f>SUM(W33+W34+W35+W39)</f>
        <v>25763.248</v>
      </c>
      <c r="X45" s="353">
        <f>SUM(X33+X34+X35+X39)</f>
        <v>26961.697710410015</v>
      </c>
      <c r="Y45" s="277">
        <f t="shared" si="20"/>
        <v>4.7</v>
      </c>
      <c r="Z45" s="147">
        <f>SUM(Z33+Z34+Z35+Z39)</f>
        <v>225845.7789820802</v>
      </c>
      <c r="AA45" s="353">
        <f>SUM(AA33+AA34+AA35+AA39)</f>
        <v>230504.35907911992</v>
      </c>
      <c r="AB45" s="277">
        <f t="shared" si="28"/>
        <v>2.1</v>
      </c>
      <c r="AC45" s="147">
        <f>SUM(AC33+AC34+AC35+AC39)</f>
        <v>20</v>
      </c>
      <c r="AD45" s="353">
        <f>SUM(AD33+AD34+AD35+AD39)</f>
        <v>23</v>
      </c>
      <c r="AE45" s="277">
        <f t="shared" si="32"/>
        <v>15</v>
      </c>
      <c r="AF45" s="394">
        <f t="shared" si="21"/>
        <v>1458034.52196134</v>
      </c>
      <c r="AG45" s="394">
        <f t="shared" si="21"/>
        <v>1560229.7353022399</v>
      </c>
      <c r="AH45" s="277">
        <f t="shared" si="22"/>
        <v>7</v>
      </c>
      <c r="AI45" s="394">
        <f t="shared" si="23"/>
        <v>1458054.52196134</v>
      </c>
      <c r="AJ45" s="394">
        <f t="shared" si="23"/>
        <v>1560252.7353022399</v>
      </c>
      <c r="AK45" s="354">
        <f t="shared" si="24"/>
        <v>7</v>
      </c>
    </row>
    <row r="46" spans="1:37" s="365" customFormat="1" ht="20.100000000000001" customHeight="1" x14ac:dyDescent="0.35">
      <c r="A46" s="439" t="s">
        <v>333</v>
      </c>
      <c r="B46" s="147">
        <v>501.91199999999998</v>
      </c>
      <c r="C46" s="353">
        <v>427.137</v>
      </c>
      <c r="D46" s="277"/>
      <c r="E46" s="147">
        <v>358.33600675000002</v>
      </c>
      <c r="F46" s="353">
        <v>326.64612302</v>
      </c>
      <c r="G46" s="277">
        <f>IF(E46=0, "    ---- ", IF(ABS(ROUND(100/E46*F46-100,1))&lt;999,ROUND(100/E46*F46-100,1),IF(ROUND(100/E46*F46-100,1)&gt;999,999,-999)))</f>
        <v>-8.8000000000000007</v>
      </c>
      <c r="H46" s="147">
        <v>142.46600000000001</v>
      </c>
      <c r="I46" s="353">
        <v>153.87899999999999</v>
      </c>
      <c r="J46" s="277">
        <f t="shared" si="31"/>
        <v>8</v>
      </c>
      <c r="K46" s="147">
        <v>1084</v>
      </c>
      <c r="L46" s="353">
        <v>0</v>
      </c>
      <c r="M46" s="350">
        <f>IF(K46=0, "    ---- ", IF(ABS(ROUND(100/K46*L46-100,1))&lt;999,ROUND(100/K46*L46-100,1),IF(ROUND(100/K46*L46-100,1)&gt;999,999,-999)))</f>
        <v>-100</v>
      </c>
      <c r="N46" s="147"/>
      <c r="O46" s="353"/>
      <c r="P46" s="277"/>
      <c r="Q46" s="147">
        <v>68.38</v>
      </c>
      <c r="R46" s="353">
        <v>78.02</v>
      </c>
      <c r="S46" s="277">
        <f t="shared" si="26"/>
        <v>14.1</v>
      </c>
      <c r="T46" s="147"/>
      <c r="U46" s="353"/>
      <c r="V46" s="277"/>
      <c r="W46" s="147">
        <v>15.951000000000001</v>
      </c>
      <c r="X46" s="353">
        <v>20.758456679999998</v>
      </c>
      <c r="Y46" s="277">
        <f t="shared" si="20"/>
        <v>30.1</v>
      </c>
      <c r="Z46" s="147"/>
      <c r="AA46" s="353">
        <v>59.542321940000022</v>
      </c>
      <c r="AB46" s="277"/>
      <c r="AC46" s="147"/>
      <c r="AD46" s="353"/>
      <c r="AE46" s="277"/>
      <c r="AF46" s="394">
        <f t="shared" si="21"/>
        <v>2171.0450067500001</v>
      </c>
      <c r="AG46" s="394">
        <f t="shared" si="21"/>
        <v>1065.9829016399999</v>
      </c>
      <c r="AH46" s="277">
        <f t="shared" si="22"/>
        <v>-50.9</v>
      </c>
      <c r="AI46" s="394">
        <f t="shared" si="23"/>
        <v>2171.0450067500001</v>
      </c>
      <c r="AJ46" s="394">
        <f t="shared" si="23"/>
        <v>1065.9829016399999</v>
      </c>
      <c r="AK46" s="354">
        <f t="shared" si="24"/>
        <v>-50.9</v>
      </c>
    </row>
    <row r="47" spans="1:37" s="365" customFormat="1" ht="20.100000000000001" customHeight="1" x14ac:dyDescent="0.35">
      <c r="A47" s="439" t="s">
        <v>334</v>
      </c>
      <c r="B47" s="147"/>
      <c r="C47" s="353"/>
      <c r="D47" s="353"/>
      <c r="E47" s="147"/>
      <c r="F47" s="353"/>
      <c r="G47" s="353"/>
      <c r="H47" s="147"/>
      <c r="I47" s="353"/>
      <c r="J47" s="353"/>
      <c r="K47" s="147"/>
      <c r="L47" s="353"/>
      <c r="M47" s="350"/>
      <c r="N47" s="147"/>
      <c r="O47" s="353"/>
      <c r="P47" s="277"/>
      <c r="Q47" s="147"/>
      <c r="R47" s="353"/>
      <c r="S47" s="277"/>
      <c r="T47" s="147"/>
      <c r="U47" s="353"/>
      <c r="V47" s="277"/>
      <c r="W47" s="147"/>
      <c r="X47" s="353"/>
      <c r="Y47" s="277"/>
      <c r="Z47" s="147"/>
      <c r="AA47" s="353"/>
      <c r="AB47" s="277"/>
      <c r="AC47" s="147"/>
      <c r="AD47" s="353"/>
      <c r="AE47" s="277"/>
      <c r="AF47" s="350"/>
      <c r="AG47" s="350"/>
      <c r="AH47" s="277"/>
      <c r="AI47" s="350"/>
      <c r="AJ47" s="350"/>
      <c r="AK47" s="354"/>
    </row>
    <row r="48" spans="1:37" s="365" customFormat="1" ht="20.100000000000001" customHeight="1" x14ac:dyDescent="0.35">
      <c r="A48" s="427" t="s">
        <v>335</v>
      </c>
      <c r="B48" s="147"/>
      <c r="C48" s="353"/>
      <c r="D48" s="353"/>
      <c r="E48" s="147"/>
      <c r="F48" s="353"/>
      <c r="G48" s="353"/>
      <c r="H48" s="147"/>
      <c r="I48" s="353"/>
      <c r="J48" s="353"/>
      <c r="K48" s="147"/>
      <c r="L48" s="353"/>
      <c r="M48" s="350"/>
      <c r="N48" s="147"/>
      <c r="O48" s="353"/>
      <c r="P48" s="277"/>
      <c r="Q48" s="147"/>
      <c r="R48" s="353"/>
      <c r="S48" s="277"/>
      <c r="T48" s="147"/>
      <c r="U48" s="353"/>
      <c r="V48" s="277"/>
      <c r="W48" s="147"/>
      <c r="X48" s="353"/>
      <c r="Y48" s="277"/>
      <c r="Z48" s="147"/>
      <c r="AA48" s="353"/>
      <c r="AB48" s="277"/>
      <c r="AC48" s="147"/>
      <c r="AD48" s="353"/>
      <c r="AE48" s="277"/>
      <c r="AF48" s="394">
        <f t="shared" ref="AF48:AG62" si="34">B48+E48+H48+K48+N48+Q48+T48+W48+Z48</f>
        <v>0</v>
      </c>
      <c r="AG48" s="394">
        <f t="shared" si="34"/>
        <v>0</v>
      </c>
      <c r="AH48" s="277" t="str">
        <f t="shared" si="22"/>
        <v xml:space="preserve">    ---- </v>
      </c>
      <c r="AI48" s="394">
        <f t="shared" ref="AI48:AJ62" si="35">B48+E48+H48+K48+N48+Q48+T48+W48+Z48+AC48</f>
        <v>0</v>
      </c>
      <c r="AJ48" s="394">
        <f t="shared" si="35"/>
        <v>0</v>
      </c>
      <c r="AK48" s="354" t="str">
        <f t="shared" si="24"/>
        <v xml:space="preserve">    ---- </v>
      </c>
    </row>
    <row r="49" spans="1:37" s="365" customFormat="1" ht="20.100000000000001" customHeight="1" x14ac:dyDescent="0.35">
      <c r="A49" s="427" t="s">
        <v>336</v>
      </c>
      <c r="B49" s="147">
        <v>6018.4560000000001</v>
      </c>
      <c r="C49" s="353">
        <v>7000.8005000000003</v>
      </c>
      <c r="D49" s="353"/>
      <c r="E49" s="147"/>
      <c r="F49" s="353"/>
      <c r="G49" s="353"/>
      <c r="H49" s="147"/>
      <c r="I49" s="353"/>
      <c r="J49" s="353"/>
      <c r="K49" s="147">
        <v>1927</v>
      </c>
      <c r="L49" s="353">
        <v>3035</v>
      </c>
      <c r="M49" s="350">
        <f>IF(K49=0, "    ---- ", IF(ABS(ROUND(100/K49*L49-100,1))&lt;999,ROUND(100/K49*L49-100,1),IF(ROUND(100/K49*L49-100,1)&gt;999,999,-999)))</f>
        <v>57.5</v>
      </c>
      <c r="N49" s="147">
        <v>387.04596483999995</v>
      </c>
      <c r="O49" s="353">
        <v>435.51000583999996</v>
      </c>
      <c r="P49" s="277">
        <f t="shared" ref="P49:P60" si="36">IF(N49=0, "    ---- ", IF(ABS(ROUND(100/N49*O49-100,1))&lt;999,ROUND(100/N49*O49-100,1),IF(ROUND(100/N49*O49-100,1)&gt;999,999,-999)))</f>
        <v>12.5</v>
      </c>
      <c r="Q49" s="147">
        <v>3537.39</v>
      </c>
      <c r="R49" s="353">
        <v>5371.17</v>
      </c>
      <c r="S49" s="277">
        <f t="shared" si="26"/>
        <v>51.8</v>
      </c>
      <c r="T49" s="147"/>
      <c r="U49" s="353"/>
      <c r="V49" s="277"/>
      <c r="W49" s="147">
        <v>1243.53</v>
      </c>
      <c r="X49" s="353">
        <v>1231.6119795799998</v>
      </c>
      <c r="Y49" s="277"/>
      <c r="Z49" s="147">
        <v>8014.5518284100017</v>
      </c>
      <c r="AA49" s="353">
        <v>8649.3460389299998</v>
      </c>
      <c r="AB49" s="277">
        <f t="shared" si="28"/>
        <v>7.9</v>
      </c>
      <c r="AC49" s="147"/>
      <c r="AD49" s="353"/>
      <c r="AE49" s="277"/>
      <c r="AF49" s="394">
        <f t="shared" si="34"/>
        <v>21127.973793249999</v>
      </c>
      <c r="AG49" s="394">
        <f t="shared" si="34"/>
        <v>25723.43852435</v>
      </c>
      <c r="AH49" s="277">
        <f t="shared" si="22"/>
        <v>21.8</v>
      </c>
      <c r="AI49" s="394">
        <f t="shared" si="35"/>
        <v>21127.973793249999</v>
      </c>
      <c r="AJ49" s="394">
        <f t="shared" si="35"/>
        <v>25723.43852435</v>
      </c>
      <c r="AK49" s="354">
        <f t="shared" si="24"/>
        <v>21.8</v>
      </c>
    </row>
    <row r="50" spans="1:37" s="365" customFormat="1" ht="20.100000000000001" customHeight="1" x14ac:dyDescent="0.35">
      <c r="A50" s="427" t="s">
        <v>337</v>
      </c>
      <c r="B50" s="147"/>
      <c r="C50" s="353">
        <f>SUM(C51+C53)</f>
        <v>0</v>
      </c>
      <c r="D50" s="353"/>
      <c r="E50" s="147"/>
      <c r="F50" s="353">
        <f>SUM(F51+F53)</f>
        <v>0</v>
      </c>
      <c r="G50" s="353"/>
      <c r="H50" s="147"/>
      <c r="I50" s="353"/>
      <c r="J50" s="353"/>
      <c r="K50" s="147"/>
      <c r="L50" s="353"/>
      <c r="M50" s="350"/>
      <c r="N50" s="147">
        <v>1024.5902577500001</v>
      </c>
      <c r="O50" s="353">
        <v>861.09902725999996</v>
      </c>
      <c r="P50" s="277">
        <f t="shared" si="36"/>
        <v>-16</v>
      </c>
      <c r="Q50" s="147"/>
      <c r="R50" s="353"/>
      <c r="S50" s="277"/>
      <c r="T50" s="147"/>
      <c r="U50" s="353"/>
      <c r="V50" s="277"/>
      <c r="W50" s="147"/>
      <c r="X50" s="353">
        <f>SUM(X51+X53)</f>
        <v>0</v>
      </c>
      <c r="Y50" s="277"/>
      <c r="Z50" s="147">
        <f>SUM(Z51+Z53)</f>
        <v>3483.0961189100012</v>
      </c>
      <c r="AA50" s="353">
        <f>SUM(AA51+AA53)</f>
        <v>3718.1777628299951</v>
      </c>
      <c r="AB50" s="277"/>
      <c r="AC50" s="147"/>
      <c r="AD50" s="353"/>
      <c r="AE50" s="277"/>
      <c r="AF50" s="394">
        <f t="shared" si="34"/>
        <v>4507.6863766600018</v>
      </c>
      <c r="AG50" s="394">
        <f t="shared" si="34"/>
        <v>4579.2767900899953</v>
      </c>
      <c r="AH50" s="277">
        <f t="shared" si="22"/>
        <v>1.6</v>
      </c>
      <c r="AI50" s="394">
        <f t="shared" si="35"/>
        <v>4507.6863766600018</v>
      </c>
      <c r="AJ50" s="394">
        <f t="shared" si="35"/>
        <v>4579.2767900899953</v>
      </c>
      <c r="AK50" s="354">
        <f t="shared" si="24"/>
        <v>1.6</v>
      </c>
    </row>
    <row r="51" spans="1:37" s="365" customFormat="1" ht="20.100000000000001" customHeight="1" x14ac:dyDescent="0.35">
      <c r="A51" s="427" t="s">
        <v>338</v>
      </c>
      <c r="B51" s="147"/>
      <c r="C51" s="353">
        <v>0</v>
      </c>
      <c r="D51" s="277"/>
      <c r="E51" s="147"/>
      <c r="F51" s="353"/>
      <c r="G51" s="277"/>
      <c r="H51" s="147"/>
      <c r="I51" s="353"/>
      <c r="J51" s="277"/>
      <c r="K51" s="147"/>
      <c r="L51" s="353"/>
      <c r="M51" s="350"/>
      <c r="N51" s="147">
        <v>1024.5902577500001</v>
      </c>
      <c r="O51" s="353">
        <v>861.09902725999996</v>
      </c>
      <c r="P51" s="277">
        <f t="shared" si="36"/>
        <v>-16</v>
      </c>
      <c r="Q51" s="147"/>
      <c r="R51" s="353"/>
      <c r="S51" s="277"/>
      <c r="T51" s="147"/>
      <c r="U51" s="353"/>
      <c r="V51" s="277"/>
      <c r="W51" s="147"/>
      <c r="X51" s="353"/>
      <c r="Y51" s="277"/>
      <c r="Z51" s="147"/>
      <c r="AA51" s="353"/>
      <c r="AB51" s="277"/>
      <c r="AC51" s="147"/>
      <c r="AD51" s="353"/>
      <c r="AE51" s="277"/>
      <c r="AF51" s="394">
        <f t="shared" si="34"/>
        <v>1024.5902577500001</v>
      </c>
      <c r="AG51" s="394">
        <f t="shared" si="34"/>
        <v>861.09902725999996</v>
      </c>
      <c r="AH51" s="277">
        <f t="shared" si="22"/>
        <v>-16</v>
      </c>
      <c r="AI51" s="394">
        <f t="shared" si="35"/>
        <v>1024.5902577500001</v>
      </c>
      <c r="AJ51" s="394">
        <f t="shared" si="35"/>
        <v>861.09902725999996</v>
      </c>
      <c r="AK51" s="354">
        <f t="shared" si="24"/>
        <v>-16</v>
      </c>
    </row>
    <row r="52" spans="1:37" s="365" customFormat="1" ht="20.100000000000001" customHeight="1" x14ac:dyDescent="0.35">
      <c r="A52" s="427" t="s">
        <v>307</v>
      </c>
      <c r="B52" s="147"/>
      <c r="C52" s="353"/>
      <c r="D52" s="353"/>
      <c r="E52" s="147"/>
      <c r="F52" s="353"/>
      <c r="G52" s="353"/>
      <c r="H52" s="147"/>
      <c r="I52" s="353"/>
      <c r="J52" s="353"/>
      <c r="K52" s="147"/>
      <c r="L52" s="353"/>
      <c r="M52" s="394"/>
      <c r="N52" s="147">
        <v>1024.5902577500001</v>
      </c>
      <c r="O52" s="353">
        <v>861.09902725999996</v>
      </c>
      <c r="P52" s="277">
        <f t="shared" si="36"/>
        <v>-16</v>
      </c>
      <c r="Q52" s="147"/>
      <c r="R52" s="353"/>
      <c r="S52" s="353"/>
      <c r="T52" s="147"/>
      <c r="U52" s="353"/>
      <c r="V52" s="353"/>
      <c r="W52" s="147"/>
      <c r="X52" s="353"/>
      <c r="Y52" s="353"/>
      <c r="Z52" s="147"/>
      <c r="AA52" s="353"/>
      <c r="AB52" s="353"/>
      <c r="AC52" s="147"/>
      <c r="AD52" s="353"/>
      <c r="AE52" s="353"/>
      <c r="AF52" s="394">
        <f t="shared" si="34"/>
        <v>1024.5902577500001</v>
      </c>
      <c r="AG52" s="394">
        <f t="shared" si="34"/>
        <v>861.09902725999996</v>
      </c>
      <c r="AH52" s="353">
        <f t="shared" si="22"/>
        <v>-16</v>
      </c>
      <c r="AI52" s="394">
        <f t="shared" si="35"/>
        <v>1024.5902577500001</v>
      </c>
      <c r="AJ52" s="394">
        <f t="shared" si="35"/>
        <v>861.09902725999996</v>
      </c>
      <c r="AK52" s="464">
        <f t="shared" si="24"/>
        <v>-16</v>
      </c>
    </row>
    <row r="53" spans="1:37" s="365" customFormat="1" ht="20.100000000000001" customHeight="1" x14ac:dyDescent="0.35">
      <c r="A53" s="427" t="s">
        <v>339</v>
      </c>
      <c r="B53" s="147"/>
      <c r="C53" s="353"/>
      <c r="D53" s="353"/>
      <c r="E53" s="147"/>
      <c r="F53" s="353"/>
      <c r="G53" s="353"/>
      <c r="H53" s="147"/>
      <c r="I53" s="353"/>
      <c r="J53" s="353"/>
      <c r="K53" s="147"/>
      <c r="L53" s="353"/>
      <c r="M53" s="350"/>
      <c r="N53" s="147"/>
      <c r="O53" s="353"/>
      <c r="P53" s="277"/>
      <c r="Q53" s="147"/>
      <c r="R53" s="353"/>
      <c r="S53" s="277"/>
      <c r="T53" s="147"/>
      <c r="U53" s="353"/>
      <c r="V53" s="277"/>
      <c r="W53" s="147"/>
      <c r="X53" s="353"/>
      <c r="Y53" s="277"/>
      <c r="Z53" s="147">
        <v>3483.0961189100012</v>
      </c>
      <c r="AA53" s="353">
        <v>3718.1777628299951</v>
      </c>
      <c r="AB53" s="277"/>
      <c r="AC53" s="147"/>
      <c r="AD53" s="353"/>
      <c r="AE53" s="277"/>
      <c r="AF53" s="394">
        <f t="shared" si="34"/>
        <v>3483.0961189100012</v>
      </c>
      <c r="AG53" s="394">
        <f t="shared" si="34"/>
        <v>3718.1777628299951</v>
      </c>
      <c r="AH53" s="277">
        <f t="shared" si="22"/>
        <v>6.7</v>
      </c>
      <c r="AI53" s="394">
        <f t="shared" si="35"/>
        <v>3483.0961189100012</v>
      </c>
      <c r="AJ53" s="394">
        <f t="shared" si="35"/>
        <v>3718.1777628299951</v>
      </c>
      <c r="AK53" s="354">
        <f t="shared" si="24"/>
        <v>6.7</v>
      </c>
    </row>
    <row r="54" spans="1:37" s="365" customFormat="1" ht="20.100000000000001" customHeight="1" x14ac:dyDescent="0.35">
      <c r="A54" s="427" t="s">
        <v>340</v>
      </c>
      <c r="B54" s="147">
        <f>SUM(B55+B56+B57+B58+B59)</f>
        <v>197550.24400000001</v>
      </c>
      <c r="C54" s="353">
        <f>SUM(C55+C56+C57+C58+C59)</f>
        <v>238956.84389545</v>
      </c>
      <c r="D54" s="353">
        <f t="shared" si="19"/>
        <v>21</v>
      </c>
      <c r="E54" s="147"/>
      <c r="F54" s="353">
        <f>SUM(F55+F56+F57+F58+F59)</f>
        <v>0</v>
      </c>
      <c r="G54" s="353"/>
      <c r="H54" s="147"/>
      <c r="I54" s="353"/>
      <c r="J54" s="353"/>
      <c r="K54" s="147">
        <f>SUM(K55+K56+K57+K58+K59)</f>
        <v>75042</v>
      </c>
      <c r="L54" s="353">
        <f>SUM(L55+L56+L57+L58+L59)</f>
        <v>87966</v>
      </c>
      <c r="M54" s="394">
        <f>IF(K54=0, "    ---- ", IF(ABS(ROUND(100/K54*L54-100,1))&lt;999,ROUND(100/K54*L54-100,1),IF(ROUND(100/K54*L54-100,1)&gt;999,999,-999)))</f>
        <v>17.2</v>
      </c>
      <c r="N54" s="147">
        <v>1693.7601638700003</v>
      </c>
      <c r="O54" s="353">
        <v>1530.8079446000002</v>
      </c>
      <c r="P54" s="353">
        <f t="shared" si="36"/>
        <v>-9.6</v>
      </c>
      <c r="Q54" s="147">
        <f>SUM(Q55+Q56+Q57+Q58+Q59)</f>
        <v>173913.63999999998</v>
      </c>
      <c r="R54" s="353">
        <f>SUM(R55+R56+R57+R58+R59)</f>
        <v>212079.90999999997</v>
      </c>
      <c r="S54" s="353">
        <f t="shared" si="26"/>
        <v>21.9</v>
      </c>
      <c r="T54" s="147"/>
      <c r="U54" s="353"/>
      <c r="V54" s="353"/>
      <c r="W54" s="147">
        <f>SUM(W55+W56+W57+W58+W59)</f>
        <v>82452.562999999995</v>
      </c>
      <c r="X54" s="353">
        <f>SUM(X55+X56+X57+X58+X59)</f>
        <v>95302.466126099971</v>
      </c>
      <c r="Y54" s="353">
        <f t="shared" si="20"/>
        <v>15.6</v>
      </c>
      <c r="Z54" s="147">
        <f>SUM(Z55+Z56+Z57+Z58+Z59)</f>
        <v>232914.96691135998</v>
      </c>
      <c r="AA54" s="353">
        <f>SUM(AA55+AA56+AA57+AA58+AA59)</f>
        <v>270582.19674460043</v>
      </c>
      <c r="AB54" s="353">
        <f t="shared" si="28"/>
        <v>16.2</v>
      </c>
      <c r="AC54" s="147"/>
      <c r="AD54" s="353"/>
      <c r="AE54" s="353"/>
      <c r="AF54" s="394">
        <f t="shared" si="34"/>
        <v>763567.17407523002</v>
      </c>
      <c r="AG54" s="394">
        <f t="shared" si="34"/>
        <v>906418.22471075028</v>
      </c>
      <c r="AH54" s="353">
        <f t="shared" si="22"/>
        <v>18.7</v>
      </c>
      <c r="AI54" s="394">
        <f t="shared" si="35"/>
        <v>763567.17407523002</v>
      </c>
      <c r="AJ54" s="394">
        <f t="shared" si="35"/>
        <v>906418.22471075028</v>
      </c>
      <c r="AK54" s="464">
        <f t="shared" si="24"/>
        <v>18.7</v>
      </c>
    </row>
    <row r="55" spans="1:37" s="365" customFormat="1" ht="20.100000000000001" customHeight="1" x14ac:dyDescent="0.35">
      <c r="A55" s="427" t="s">
        <v>341</v>
      </c>
      <c r="B55" s="147">
        <v>127522.083</v>
      </c>
      <c r="C55" s="353">
        <v>157391.03402207</v>
      </c>
      <c r="D55" s="353">
        <f t="shared" si="19"/>
        <v>23.4</v>
      </c>
      <c r="E55" s="147"/>
      <c r="F55" s="353"/>
      <c r="G55" s="353"/>
      <c r="H55" s="147"/>
      <c r="I55" s="353"/>
      <c r="J55" s="353"/>
      <c r="K55" s="147">
        <v>61670</v>
      </c>
      <c r="L55" s="353">
        <v>72958</v>
      </c>
      <c r="M55" s="350">
        <f>IF(K55=0, "    ---- ", IF(ABS(ROUND(100/K55*L55-100,1))&lt;999,ROUND(100/K55*L55-100,1),IF(ROUND(100/K55*L55-100,1)&gt;999,999,-999)))</f>
        <v>18.3</v>
      </c>
      <c r="N55" s="147">
        <v>1292.1655281300002</v>
      </c>
      <c r="O55" s="353">
        <v>1131.0809426400001</v>
      </c>
      <c r="P55" s="277">
        <f t="shared" si="36"/>
        <v>-12.5</v>
      </c>
      <c r="Q55" s="147">
        <v>106308.41</v>
      </c>
      <c r="R55" s="353">
        <v>143065.93</v>
      </c>
      <c r="S55" s="277">
        <f t="shared" si="26"/>
        <v>34.6</v>
      </c>
      <c r="T55" s="147"/>
      <c r="U55" s="353"/>
      <c r="V55" s="277"/>
      <c r="W55" s="147">
        <v>53163.724000000002</v>
      </c>
      <c r="X55" s="353">
        <v>63924.434308999975</v>
      </c>
      <c r="Y55" s="277">
        <f t="shared" si="20"/>
        <v>20.2</v>
      </c>
      <c r="Z55" s="147">
        <v>169951.35887060003</v>
      </c>
      <c r="AA55" s="353">
        <v>205794.80892456044</v>
      </c>
      <c r="AB55" s="277">
        <f t="shared" si="28"/>
        <v>21.1</v>
      </c>
      <c r="AC55" s="147"/>
      <c r="AD55" s="353"/>
      <c r="AE55" s="277"/>
      <c r="AF55" s="394">
        <f t="shared" si="34"/>
        <v>519907.74139872997</v>
      </c>
      <c r="AG55" s="394">
        <f t="shared" si="34"/>
        <v>644265.28819827037</v>
      </c>
      <c r="AH55" s="277">
        <f t="shared" si="22"/>
        <v>23.9</v>
      </c>
      <c r="AI55" s="394">
        <f t="shared" si="35"/>
        <v>519907.74139872997</v>
      </c>
      <c r="AJ55" s="394">
        <f t="shared" si="35"/>
        <v>644265.28819827037</v>
      </c>
      <c r="AK55" s="354">
        <f t="shared" si="24"/>
        <v>23.9</v>
      </c>
    </row>
    <row r="56" spans="1:37" s="365" customFormat="1" ht="20.100000000000001" customHeight="1" x14ac:dyDescent="0.35">
      <c r="A56" s="427" t="s">
        <v>342</v>
      </c>
      <c r="B56" s="147">
        <v>68581.841</v>
      </c>
      <c r="C56" s="353">
        <v>79798.101525339996</v>
      </c>
      <c r="D56" s="353">
        <f t="shared" si="19"/>
        <v>16.399999999999999</v>
      </c>
      <c r="E56" s="147"/>
      <c r="F56" s="353"/>
      <c r="G56" s="353"/>
      <c r="H56" s="147"/>
      <c r="I56" s="353"/>
      <c r="J56" s="353"/>
      <c r="K56" s="147">
        <v>13127</v>
      </c>
      <c r="L56" s="353">
        <v>14675</v>
      </c>
      <c r="M56" s="350">
        <f>IF(K56=0, "    ---- ", IF(ABS(ROUND(100/K56*L56-100,1))&lt;999,ROUND(100/K56*L56-100,1),IF(ROUND(100/K56*L56-100,1)&gt;999,999,-999)))</f>
        <v>11.8</v>
      </c>
      <c r="N56" s="147">
        <v>314.91464838000002</v>
      </c>
      <c r="O56" s="353">
        <v>340.52870555999999</v>
      </c>
      <c r="P56" s="277">
        <f t="shared" si="36"/>
        <v>8.1</v>
      </c>
      <c r="Q56" s="147">
        <v>63731.33</v>
      </c>
      <c r="R56" s="353">
        <v>67284.06</v>
      </c>
      <c r="S56" s="277">
        <f t="shared" si="26"/>
        <v>5.6</v>
      </c>
      <c r="T56" s="147"/>
      <c r="U56" s="353"/>
      <c r="V56" s="277"/>
      <c r="W56" s="147">
        <v>27725.999</v>
      </c>
      <c r="X56" s="353">
        <v>30865.49963200001</v>
      </c>
      <c r="Y56" s="277">
        <f t="shared" si="20"/>
        <v>11.3</v>
      </c>
      <c r="Z56" s="147">
        <v>60559.834178849946</v>
      </c>
      <c r="AA56" s="353">
        <v>63966.629123009952</v>
      </c>
      <c r="AB56" s="277">
        <f t="shared" si="28"/>
        <v>5.6</v>
      </c>
      <c r="AC56" s="147"/>
      <c r="AD56" s="353"/>
      <c r="AE56" s="277"/>
      <c r="AF56" s="394">
        <f t="shared" si="34"/>
        <v>234040.91882722994</v>
      </c>
      <c r="AG56" s="394">
        <f t="shared" si="34"/>
        <v>256929.81898590998</v>
      </c>
      <c r="AH56" s="277">
        <f t="shared" si="22"/>
        <v>9.8000000000000007</v>
      </c>
      <c r="AI56" s="394">
        <f t="shared" si="35"/>
        <v>234040.91882722994</v>
      </c>
      <c r="AJ56" s="394">
        <f t="shared" si="35"/>
        <v>256929.81898590998</v>
      </c>
      <c r="AK56" s="354">
        <f t="shared" si="24"/>
        <v>9.8000000000000007</v>
      </c>
    </row>
    <row r="57" spans="1:37" s="365" customFormat="1" ht="20.100000000000001" customHeight="1" x14ac:dyDescent="0.35">
      <c r="A57" s="427" t="s">
        <v>343</v>
      </c>
      <c r="B57" s="147">
        <v>1446.32</v>
      </c>
      <c r="C57" s="353">
        <v>1767.7083480400088</v>
      </c>
      <c r="D57" s="277">
        <f t="shared" si="19"/>
        <v>22.2</v>
      </c>
      <c r="E57" s="147"/>
      <c r="F57" s="353"/>
      <c r="G57" s="277"/>
      <c r="H57" s="147"/>
      <c r="I57" s="353"/>
      <c r="J57" s="277"/>
      <c r="K57" s="147"/>
      <c r="L57" s="353"/>
      <c r="M57" s="277"/>
      <c r="N57" s="147">
        <v>78.772344010000012</v>
      </c>
      <c r="O57" s="353">
        <v>47.322631979999997</v>
      </c>
      <c r="P57" s="277">
        <f t="shared" si="36"/>
        <v>-39.9</v>
      </c>
      <c r="Q57" s="147"/>
      <c r="R57" s="353"/>
      <c r="S57" s="277"/>
      <c r="T57" s="147"/>
      <c r="U57" s="353"/>
      <c r="V57" s="277"/>
      <c r="W57" s="147">
        <v>84.858999999999995</v>
      </c>
      <c r="X57" s="353">
        <v>82.649692860000073</v>
      </c>
      <c r="Y57" s="277"/>
      <c r="Z57" s="147"/>
      <c r="AA57" s="353"/>
      <c r="AB57" s="277" t="str">
        <f t="shared" si="28"/>
        <v xml:space="preserve">    ---- </v>
      </c>
      <c r="AC57" s="147"/>
      <c r="AD57" s="353"/>
      <c r="AE57" s="277"/>
      <c r="AF57" s="394">
        <f t="shared" si="34"/>
        <v>1609.95134401</v>
      </c>
      <c r="AG57" s="394">
        <f t="shared" si="34"/>
        <v>1897.6806728800088</v>
      </c>
      <c r="AH57" s="277">
        <f t="shared" si="22"/>
        <v>17.899999999999999</v>
      </c>
      <c r="AI57" s="394">
        <f t="shared" si="35"/>
        <v>1609.95134401</v>
      </c>
      <c r="AJ57" s="394">
        <f t="shared" si="35"/>
        <v>1897.6806728800088</v>
      </c>
      <c r="AK57" s="354">
        <f t="shared" si="24"/>
        <v>17.899999999999999</v>
      </c>
    </row>
    <row r="58" spans="1:37" s="365" customFormat="1" ht="20.100000000000001" customHeight="1" x14ac:dyDescent="0.35">
      <c r="A58" s="427" t="s">
        <v>344</v>
      </c>
      <c r="B58" s="147"/>
      <c r="C58" s="353">
        <v>0</v>
      </c>
      <c r="D58" s="277"/>
      <c r="E58" s="147"/>
      <c r="F58" s="353"/>
      <c r="G58" s="277"/>
      <c r="H58" s="147"/>
      <c r="I58" s="353"/>
      <c r="J58" s="277"/>
      <c r="K58" s="147"/>
      <c r="L58" s="353"/>
      <c r="M58" s="277"/>
      <c r="N58" s="147">
        <v>6.4999290599999995</v>
      </c>
      <c r="O58" s="353">
        <v>11.844576890000001</v>
      </c>
      <c r="P58" s="277">
        <f t="shared" si="36"/>
        <v>82.2</v>
      </c>
      <c r="Q58" s="147">
        <v>2870.93</v>
      </c>
      <c r="R58" s="353">
        <v>322.31</v>
      </c>
      <c r="S58" s="277">
        <f t="shared" si="26"/>
        <v>-88.8</v>
      </c>
      <c r="T58" s="147"/>
      <c r="U58" s="353"/>
      <c r="V58" s="277"/>
      <c r="W58" s="147">
        <v>896.49599999999998</v>
      </c>
      <c r="X58" s="353">
        <v>120.08943103999997</v>
      </c>
      <c r="Y58" s="277"/>
      <c r="Z58" s="147">
        <v>2403.7738619100023</v>
      </c>
      <c r="AA58" s="353">
        <v>820.75869702999944</v>
      </c>
      <c r="AB58" s="277">
        <f t="shared" si="28"/>
        <v>-65.900000000000006</v>
      </c>
      <c r="AC58" s="147"/>
      <c r="AD58" s="353"/>
      <c r="AE58" s="277"/>
      <c r="AF58" s="394">
        <f t="shared" si="34"/>
        <v>6177.6997909700021</v>
      </c>
      <c r="AG58" s="394">
        <f t="shared" si="34"/>
        <v>1275.0027049599994</v>
      </c>
      <c r="AH58" s="277">
        <f t="shared" si="22"/>
        <v>-79.400000000000006</v>
      </c>
      <c r="AI58" s="394">
        <f t="shared" si="35"/>
        <v>6177.6997909700021</v>
      </c>
      <c r="AJ58" s="394">
        <f t="shared" si="35"/>
        <v>1275.0027049599994</v>
      </c>
      <c r="AK58" s="354">
        <f t="shared" si="24"/>
        <v>-79.400000000000006</v>
      </c>
    </row>
    <row r="59" spans="1:37" s="365" customFormat="1" ht="20.100000000000001" customHeight="1" x14ac:dyDescent="0.35">
      <c r="A59" s="427" t="s">
        <v>345</v>
      </c>
      <c r="B59" s="147"/>
      <c r="C59" s="353">
        <v>0</v>
      </c>
      <c r="D59" s="277"/>
      <c r="E59" s="147"/>
      <c r="F59" s="353"/>
      <c r="G59" s="277"/>
      <c r="H59" s="147"/>
      <c r="I59" s="353"/>
      <c r="J59" s="277"/>
      <c r="K59" s="147">
        <v>245</v>
      </c>
      <c r="L59" s="353">
        <v>333</v>
      </c>
      <c r="M59" s="277">
        <f>IF(K59=0, "    ---- ", IF(ABS(ROUND(100/K59*L59-100,1))&lt;999,ROUND(100/K59*L59-100,1),IF(ROUND(100/K59*L59-100,1)&gt;999,999,-999)))</f>
        <v>35.9</v>
      </c>
      <c r="N59" s="147">
        <v>1.4077142900000001</v>
      </c>
      <c r="O59" s="353">
        <v>3.1087529999999999E-2</v>
      </c>
      <c r="P59" s="277">
        <f t="shared" si="36"/>
        <v>-97.8</v>
      </c>
      <c r="Q59" s="147">
        <v>1002.97</v>
      </c>
      <c r="R59" s="353">
        <v>1407.61</v>
      </c>
      <c r="S59" s="277">
        <f t="shared" si="26"/>
        <v>40.299999999999997</v>
      </c>
      <c r="T59" s="147"/>
      <c r="U59" s="353"/>
      <c r="V59" s="277"/>
      <c r="W59" s="147">
        <v>581.48500000000001</v>
      </c>
      <c r="X59" s="353">
        <v>309.79306119999467</v>
      </c>
      <c r="Y59" s="277">
        <f t="shared" si="20"/>
        <v>-46.7</v>
      </c>
      <c r="Z59" s="147"/>
      <c r="AA59" s="353"/>
      <c r="AB59" s="277" t="str">
        <f t="shared" si="28"/>
        <v xml:space="preserve">    ---- </v>
      </c>
      <c r="AC59" s="147"/>
      <c r="AD59" s="353"/>
      <c r="AE59" s="277"/>
      <c r="AF59" s="394">
        <f t="shared" si="34"/>
        <v>1830.86271429</v>
      </c>
      <c r="AG59" s="394">
        <f t="shared" si="34"/>
        <v>2050.4341487299944</v>
      </c>
      <c r="AH59" s="277">
        <f t="shared" si="22"/>
        <v>12</v>
      </c>
      <c r="AI59" s="394">
        <f t="shared" si="35"/>
        <v>1830.86271429</v>
      </c>
      <c r="AJ59" s="394">
        <f t="shared" si="35"/>
        <v>2050.4341487299944</v>
      </c>
      <c r="AK59" s="354">
        <f t="shared" si="24"/>
        <v>12</v>
      </c>
    </row>
    <row r="60" spans="1:37" s="365" customFormat="1" ht="20.100000000000001" customHeight="1" x14ac:dyDescent="0.35">
      <c r="A60" s="463" t="s">
        <v>346</v>
      </c>
      <c r="B60" s="147">
        <f>SUM(B48+B49+B50+B54)</f>
        <v>203568.7</v>
      </c>
      <c r="C60" s="353">
        <f>SUM(C48+C49+C50+C54)</f>
        <v>245957.64439545001</v>
      </c>
      <c r="D60" s="277">
        <f t="shared" si="19"/>
        <v>20.8</v>
      </c>
      <c r="E60" s="147"/>
      <c r="F60" s="353">
        <f>SUM(F48+F49+F50+F54)</f>
        <v>0</v>
      </c>
      <c r="G60" s="277"/>
      <c r="H60" s="147"/>
      <c r="I60" s="353"/>
      <c r="J60" s="277"/>
      <c r="K60" s="147">
        <f>SUM(K48+K49+K50+K54)</f>
        <v>76969</v>
      </c>
      <c r="L60" s="353">
        <f>SUM(L48+L49+L50+L54)</f>
        <v>91001</v>
      </c>
      <c r="M60" s="277">
        <f>IF(K60=0, "    ---- ", IF(ABS(ROUND(100/K60*L60-100,1))&lt;999,ROUND(100/K60*L60-100,1),IF(ROUND(100/K60*L60-100,1)&gt;999,999,-999)))</f>
        <v>18.2</v>
      </c>
      <c r="N60" s="147">
        <v>3105.39638646</v>
      </c>
      <c r="O60" s="353">
        <v>2827.4169777000002</v>
      </c>
      <c r="P60" s="277">
        <f t="shared" si="36"/>
        <v>-9</v>
      </c>
      <c r="Q60" s="147">
        <f>SUM(Q48+Q49+Q50+Q54)</f>
        <v>177451.03</v>
      </c>
      <c r="R60" s="353">
        <f>SUM(R48+R49+R50+R54)</f>
        <v>217451.08</v>
      </c>
      <c r="S60" s="277">
        <f t="shared" si="26"/>
        <v>22.5</v>
      </c>
      <c r="T60" s="147"/>
      <c r="U60" s="353"/>
      <c r="V60" s="277"/>
      <c r="W60" s="147">
        <f>SUM(W48+W49+W50+W54)</f>
        <v>83696.092999999993</v>
      </c>
      <c r="X60" s="353">
        <f>SUM(X48+X49+X50+X54)</f>
        <v>96534.078105679975</v>
      </c>
      <c r="Y60" s="277">
        <f t="shared" si="20"/>
        <v>15.3</v>
      </c>
      <c r="Z60" s="147">
        <f>SUM(Z48+Z49+Z50+Z54)</f>
        <v>244412.61485868</v>
      </c>
      <c r="AA60" s="353">
        <f>SUM(AA48+AA49+AA50+AA54)</f>
        <v>282949.72054636042</v>
      </c>
      <c r="AB60" s="277">
        <f t="shared" si="28"/>
        <v>15.8</v>
      </c>
      <c r="AC60" s="147"/>
      <c r="AD60" s="353"/>
      <c r="AE60" s="277"/>
      <c r="AF60" s="394">
        <f t="shared" si="34"/>
        <v>789202.83424513997</v>
      </c>
      <c r="AG60" s="394">
        <f t="shared" si="34"/>
        <v>936720.94002519036</v>
      </c>
      <c r="AH60" s="277">
        <f t="shared" si="22"/>
        <v>18.7</v>
      </c>
      <c r="AI60" s="394">
        <f t="shared" si="35"/>
        <v>789202.83424513997</v>
      </c>
      <c r="AJ60" s="394">
        <f t="shared" si="35"/>
        <v>936720.94002519036</v>
      </c>
      <c r="AK60" s="354">
        <f t="shared" si="24"/>
        <v>18.7</v>
      </c>
    </row>
    <row r="61" spans="1:37" s="365" customFormat="1" ht="20.100000000000001" customHeight="1" x14ac:dyDescent="0.35">
      <c r="A61" s="439" t="s">
        <v>347</v>
      </c>
      <c r="B61" s="147"/>
      <c r="C61" s="353"/>
      <c r="D61" s="277"/>
      <c r="E61" s="147"/>
      <c r="F61" s="353"/>
      <c r="G61" s="277"/>
      <c r="H61" s="147"/>
      <c r="I61" s="353"/>
      <c r="J61" s="277"/>
      <c r="K61" s="147"/>
      <c r="L61" s="353"/>
      <c r="M61" s="277"/>
      <c r="N61" s="147"/>
      <c r="O61" s="353"/>
      <c r="P61" s="277"/>
      <c r="Q61" s="147"/>
      <c r="R61" s="353"/>
      <c r="S61" s="277"/>
      <c r="T61" s="147"/>
      <c r="U61" s="353"/>
      <c r="V61" s="277"/>
      <c r="W61" s="147"/>
      <c r="X61" s="353"/>
      <c r="Y61" s="277"/>
      <c r="Z61" s="147">
        <v>159.07719885</v>
      </c>
      <c r="AA61" s="353"/>
      <c r="AB61" s="277"/>
      <c r="AC61" s="147"/>
      <c r="AD61" s="353"/>
      <c r="AE61" s="277"/>
      <c r="AF61" s="394">
        <f t="shared" si="34"/>
        <v>159.07719885</v>
      </c>
      <c r="AG61" s="394">
        <f t="shared" si="34"/>
        <v>0</v>
      </c>
      <c r="AH61" s="277">
        <f t="shared" si="22"/>
        <v>-100</v>
      </c>
      <c r="AI61" s="394">
        <f>B61+E61+H61+K61+N61+Q61+T61+W61+Z61+AC61</f>
        <v>159.07719885</v>
      </c>
      <c r="AJ61" s="394">
        <f t="shared" si="35"/>
        <v>0</v>
      </c>
      <c r="AK61" s="354">
        <f t="shared" si="24"/>
        <v>-100</v>
      </c>
    </row>
    <row r="62" spans="1:37" s="365" customFormat="1" ht="20.100000000000001" customHeight="1" x14ac:dyDescent="0.35">
      <c r="A62" s="427" t="s">
        <v>348</v>
      </c>
      <c r="B62" s="147">
        <f>SUM(B45+B46+B60+B61)</f>
        <v>394090.52100000001</v>
      </c>
      <c r="C62" s="353">
        <f>SUM(C45+C46+C60+C61)</f>
        <v>432275.76654450997</v>
      </c>
      <c r="D62" s="277">
        <f t="shared" si="19"/>
        <v>9.6999999999999993</v>
      </c>
      <c r="E62" s="147">
        <f>SUM(E45+E46+E60+E61)</f>
        <v>10184.18956484</v>
      </c>
      <c r="F62" s="353">
        <f>SUM(F45+F46+F60+F61)</f>
        <v>10982.597044050002</v>
      </c>
      <c r="G62" s="277">
        <f>IF(E62=0, "    ---- ", IF(ABS(ROUND(100/E62*F62-100,1))&lt;999,ROUND(100/E62*F62-100,1),IF(ROUND(100/E62*F62-100,1)&gt;999,999,-999)))</f>
        <v>7.8</v>
      </c>
      <c r="H62" s="147">
        <f>SUM(H45+H46+H60+H61)</f>
        <v>2304.2729999999997</v>
      </c>
      <c r="I62" s="353">
        <f>SUM(I45+I46+I60+I61)</f>
        <v>2649.35</v>
      </c>
      <c r="J62" s="277">
        <f>IF(H62=0, "    ---- ", IF(ABS(ROUND(100/H62*I62-100,1))&lt;999,ROUND(100/H62*I62-100,1),IF(ROUND(100/H62*I62-100,1)&gt;999,999,-999)))</f>
        <v>15</v>
      </c>
      <c r="K62" s="147">
        <f>SUM(K45+K46+K60+K61)</f>
        <v>88331</v>
      </c>
      <c r="L62" s="353">
        <f>SUM(L45+L46+L60+L61)</f>
        <v>103195</v>
      </c>
      <c r="M62" s="277">
        <f>IF(K62=0, "    ---- ", IF(ABS(ROUND(100/K62*L62-100,1))&lt;999,ROUND(100/K62*L62-100,1),IF(ROUND(100/K62*L62-100,1)&gt;999,999,-999)))</f>
        <v>16.8</v>
      </c>
      <c r="N62" s="147">
        <v>808454.06296491006</v>
      </c>
      <c r="O62" s="353">
        <v>894366.04843728989</v>
      </c>
      <c r="P62" s="277">
        <f>IF(N62=0, "    ---- ", IF(ABS(ROUND(100/N62*O62-100,1))&lt;999,ROUND(100/N62*O62-100,1),IF(ROUND(100/N62*O62-100,1)&gt;999,999,-999)))</f>
        <v>10.6</v>
      </c>
      <c r="Q62" s="147">
        <f>SUM(Q45+Q46+Q60+Q61)</f>
        <v>233021.6688427199</v>
      </c>
      <c r="R62" s="353">
        <f>SUM(R45+R46+R60+R61)</f>
        <v>274571.73998302995</v>
      </c>
      <c r="S62" s="277">
        <f t="shared" si="26"/>
        <v>17.8</v>
      </c>
      <c r="T62" s="147">
        <v>133289</v>
      </c>
      <c r="U62" s="353">
        <f>SUM(U45+U46+U60+U61)</f>
        <v>142946</v>
      </c>
      <c r="V62" s="277">
        <f>IF(T62=0, "    ---- ", IF(ABS(ROUND(100/T62*U62-100,1))&lt;999,ROUND(100/T62*U62-100,1),IF(ROUND(100/T62*U62-100,1)&gt;999,999,-999)))</f>
        <v>7.2</v>
      </c>
      <c r="W62" s="147">
        <f>SUM(W45+W46+W60+W61)</f>
        <v>109475.29199999999</v>
      </c>
      <c r="X62" s="353">
        <f>SUM(X45+X46+X60+X61)</f>
        <v>123516.53427276999</v>
      </c>
      <c r="Y62" s="277">
        <f t="shared" si="20"/>
        <v>12.8</v>
      </c>
      <c r="Z62" s="147">
        <f>SUM(Z45+Z46+Z60+Z61)</f>
        <v>470417.47103961022</v>
      </c>
      <c r="AA62" s="353">
        <f>SUM(AA45+AA46+AA60+AA61)</f>
        <v>513513.62194742035</v>
      </c>
      <c r="AB62" s="277">
        <f t="shared" si="28"/>
        <v>9.1999999999999993</v>
      </c>
      <c r="AC62" s="147">
        <f>SUM(AC45+AC46+AC60+AC61)</f>
        <v>20</v>
      </c>
      <c r="AD62" s="353">
        <f>SUM(AD45+AD46+AD60+AD61)</f>
        <v>23</v>
      </c>
      <c r="AE62" s="277">
        <f>IF(AC62=0, "    ---- ", IF(ABS(ROUND(100/AC62*AD62-100,1))&lt;999,ROUND(100/AC62*AD62-100,1),IF(ROUND(100/AC62*AD62-100,1)&gt;999,999,-999)))</f>
        <v>15</v>
      </c>
      <c r="AF62" s="394">
        <f t="shared" si="34"/>
        <v>2249567.4784120801</v>
      </c>
      <c r="AG62" s="394">
        <f t="shared" si="34"/>
        <v>2498016.6582290702</v>
      </c>
      <c r="AH62" s="277">
        <f t="shared" si="22"/>
        <v>11</v>
      </c>
      <c r="AI62" s="394">
        <f>B62+E62+H62+K62+N62+Q62+T62+W62+Z62+AC62</f>
        <v>2249587.4784120801</v>
      </c>
      <c r="AJ62" s="394">
        <f t="shared" si="35"/>
        <v>2498039.6582290702</v>
      </c>
      <c r="AK62" s="354">
        <f t="shared" si="24"/>
        <v>11</v>
      </c>
    </row>
    <row r="63" spans="1:37" s="373" customFormat="1" ht="20.100000000000001" customHeight="1" x14ac:dyDescent="0.3">
      <c r="A63" s="439"/>
      <c r="B63" s="149"/>
      <c r="C63" s="352"/>
      <c r="D63" s="351"/>
      <c r="E63" s="149"/>
      <c r="F63" s="352"/>
      <c r="G63" s="351"/>
      <c r="H63" s="149"/>
      <c r="I63" s="352"/>
      <c r="J63" s="351"/>
      <c r="K63" s="149"/>
      <c r="L63" s="352"/>
      <c r="M63" s="355"/>
      <c r="N63" s="149"/>
      <c r="O63" s="352"/>
      <c r="P63" s="351"/>
      <c r="Q63" s="149"/>
      <c r="R63" s="352"/>
      <c r="S63" s="351"/>
      <c r="T63" s="149"/>
      <c r="U63" s="352"/>
      <c r="V63" s="351"/>
      <c r="W63" s="149"/>
      <c r="X63" s="352"/>
      <c r="Y63" s="351"/>
      <c r="Z63" s="149"/>
      <c r="AA63" s="352"/>
      <c r="AB63" s="351"/>
      <c r="AC63" s="149"/>
      <c r="AD63" s="352"/>
      <c r="AE63" s="351"/>
      <c r="AF63" s="355"/>
      <c r="AG63" s="355"/>
      <c r="AH63" s="351"/>
      <c r="AI63" s="355"/>
      <c r="AJ63" s="355"/>
      <c r="AK63" s="356"/>
    </row>
    <row r="64" spans="1:37" s="373" customFormat="1" ht="20.100000000000001" customHeight="1" x14ac:dyDescent="0.3">
      <c r="A64" s="439" t="s">
        <v>349</v>
      </c>
      <c r="B64" s="149">
        <f>SUM(B29+B62)</f>
        <v>425113.41713696998</v>
      </c>
      <c r="C64" s="352">
        <f>SUM(C29+C62)</f>
        <v>461322.69122109999</v>
      </c>
      <c r="D64" s="351">
        <f t="shared" si="19"/>
        <v>8.5</v>
      </c>
      <c r="E64" s="149">
        <f>SUM(E29+E62)</f>
        <v>14655.97527425</v>
      </c>
      <c r="F64" s="352">
        <f>SUM(F29+F62)</f>
        <v>15006.025457630003</v>
      </c>
      <c r="G64" s="351">
        <f>IF(E64=0, "    ---- ", IF(ABS(ROUND(100/E64*F64-100,1))&lt;999,ROUND(100/E64*F64-100,1),IF(ROUND(100/E64*F64-100,1)&gt;999,999,-999)))</f>
        <v>2.4</v>
      </c>
      <c r="H64" s="149">
        <f>SUM(H29+H62)</f>
        <v>3605.3469999999998</v>
      </c>
      <c r="I64" s="352">
        <f>SUM(I29+I62)</f>
        <v>4077.1849999999999</v>
      </c>
      <c r="J64" s="351">
        <f>IF(H64=0, "    ---- ", IF(ABS(ROUND(100/H64*I64-100,1))&lt;999,ROUND(100/H64*I64-100,1),IF(ROUND(100/H64*I64-100,1)&gt;999,999,-999)))</f>
        <v>13.1</v>
      </c>
      <c r="K64" s="149">
        <f>SUM(K29+K62)</f>
        <v>90056</v>
      </c>
      <c r="L64" s="352">
        <f>SUM(L29+L62)</f>
        <v>105376</v>
      </c>
      <c r="M64" s="355">
        <f>IF(K64=0, "    ---- ", IF(ABS(ROUND(100/K64*L64-100,1))&lt;999,ROUND(100/K64*L64-100,1),IF(ROUND(100/K64*L64-100,1)&gt;999,999,-999)))</f>
        <v>17</v>
      </c>
      <c r="N64" s="149">
        <v>865983.9293554601</v>
      </c>
      <c r="O64" s="352">
        <v>946441.73142896988</v>
      </c>
      <c r="P64" s="351">
        <f>IF(N64=0, "    ---- ", IF(ABS(ROUND(100/N64*O64-100,1))&lt;999,ROUND(100/N64*O64-100,1),IF(ROUND(100/N64*O64-100,1)&gt;999,999,-999)))</f>
        <v>9.3000000000000007</v>
      </c>
      <c r="Q64" s="149">
        <f>SUM(Q29+Q62)</f>
        <v>244559.1688427199</v>
      </c>
      <c r="R64" s="352">
        <f>SUM(R29+R62)</f>
        <v>284883.66998302995</v>
      </c>
      <c r="S64" s="351">
        <f t="shared" si="26"/>
        <v>16.5</v>
      </c>
      <c r="T64" s="149">
        <v>145712</v>
      </c>
      <c r="U64" s="352">
        <f>SUM(U29+U62)</f>
        <v>156070</v>
      </c>
      <c r="V64" s="351">
        <f>IF(T64=0, "    ---- ", IF(ABS(ROUND(100/T64*U64-100,1))&lt;999,ROUND(100/T64*U64-100,1),IF(ROUND(100/T64*U64-100,1)&gt;999,999,-999)))</f>
        <v>7.1</v>
      </c>
      <c r="W64" s="149">
        <f>SUM(W29+W62)</f>
        <v>117088.99599999998</v>
      </c>
      <c r="X64" s="352">
        <f>SUM(X29+X62)</f>
        <v>130932.26021839982</v>
      </c>
      <c r="Y64" s="351">
        <f t="shared" si="20"/>
        <v>11.8</v>
      </c>
      <c r="Z64" s="149">
        <f>SUM(Z29+Z62)</f>
        <v>534945.31710562017</v>
      </c>
      <c r="AA64" s="352">
        <f>SUM(AA29+AA62)</f>
        <v>555257.45612644032</v>
      </c>
      <c r="AB64" s="351">
        <f t="shared" si="28"/>
        <v>3.8</v>
      </c>
      <c r="AC64" s="149">
        <f>SUM(AC29+AC62)</f>
        <v>237</v>
      </c>
      <c r="AD64" s="352">
        <f>SUM(AD29+AD62)</f>
        <v>247</v>
      </c>
      <c r="AE64" s="351">
        <f>IF(AC64=0, "    ---- ", IF(ABS(ROUND(100/AC64*AD64-100,1))&lt;999,ROUND(100/AC64*AD64-100,1),IF(ROUND(100/AC64*AD64-100,1)&gt;999,999,-999)))</f>
        <v>4.2</v>
      </c>
      <c r="AF64" s="466">
        <f t="shared" ref="AF64:AG64" si="37">B64+E64+H64+K64+N64+Q64+T64+W64+Z64</f>
        <v>2441720.1507150205</v>
      </c>
      <c r="AG64" s="466">
        <f t="shared" si="37"/>
        <v>2659367.0194355701</v>
      </c>
      <c r="AH64" s="351">
        <f t="shared" si="22"/>
        <v>8.9</v>
      </c>
      <c r="AI64" s="466">
        <f>B64+E64+H64+K64+N64+Q64+T64+W64+Z64+AC64</f>
        <v>2441957.1507150205</v>
      </c>
      <c r="AJ64" s="466">
        <f>C64+F64+I64+L64+O64+R64+U64+X64+AA64+AD64</f>
        <v>2659614.0194355701</v>
      </c>
      <c r="AK64" s="356">
        <f t="shared" si="24"/>
        <v>8.9</v>
      </c>
    </row>
    <row r="65" spans="1:37" s="365" customFormat="1" ht="20.100000000000001" customHeight="1" x14ac:dyDescent="0.35">
      <c r="A65" s="465"/>
      <c r="B65" s="147"/>
      <c r="C65" s="353"/>
      <c r="D65" s="277"/>
      <c r="E65" s="147"/>
      <c r="F65" s="353"/>
      <c r="G65" s="277"/>
      <c r="H65" s="147"/>
      <c r="I65" s="353"/>
      <c r="J65" s="277"/>
      <c r="K65" s="147"/>
      <c r="L65" s="353"/>
      <c r="M65" s="350"/>
      <c r="N65" s="147"/>
      <c r="O65" s="353"/>
      <c r="P65" s="277"/>
      <c r="Q65" s="147"/>
      <c r="R65" s="353"/>
      <c r="S65" s="277"/>
      <c r="T65" s="147"/>
      <c r="U65" s="353"/>
      <c r="V65" s="277"/>
      <c r="W65" s="147"/>
      <c r="X65" s="353"/>
      <c r="Y65" s="277"/>
      <c r="Z65" s="147"/>
      <c r="AA65" s="353"/>
      <c r="AB65" s="277"/>
      <c r="AC65" s="147"/>
      <c r="AD65" s="353"/>
      <c r="AE65" s="277"/>
      <c r="AF65" s="350"/>
      <c r="AG65" s="350"/>
      <c r="AH65" s="277"/>
      <c r="AI65" s="350"/>
      <c r="AJ65" s="350"/>
      <c r="AK65" s="354"/>
    </row>
    <row r="66" spans="1:37" s="365" customFormat="1" ht="20.100000000000001" customHeight="1" x14ac:dyDescent="0.35">
      <c r="A66" s="439" t="s">
        <v>350</v>
      </c>
      <c r="B66" s="147"/>
      <c r="C66" s="353"/>
      <c r="D66" s="277"/>
      <c r="E66" s="147"/>
      <c r="F66" s="353"/>
      <c r="G66" s="277"/>
      <c r="H66" s="147"/>
      <c r="I66" s="353"/>
      <c r="J66" s="277"/>
      <c r="K66" s="147"/>
      <c r="L66" s="353"/>
      <c r="M66" s="350"/>
      <c r="N66" s="147"/>
      <c r="O66" s="353"/>
      <c r="P66" s="277"/>
      <c r="Q66" s="147"/>
      <c r="R66" s="353"/>
      <c r="S66" s="277"/>
      <c r="T66" s="147"/>
      <c r="U66" s="353"/>
      <c r="V66" s="277"/>
      <c r="W66" s="147"/>
      <c r="X66" s="353"/>
      <c r="Y66" s="277"/>
      <c r="Z66" s="147"/>
      <c r="AA66" s="353"/>
      <c r="AB66" s="277"/>
      <c r="AC66" s="147"/>
      <c r="AD66" s="353"/>
      <c r="AE66" s="277"/>
      <c r="AF66" s="350"/>
      <c r="AG66" s="350"/>
      <c r="AH66" s="277"/>
      <c r="AI66" s="350"/>
      <c r="AJ66" s="350"/>
      <c r="AK66" s="354"/>
    </row>
    <row r="67" spans="1:37" s="365" customFormat="1" ht="20.100000000000001" customHeight="1" x14ac:dyDescent="0.35">
      <c r="A67" s="439"/>
      <c r="B67" s="147"/>
      <c r="C67" s="353"/>
      <c r="D67" s="277"/>
      <c r="E67" s="147"/>
      <c r="F67" s="353"/>
      <c r="G67" s="277"/>
      <c r="H67" s="147"/>
      <c r="I67" s="353"/>
      <c r="J67" s="277"/>
      <c r="K67" s="147"/>
      <c r="L67" s="353"/>
      <c r="M67" s="350"/>
      <c r="N67" s="147"/>
      <c r="O67" s="353"/>
      <c r="P67" s="277"/>
      <c r="Q67" s="147"/>
      <c r="R67" s="353"/>
      <c r="S67" s="277"/>
      <c r="T67" s="147"/>
      <c r="U67" s="353"/>
      <c r="V67" s="277"/>
      <c r="W67" s="147"/>
      <c r="X67" s="353"/>
      <c r="Y67" s="277"/>
      <c r="Z67" s="147"/>
      <c r="AA67" s="353"/>
      <c r="AB67" s="277"/>
      <c r="AC67" s="147"/>
      <c r="AD67" s="353"/>
      <c r="AE67" s="277"/>
      <c r="AF67" s="350"/>
      <c r="AG67" s="350"/>
      <c r="AH67" s="277"/>
      <c r="AI67" s="350"/>
      <c r="AJ67" s="350"/>
      <c r="AK67" s="354"/>
    </row>
    <row r="68" spans="1:37" s="365" customFormat="1" ht="20.100000000000001" customHeight="1" x14ac:dyDescent="0.35">
      <c r="A68" s="427" t="s">
        <v>351</v>
      </c>
      <c r="B68" s="147">
        <v>7657.0529999999999</v>
      </c>
      <c r="C68" s="353">
        <v>7657.0531522000001</v>
      </c>
      <c r="D68" s="277">
        <f t="shared" si="19"/>
        <v>0</v>
      </c>
      <c r="E68" s="147">
        <v>2452.057311</v>
      </c>
      <c r="F68" s="353">
        <v>2452.057311</v>
      </c>
      <c r="G68" s="277">
        <f>IF(E68=0, "    ---- ", IF(ABS(ROUND(100/E68*F68-100,1))&lt;999,ROUND(100/E68*F68-100,1),IF(ROUND(100/E68*F68-100,1)&gt;999,999,-999)))</f>
        <v>0</v>
      </c>
      <c r="H68" s="147">
        <v>221.25</v>
      </c>
      <c r="I68" s="353">
        <v>247.25</v>
      </c>
      <c r="J68" s="277">
        <f>IF(H68=0, "    ---- ", IF(ABS(ROUND(100/H68*I68-100,1))&lt;999,ROUND(100/H68*I68-100,1),IF(ROUND(100/H68*I68-100,1)&gt;999,999,-999)))</f>
        <v>11.8</v>
      </c>
      <c r="K68" s="147">
        <v>123</v>
      </c>
      <c r="L68" s="353">
        <v>777</v>
      </c>
      <c r="M68" s="350">
        <f>IF(K68=0, "    ---- ", IF(ABS(ROUND(100/K68*L68-100,1))&lt;999,ROUND(100/K68*L68-100,1),IF(ROUND(100/K68*L68-100,1)&gt;999,999,-999)))</f>
        <v>531.70000000000005</v>
      </c>
      <c r="N68" s="147">
        <v>25276.52765</v>
      </c>
      <c r="O68" s="353">
        <v>27939.365457</v>
      </c>
      <c r="P68" s="277">
        <f t="shared" ref="P68:P80" si="38">IF(N68=0, "    ---- ", IF(ABS(ROUND(100/N68*O68-100,1))&lt;999,ROUND(100/N68*O68-100,1),IF(ROUND(100/N68*O68-100,1)&gt;999,999,-999)))</f>
        <v>10.5</v>
      </c>
      <c r="Q68" s="147">
        <v>1126.76</v>
      </c>
      <c r="R68" s="353">
        <v>1126.76</v>
      </c>
      <c r="S68" s="277">
        <f t="shared" si="26"/>
        <v>0</v>
      </c>
      <c r="T68" s="147">
        <v>1430</v>
      </c>
      <c r="U68" s="353">
        <v>1430</v>
      </c>
      <c r="V68" s="277">
        <f>IF(T68=0, "    ---- ", IF(ABS(ROUND(100/T68*U68-100,1))&lt;999,ROUND(100/T68*U68-100,1),IF(ROUND(100/T68*U68-100,1)&gt;999,999,-999)))</f>
        <v>0</v>
      </c>
      <c r="W68" s="147">
        <v>4972.6959999999999</v>
      </c>
      <c r="X68" s="353">
        <v>4972.6955527999999</v>
      </c>
      <c r="Y68" s="277">
        <f t="shared" si="20"/>
        <v>0</v>
      </c>
      <c r="Z68" s="147">
        <v>16373.951613499999</v>
      </c>
      <c r="AA68" s="353">
        <v>17931.426817740001</v>
      </c>
      <c r="AB68" s="277">
        <f t="shared" si="28"/>
        <v>9.5</v>
      </c>
      <c r="AC68" s="147">
        <v>86</v>
      </c>
      <c r="AD68" s="353">
        <v>86</v>
      </c>
      <c r="AE68" s="277">
        <f>IF(AC68=0, "    ---- ", IF(ABS(ROUND(100/AC68*AD68-100,1))&lt;999,ROUND(100/AC68*AD68-100,1),IF(ROUND(100/AC68*AD68-100,1)&gt;999,999,-999)))</f>
        <v>0</v>
      </c>
      <c r="AF68" s="394">
        <f t="shared" ref="AF68:AG71" si="39">B68+E68+H68+K68+N68+Q68+T68+W68+Z68</f>
        <v>59633.295574500007</v>
      </c>
      <c r="AG68" s="394">
        <f t="shared" si="39"/>
        <v>64533.608290740005</v>
      </c>
      <c r="AH68" s="277">
        <f t="shared" si="22"/>
        <v>8.1999999999999993</v>
      </c>
      <c r="AI68" s="394">
        <f t="shared" ref="AI68:AJ71" si="40">B68+E68+H68+K68+N68+Q68+T68+W68+Z68+AC68</f>
        <v>59719.295574500007</v>
      </c>
      <c r="AJ68" s="394">
        <f t="shared" si="40"/>
        <v>64619.608290740005</v>
      </c>
      <c r="AK68" s="354">
        <f t="shared" si="24"/>
        <v>8.1999999999999993</v>
      </c>
    </row>
    <row r="69" spans="1:37" s="365" customFormat="1" ht="20.100000000000001" customHeight="1" x14ac:dyDescent="0.35">
      <c r="A69" s="427" t="s">
        <v>352</v>
      </c>
      <c r="B69" s="147">
        <v>15330.403</v>
      </c>
      <c r="C69" s="353">
        <v>14017.992038369997</v>
      </c>
      <c r="D69" s="277">
        <f t="shared" si="19"/>
        <v>-8.6</v>
      </c>
      <c r="E69" s="147">
        <v>223.43126813000006</v>
      </c>
      <c r="F69" s="353">
        <v>184.50012806999968</v>
      </c>
      <c r="G69" s="277">
        <f>IF(E69=0, "    ---- ", IF(ABS(ROUND(100/E69*F69-100,1))&lt;999,ROUND(100/E69*F69-100,1),IF(ROUND(100/E69*F69-100,1)&gt;999,999,-999)))</f>
        <v>-17.399999999999999</v>
      </c>
      <c r="H69" s="147">
        <v>441.90600000000001</v>
      </c>
      <c r="I69" s="353">
        <v>525.11800000000005</v>
      </c>
      <c r="J69" s="277">
        <f>IF(H69=0, "    ---- ", IF(ABS(ROUND(100/H69*I69-100,1))&lt;999,ROUND(100/H69*I69-100,1),IF(ROUND(100/H69*I69-100,1)&gt;999,999,-999)))</f>
        <v>18.8</v>
      </c>
      <c r="K69" s="147">
        <v>929</v>
      </c>
      <c r="L69" s="353">
        <v>936</v>
      </c>
      <c r="M69" s="350">
        <f>IF(K69=0, "    ---- ", IF(ABS(ROUND(100/K69*L69-100,1))&lt;999,ROUND(100/K69*L69-100,1),IF(ROUND(100/K69*L69-100,1)&gt;999,999,-999)))</f>
        <v>0.8</v>
      </c>
      <c r="N69" s="147">
        <v>22117.626643299998</v>
      </c>
      <c r="O69" s="353">
        <v>23447.192330999998</v>
      </c>
      <c r="P69" s="277">
        <f t="shared" si="38"/>
        <v>6</v>
      </c>
      <c r="Q69" s="147">
        <v>6431.19</v>
      </c>
      <c r="R69" s="353">
        <v>6502</v>
      </c>
      <c r="S69" s="277">
        <f t="shared" si="26"/>
        <v>1.1000000000000001</v>
      </c>
      <c r="T69" s="147">
        <v>12100</v>
      </c>
      <c r="U69" s="353">
        <v>13130</v>
      </c>
      <c r="V69" s="277">
        <f>IF(T69=0, "    ---- ", IF(ABS(ROUND(100/T69*U69-100,1))&lt;999,ROUND(100/T69*U69-100,1),IF(ROUND(100/T69*U69-100,1)&gt;999,999,-999)))</f>
        <v>8.5</v>
      </c>
      <c r="W69" s="147">
        <v>1122.0840000000001</v>
      </c>
      <c r="X69" s="353">
        <v>1044.6034475599999</v>
      </c>
      <c r="Y69" s="277">
        <f t="shared" si="20"/>
        <v>-6.9</v>
      </c>
      <c r="Z69" s="147">
        <v>10284.573328015977</v>
      </c>
      <c r="AA69" s="353">
        <v>6802.804473526834</v>
      </c>
      <c r="AB69" s="277">
        <f t="shared" si="28"/>
        <v>-33.9</v>
      </c>
      <c r="AC69" s="147">
        <v>-122</v>
      </c>
      <c r="AD69" s="353">
        <v>-217</v>
      </c>
      <c r="AE69" s="277">
        <f>IF(AC69=0, "    ---- ", IF(ABS(ROUND(100/AC69*AD69-100,1))&lt;999,ROUND(100/AC69*AD69-100,1),IF(ROUND(100/AC69*AD69-100,1)&gt;999,999,-999)))</f>
        <v>77.900000000000006</v>
      </c>
      <c r="AF69" s="394">
        <f t="shared" si="39"/>
        <v>68980.214239445981</v>
      </c>
      <c r="AG69" s="394">
        <f t="shared" si="39"/>
        <v>66590.21041852684</v>
      </c>
      <c r="AH69" s="277">
        <f t="shared" si="22"/>
        <v>-3.5</v>
      </c>
      <c r="AI69" s="394">
        <f t="shared" si="40"/>
        <v>68858.214239445981</v>
      </c>
      <c r="AJ69" s="394">
        <f t="shared" si="40"/>
        <v>66373.21041852684</v>
      </c>
      <c r="AK69" s="354">
        <f t="shared" si="24"/>
        <v>-3.6</v>
      </c>
    </row>
    <row r="70" spans="1:37" s="365" customFormat="1" ht="20.100000000000001" customHeight="1" x14ac:dyDescent="0.35">
      <c r="A70" s="427" t="s">
        <v>353</v>
      </c>
      <c r="B70" s="147">
        <v>1471.6210000000001</v>
      </c>
      <c r="C70" s="353">
        <v>1597.9034231799999</v>
      </c>
      <c r="D70" s="277">
        <f>IF(B70=0, "    ---- ", IF(ABS(ROUND(100/B70*C70-100,1))&lt;999,ROUND(100/B70*C70-100,1),IF(ROUND(100/B70*C70-100,1)&gt;999,999,-999)))</f>
        <v>8.6</v>
      </c>
      <c r="E70" s="147"/>
      <c r="F70" s="353"/>
      <c r="G70" s="277"/>
      <c r="H70" s="147">
        <v>0</v>
      </c>
      <c r="I70" s="353"/>
      <c r="J70" s="277"/>
      <c r="K70" s="147">
        <v>70</v>
      </c>
      <c r="L70" s="353">
        <v>164</v>
      </c>
      <c r="M70" s="277">
        <f>IF(K70=0, "    ---- ", IF(ABS(ROUND(100/K70*L70-100,1))&lt;999,ROUND(100/K70*L70-100,1),IF(ROUND(100/K70*L70-100,1)&gt;999,999,-999)))</f>
        <v>134.30000000000001</v>
      </c>
      <c r="N70" s="147">
        <v>3997.4305502100001</v>
      </c>
      <c r="O70" s="353">
        <v>4345.0114689100001</v>
      </c>
      <c r="P70" s="277">
        <f t="shared" si="38"/>
        <v>8.6999999999999993</v>
      </c>
      <c r="Q70" s="147">
        <v>306.91000000000003</v>
      </c>
      <c r="R70" s="353">
        <v>395.8</v>
      </c>
      <c r="S70" s="277">
        <f t="shared" si="26"/>
        <v>29</v>
      </c>
      <c r="T70" s="147"/>
      <c r="U70" s="353"/>
      <c r="V70" s="277"/>
      <c r="W70" s="147">
        <v>331.976</v>
      </c>
      <c r="X70" s="353">
        <v>292.13360280999973</v>
      </c>
      <c r="Y70" s="277">
        <f>IF(W70=0, "    ---- ", IF(ABS(ROUND(100/W70*X70-100,1))&lt;999,ROUND(100/W70*X70-100,1),IF(ROUND(100/W70*X70-100,1)&gt;999,999,-999)))</f>
        <v>-12</v>
      </c>
      <c r="Z70" s="147">
        <v>1313.48610405</v>
      </c>
      <c r="AA70" s="353">
        <v>1518.95204805</v>
      </c>
      <c r="AB70" s="277">
        <f t="shared" si="28"/>
        <v>15.6</v>
      </c>
      <c r="AC70" s="147"/>
      <c r="AD70" s="353"/>
      <c r="AE70" s="277"/>
      <c r="AF70" s="394">
        <f t="shared" si="39"/>
        <v>7491.4236542600001</v>
      </c>
      <c r="AG70" s="394">
        <f t="shared" si="39"/>
        <v>8313.800542949999</v>
      </c>
      <c r="AH70" s="277">
        <f t="shared" si="22"/>
        <v>11</v>
      </c>
      <c r="AI70" s="394">
        <f t="shared" si="40"/>
        <v>7491.4236542600001</v>
      </c>
      <c r="AJ70" s="394">
        <f t="shared" si="40"/>
        <v>8313.800542949999</v>
      </c>
      <c r="AK70" s="354">
        <f t="shared" si="24"/>
        <v>11</v>
      </c>
    </row>
    <row r="71" spans="1:37" s="365" customFormat="1" ht="20.100000000000001" customHeight="1" x14ac:dyDescent="0.35">
      <c r="A71" s="427" t="s">
        <v>354</v>
      </c>
      <c r="B71" s="147">
        <v>7000</v>
      </c>
      <c r="C71" s="353">
        <v>5500</v>
      </c>
      <c r="D71" s="277">
        <f t="shared" si="19"/>
        <v>-21.4</v>
      </c>
      <c r="E71" s="147">
        <v>250</v>
      </c>
      <c r="F71" s="353">
        <v>251.04499999999999</v>
      </c>
      <c r="G71" s="277">
        <f>IF(E71=0, "    ---- ", IF(ABS(ROUND(100/E71*F71-100,1))&lt;999,ROUND(100/E71*F71-100,1),IF(ROUND(100/E71*F71-100,1)&gt;999,999,-999)))</f>
        <v>0.4</v>
      </c>
      <c r="H71" s="147"/>
      <c r="I71" s="353"/>
      <c r="J71" s="277"/>
      <c r="K71" s="147">
        <v>301</v>
      </c>
      <c r="L71" s="353">
        <v>301</v>
      </c>
      <c r="M71" s="277">
        <f>IF(K71=0, "    ---- ", IF(ABS(ROUND(100/K71*L71-100,1))&lt;999,ROUND(100/K71*L71-100,1),IF(ROUND(100/K71*L71-100,1)&gt;999,999,-999)))</f>
        <v>0</v>
      </c>
      <c r="N71" s="147">
        <v>4818.1616492200001</v>
      </c>
      <c r="O71" s="353">
        <v>0</v>
      </c>
      <c r="P71" s="277">
        <f t="shared" si="38"/>
        <v>-100</v>
      </c>
      <c r="Q71" s="147">
        <v>2830</v>
      </c>
      <c r="R71" s="353">
        <v>2000</v>
      </c>
      <c r="S71" s="277">
        <f t="shared" si="26"/>
        <v>-29.3</v>
      </c>
      <c r="T71" s="147"/>
      <c r="U71" s="353"/>
      <c r="V71" s="277"/>
      <c r="W71" s="147"/>
      <c r="X71" s="353">
        <v>0</v>
      </c>
      <c r="Y71" s="277" t="str">
        <f t="shared" si="20"/>
        <v xml:space="preserve">    ---- </v>
      </c>
      <c r="Z71" s="147">
        <v>10083.239806510001</v>
      </c>
      <c r="AA71" s="353">
        <v>9553.8940830400006</v>
      </c>
      <c r="AB71" s="277">
        <f t="shared" si="28"/>
        <v>-5.2</v>
      </c>
      <c r="AC71" s="147"/>
      <c r="AD71" s="353"/>
      <c r="AE71" s="277"/>
      <c r="AF71" s="394">
        <f t="shared" si="39"/>
        <v>25282.401455730003</v>
      </c>
      <c r="AG71" s="394">
        <f t="shared" si="39"/>
        <v>17605.939083040001</v>
      </c>
      <c r="AH71" s="277">
        <f t="shared" si="22"/>
        <v>-30.4</v>
      </c>
      <c r="AI71" s="394">
        <f t="shared" si="40"/>
        <v>25282.401455730003</v>
      </c>
      <c r="AJ71" s="394">
        <f t="shared" si="40"/>
        <v>17605.939083040001</v>
      </c>
      <c r="AK71" s="354">
        <f t="shared" si="24"/>
        <v>-30.4</v>
      </c>
    </row>
    <row r="72" spans="1:37" s="365" customFormat="1" ht="20.100000000000001" customHeight="1" x14ac:dyDescent="0.35">
      <c r="A72" s="427" t="s">
        <v>355</v>
      </c>
      <c r="B72" s="147"/>
      <c r="C72" s="353"/>
      <c r="D72" s="277"/>
      <c r="E72" s="147"/>
      <c r="F72" s="353"/>
      <c r="G72" s="277"/>
      <c r="H72" s="147"/>
      <c r="I72" s="353"/>
      <c r="J72" s="277"/>
      <c r="K72" s="147"/>
      <c r="L72" s="353"/>
      <c r="M72" s="350"/>
      <c r="N72" s="147">
        <v>0</v>
      </c>
      <c r="O72" s="353">
        <v>0</v>
      </c>
      <c r="P72" s="277"/>
      <c r="Q72" s="147"/>
      <c r="R72" s="353"/>
      <c r="S72" s="277"/>
      <c r="T72" s="147"/>
      <c r="U72" s="353"/>
      <c r="V72" s="277"/>
      <c r="W72" s="147"/>
      <c r="X72" s="353"/>
      <c r="Y72" s="277"/>
      <c r="Z72" s="147"/>
      <c r="AA72" s="353"/>
      <c r="AB72" s="277"/>
      <c r="AC72" s="147"/>
      <c r="AD72" s="353"/>
      <c r="AE72" s="277"/>
      <c r="AF72" s="350"/>
      <c r="AG72" s="350"/>
      <c r="AH72" s="277"/>
      <c r="AI72" s="350"/>
      <c r="AJ72" s="350"/>
      <c r="AK72" s="354"/>
    </row>
    <row r="73" spans="1:37" s="365" customFormat="1" ht="20.100000000000001" customHeight="1" x14ac:dyDescent="0.35">
      <c r="A73" s="427" t="s">
        <v>356</v>
      </c>
      <c r="B73" s="147">
        <v>171681.636</v>
      </c>
      <c r="C73" s="353">
        <v>169120.41246113999</v>
      </c>
      <c r="D73" s="277">
        <f t="shared" si="19"/>
        <v>-1.5</v>
      </c>
      <c r="E73" s="147">
        <v>9935.316459499998</v>
      </c>
      <c r="F73" s="353">
        <v>10677.708807659999</v>
      </c>
      <c r="G73" s="277">
        <f>IF(E73=0, "    ---- ", IF(ABS(ROUND(100/E73*F73-100,1))&lt;999,ROUND(100/E73*F73-100,1),IF(ROUND(100/E73*F73-100,1)&gt;999,999,-999)))</f>
        <v>7.5</v>
      </c>
      <c r="H73" s="147">
        <v>2799.703</v>
      </c>
      <c r="I73" s="353">
        <v>3213.194</v>
      </c>
      <c r="J73" s="277">
        <f>IF(H73=0, "    ---- ", IF(ABS(ROUND(100/H73*I73-100,1))&lt;999,ROUND(100/H73*I73-100,1),IF(ROUND(100/H73*I73-100,1)&gt;999,999,-999)))</f>
        <v>14.8</v>
      </c>
      <c r="K73" s="147">
        <v>10932</v>
      </c>
      <c r="L73" s="353">
        <v>11637</v>
      </c>
      <c r="M73" s="350">
        <f>IF(K73=0, "    ---- ", IF(ABS(ROUND(100/K73*L73-100,1))&lt;999,ROUND(100/K73*L73-100,1),IF(ROUND(100/K73*L73-100,1)&gt;999,999,-999)))</f>
        <v>6.4</v>
      </c>
      <c r="N73" s="147">
        <v>613185.10955276003</v>
      </c>
      <c r="O73" s="353">
        <v>664908.92444426997</v>
      </c>
      <c r="P73" s="277">
        <f t="shared" si="38"/>
        <v>8.4</v>
      </c>
      <c r="Q73" s="147">
        <v>48204.58</v>
      </c>
      <c r="R73" s="353">
        <v>49208.7</v>
      </c>
      <c r="S73" s="277">
        <f t="shared" si="26"/>
        <v>2.1</v>
      </c>
      <c r="T73" s="147">
        <v>91749</v>
      </c>
      <c r="U73" s="353">
        <v>96720</v>
      </c>
      <c r="V73" s="277">
        <f>IF(T73=0, "    ---- ", IF(ABS(ROUND(100/T73*U73-100,1))&lt;999,ROUND(100/T73*U73-100,1),IF(ROUND(100/T73*U73-100,1)&gt;999,999,-999)))</f>
        <v>5.4</v>
      </c>
      <c r="W73" s="147">
        <v>21299.234</v>
      </c>
      <c r="X73" s="353">
        <v>22340.057281639998</v>
      </c>
      <c r="Y73" s="277">
        <f t="shared" si="20"/>
        <v>4.9000000000000004</v>
      </c>
      <c r="Z73" s="147">
        <v>199340.92211375001</v>
      </c>
      <c r="AA73" s="353">
        <v>202822.53055597993</v>
      </c>
      <c r="AB73" s="277">
        <f t="shared" si="28"/>
        <v>1.7</v>
      </c>
      <c r="AC73" s="147">
        <v>188</v>
      </c>
      <c r="AD73" s="353">
        <v>218</v>
      </c>
      <c r="AE73" s="277">
        <f t="shared" ref="AE73:AE77" si="41">IF(AC73=0, "    ---- ", IF(ABS(ROUND(100/AC73*AD73-100,1))&lt;999,ROUND(100/AC73*AD73-100,1),IF(ROUND(100/AC73*AD73-100,1)&gt;999,999,-999)))</f>
        <v>16</v>
      </c>
      <c r="AF73" s="394">
        <f t="shared" ref="AF73:AG80" si="42">B73+E73+H73+K73+N73+Q73+T73+W73+Z73</f>
        <v>1169127.50112601</v>
      </c>
      <c r="AG73" s="394">
        <f t="shared" si="42"/>
        <v>1230648.5275506899</v>
      </c>
      <c r="AH73" s="277">
        <f t="shared" si="22"/>
        <v>5.3</v>
      </c>
      <c r="AI73" s="394">
        <f t="shared" ref="AI73:AJ80" si="43">B73+E73+H73+K73+N73+Q73+T73+W73+Z73+AC73</f>
        <v>1169315.50112601</v>
      </c>
      <c r="AJ73" s="394">
        <f t="shared" si="43"/>
        <v>1230866.5275506899</v>
      </c>
      <c r="AK73" s="354">
        <f t="shared" si="24"/>
        <v>5.3</v>
      </c>
    </row>
    <row r="74" spans="1:37" s="365" customFormat="1" ht="20.100000000000001" customHeight="1" x14ac:dyDescent="0.35">
      <c r="A74" s="568" t="s">
        <v>421</v>
      </c>
      <c r="B74" s="76"/>
      <c r="C74" s="394"/>
      <c r="D74" s="277"/>
      <c r="E74" s="76"/>
      <c r="F74" s="394"/>
      <c r="G74" s="277"/>
      <c r="H74" s="76"/>
      <c r="I74" s="394"/>
      <c r="J74" s="277"/>
      <c r="K74" s="76"/>
      <c r="L74" s="394"/>
      <c r="M74" s="350"/>
      <c r="N74" s="76"/>
      <c r="O74" s="394"/>
      <c r="P74" s="277"/>
      <c r="Q74" s="76"/>
      <c r="R74" s="394"/>
      <c r="S74" s="277"/>
      <c r="T74" s="76"/>
      <c r="U74" s="394"/>
      <c r="V74" s="277"/>
      <c r="W74" s="76"/>
      <c r="X74" s="394"/>
      <c r="Y74" s="277"/>
      <c r="Z74" s="76"/>
      <c r="AA74" s="394"/>
      <c r="AB74" s="277"/>
      <c r="AC74" s="76"/>
      <c r="AD74" s="394"/>
      <c r="AE74" s="277"/>
      <c r="AF74" s="394">
        <f t="shared" si="42"/>
        <v>0</v>
      </c>
      <c r="AG74" s="394">
        <f t="shared" si="42"/>
        <v>0</v>
      </c>
      <c r="AH74" s="277" t="str">
        <f t="shared" si="22"/>
        <v xml:space="preserve">    ---- </v>
      </c>
      <c r="AI74" s="394">
        <f t="shared" si="43"/>
        <v>0</v>
      </c>
      <c r="AJ74" s="394">
        <f t="shared" si="43"/>
        <v>0</v>
      </c>
      <c r="AK74" s="354" t="str">
        <f t="shared" si="24"/>
        <v xml:space="preserve">    ---- </v>
      </c>
    </row>
    <row r="75" spans="1:37" s="365" customFormat="1" ht="20.100000000000001" customHeight="1" x14ac:dyDescent="0.35">
      <c r="A75" s="568" t="s">
        <v>357</v>
      </c>
      <c r="B75" s="76"/>
      <c r="C75" s="353"/>
      <c r="D75" s="277"/>
      <c r="E75" s="147"/>
      <c r="F75" s="353"/>
      <c r="G75" s="277"/>
      <c r="H75" s="147"/>
      <c r="I75" s="353"/>
      <c r="J75" s="277"/>
      <c r="K75" s="147"/>
      <c r="L75" s="353"/>
      <c r="M75" s="350"/>
      <c r="N75" s="76">
        <v>1E-8</v>
      </c>
      <c r="O75" s="353">
        <v>1E-8</v>
      </c>
      <c r="P75" s="277">
        <f t="shared" si="38"/>
        <v>0</v>
      </c>
      <c r="Q75" s="76"/>
      <c r="R75" s="394"/>
      <c r="S75" s="277"/>
      <c r="T75" s="76"/>
      <c r="U75" s="394"/>
      <c r="V75" s="277"/>
      <c r="W75" s="76"/>
      <c r="X75" s="394"/>
      <c r="Y75" s="277"/>
      <c r="Z75" s="76"/>
      <c r="AA75" s="394"/>
      <c r="AB75" s="277"/>
      <c r="AC75" s="76"/>
      <c r="AD75" s="394"/>
      <c r="AE75" s="277"/>
      <c r="AF75" s="394">
        <f t="shared" si="42"/>
        <v>1E-8</v>
      </c>
      <c r="AG75" s="394">
        <f t="shared" si="42"/>
        <v>1E-8</v>
      </c>
      <c r="AH75" s="277">
        <f t="shared" si="22"/>
        <v>0</v>
      </c>
      <c r="AI75" s="394">
        <f t="shared" si="43"/>
        <v>1E-8</v>
      </c>
      <c r="AJ75" s="394">
        <f t="shared" si="43"/>
        <v>1E-8</v>
      </c>
      <c r="AK75" s="354">
        <f t="shared" si="24"/>
        <v>0</v>
      </c>
    </row>
    <row r="76" spans="1:37" s="365" customFormat="1" ht="20.100000000000001" customHeight="1" x14ac:dyDescent="0.35">
      <c r="A76" s="427" t="s">
        <v>358</v>
      </c>
      <c r="B76" s="147">
        <v>7957.1779999999999</v>
      </c>
      <c r="C76" s="353">
        <v>9312.0804374400013</v>
      </c>
      <c r="D76" s="277">
        <f>IF(B76=0, "    ---- ", IF(ABS(ROUND(100/B76*C76-100,1))&lt;999,ROUND(100/B76*C76-100,1),IF(ROUND(100/B76*C76-100,1)&gt;999,999,-999)))</f>
        <v>17</v>
      </c>
      <c r="E76" s="147">
        <v>9.13512111</v>
      </c>
      <c r="F76" s="353">
        <v>16.836259469999998</v>
      </c>
      <c r="G76" s="277">
        <f>IF(E76=0, "    ---- ", IF(ABS(ROUND(100/E76*F76-100,1))&lt;999,ROUND(100/E76*F76-100,1),IF(ROUND(100/E76*F76-100,1)&gt;999,999,-999)))</f>
        <v>84.3</v>
      </c>
      <c r="H76" s="147"/>
      <c r="I76" s="353"/>
      <c r="J76" s="277"/>
      <c r="K76" s="147">
        <v>344</v>
      </c>
      <c r="L76" s="353">
        <v>448</v>
      </c>
      <c r="M76" s="277">
        <f>IF(K76=0, "    ---- ", IF(ABS(ROUND(100/K76*L76-100,1))&lt;999,ROUND(100/K76*L76-100,1),IF(ROUND(100/K76*L76-100,1)&gt;999,999,-999)))</f>
        <v>30.2</v>
      </c>
      <c r="N76" s="147">
        <v>118937.01029563999</v>
      </c>
      <c r="O76" s="353">
        <v>144580.97245872</v>
      </c>
      <c r="P76" s="277">
        <f>IF(N76=0, "    ---- ", IF(ABS(ROUND(100/N76*O76-100,1))&lt;999,ROUND(100/N76*O76-100,1),IF(ROUND(100/N76*O76-100,1)&gt;999,999,-999)))</f>
        <v>21.6</v>
      </c>
      <c r="Q76" s="147">
        <v>5789.43</v>
      </c>
      <c r="R76" s="353">
        <v>6124.6</v>
      </c>
      <c r="S76" s="277">
        <f>IF(Q76=0, "    ---- ", IF(ABS(ROUND(100/Q76*R76-100,1))&lt;999,ROUND(100/Q76*R76-100,1),IF(ROUND(100/Q76*R76-100,1)&gt;999,999,-999)))</f>
        <v>5.8</v>
      </c>
      <c r="T76" s="147">
        <v>32281</v>
      </c>
      <c r="U76" s="353">
        <v>35272</v>
      </c>
      <c r="V76" s="277">
        <f>IF(T76=0, "    ---- ", IF(ABS(ROUND(100/T76*U76-100,1))&lt;999,ROUND(100/T76*U76-100,1),IF(ROUND(100/T76*U76-100,1)&gt;999,999,-999)))</f>
        <v>9.3000000000000007</v>
      </c>
      <c r="W76" s="147">
        <v>3708.06</v>
      </c>
      <c r="X76" s="353">
        <v>4059.3675000800013</v>
      </c>
      <c r="Y76" s="277">
        <f>IF(W76=0, "    ---- ", IF(ABS(ROUND(100/W76*X76-100,1))&lt;999,ROUND(100/W76*X76-100,1),IF(ROUND(100/W76*X76-100,1)&gt;999,999,-999)))</f>
        <v>9.5</v>
      </c>
      <c r="Z76" s="147">
        <v>14196.759435839998</v>
      </c>
      <c r="AA76" s="353">
        <v>16237.427566950006</v>
      </c>
      <c r="AB76" s="277">
        <f>IF(Z76=0, "    ---- ", IF(ABS(ROUND(100/Z76*AA76-100,1))&lt;999,ROUND(100/Z76*AA76-100,1),IF(ROUND(100/Z76*AA76-100,1)&gt;999,999,-999)))</f>
        <v>14.4</v>
      </c>
      <c r="AC76" s="147">
        <v>2</v>
      </c>
      <c r="AD76" s="353">
        <v>2</v>
      </c>
      <c r="AE76" s="277">
        <f t="shared" si="41"/>
        <v>0</v>
      </c>
      <c r="AF76" s="394">
        <f t="shared" si="42"/>
        <v>183222.57285259</v>
      </c>
      <c r="AG76" s="394">
        <f t="shared" si="42"/>
        <v>216051.28422266</v>
      </c>
      <c r="AH76" s="277">
        <f>IF(AF76=0, "    ---- ", IF(ABS(ROUND(100/AF76*AG76-100,1))&lt;999,ROUND(100/AF76*AG76-100,1),IF(ROUND(100/AF76*AG76-100,1)&gt;999,999,-999)))</f>
        <v>17.899999999999999</v>
      </c>
      <c r="AI76" s="394">
        <f t="shared" si="43"/>
        <v>183224.57285259</v>
      </c>
      <c r="AJ76" s="394">
        <f t="shared" si="43"/>
        <v>216053.28422266</v>
      </c>
      <c r="AK76" s="277">
        <f>IF(AI76=0, "    ---- ", IF(ABS(ROUND(100/AI76*AJ76-100,1))&lt;999,ROUND(100/AI76*AJ76-100,1),IF(ROUND(100/AI76*AJ76-100,1)&gt;999,999,-999)))</f>
        <v>17.899999999999999</v>
      </c>
    </row>
    <row r="77" spans="1:37" s="365" customFormat="1" ht="20.100000000000001" customHeight="1" x14ac:dyDescent="0.35">
      <c r="A77" s="427" t="s">
        <v>359</v>
      </c>
      <c r="B77" s="147">
        <v>581.80600000000004</v>
      </c>
      <c r="C77" s="353">
        <v>724.79379152000035</v>
      </c>
      <c r="D77" s="277">
        <f t="shared" si="19"/>
        <v>24.6</v>
      </c>
      <c r="E77" s="147"/>
      <c r="F77" s="353"/>
      <c r="G77" s="277"/>
      <c r="H77" s="147"/>
      <c r="I77" s="353"/>
      <c r="J77" s="277"/>
      <c r="K77" s="147">
        <v>3</v>
      </c>
      <c r="L77" s="353">
        <v>1</v>
      </c>
      <c r="M77" s="277">
        <f>IF(K77=0, "    ---- ", IF(ABS(ROUND(100/K77*L77-100,1))&lt;999,ROUND(100/K77*L77-100,1),IF(ROUND(100/K77*L77-100,1)&gt;999,999,-999)))</f>
        <v>-66.7</v>
      </c>
      <c r="N77" s="147">
        <v>62523.807153649999</v>
      </c>
      <c r="O77" s="353">
        <v>63165.883959949999</v>
      </c>
      <c r="P77" s="277">
        <f t="shared" si="38"/>
        <v>1</v>
      </c>
      <c r="Q77" s="147">
        <v>970.63</v>
      </c>
      <c r="R77" s="353">
        <v>1100.8499999999999</v>
      </c>
      <c r="S77" s="277">
        <f t="shared" si="26"/>
        <v>13.4</v>
      </c>
      <c r="T77" s="147">
        <v>6140</v>
      </c>
      <c r="U77" s="353">
        <v>7488</v>
      </c>
      <c r="V77" s="277">
        <f>IF(T77=0, "    ---- ", IF(ABS(ROUND(100/T77*U77-100,1))&lt;999,ROUND(100/T77*U77-100,1),IF(ROUND(100/T77*U77-100,1)&gt;999,999,-999)))</f>
        <v>22</v>
      </c>
      <c r="W77" s="147">
        <v>264.96699999999998</v>
      </c>
      <c r="X77" s="353">
        <v>286.44225812999986</v>
      </c>
      <c r="Y77" s="277">
        <f t="shared" si="20"/>
        <v>8.1</v>
      </c>
      <c r="Z77" s="147">
        <v>4092.1507576900012</v>
      </c>
      <c r="AA77" s="353">
        <v>5324.3323510799983</v>
      </c>
      <c r="AB77" s="277">
        <f t="shared" si="28"/>
        <v>30.1</v>
      </c>
      <c r="AC77" s="147">
        <v>5</v>
      </c>
      <c r="AD77" s="353">
        <v>1</v>
      </c>
      <c r="AE77" s="277">
        <f t="shared" si="41"/>
        <v>-80</v>
      </c>
      <c r="AF77" s="394">
        <f t="shared" si="42"/>
        <v>74576.360911340002</v>
      </c>
      <c r="AG77" s="394">
        <f t="shared" si="42"/>
        <v>78091.302360679998</v>
      </c>
      <c r="AH77" s="277">
        <f t="shared" si="22"/>
        <v>4.7</v>
      </c>
      <c r="AI77" s="394">
        <f t="shared" si="43"/>
        <v>74581.360911340002</v>
      </c>
      <c r="AJ77" s="394">
        <f t="shared" si="43"/>
        <v>78092.302360679998</v>
      </c>
      <c r="AK77" s="354">
        <f t="shared" si="24"/>
        <v>4.7</v>
      </c>
    </row>
    <row r="78" spans="1:37" s="365" customFormat="1" ht="20.100000000000001" customHeight="1" x14ac:dyDescent="0.35">
      <c r="A78" s="427" t="s">
        <v>360</v>
      </c>
      <c r="B78" s="147">
        <v>3996.85</v>
      </c>
      <c r="C78" s="353">
        <v>4227.875</v>
      </c>
      <c r="D78" s="277">
        <f t="shared" si="19"/>
        <v>5.8</v>
      </c>
      <c r="E78" s="147"/>
      <c r="F78" s="353"/>
      <c r="G78" s="277"/>
      <c r="H78" s="147"/>
      <c r="I78" s="353"/>
      <c r="J78" s="277"/>
      <c r="K78" s="147"/>
      <c r="L78" s="353"/>
      <c r="M78" s="350"/>
      <c r="N78" s="147"/>
      <c r="O78" s="353"/>
      <c r="P78" s="277"/>
      <c r="Q78" s="147"/>
      <c r="R78" s="353"/>
      <c r="S78" s="277"/>
      <c r="T78" s="147"/>
      <c r="U78" s="353"/>
      <c r="V78" s="277"/>
      <c r="W78" s="147"/>
      <c r="X78" s="353">
        <v>0</v>
      </c>
      <c r="Y78" s="277" t="str">
        <f t="shared" si="20"/>
        <v xml:space="preserve">    ---- </v>
      </c>
      <c r="Z78" s="147">
        <v>1013.4854633</v>
      </c>
      <c r="AA78" s="353">
        <v>1139.01925583</v>
      </c>
      <c r="AB78" s="277">
        <f t="shared" si="28"/>
        <v>12.4</v>
      </c>
      <c r="AC78" s="147"/>
      <c r="AD78" s="353"/>
      <c r="AE78" s="277"/>
      <c r="AF78" s="394">
        <f t="shared" si="42"/>
        <v>5010.3354632999999</v>
      </c>
      <c r="AG78" s="394">
        <f t="shared" si="42"/>
        <v>5366.8942558300005</v>
      </c>
      <c r="AH78" s="277">
        <f t="shared" si="22"/>
        <v>7.1</v>
      </c>
      <c r="AI78" s="394">
        <f t="shared" si="43"/>
        <v>5010.3354632999999</v>
      </c>
      <c r="AJ78" s="394">
        <f t="shared" si="43"/>
        <v>5366.8942558300005</v>
      </c>
      <c r="AK78" s="354">
        <f t="shared" si="24"/>
        <v>7.1</v>
      </c>
    </row>
    <row r="79" spans="1:37" s="365" customFormat="1" ht="20.100000000000001" customHeight="1" x14ac:dyDescent="0.35">
      <c r="A79" s="427" t="s">
        <v>361</v>
      </c>
      <c r="B79" s="147"/>
      <c r="C79" s="353"/>
      <c r="D79" s="277"/>
      <c r="E79" s="147"/>
      <c r="F79" s="353"/>
      <c r="G79" s="277"/>
      <c r="H79" s="147"/>
      <c r="I79" s="353"/>
      <c r="J79" s="277"/>
      <c r="K79" s="147"/>
      <c r="L79" s="353"/>
      <c r="M79" s="350"/>
      <c r="N79" s="147">
        <v>166.75044600000001</v>
      </c>
      <c r="O79" s="353">
        <v>3609.4917190000001</v>
      </c>
      <c r="P79" s="277">
        <f t="shared" si="38"/>
        <v>999</v>
      </c>
      <c r="Q79" s="147"/>
      <c r="R79" s="353"/>
      <c r="S79" s="277"/>
      <c r="T79" s="147">
        <v>31</v>
      </c>
      <c r="U79" s="353">
        <v>86</v>
      </c>
      <c r="V79" s="277">
        <f>IF(T79=0, "    ---- ", IF(ABS(ROUND(100/T79*U79-100,1))&lt;999,ROUND(100/T79*U79-100,1),IF(ROUND(100/T79*U79-100,1)&gt;999,999,-999)))</f>
        <v>177.4</v>
      </c>
      <c r="W79" s="147">
        <v>96.538258030000492</v>
      </c>
      <c r="X79" s="353">
        <v>-30.299485870000026</v>
      </c>
      <c r="Y79" s="277"/>
      <c r="Z79" s="147">
        <v>232.939438</v>
      </c>
      <c r="AA79" s="353">
        <v>207.34874400000001</v>
      </c>
      <c r="AB79" s="277"/>
      <c r="AC79" s="147"/>
      <c r="AD79" s="353"/>
      <c r="AE79" s="277"/>
      <c r="AF79" s="394">
        <f t="shared" si="42"/>
        <v>527.22814203000053</v>
      </c>
      <c r="AG79" s="394">
        <f t="shared" si="42"/>
        <v>3872.5409771300001</v>
      </c>
      <c r="AH79" s="277">
        <f t="shared" si="22"/>
        <v>634.5</v>
      </c>
      <c r="AI79" s="394">
        <f t="shared" si="43"/>
        <v>527.22814203000053</v>
      </c>
      <c r="AJ79" s="394">
        <f t="shared" si="43"/>
        <v>3872.5409771300001</v>
      </c>
      <c r="AK79" s="354">
        <f t="shared" si="24"/>
        <v>634.5</v>
      </c>
    </row>
    <row r="80" spans="1:37" s="365" customFormat="1" ht="20.100000000000001" customHeight="1" x14ac:dyDescent="0.35">
      <c r="A80" s="463" t="s">
        <v>362</v>
      </c>
      <c r="B80" s="147">
        <f>SUM(B73:B79)</f>
        <v>184217.47000000003</v>
      </c>
      <c r="C80" s="353">
        <f>SUM(C73:C79)</f>
        <v>183385.16169009998</v>
      </c>
      <c r="D80" s="277">
        <f t="shared" si="19"/>
        <v>-0.5</v>
      </c>
      <c r="E80" s="147">
        <f>SUM(E73:E79)</f>
        <v>9944.4515806099989</v>
      </c>
      <c r="F80" s="353">
        <f>SUM(F73:F79)</f>
        <v>10694.545067129999</v>
      </c>
      <c r="G80" s="277">
        <f>IF(E80=0, "    ---- ", IF(ABS(ROUND(100/E80*F80-100,1))&lt;999,ROUND(100/E80*F80-100,1),IF(ROUND(100/E80*F80-100,1)&gt;999,999,-999)))</f>
        <v>7.5</v>
      </c>
      <c r="H80" s="147">
        <f>SUM(H73:H79)</f>
        <v>2799.703</v>
      </c>
      <c r="I80" s="353">
        <f>SUM(I73:I79)</f>
        <v>3213.194</v>
      </c>
      <c r="J80" s="277">
        <f>IF(H80=0, "    ---- ", IF(ABS(ROUND(100/H80*I80-100,1))&lt;999,ROUND(100/H80*I80-100,1),IF(ROUND(100/H80*I80-100,1)&gt;999,999,-999)))</f>
        <v>14.8</v>
      </c>
      <c r="K80" s="147">
        <f>SUM(K73:K79)</f>
        <v>11279</v>
      </c>
      <c r="L80" s="353">
        <f>SUM(L73:L79)</f>
        <v>12086</v>
      </c>
      <c r="M80" s="350">
        <f>IF(K80=0, "    ---- ", IF(ABS(ROUND(100/K80*L80-100,1))&lt;999,ROUND(100/K80*L80-100,1),IF(ROUND(100/K80*L80-100,1)&gt;999,999,-999)))</f>
        <v>7.2</v>
      </c>
      <c r="N80" s="147">
        <v>794812.67744806001</v>
      </c>
      <c r="O80" s="353">
        <v>876265.27258194995</v>
      </c>
      <c r="P80" s="277">
        <f t="shared" si="38"/>
        <v>10.199999999999999</v>
      </c>
      <c r="Q80" s="147">
        <f>SUM(Q73:Q79)</f>
        <v>54964.639999999999</v>
      </c>
      <c r="R80" s="353">
        <f>SUM(R73:R79)</f>
        <v>56434.149999999994</v>
      </c>
      <c r="S80" s="277">
        <f t="shared" si="26"/>
        <v>2.7</v>
      </c>
      <c r="T80" s="147">
        <v>130201</v>
      </c>
      <c r="U80" s="353">
        <f>SUM(U73:U79)</f>
        <v>139566</v>
      </c>
      <c r="V80" s="277">
        <f>IF(T80=0, "    ---- ", IF(ABS(ROUND(100/T80*U80-100,1))&lt;999,ROUND(100/T80*U80-100,1),IF(ROUND(100/T80*U80-100,1)&gt;999,999,-999)))</f>
        <v>7.2</v>
      </c>
      <c r="W80" s="147">
        <f>SUM(W73:W79)</f>
        <v>25368.799258030002</v>
      </c>
      <c r="X80" s="353">
        <f>SUM(X73:X79)</f>
        <v>26655.56755398</v>
      </c>
      <c r="Y80" s="277">
        <f t="shared" si="20"/>
        <v>5.0999999999999996</v>
      </c>
      <c r="Z80" s="147">
        <f>SUM(Z73:Z79)</f>
        <v>218876.25720858001</v>
      </c>
      <c r="AA80" s="353">
        <f>SUM(AA73:AA79)</f>
        <v>225730.65847383993</v>
      </c>
      <c r="AB80" s="277">
        <f t="shared" si="28"/>
        <v>3.1</v>
      </c>
      <c r="AC80" s="147">
        <f>SUM(AC73:AC79)</f>
        <v>195</v>
      </c>
      <c r="AD80" s="353">
        <f>SUM(AD73:AD79)</f>
        <v>221</v>
      </c>
      <c r="AE80" s="277">
        <f>IF(AC80=0, "    ---- ", IF(ABS(ROUND(100/AC80*AD80-100,1))&lt;999,ROUND(100/AC80*AD80-100,1),IF(ROUND(100/AC80*AD80-100,1)&gt;999,999,-999)))</f>
        <v>13.3</v>
      </c>
      <c r="AF80" s="394">
        <f t="shared" si="42"/>
        <v>1432463.99849528</v>
      </c>
      <c r="AG80" s="394">
        <f t="shared" si="42"/>
        <v>1534030.5493669999</v>
      </c>
      <c r="AH80" s="277">
        <f t="shared" si="22"/>
        <v>7.1</v>
      </c>
      <c r="AI80" s="394">
        <f t="shared" si="43"/>
        <v>1432658.99849528</v>
      </c>
      <c r="AJ80" s="394">
        <f t="shared" si="43"/>
        <v>1534251.5493669999</v>
      </c>
      <c r="AK80" s="354">
        <f t="shared" si="24"/>
        <v>7.1</v>
      </c>
    </row>
    <row r="81" spans="1:37" s="365" customFormat="1" ht="20.100000000000001" customHeight="1" x14ac:dyDescent="0.35">
      <c r="A81" s="427" t="s">
        <v>363</v>
      </c>
      <c r="B81" s="147"/>
      <c r="C81" s="353"/>
      <c r="D81" s="277"/>
      <c r="E81" s="147"/>
      <c r="F81" s="353"/>
      <c r="G81" s="277"/>
      <c r="H81" s="147"/>
      <c r="I81" s="353"/>
      <c r="J81" s="277"/>
      <c r="K81" s="147"/>
      <c r="L81" s="353"/>
      <c r="M81" s="350"/>
      <c r="N81" s="147"/>
      <c r="O81" s="353"/>
      <c r="P81" s="277"/>
      <c r="Q81" s="147"/>
      <c r="R81" s="353"/>
      <c r="S81" s="277"/>
      <c r="T81" s="147"/>
      <c r="U81" s="353"/>
      <c r="V81" s="277"/>
      <c r="W81" s="147"/>
      <c r="X81" s="353"/>
      <c r="Y81" s="277"/>
      <c r="Z81" s="147"/>
      <c r="AA81" s="353"/>
      <c r="AB81" s="277"/>
      <c r="AC81" s="147"/>
      <c r="AD81" s="353"/>
      <c r="AE81" s="277"/>
      <c r="AF81" s="350"/>
      <c r="AG81" s="350"/>
      <c r="AH81" s="277"/>
      <c r="AI81" s="350"/>
      <c r="AJ81" s="350"/>
      <c r="AK81" s="354"/>
    </row>
    <row r="82" spans="1:37" s="365" customFormat="1" ht="20.100000000000001" customHeight="1" x14ac:dyDescent="0.35">
      <c r="A82" s="427" t="s">
        <v>364</v>
      </c>
      <c r="B82" s="147">
        <v>203311.90400000001</v>
      </c>
      <c r="C82" s="353">
        <v>245846.905</v>
      </c>
      <c r="D82" s="277">
        <f t="shared" si="19"/>
        <v>20.9</v>
      </c>
      <c r="E82" s="147"/>
      <c r="F82" s="353"/>
      <c r="G82" s="277"/>
      <c r="H82" s="147"/>
      <c r="I82" s="353"/>
      <c r="J82" s="277"/>
      <c r="K82" s="147">
        <v>76854</v>
      </c>
      <c r="L82" s="353">
        <v>90894</v>
      </c>
      <c r="M82" s="350">
        <f>IF(K82=0, "    ---- ", IF(ABS(ROUND(100/K82*L82-100,1))&lt;999,ROUND(100/K82*L82-100,1),IF(ROUND(100/K82*L82-100,1)&gt;999,999,-999)))</f>
        <v>18.3</v>
      </c>
      <c r="N82" s="147">
        <v>2287.4218835400002</v>
      </c>
      <c r="O82" s="353">
        <v>1879.18151416</v>
      </c>
      <c r="P82" s="277">
        <f t="shared" ref="P82:P93" si="44">IF(N82=0, "    ---- ", IF(ABS(ROUND(100/N82*O82-100,1))&lt;999,ROUND(100/N82*O82-100,1),IF(ROUND(100/N82*O82-100,1)&gt;999,999,-999)))</f>
        <v>-17.8</v>
      </c>
      <c r="Q82" s="147">
        <v>177451.03</v>
      </c>
      <c r="R82" s="353">
        <v>217451.09</v>
      </c>
      <c r="S82" s="277">
        <f t="shared" si="26"/>
        <v>22.5</v>
      </c>
      <c r="T82" s="147"/>
      <c r="U82" s="353"/>
      <c r="V82" s="277"/>
      <c r="W82" s="147">
        <v>83116.001999999993</v>
      </c>
      <c r="X82" s="353">
        <v>95485.594834210002</v>
      </c>
      <c r="Y82" s="277">
        <f t="shared" si="20"/>
        <v>14.9</v>
      </c>
      <c r="Z82" s="147">
        <v>244715.2028286531</v>
      </c>
      <c r="AA82" s="353">
        <v>282643.79311119986</v>
      </c>
      <c r="AB82" s="277">
        <f t="shared" si="28"/>
        <v>15.5</v>
      </c>
      <c r="AC82" s="147"/>
      <c r="AD82" s="353"/>
      <c r="AE82" s="277"/>
      <c r="AF82" s="394">
        <f t="shared" ref="AF82:AG91" si="45">B82+E82+H82+K82+N82+Q82+T82+W82+Z82</f>
        <v>787735.56071219314</v>
      </c>
      <c r="AG82" s="394">
        <f t="shared" si="45"/>
        <v>934200.56445956987</v>
      </c>
      <c r="AH82" s="277">
        <f t="shared" si="22"/>
        <v>18.600000000000001</v>
      </c>
      <c r="AI82" s="394">
        <f t="shared" ref="AI82:AJ91" si="46">B82+E82+H82+K82+N82+Q82+T82+W82+Z82+AC82</f>
        <v>787735.56071219314</v>
      </c>
      <c r="AJ82" s="394">
        <f t="shared" si="46"/>
        <v>934200.56445956987</v>
      </c>
      <c r="AK82" s="354">
        <f t="shared" si="24"/>
        <v>18.600000000000001</v>
      </c>
    </row>
    <row r="83" spans="1:37" s="365" customFormat="1" ht="20.100000000000001" customHeight="1" x14ac:dyDescent="0.35">
      <c r="A83" s="568" t="s">
        <v>421</v>
      </c>
      <c r="B83" s="147"/>
      <c r="C83" s="353"/>
      <c r="D83" s="277"/>
      <c r="E83" s="147"/>
      <c r="F83" s="353"/>
      <c r="G83" s="277"/>
      <c r="H83" s="147"/>
      <c r="I83" s="353"/>
      <c r="J83" s="277"/>
      <c r="K83" s="147"/>
      <c r="L83" s="353"/>
      <c r="M83" s="277"/>
      <c r="N83" s="147"/>
      <c r="O83" s="353"/>
      <c r="P83" s="277"/>
      <c r="Q83" s="147"/>
      <c r="R83" s="353"/>
      <c r="S83" s="277"/>
      <c r="T83" s="147"/>
      <c r="U83" s="353"/>
      <c r="V83" s="277"/>
      <c r="W83" s="147"/>
      <c r="X83" s="353">
        <v>-8.8261626660823816E-10</v>
      </c>
      <c r="Y83" s="277" t="str">
        <f t="shared" si="20"/>
        <v xml:space="preserve">    ---- </v>
      </c>
      <c r="Z83" s="147"/>
      <c r="AA83" s="353"/>
      <c r="AB83" s="277" t="str">
        <f t="shared" si="28"/>
        <v xml:space="preserve">    ---- </v>
      </c>
      <c r="AC83" s="147"/>
      <c r="AD83" s="353"/>
      <c r="AE83" s="277"/>
      <c r="AF83" s="394">
        <f t="shared" si="45"/>
        <v>0</v>
      </c>
      <c r="AG83" s="76"/>
      <c r="AH83" s="277" t="str">
        <f t="shared" si="22"/>
        <v xml:space="preserve">    ---- </v>
      </c>
      <c r="AI83" s="394">
        <f t="shared" si="46"/>
        <v>0</v>
      </c>
      <c r="AJ83" s="76"/>
      <c r="AK83" s="354" t="str">
        <f t="shared" si="24"/>
        <v xml:space="preserve">    ---- </v>
      </c>
    </row>
    <row r="84" spans="1:37" s="365" customFormat="1" ht="20.100000000000001" customHeight="1" x14ac:dyDescent="0.35">
      <c r="A84" s="427" t="s">
        <v>365</v>
      </c>
      <c r="B84" s="147"/>
      <c r="C84" s="353"/>
      <c r="D84" s="277"/>
      <c r="E84" s="147"/>
      <c r="F84" s="353"/>
      <c r="G84" s="277"/>
      <c r="H84" s="147"/>
      <c r="I84" s="353"/>
      <c r="J84" s="277"/>
      <c r="K84" s="147"/>
      <c r="L84" s="353"/>
      <c r="M84" s="277"/>
      <c r="N84" s="147">
        <v>219.01800154</v>
      </c>
      <c r="O84" s="353">
        <v>331.20604737000002</v>
      </c>
      <c r="P84" s="277">
        <f t="shared" si="44"/>
        <v>51.2</v>
      </c>
      <c r="Q84" s="147"/>
      <c r="R84" s="353"/>
      <c r="S84" s="277"/>
      <c r="T84" s="147"/>
      <c r="U84" s="353"/>
      <c r="V84" s="277"/>
      <c r="W84" s="147"/>
      <c r="X84" s="353">
        <v>0</v>
      </c>
      <c r="Y84" s="277"/>
      <c r="Z84" s="147"/>
      <c r="AA84" s="353"/>
      <c r="AB84" s="277"/>
      <c r="AC84" s="147"/>
      <c r="AD84" s="353"/>
      <c r="AE84" s="277"/>
      <c r="AF84" s="394">
        <f t="shared" si="45"/>
        <v>219.01800154</v>
      </c>
      <c r="AG84" s="394">
        <f t="shared" si="45"/>
        <v>331.20604737000002</v>
      </c>
      <c r="AH84" s="277"/>
      <c r="AI84" s="394">
        <f t="shared" si="46"/>
        <v>219.01800154</v>
      </c>
      <c r="AJ84" s="394">
        <f t="shared" si="46"/>
        <v>331.20604737000002</v>
      </c>
      <c r="AK84" s="354">
        <f t="shared" si="24"/>
        <v>51.2</v>
      </c>
    </row>
    <row r="85" spans="1:37" s="365" customFormat="1" ht="20.100000000000001" customHeight="1" x14ac:dyDescent="0.35">
      <c r="A85" s="427" t="s">
        <v>366</v>
      </c>
      <c r="B85" s="435">
        <v>256.79599999999999</v>
      </c>
      <c r="C85" s="277">
        <v>110.744</v>
      </c>
      <c r="D85" s="277">
        <f t="shared" si="19"/>
        <v>-56.9</v>
      </c>
      <c r="E85" s="435"/>
      <c r="F85" s="277"/>
      <c r="G85" s="277"/>
      <c r="H85" s="435"/>
      <c r="I85" s="277"/>
      <c r="J85" s="277"/>
      <c r="K85" s="435">
        <v>115</v>
      </c>
      <c r="L85" s="277">
        <v>107</v>
      </c>
      <c r="M85" s="277">
        <f>IF(K85=0, "    ---- ", IF(ABS(ROUND(100/K85*L85-100,1))&lt;999,ROUND(100/K85*L85-100,1),IF(ROUND(100/K85*L85-100,1)&gt;999,999,-999)))</f>
        <v>-7</v>
      </c>
      <c r="N85" s="435">
        <v>600.06663325</v>
      </c>
      <c r="O85" s="277">
        <v>519.53807434999999</v>
      </c>
      <c r="P85" s="277">
        <f t="shared" si="44"/>
        <v>-13.4</v>
      </c>
      <c r="Q85" s="435"/>
      <c r="R85" s="277"/>
      <c r="S85" s="277"/>
      <c r="T85" s="435"/>
      <c r="U85" s="277"/>
      <c r="V85" s="277"/>
      <c r="W85" s="435">
        <v>951.50599999999997</v>
      </c>
      <c r="X85" s="277">
        <v>1050.0783584599999</v>
      </c>
      <c r="Y85" s="277">
        <f t="shared" si="20"/>
        <v>10.4</v>
      </c>
      <c r="Z85" s="435"/>
      <c r="AA85" s="277"/>
      <c r="AB85" s="277" t="str">
        <f t="shared" si="28"/>
        <v xml:space="preserve">    ---- </v>
      </c>
      <c r="AC85" s="435"/>
      <c r="AD85" s="277"/>
      <c r="AE85" s="277"/>
      <c r="AF85" s="394">
        <f t="shared" si="45"/>
        <v>1923.3686332500001</v>
      </c>
      <c r="AG85" s="394">
        <f t="shared" si="45"/>
        <v>1787.36043281</v>
      </c>
      <c r="AH85" s="277">
        <f t="shared" si="22"/>
        <v>-7.1</v>
      </c>
      <c r="AI85" s="394">
        <f t="shared" si="46"/>
        <v>1923.3686332500001</v>
      </c>
      <c r="AJ85" s="394">
        <f t="shared" si="46"/>
        <v>1787.36043281</v>
      </c>
      <c r="AK85" s="354">
        <f t="shared" si="24"/>
        <v>-7.1</v>
      </c>
    </row>
    <row r="86" spans="1:37" s="365" customFormat="1" ht="20.100000000000001" customHeight="1" x14ac:dyDescent="0.35">
      <c r="A86" s="427" t="s">
        <v>361</v>
      </c>
      <c r="B86" s="147"/>
      <c r="C86" s="353"/>
      <c r="D86" s="353"/>
      <c r="E86" s="147"/>
      <c r="F86" s="353"/>
      <c r="G86" s="353"/>
      <c r="H86" s="147"/>
      <c r="I86" s="353"/>
      <c r="J86" s="353"/>
      <c r="K86" s="147"/>
      <c r="L86" s="353"/>
      <c r="M86" s="350"/>
      <c r="N86" s="147">
        <v>1.2495540000000001</v>
      </c>
      <c r="O86" s="353">
        <v>11.855953</v>
      </c>
      <c r="P86" s="277">
        <f t="shared" si="44"/>
        <v>848.8</v>
      </c>
      <c r="Q86" s="147"/>
      <c r="R86" s="353"/>
      <c r="S86" s="277"/>
      <c r="T86" s="147"/>
      <c r="U86" s="353"/>
      <c r="V86" s="277"/>
      <c r="W86" s="147"/>
      <c r="X86" s="353"/>
      <c r="Y86" s="277"/>
      <c r="Z86" s="147"/>
      <c r="AA86" s="353">
        <v>-17.288205999999999</v>
      </c>
      <c r="AB86" s="277"/>
      <c r="AC86" s="147"/>
      <c r="AD86" s="353"/>
      <c r="AE86" s="277"/>
      <c r="AF86" s="394">
        <f t="shared" si="45"/>
        <v>1.2495540000000001</v>
      </c>
      <c r="AG86" s="394">
        <f t="shared" si="45"/>
        <v>-5.4322529999999993</v>
      </c>
      <c r="AH86" s="277">
        <f t="shared" si="22"/>
        <v>-534.70000000000005</v>
      </c>
      <c r="AI86" s="394">
        <f t="shared" si="46"/>
        <v>1.2495540000000001</v>
      </c>
      <c r="AJ86" s="394">
        <f t="shared" si="46"/>
        <v>-5.4322529999999993</v>
      </c>
      <c r="AK86" s="354">
        <f t="shared" si="24"/>
        <v>-534.70000000000005</v>
      </c>
    </row>
    <row r="87" spans="1:37" s="365" customFormat="1" ht="20.100000000000001" customHeight="1" x14ac:dyDescent="0.35">
      <c r="A87" s="463" t="s">
        <v>367</v>
      </c>
      <c r="B87" s="147">
        <f>SUM(B82:B86)</f>
        <v>203568.7</v>
      </c>
      <c r="C87" s="353">
        <f>SUM(C82:C86)</f>
        <v>245957.649</v>
      </c>
      <c r="D87" s="353">
        <f t="shared" si="19"/>
        <v>20.8</v>
      </c>
      <c r="E87" s="147"/>
      <c r="F87" s="353">
        <f>SUM(F82:F86)</f>
        <v>0</v>
      </c>
      <c r="G87" s="353"/>
      <c r="H87" s="147"/>
      <c r="I87" s="353"/>
      <c r="J87" s="353"/>
      <c r="K87" s="147">
        <f>SUM(K82:K86)</f>
        <v>76969</v>
      </c>
      <c r="L87" s="353">
        <f>SUM(L82:L86)</f>
        <v>91001</v>
      </c>
      <c r="M87" s="350">
        <f>IF(K87=0, "    ---- ", IF(ABS(ROUND(100/K87*L87-100,1))&lt;999,ROUND(100/K87*L87-100,1),IF(ROUND(100/K87*L87-100,1)&gt;999,999,-999)))</f>
        <v>18.2</v>
      </c>
      <c r="N87" s="147">
        <v>3107.7560723300003</v>
      </c>
      <c r="O87" s="353">
        <v>2741.7815888799996</v>
      </c>
      <c r="P87" s="277">
        <f t="shared" si="44"/>
        <v>-11.8</v>
      </c>
      <c r="Q87" s="147">
        <f>SUM(Q82:Q86)</f>
        <v>177451.03</v>
      </c>
      <c r="R87" s="353">
        <f>SUM(R82:R86)</f>
        <v>217451.09</v>
      </c>
      <c r="S87" s="277">
        <f t="shared" si="26"/>
        <v>22.5</v>
      </c>
      <c r="T87" s="147"/>
      <c r="U87" s="353"/>
      <c r="V87" s="277"/>
      <c r="W87" s="147">
        <f>SUM(W82:W86)</f>
        <v>84067.507999999987</v>
      </c>
      <c r="X87" s="353">
        <f>SUM(X82:X86)</f>
        <v>96535.673192669114</v>
      </c>
      <c r="Y87" s="277">
        <f t="shared" si="20"/>
        <v>14.8</v>
      </c>
      <c r="Z87" s="147">
        <f>SUM(Z82:Z86)</f>
        <v>244715.2028286531</v>
      </c>
      <c r="AA87" s="353">
        <f>SUM(AA82:AA86)</f>
        <v>282626.50490519986</v>
      </c>
      <c r="AB87" s="277">
        <f t="shared" si="28"/>
        <v>15.5</v>
      </c>
      <c r="AC87" s="147"/>
      <c r="AD87" s="353"/>
      <c r="AE87" s="277"/>
      <c r="AF87" s="394">
        <f t="shared" si="45"/>
        <v>789879.19690098311</v>
      </c>
      <c r="AG87" s="394">
        <f t="shared" si="45"/>
        <v>936313.69868674898</v>
      </c>
      <c r="AH87" s="277">
        <f t="shared" si="22"/>
        <v>18.5</v>
      </c>
      <c r="AI87" s="394">
        <f t="shared" si="46"/>
        <v>789879.19690098311</v>
      </c>
      <c r="AJ87" s="394">
        <f t="shared" si="46"/>
        <v>936313.69868674898</v>
      </c>
      <c r="AK87" s="354">
        <f t="shared" si="24"/>
        <v>18.5</v>
      </c>
    </row>
    <row r="88" spans="1:37" s="365" customFormat="1" ht="20.100000000000001" customHeight="1" x14ac:dyDescent="0.35">
      <c r="A88" s="427" t="s">
        <v>368</v>
      </c>
      <c r="B88" s="147">
        <v>1203.6679999999999</v>
      </c>
      <c r="C88" s="353">
        <v>1843.875</v>
      </c>
      <c r="D88" s="277">
        <f t="shared" si="19"/>
        <v>53.2</v>
      </c>
      <c r="E88" s="147">
        <v>1470.40759144</v>
      </c>
      <c r="F88" s="353">
        <v>1141.1823387699999</v>
      </c>
      <c r="G88" s="277">
        <f>IF(E88=0, "    ---- ", IF(ABS(ROUND(100/E88*F88-100,1))&lt;999,ROUND(100/E88*F88-100,1),IF(ROUND(100/E88*F88-100,1)&gt;999,999,-999)))</f>
        <v>-22.4</v>
      </c>
      <c r="H88" s="147">
        <v>100.084</v>
      </c>
      <c r="I88" s="353">
        <v>74.102999999999994</v>
      </c>
      <c r="J88" s="277">
        <f>IF(H88=0, "    ---- ", IF(ABS(ROUND(100/H88*I88-100,1))&lt;999,ROUND(100/H88*I88-100,1),IF(ROUND(100/H88*I88-100,1)&gt;999,999,-999)))</f>
        <v>-26</v>
      </c>
      <c r="K88" s="147">
        <v>156</v>
      </c>
      <c r="L88" s="353">
        <v>58</v>
      </c>
      <c r="M88" s="277">
        <f>IF(K88=0, "    ---- ", IF(ABS(ROUND(100/K88*L88-100,1))&lt;999,ROUND(100/K88*L88-100,1),IF(ROUND(100/K88*L88-100,1)&gt;999,999,-999)))</f>
        <v>-62.8</v>
      </c>
      <c r="N88" s="147">
        <v>1491.97976307</v>
      </c>
      <c r="O88" s="353">
        <v>1214.76621155</v>
      </c>
      <c r="P88" s="277">
        <f t="shared" si="44"/>
        <v>-18.600000000000001</v>
      </c>
      <c r="Q88" s="147">
        <v>941</v>
      </c>
      <c r="R88" s="353">
        <v>925.37</v>
      </c>
      <c r="S88" s="277">
        <f t="shared" si="26"/>
        <v>-1.7</v>
      </c>
      <c r="T88" s="147">
        <v>1590</v>
      </c>
      <c r="U88" s="353">
        <f>408+1135+401</f>
        <v>1944</v>
      </c>
      <c r="V88" s="277">
        <f>IF(T88=0, "    ---- ", IF(ABS(ROUND(100/T88*U88-100,1))&lt;999,ROUND(100/T88*U88-100,1),IF(ROUND(100/T88*U88-100,1)&gt;999,999,-999)))</f>
        <v>22.3</v>
      </c>
      <c r="W88" s="147">
        <v>290.97699999999998</v>
      </c>
      <c r="X88" s="353">
        <v>202.96099026999997</v>
      </c>
      <c r="Y88" s="277">
        <f t="shared" si="20"/>
        <v>-30.2</v>
      </c>
      <c r="Z88" s="147">
        <v>158.29005217149961</v>
      </c>
      <c r="AA88" s="353">
        <v>480.67897819171088</v>
      </c>
      <c r="AB88" s="277">
        <f t="shared" si="28"/>
        <v>203.7</v>
      </c>
      <c r="AC88" s="147"/>
      <c r="AD88" s="353">
        <v>60</v>
      </c>
      <c r="AE88" s="277" t="str">
        <f>IF(AC88=0, "    ---- ", IF(ABS(ROUND(100/AC88*AD88-100,1))&lt;999,ROUND(100/AC88*AD88-100,1),IF(ROUND(100/AC88*AD88-100,1)&gt;999,999,-999)))</f>
        <v xml:space="preserve">    ---- </v>
      </c>
      <c r="AF88" s="394">
        <f t="shared" si="45"/>
        <v>7402.406406681499</v>
      </c>
      <c r="AG88" s="394">
        <f t="shared" si="45"/>
        <v>7884.9365187817102</v>
      </c>
      <c r="AH88" s="277">
        <f t="shared" si="22"/>
        <v>6.5</v>
      </c>
      <c r="AI88" s="394">
        <f t="shared" si="46"/>
        <v>7402.406406681499</v>
      </c>
      <c r="AJ88" s="394">
        <f t="shared" si="46"/>
        <v>7944.9365187817102</v>
      </c>
      <c r="AK88" s="354">
        <f t="shared" si="24"/>
        <v>7.3</v>
      </c>
    </row>
    <row r="89" spans="1:37" s="365" customFormat="1" ht="20.100000000000001" customHeight="1" x14ac:dyDescent="0.35">
      <c r="A89" s="427" t="s">
        <v>369</v>
      </c>
      <c r="B89" s="147"/>
      <c r="C89" s="353">
        <v>0</v>
      </c>
      <c r="D89" s="277"/>
      <c r="E89" s="147">
        <v>219.0053346</v>
      </c>
      <c r="F89" s="353">
        <v>174.27429639000002</v>
      </c>
      <c r="G89" s="277">
        <f t="shared" ref="G89:G90" si="47">IF(E89=0, "    ---- ", IF(ABS(ROUND(100/E89*F89-100,1))&lt;999,ROUND(100/E89*F89-100,1),IF(ROUND(100/E89*F89-100,1)&gt;999,999,-999)))</f>
        <v>-20.399999999999999</v>
      </c>
      <c r="H89" s="147"/>
      <c r="I89" s="353"/>
      <c r="J89" s="277"/>
      <c r="K89" s="147"/>
      <c r="L89" s="353"/>
      <c r="M89" s="277"/>
      <c r="N89" s="147"/>
      <c r="O89" s="353"/>
      <c r="P89" s="277"/>
      <c r="Q89" s="147"/>
      <c r="R89" s="353"/>
      <c r="S89" s="277"/>
      <c r="T89" s="147"/>
      <c r="U89" s="353"/>
      <c r="V89" s="277"/>
      <c r="W89" s="147">
        <v>15.951000000000001</v>
      </c>
      <c r="X89" s="353">
        <v>20.758456679999998</v>
      </c>
      <c r="Y89" s="277">
        <f t="shared" si="20"/>
        <v>30.1</v>
      </c>
      <c r="Z89" s="147"/>
      <c r="AA89" s="353"/>
      <c r="AB89" s="277"/>
      <c r="AC89" s="147"/>
      <c r="AD89" s="353"/>
      <c r="AE89" s="277"/>
      <c r="AF89" s="394">
        <f t="shared" si="45"/>
        <v>234.95633459999999</v>
      </c>
      <c r="AG89" s="394">
        <f t="shared" si="45"/>
        <v>195.03275307000001</v>
      </c>
      <c r="AH89" s="277">
        <f t="shared" si="22"/>
        <v>-17</v>
      </c>
      <c r="AI89" s="394">
        <f t="shared" si="46"/>
        <v>234.95633459999999</v>
      </c>
      <c r="AJ89" s="394">
        <f t="shared" si="46"/>
        <v>195.03275307000001</v>
      </c>
      <c r="AK89" s="354">
        <f t="shared" si="24"/>
        <v>-17</v>
      </c>
    </row>
    <row r="90" spans="1:37" s="365" customFormat="1" ht="20.100000000000001" customHeight="1" x14ac:dyDescent="0.35">
      <c r="A90" s="427" t="s">
        <v>370</v>
      </c>
      <c r="B90" s="147">
        <v>6083.7089999999998</v>
      </c>
      <c r="C90" s="353">
        <f>2569.406+306.469</f>
        <v>2875.875</v>
      </c>
      <c r="D90" s="353">
        <f t="shared" si="19"/>
        <v>-52.7</v>
      </c>
      <c r="E90" s="147">
        <v>96.134222589999993</v>
      </c>
      <c r="F90" s="353">
        <v>108.42131626999998</v>
      </c>
      <c r="G90" s="277">
        <f t="shared" si="47"/>
        <v>12.8</v>
      </c>
      <c r="H90" s="147"/>
      <c r="I90" s="353"/>
      <c r="J90" s="353"/>
      <c r="K90" s="147">
        <v>262</v>
      </c>
      <c r="L90" s="353">
        <v>178</v>
      </c>
      <c r="M90" s="350">
        <f>IF(K90=0, "    ---- ", IF(ABS(ROUND(100/K90*L90-100,1))&lt;999,ROUND(100/K90*L90-100,1),IF(ROUND(100/K90*L90-100,1)&gt;999,999,-999)))</f>
        <v>-32.1</v>
      </c>
      <c r="N90" s="147">
        <v>14017.609305829999</v>
      </c>
      <c r="O90" s="353">
        <v>14764.05653003</v>
      </c>
      <c r="P90" s="277">
        <f t="shared" si="44"/>
        <v>5.3</v>
      </c>
      <c r="Q90" s="147">
        <v>734.14</v>
      </c>
      <c r="R90" s="353">
        <v>401.49</v>
      </c>
      <c r="S90" s="277">
        <f t="shared" si="26"/>
        <v>-45.3</v>
      </c>
      <c r="T90" s="147"/>
      <c r="U90" s="353"/>
      <c r="V90" s="277"/>
      <c r="W90" s="147">
        <v>1207.1320000000001</v>
      </c>
      <c r="X90" s="353">
        <v>1445.5814161699457</v>
      </c>
      <c r="Y90" s="277">
        <f t="shared" si="20"/>
        <v>19.8</v>
      </c>
      <c r="Z90" s="147">
        <v>33651.460548870091</v>
      </c>
      <c r="AA90" s="353">
        <v>11325.875117320451</v>
      </c>
      <c r="AB90" s="277">
        <f t="shared" si="28"/>
        <v>-66.3</v>
      </c>
      <c r="AC90" s="147">
        <v>73</v>
      </c>
      <c r="AD90" s="353">
        <v>89</v>
      </c>
      <c r="AE90" s="277">
        <f>IF(AC90=0, "    ---- ", IF(ABS(ROUND(100/AC90*AD90-100,1))&lt;999,ROUND(100/AC90*AD90-100,1),IF(ROUND(100/AC90*AD90-100,1)&gt;999,999,-999)))</f>
        <v>21.9</v>
      </c>
      <c r="AF90" s="394">
        <f t="shared" si="45"/>
        <v>56052.185077290094</v>
      </c>
      <c r="AG90" s="394">
        <f t="shared" si="45"/>
        <v>31099.299379790398</v>
      </c>
      <c r="AH90" s="277">
        <f t="shared" si="22"/>
        <v>-44.5</v>
      </c>
      <c r="AI90" s="394">
        <f t="shared" si="46"/>
        <v>56125.185077290094</v>
      </c>
      <c r="AJ90" s="394">
        <f t="shared" si="46"/>
        <v>31188.299379790398</v>
      </c>
      <c r="AK90" s="354">
        <f t="shared" si="24"/>
        <v>-44.4</v>
      </c>
    </row>
    <row r="91" spans="1:37" s="365" customFormat="1" ht="20.100000000000001" customHeight="1" x14ac:dyDescent="0.35">
      <c r="A91" s="427" t="s">
        <v>371</v>
      </c>
      <c r="B91" s="147">
        <v>52.411999999999999</v>
      </c>
      <c r="C91" s="353">
        <v>85.403000000000006</v>
      </c>
      <c r="D91" s="353">
        <f t="shared" si="19"/>
        <v>62.9</v>
      </c>
      <c r="E91" s="147"/>
      <c r="F91" s="353"/>
      <c r="G91" s="353"/>
      <c r="H91" s="147">
        <v>42.404000000000003</v>
      </c>
      <c r="I91" s="353">
        <v>17.521000000000001</v>
      </c>
      <c r="J91" s="353">
        <f>IF(H91=0, "    ---- ", IF(ABS(ROUND(100/H91*I91-100,1))&lt;999,ROUND(100/H91*I91-100,1),IF(ROUND(100/H91*I91-100,1)&gt;999,999,-999)))</f>
        <v>-58.7</v>
      </c>
      <c r="K91" s="147">
        <v>37</v>
      </c>
      <c r="L91" s="353">
        <v>39</v>
      </c>
      <c r="M91" s="277">
        <f>IF(K91=0, "    ---- ", IF(ABS(ROUND(100/K91*L91-100,1))&lt;999,ROUND(100/K91*L91-100,1),IF(ROUND(100/K91*L91-100,1)&gt;999,999,-999)))</f>
        <v>5.4</v>
      </c>
      <c r="N91" s="147">
        <v>341.59082389999998</v>
      </c>
      <c r="O91" s="353">
        <v>69.296728879999989</v>
      </c>
      <c r="P91" s="277">
        <f t="shared" si="44"/>
        <v>-79.7</v>
      </c>
      <c r="Q91" s="147">
        <v>80.38</v>
      </c>
      <c r="R91" s="353">
        <v>42.73</v>
      </c>
      <c r="S91" s="277">
        <f t="shared" si="26"/>
        <v>-46.8</v>
      </c>
      <c r="T91" s="147">
        <v>391</v>
      </c>
      <c r="U91" s="353"/>
      <c r="V91" s="277">
        <f>IF(T91=0, "    ---- ", IF(ABS(ROUND(100/T91*U91-100,1))&lt;999,ROUND(100/T91*U91-100,1),IF(ROUND(100/T91*U91-100,1)&gt;999,999,-999)))</f>
        <v>-100</v>
      </c>
      <c r="W91" s="147">
        <v>43.848999999999997</v>
      </c>
      <c r="X91" s="353">
        <v>54.419608269999998</v>
      </c>
      <c r="Y91" s="277">
        <f t="shared" si="20"/>
        <v>24.1</v>
      </c>
      <c r="Z91" s="147">
        <v>802.3414671714994</v>
      </c>
      <c r="AA91" s="353">
        <v>805.6132775399999</v>
      </c>
      <c r="AB91" s="277">
        <f t="shared" si="28"/>
        <v>0.4</v>
      </c>
      <c r="AC91" s="147">
        <v>5</v>
      </c>
      <c r="AD91" s="353">
        <v>8</v>
      </c>
      <c r="AE91" s="277">
        <f>IF(AC91=0, "    ---- ", IF(ABS(ROUND(100/AC91*AD91-100,1))&lt;999,ROUND(100/AC91*AD91-100,1),IF(ROUND(100/AC91*AD91-100,1)&gt;999,999,-999)))</f>
        <v>60</v>
      </c>
      <c r="AF91" s="394">
        <f t="shared" si="45"/>
        <v>1790.9772910714994</v>
      </c>
      <c r="AG91" s="394">
        <f t="shared" si="45"/>
        <v>1113.9836146899997</v>
      </c>
      <c r="AH91" s="277">
        <f t="shared" si="22"/>
        <v>-37.799999999999997</v>
      </c>
      <c r="AI91" s="394">
        <f t="shared" si="46"/>
        <v>1795.9772910714994</v>
      </c>
      <c r="AJ91" s="394">
        <f t="shared" si="46"/>
        <v>1121.9836146899997</v>
      </c>
      <c r="AK91" s="354">
        <f t="shared" si="24"/>
        <v>-37.5</v>
      </c>
    </row>
    <row r="92" spans="1:37" s="365" customFormat="1" ht="20.100000000000001" customHeight="1" x14ac:dyDescent="0.35">
      <c r="A92" s="427"/>
      <c r="B92" s="147"/>
      <c r="C92" s="353"/>
      <c r="D92" s="277"/>
      <c r="E92" s="147"/>
      <c r="F92" s="353"/>
      <c r="G92" s="277"/>
      <c r="H92" s="147"/>
      <c r="I92" s="353"/>
      <c r="J92" s="277"/>
      <c r="K92" s="147"/>
      <c r="L92" s="353"/>
      <c r="M92" s="277"/>
      <c r="N92" s="147"/>
      <c r="O92" s="353"/>
      <c r="P92" s="277"/>
      <c r="Q92" s="147"/>
      <c r="R92" s="353"/>
      <c r="S92" s="277"/>
      <c r="T92" s="147"/>
      <c r="U92" s="353"/>
      <c r="V92" s="277"/>
      <c r="W92" s="147"/>
      <c r="X92" s="353"/>
      <c r="Y92" s="277"/>
      <c r="Z92" s="147"/>
      <c r="AA92" s="353"/>
      <c r="AB92" s="277"/>
      <c r="AC92" s="147"/>
      <c r="AD92" s="353"/>
      <c r="AE92" s="277"/>
      <c r="AF92" s="350"/>
      <c r="AG92" s="350"/>
      <c r="AH92" s="277"/>
      <c r="AI92" s="350"/>
      <c r="AJ92" s="350"/>
      <c r="AK92" s="354"/>
    </row>
    <row r="93" spans="1:37" s="373" customFormat="1" ht="20.100000000000001" customHeight="1" x14ac:dyDescent="0.3">
      <c r="A93" s="438" t="s">
        <v>372</v>
      </c>
      <c r="B93" s="150">
        <f>SUM(B68+B69+B71+B80+B87+B88+B89+B90+B91)</f>
        <v>425113.41500000004</v>
      </c>
      <c r="C93" s="357">
        <f>SUM(C68+C69+C71+C80+C87+C88+C89+C90+C91)</f>
        <v>461323.00888067001</v>
      </c>
      <c r="D93" s="358">
        <f t="shared" si="19"/>
        <v>8.5</v>
      </c>
      <c r="E93" s="150">
        <f>SUM(E68+E69+E71+E80+E87+E88+E89+E90+E91)</f>
        <v>14655.48730837</v>
      </c>
      <c r="F93" s="357">
        <f>SUM(F68+F69+F71+F80+F87+F88+F89+F90+F91)</f>
        <v>15006.025457629999</v>
      </c>
      <c r="G93" s="358">
        <f>IF(E93=0, "    ---- ", IF(ABS(ROUND(100/E93*F93-100,1))&lt;999,ROUND(100/E93*F93-100,1),IF(ROUND(100/E93*F93-100,1)&gt;999,999,-999)))</f>
        <v>2.4</v>
      </c>
      <c r="H93" s="150">
        <f>SUM(H68+H69+H71+H80+H87+H88+H89+H90+H91)</f>
        <v>3605.3469999999998</v>
      </c>
      <c r="I93" s="357">
        <f>SUM(I68+I69+I71+I80+I87+I88+I89+I90+I91)</f>
        <v>4077.1860000000001</v>
      </c>
      <c r="J93" s="358">
        <f>IF(H93=0, "    ---- ", IF(ABS(ROUND(100/H93*I93-100,1))&lt;999,ROUND(100/H93*I93-100,1),IF(ROUND(100/H93*I93-100,1)&gt;999,999,-999)))</f>
        <v>13.1</v>
      </c>
      <c r="K93" s="150">
        <f>SUM(K68+K69+K71+K80+K87+K88+K89+K90+K91)</f>
        <v>90056</v>
      </c>
      <c r="L93" s="357">
        <f>SUM(L68+L69+L71+L80+L87+L88+L89+L90+L91)</f>
        <v>105376</v>
      </c>
      <c r="M93" s="358">
        <f>IF(K93=0, "    ---- ", IF(ABS(ROUND(100/K93*L93-100,1))&lt;999,ROUND(100/K93*L93-100,1),IF(ROUND(100/K93*L93-100,1)&gt;999,999,-999)))</f>
        <v>17</v>
      </c>
      <c r="N93" s="150">
        <v>865983.92935571005</v>
      </c>
      <c r="O93" s="357">
        <v>946441.73142928991</v>
      </c>
      <c r="P93" s="358">
        <f t="shared" si="44"/>
        <v>9.3000000000000007</v>
      </c>
      <c r="Q93" s="150">
        <f>SUM(Q68+Q69+Q71+Q80+Q87+Q88+Q89+Q90+Q91)</f>
        <v>244559.14</v>
      </c>
      <c r="R93" s="357">
        <f>SUM(R68+R69+R71+R80+R87+R88+R89+R90+R91)</f>
        <v>284883.58999999997</v>
      </c>
      <c r="S93" s="358">
        <f t="shared" si="26"/>
        <v>16.5</v>
      </c>
      <c r="T93" s="150">
        <v>145712</v>
      </c>
      <c r="U93" s="357">
        <f>SUM(U68+U69+U71+U80+U87+U88+U89+U90+U91)</f>
        <v>156070</v>
      </c>
      <c r="V93" s="358">
        <f>IF(T93=0, "    ---- ", IF(ABS(ROUND(100/T93*U93-100,1))&lt;999,ROUND(100/T93*U93-100,1),IF(ROUND(100/T93*U93-100,1)&gt;999,999,-999)))</f>
        <v>7.1</v>
      </c>
      <c r="W93" s="150">
        <f>SUM(W68+W69+W71+W80+W87+W88+W89+W90+W91)</f>
        <v>117088.99625802999</v>
      </c>
      <c r="X93" s="357">
        <f>SUM(X68+X69+X71+X80+X87+X88+X89+X90+X91)</f>
        <v>130932.26021839907</v>
      </c>
      <c r="Y93" s="358">
        <f t="shared" si="20"/>
        <v>11.8</v>
      </c>
      <c r="Z93" s="150">
        <f>SUM(Z68+Z69+Z71+Z80+Z87+Z88+Z89+Z90+Z91)</f>
        <v>534945.31685347215</v>
      </c>
      <c r="AA93" s="357">
        <f>SUM(AA68+AA69+AA71+AA80+AA87+AA88+AA89+AA90+AA91)</f>
        <v>555257.45612639876</v>
      </c>
      <c r="AB93" s="358">
        <f t="shared" si="28"/>
        <v>3.8</v>
      </c>
      <c r="AC93" s="150">
        <f>SUM(AC68+AC69+AC71+AC80+AC87+AC88+AC89+AC90+AC91)</f>
        <v>237</v>
      </c>
      <c r="AD93" s="357">
        <f>SUM(AD68+AD69+AD71+AD80+AD87+AD88+AD89+AD90+AD91)</f>
        <v>247</v>
      </c>
      <c r="AE93" s="358">
        <f>IF(AC93=0, "    ---- ", IF(ABS(ROUND(100/AC93*AD93-100,1))&lt;999,ROUND(100/AC93*AD93-100,1),IF(ROUND(100/AC93*AD93-100,1)&gt;999,999,-999)))</f>
        <v>4.2</v>
      </c>
      <c r="AF93" s="506">
        <f t="shared" ref="AF93:AG93" si="48">B93+E93+H93+K93+N93+Q93+T93+W93+Z93</f>
        <v>2441719.6317755822</v>
      </c>
      <c r="AG93" s="506">
        <f t="shared" si="48"/>
        <v>2659367.2581123877</v>
      </c>
      <c r="AH93" s="358">
        <f t="shared" si="22"/>
        <v>8.9</v>
      </c>
      <c r="AI93" s="357">
        <f>B93+E93+H93+K93+N93+Q93+T93+W93+Z93+AC93</f>
        <v>2441956.6317755822</v>
      </c>
      <c r="AJ93" s="357">
        <f>C93+F93+I93+L93+O93+R93+U93+X93+AA93+AD93</f>
        <v>2659614.2581123877</v>
      </c>
      <c r="AK93" s="359">
        <f t="shared" si="24"/>
        <v>8.9</v>
      </c>
    </row>
    <row r="94" spans="1:37" ht="18.75" customHeight="1" x14ac:dyDescent="0.35">
      <c r="A94" s="363" t="s">
        <v>290</v>
      </c>
      <c r="N94" s="363"/>
      <c r="R94" s="467"/>
      <c r="S94" s="467"/>
      <c r="T94" s="467"/>
      <c r="U94" s="467"/>
      <c r="V94" s="467"/>
      <c r="W94" s="363"/>
      <c r="Z94" s="363"/>
      <c r="AC94" s="363"/>
    </row>
    <row r="95" spans="1:37" ht="18.75" customHeight="1" x14ac:dyDescent="0.35">
      <c r="A95" s="363" t="s">
        <v>291</v>
      </c>
      <c r="N95" s="363"/>
      <c r="R95" s="467"/>
      <c r="S95" s="467"/>
      <c r="T95" s="467"/>
      <c r="U95" s="467"/>
      <c r="V95" s="467"/>
      <c r="W95" s="363"/>
      <c r="Z95" s="363"/>
      <c r="AC95" s="363"/>
    </row>
    <row r="96" spans="1:37" s="366" customFormat="1" ht="18.75" customHeight="1" x14ac:dyDescent="0.35">
      <c r="A96" s="363" t="s">
        <v>292</v>
      </c>
      <c r="S96" s="468"/>
      <c r="T96" s="468"/>
      <c r="U96" s="468"/>
      <c r="V96" s="468"/>
    </row>
    <row r="97" s="366" customFormat="1" ht="18" x14ac:dyDescent="0.35"/>
    <row r="98" s="366" customFormat="1" ht="18" x14ac:dyDescent="0.35"/>
    <row r="99" s="366" customFormat="1" ht="18" x14ac:dyDescent="0.35"/>
    <row r="100" s="366" customFormat="1" ht="18" x14ac:dyDescent="0.35"/>
    <row r="101" s="366" customFormat="1" ht="18" x14ac:dyDescent="0.35"/>
    <row r="102" s="366" customFormat="1" ht="18" x14ac:dyDescent="0.35"/>
    <row r="103" s="366" customFormat="1" ht="18" x14ac:dyDescent="0.35"/>
    <row r="104" s="366" customFormat="1" ht="18" x14ac:dyDescent="0.35"/>
    <row r="105" s="366" customFormat="1" ht="18" x14ac:dyDescent="0.35"/>
    <row r="106" s="366" customFormat="1" ht="18" x14ac:dyDescent="0.35"/>
    <row r="107" s="366" customFormat="1" ht="18" x14ac:dyDescent="0.35"/>
    <row r="108" s="366" customFormat="1" ht="18" x14ac:dyDescent="0.35"/>
    <row r="109" s="366" customFormat="1" ht="18" x14ac:dyDescent="0.35"/>
    <row r="110" s="366" customFormat="1" ht="18" x14ac:dyDescent="0.35"/>
    <row r="111" s="366" customFormat="1" ht="18" x14ac:dyDescent="0.35"/>
    <row r="112" s="366" customFormat="1" ht="18" x14ac:dyDescent="0.35"/>
    <row r="113" s="374" customFormat="1" ht="15.6" x14ac:dyDescent="0.3"/>
    <row r="114" s="374" customFormat="1" ht="15.6" x14ac:dyDescent="0.3"/>
  </sheetData>
  <mergeCells count="30">
    <mergeCell ref="AT6:AV6"/>
    <mergeCell ref="AW6:AY6"/>
    <mergeCell ref="Z6:AB6"/>
    <mergeCell ref="AC6:AE6"/>
    <mergeCell ref="AF6:AH6"/>
    <mergeCell ref="AI6:AK6"/>
    <mergeCell ref="AN6:AP6"/>
    <mergeCell ref="AQ6:AS6"/>
    <mergeCell ref="AT5:AV5"/>
    <mergeCell ref="AW5:AY5"/>
    <mergeCell ref="B6:D6"/>
    <mergeCell ref="E6:G6"/>
    <mergeCell ref="H6:J6"/>
    <mergeCell ref="K6:M6"/>
    <mergeCell ref="N6:P6"/>
    <mergeCell ref="Q6:S6"/>
    <mergeCell ref="T6:V6"/>
    <mergeCell ref="W6:Y6"/>
    <mergeCell ref="Z5:AB5"/>
    <mergeCell ref="AC5:AE5"/>
    <mergeCell ref="AF5:AH5"/>
    <mergeCell ref="AI5:AK5"/>
    <mergeCell ref="AN5:AP5"/>
    <mergeCell ref="AQ5:AS5"/>
    <mergeCell ref="W5:Y5"/>
    <mergeCell ref="B5:D5"/>
    <mergeCell ref="E5:G5"/>
    <mergeCell ref="H5:J5"/>
    <mergeCell ref="K5:M5"/>
    <mergeCell ref="T5:V5"/>
  </mergeCells>
  <conditionalFormatting sqref="B35:C35">
    <cfRule type="expression" dxfId="123" priority="160">
      <formula>#REF! ="35≠36+38"</formula>
    </cfRule>
  </conditionalFormatting>
  <conditionalFormatting sqref="B39:C39">
    <cfRule type="expression" dxfId="122" priority="161">
      <formula>#REF! ="39≠40+41+42+43+44"</formula>
    </cfRule>
  </conditionalFormatting>
  <conditionalFormatting sqref="B45:C45">
    <cfRule type="expression" dxfId="121" priority="162">
      <formula>#REF! ="45≠33+34+35+39"</formula>
    </cfRule>
  </conditionalFormatting>
  <conditionalFormatting sqref="B50:C50">
    <cfRule type="expression" dxfId="120" priority="163">
      <formula>#REF! ="50≠51+53"</formula>
    </cfRule>
  </conditionalFormatting>
  <conditionalFormatting sqref="B54:C54">
    <cfRule type="expression" dxfId="119" priority="164">
      <formula>#REF! ="54≠55+56+57+58+59"</formula>
    </cfRule>
  </conditionalFormatting>
  <conditionalFormatting sqref="B60:C60">
    <cfRule type="expression" dxfId="118" priority="165">
      <formula>#REF! ="60≠48+49+50+54"</formula>
    </cfRule>
  </conditionalFormatting>
  <conditionalFormatting sqref="B62:C62">
    <cfRule type="expression" dxfId="117" priority="166">
      <formula>#REF! ="62≠45+46+60+61"</formula>
    </cfRule>
  </conditionalFormatting>
  <conditionalFormatting sqref="B64:C64">
    <cfRule type="expression" dxfId="116" priority="157">
      <formula>#REF! ="64≠29+62"</formula>
    </cfRule>
  </conditionalFormatting>
  <conditionalFormatting sqref="B80:C80">
    <cfRule type="expression" dxfId="115" priority="167">
      <formula>#REF! ="80≠73+74+75+76+77+78+79"</formula>
    </cfRule>
  </conditionalFormatting>
  <conditionalFormatting sqref="B87:C87">
    <cfRule type="expression" dxfId="114" priority="168">
      <formula>#REF! ="88≠82+83+84+85+86+87"</formula>
    </cfRule>
  </conditionalFormatting>
  <conditionalFormatting sqref="B93:C93">
    <cfRule type="expression" dxfId="113" priority="158">
      <formula>#REF! = "64≠94"</formula>
    </cfRule>
    <cfRule type="expression" dxfId="112" priority="159">
      <formula>#REF! = "94≠68+69+71+80+88+89+90+91+92"</formula>
    </cfRule>
  </conditionalFormatting>
  <conditionalFormatting sqref="E35:F35">
    <cfRule type="expression" dxfId="111" priority="24">
      <formula>#REF! ="35≠36+38"</formula>
    </cfRule>
  </conditionalFormatting>
  <conditionalFormatting sqref="E39:F39">
    <cfRule type="expression" dxfId="110" priority="23">
      <formula>#REF! ="39≠40+41+42+43+44"</formula>
    </cfRule>
  </conditionalFormatting>
  <conditionalFormatting sqref="E45:F45">
    <cfRule type="expression" dxfId="109" priority="22">
      <formula>#REF! ="45≠33+34+35+39"</formula>
    </cfRule>
  </conditionalFormatting>
  <conditionalFormatting sqref="E50:F50">
    <cfRule type="expression" dxfId="108" priority="21">
      <formula>#REF! ="50≠51+53"</formula>
    </cfRule>
  </conditionalFormatting>
  <conditionalFormatting sqref="E54:F54">
    <cfRule type="expression" dxfId="107" priority="20">
      <formula>#REF! ="54≠55+56+57+58+59"</formula>
    </cfRule>
  </conditionalFormatting>
  <conditionalFormatting sqref="E60:F60">
    <cfRule type="expression" dxfId="106" priority="19">
      <formula>#REF! ="60≠48+49+50+54"</formula>
    </cfRule>
  </conditionalFormatting>
  <conditionalFormatting sqref="E62:F62">
    <cfRule type="expression" dxfId="105" priority="18">
      <formula>#REF! ="62≠45+46+60+61"</formula>
    </cfRule>
  </conditionalFormatting>
  <conditionalFormatting sqref="E64:F64">
    <cfRule type="expression" dxfId="104" priority="17">
      <formula>#REF! ="64≠29+62"</formula>
    </cfRule>
  </conditionalFormatting>
  <conditionalFormatting sqref="E80:F80">
    <cfRule type="expression" dxfId="103" priority="16">
      <formula>#REF! ="80≠73+74+75+76+77+78+79"</formula>
    </cfRule>
  </conditionalFormatting>
  <conditionalFormatting sqref="E87:F87">
    <cfRule type="expression" dxfId="102" priority="15">
      <formula>#REF! ="88≠82+83+84+85+86+87"</formula>
    </cfRule>
  </conditionalFormatting>
  <conditionalFormatting sqref="E93:F93">
    <cfRule type="expression" dxfId="101" priority="13">
      <formula>#REF! = "64≠94"</formula>
    </cfRule>
    <cfRule type="expression" dxfId="100" priority="13">
      <formula>#REF! = "94≠68+69+71+80+88+89+90+91+92"</formula>
    </cfRule>
  </conditionalFormatting>
  <conditionalFormatting sqref="H35:I35">
    <cfRule type="expression" dxfId="99" priority="28">
      <formula>#REF! ="35≠36+38"</formula>
    </cfRule>
  </conditionalFormatting>
  <conditionalFormatting sqref="H39:I39">
    <cfRule type="expression" dxfId="98" priority="29">
      <formula>#REF! ="39≠40+41+42+43+44"</formula>
    </cfRule>
  </conditionalFormatting>
  <conditionalFormatting sqref="H45:I45">
    <cfRule type="expression" dxfId="97" priority="30">
      <formula>#REF! ="45≠33+34+35+39"</formula>
    </cfRule>
  </conditionalFormatting>
  <conditionalFormatting sqref="H50:I50">
    <cfRule type="expression" dxfId="96" priority="31">
      <formula>#REF! ="50≠51+53"</formula>
    </cfRule>
  </conditionalFormatting>
  <conditionalFormatting sqref="H54:I54">
    <cfRule type="expression" dxfId="95" priority="32">
      <formula>#REF! ="54≠55+56+57+58+59"</formula>
    </cfRule>
  </conditionalFormatting>
  <conditionalFormatting sqref="H60:I60">
    <cfRule type="expression" dxfId="94" priority="33">
      <formula>#REF! ="60≠48+49+50+54"</formula>
    </cfRule>
  </conditionalFormatting>
  <conditionalFormatting sqref="H62:I62">
    <cfRule type="expression" dxfId="93" priority="34">
      <formula>#REF! ="62≠45+46+60+61"</formula>
    </cfRule>
  </conditionalFormatting>
  <conditionalFormatting sqref="H64:I64">
    <cfRule type="expression" dxfId="92" priority="25">
      <formula>#REF! ="64≠29+62"</formula>
    </cfRule>
  </conditionalFormatting>
  <conditionalFormatting sqref="H80:I80">
    <cfRule type="expression" dxfId="91" priority="35">
      <formula>#REF! ="80≠73+74+75+76+77+78+79"</formula>
    </cfRule>
  </conditionalFormatting>
  <conditionalFormatting sqref="H87:I87">
    <cfRule type="expression" dxfId="90" priority="36">
      <formula>#REF! ="88≠82+83+84+85+86+87"</formula>
    </cfRule>
  </conditionalFormatting>
  <conditionalFormatting sqref="H93:I93">
    <cfRule type="expression" dxfId="89" priority="27">
      <formula>#REF! = "94≠68+69+71+80+88+89+90+91+92"</formula>
    </cfRule>
    <cfRule type="expression" dxfId="88" priority="26">
      <formula>#REF! = "64≠94"</formula>
    </cfRule>
  </conditionalFormatting>
  <conditionalFormatting sqref="K35:L35">
    <cfRule type="expression" dxfId="87" priority="124">
      <formula>#REF! ="35≠36+38"</formula>
    </cfRule>
  </conditionalFormatting>
  <conditionalFormatting sqref="K39:L39">
    <cfRule type="expression" dxfId="86" priority="125">
      <formula>#REF! ="39≠40+41+42+43+44"</formula>
    </cfRule>
  </conditionalFormatting>
  <conditionalFormatting sqref="K45:L45">
    <cfRule type="expression" dxfId="85" priority="126">
      <formula>#REF! ="45≠33+34+35+39"</formula>
    </cfRule>
  </conditionalFormatting>
  <conditionalFormatting sqref="K50:L50">
    <cfRule type="expression" dxfId="84" priority="127">
      <formula>#REF! ="50≠51+53"</formula>
    </cfRule>
  </conditionalFormatting>
  <conditionalFormatting sqref="K54:L54">
    <cfRule type="expression" dxfId="83" priority="128">
      <formula>#REF! ="54≠55+56+57+58+59"</formula>
    </cfRule>
  </conditionalFormatting>
  <conditionalFormatting sqref="K60:L60">
    <cfRule type="expression" dxfId="82" priority="129">
      <formula>#REF! ="60≠48+49+50+54"</formula>
    </cfRule>
  </conditionalFormatting>
  <conditionalFormatting sqref="K62:L62">
    <cfRule type="expression" dxfId="81" priority="130">
      <formula>#REF! ="62≠45+46+60+61"</formula>
    </cfRule>
  </conditionalFormatting>
  <conditionalFormatting sqref="K64:L64">
    <cfRule type="expression" dxfId="80" priority="121">
      <formula>#REF! ="64≠29+62"</formula>
    </cfRule>
  </conditionalFormatting>
  <conditionalFormatting sqref="K80:L80">
    <cfRule type="expression" dxfId="79" priority="131">
      <formula>#REF! ="80≠73+74+75+76+77+78+79"</formula>
    </cfRule>
  </conditionalFormatting>
  <conditionalFormatting sqref="K87:L87">
    <cfRule type="expression" dxfId="78" priority="132">
      <formula>#REF! ="88≠82+83+84+85+86+87"</formula>
    </cfRule>
  </conditionalFormatting>
  <conditionalFormatting sqref="K93:L93">
    <cfRule type="expression" dxfId="77" priority="123">
      <formula>#REF! = "94≠68+69+71+80+88+89+90+91+92"</formula>
    </cfRule>
    <cfRule type="expression" dxfId="76" priority="122">
      <formula>#REF! = "64≠94"</formula>
    </cfRule>
  </conditionalFormatting>
  <conditionalFormatting sqref="N35:O35">
    <cfRule type="expression" dxfId="75" priority="52">
      <formula>#REF! ="35≠36+38"</formula>
    </cfRule>
  </conditionalFormatting>
  <conditionalFormatting sqref="N39:O39">
    <cfRule type="expression" dxfId="74" priority="53">
      <formula>#REF! ="39≠40+41+42+43+44"</formula>
    </cfRule>
  </conditionalFormatting>
  <conditionalFormatting sqref="N45:O45">
    <cfRule type="expression" dxfId="73" priority="54">
      <formula>#REF! ="45≠33+34+35+39"</formula>
    </cfRule>
  </conditionalFormatting>
  <conditionalFormatting sqref="N50:O50">
    <cfRule type="expression" dxfId="72" priority="55">
      <formula>#REF! ="50≠51+53"</formula>
    </cfRule>
  </conditionalFormatting>
  <conditionalFormatting sqref="N54:O54">
    <cfRule type="expression" dxfId="71" priority="56">
      <formula>#REF! ="54≠55+56+57+58+59"</formula>
    </cfRule>
  </conditionalFormatting>
  <conditionalFormatting sqref="N60:O60">
    <cfRule type="expression" dxfId="70" priority="57">
      <formula>#REF! ="60≠48+49+50+54"</formula>
    </cfRule>
  </conditionalFormatting>
  <conditionalFormatting sqref="N62:O62">
    <cfRule type="expression" dxfId="69" priority="58">
      <formula>#REF! ="62≠45+46+60+61"</formula>
    </cfRule>
  </conditionalFormatting>
  <conditionalFormatting sqref="N64:O64">
    <cfRule type="expression" dxfId="68" priority="49">
      <formula>#REF! ="64≠29+62"</formula>
    </cfRule>
  </conditionalFormatting>
  <conditionalFormatting sqref="N80:O80">
    <cfRule type="expression" dxfId="67" priority="59">
      <formula>#REF! ="80≠73+74+75+76+77+78+79"</formula>
    </cfRule>
  </conditionalFormatting>
  <conditionalFormatting sqref="N87:O87">
    <cfRule type="expression" dxfId="66" priority="60">
      <formula>#REF! ="88≠82+83+84+85+86+87"</formula>
    </cfRule>
  </conditionalFormatting>
  <conditionalFormatting sqref="N93:O93">
    <cfRule type="expression" dxfId="65" priority="50">
      <formula>#REF! = "64≠94"</formula>
    </cfRule>
    <cfRule type="expression" dxfId="64" priority="51">
      <formula>#REF! = "94≠68+69+71+80+88+89+90+91+92"</formula>
    </cfRule>
  </conditionalFormatting>
  <conditionalFormatting sqref="Q35:R35">
    <cfRule type="expression" dxfId="63" priority="196">
      <formula>#REF! ="35≠36+38"</formula>
    </cfRule>
  </conditionalFormatting>
  <conditionalFormatting sqref="Q39:R39">
    <cfRule type="expression" dxfId="62" priority="197">
      <formula>#REF! ="39≠40+41+42+43+44"</formula>
    </cfRule>
  </conditionalFormatting>
  <conditionalFormatting sqref="Q45:R45">
    <cfRule type="expression" dxfId="61" priority="198">
      <formula>#REF! ="45≠33+34+35+39"</formula>
    </cfRule>
  </conditionalFormatting>
  <conditionalFormatting sqref="Q50:R50">
    <cfRule type="expression" dxfId="60" priority="199">
      <formula>#REF! ="50≠51+53"</formula>
    </cfRule>
  </conditionalFormatting>
  <conditionalFormatting sqref="Q54:R54">
    <cfRule type="expression" dxfId="59" priority="200">
      <formula>#REF! ="54≠55+56+57+58+59"</formula>
    </cfRule>
  </conditionalFormatting>
  <conditionalFormatting sqref="Q60:R60">
    <cfRule type="expression" dxfId="58" priority="201">
      <formula>#REF! ="60≠48+49+50+54"</formula>
    </cfRule>
  </conditionalFormatting>
  <conditionalFormatting sqref="Q62:R62">
    <cfRule type="expression" dxfId="57" priority="202">
      <formula>#REF! ="62≠45+46+60+61"</formula>
    </cfRule>
  </conditionalFormatting>
  <conditionalFormatting sqref="Q64:R64">
    <cfRule type="expression" dxfId="56" priority="193">
      <formula>#REF! ="64≠29+62"</formula>
    </cfRule>
  </conditionalFormatting>
  <conditionalFormatting sqref="Q80:R80">
    <cfRule type="expression" dxfId="55" priority="203">
      <formula>#REF! ="80≠73+74+75+76+77+78+79"</formula>
    </cfRule>
  </conditionalFormatting>
  <conditionalFormatting sqref="Q87:R87">
    <cfRule type="expression" dxfId="54" priority="204">
      <formula>#REF! ="88≠82+83+84+85+86+87"</formula>
    </cfRule>
  </conditionalFormatting>
  <conditionalFormatting sqref="Q93:R93">
    <cfRule type="expression" dxfId="53" priority="195">
      <formula>#REF! = "94≠68+69+71+80+88+89+90+91+92"</formula>
    </cfRule>
    <cfRule type="expression" dxfId="52" priority="194">
      <formula>#REF! = "64≠94"</formula>
    </cfRule>
  </conditionalFormatting>
  <conditionalFormatting sqref="T35:U35">
    <cfRule type="expression" dxfId="51" priority="76">
      <formula>#REF! ="35≠36+38"</formula>
    </cfRule>
  </conditionalFormatting>
  <conditionalFormatting sqref="T39:U39">
    <cfRule type="expression" dxfId="50" priority="77">
      <formula>#REF! ="39≠40+41+42+43+44"</formula>
    </cfRule>
  </conditionalFormatting>
  <conditionalFormatting sqref="T45:U45">
    <cfRule type="expression" dxfId="49" priority="78">
      <formula>#REF! ="45≠33+34+35+39"</formula>
    </cfRule>
  </conditionalFormatting>
  <conditionalFormatting sqref="T50:U50">
    <cfRule type="expression" dxfId="48" priority="79">
      <formula>#REF! ="50≠51+53"</formula>
    </cfRule>
  </conditionalFormatting>
  <conditionalFormatting sqref="T54:U54">
    <cfRule type="expression" dxfId="47" priority="80">
      <formula>#REF! ="54≠55+56+57+58+59"</formula>
    </cfRule>
  </conditionalFormatting>
  <conditionalFormatting sqref="T60:U60">
    <cfRule type="expression" dxfId="46" priority="81">
      <formula>#REF! ="60≠48+49+50+54"</formula>
    </cfRule>
  </conditionalFormatting>
  <conditionalFormatting sqref="T62:U62">
    <cfRule type="expression" dxfId="45" priority="82">
      <formula>#REF! ="62≠45+46+60+61"</formula>
    </cfRule>
  </conditionalFormatting>
  <conditionalFormatting sqref="T64:U64">
    <cfRule type="expression" dxfId="44" priority="73">
      <formula>#REF! ="64≠29+62"</formula>
    </cfRule>
  </conditionalFormatting>
  <conditionalFormatting sqref="T80:U80">
    <cfRule type="expression" dxfId="43" priority="83">
      <formula>#REF! ="80≠73+74+75+76+77+78+79"</formula>
    </cfRule>
  </conditionalFormatting>
  <conditionalFormatting sqref="T87:U87">
    <cfRule type="expression" dxfId="42" priority="84">
      <formula>#REF! ="88≠82+83+84+85+86+87"</formula>
    </cfRule>
  </conditionalFormatting>
  <conditionalFormatting sqref="T93:U93">
    <cfRule type="expression" dxfId="41" priority="75">
      <formula>#REF! = "94≠68+69+71+80+88+89+90+91+92"</formula>
    </cfRule>
    <cfRule type="expression" dxfId="40" priority="74">
      <formula>#REF! = "64≠94"</formula>
    </cfRule>
  </conditionalFormatting>
  <conditionalFormatting sqref="W35:X35">
    <cfRule type="expression" dxfId="39" priority="220">
      <formula>#REF! ="35≠36+38"</formula>
    </cfRule>
  </conditionalFormatting>
  <conditionalFormatting sqref="W39:X39">
    <cfRule type="expression" dxfId="38" priority="221">
      <formula>#REF! ="39≠40+41+42+43+44"</formula>
    </cfRule>
  </conditionalFormatting>
  <conditionalFormatting sqref="W45:X45">
    <cfRule type="expression" dxfId="37" priority="222">
      <formula>#REF! ="45≠33+34+35+39"</formula>
    </cfRule>
  </conditionalFormatting>
  <conditionalFormatting sqref="W50:X50">
    <cfRule type="expression" dxfId="36" priority="223">
      <formula>#REF! ="50≠51+53"</formula>
    </cfRule>
  </conditionalFormatting>
  <conditionalFormatting sqref="W54:X54">
    <cfRule type="expression" dxfId="35" priority="224">
      <formula>#REF! ="54≠55+56+57+58+59"</formula>
    </cfRule>
  </conditionalFormatting>
  <conditionalFormatting sqref="W60:X60">
    <cfRule type="expression" dxfId="34" priority="225">
      <formula>#REF! ="60≠48+49+50+54"</formula>
    </cfRule>
  </conditionalFormatting>
  <conditionalFormatting sqref="W62:X62">
    <cfRule type="expression" dxfId="33" priority="226">
      <formula>#REF! ="62≠45+46+60+61"</formula>
    </cfRule>
  </conditionalFormatting>
  <conditionalFormatting sqref="W64:X64">
    <cfRule type="expression" dxfId="32" priority="217">
      <formula>#REF! ="64≠29+62"</formula>
    </cfRule>
  </conditionalFormatting>
  <conditionalFormatting sqref="W80:X80">
    <cfRule type="expression" dxfId="31" priority="227">
      <formula>#REF! ="80≠73+74+75+76+77+78+79"</formula>
    </cfRule>
  </conditionalFormatting>
  <conditionalFormatting sqref="W87:X87">
    <cfRule type="expression" dxfId="30" priority="228">
      <formula>#REF! ="88≠82+83+84+85+86+87"</formula>
    </cfRule>
  </conditionalFormatting>
  <conditionalFormatting sqref="W93:X93">
    <cfRule type="expression" dxfId="29" priority="219">
      <formula>#REF! = "94≠68+69+71+80+88+89+90+91+92"</formula>
    </cfRule>
    <cfRule type="expression" dxfId="28" priority="218">
      <formula>#REF! = "64≠94"</formula>
    </cfRule>
  </conditionalFormatting>
  <conditionalFormatting sqref="Z35:AA35">
    <cfRule type="expression" dxfId="27" priority="172">
      <formula>#REF! ="35≠36+38"</formula>
    </cfRule>
  </conditionalFormatting>
  <conditionalFormatting sqref="Z39:AA39">
    <cfRule type="expression" dxfId="26" priority="173">
      <formula>#REF! ="39≠40+41+42+43+44"</formula>
    </cfRule>
  </conditionalFormatting>
  <conditionalFormatting sqref="Z45:AA45">
    <cfRule type="expression" dxfId="25" priority="174">
      <formula>#REF! ="45≠33+34+35+39"</formula>
    </cfRule>
  </conditionalFormatting>
  <conditionalFormatting sqref="Z50:AA50">
    <cfRule type="expression" dxfId="24" priority="175">
      <formula>#REF! ="50≠51+53"</formula>
    </cfRule>
  </conditionalFormatting>
  <conditionalFormatting sqref="Z54:AA54">
    <cfRule type="expression" dxfId="23" priority="176">
      <formula>#REF! ="54≠55+56+57+58+59"</formula>
    </cfRule>
  </conditionalFormatting>
  <conditionalFormatting sqref="Z60:AA60">
    <cfRule type="expression" dxfId="22" priority="177">
      <formula>#REF! ="60≠48+49+50+54"</formula>
    </cfRule>
  </conditionalFormatting>
  <conditionalFormatting sqref="Z62:AA62">
    <cfRule type="expression" dxfId="21" priority="178">
      <formula>#REF! ="62≠45+46+60+61"</formula>
    </cfRule>
  </conditionalFormatting>
  <conditionalFormatting sqref="Z64:AA64">
    <cfRule type="expression" dxfId="20" priority="169">
      <formula>#REF! ="64≠29+62"</formula>
    </cfRule>
  </conditionalFormatting>
  <conditionalFormatting sqref="Z80:AA80">
    <cfRule type="expression" dxfId="19" priority="179">
      <formula>#REF! ="80≠73+74+75+76+77+78+79"</formula>
    </cfRule>
  </conditionalFormatting>
  <conditionalFormatting sqref="Z87:AA87">
    <cfRule type="expression" dxfId="18" priority="180">
      <formula>#REF! ="88≠82+83+84+85+86+87"</formula>
    </cfRule>
  </conditionalFormatting>
  <conditionalFormatting sqref="Z93:AA93">
    <cfRule type="expression" dxfId="17" priority="171">
      <formula>#REF! = "94≠68+69+71+80+88+89+90+91+92"</formula>
    </cfRule>
    <cfRule type="expression" dxfId="16" priority="170">
      <formula>#REF! = "64≠94"</formula>
    </cfRule>
  </conditionalFormatting>
  <conditionalFormatting sqref="AC35:AD35">
    <cfRule type="expression" dxfId="15" priority="100">
      <formula>#REF! ="35≠36+38"</formula>
    </cfRule>
  </conditionalFormatting>
  <conditionalFormatting sqref="AC39:AD39">
    <cfRule type="expression" dxfId="14" priority="101">
      <formula>#REF! ="39≠40+41+42+43+44"</formula>
    </cfRule>
  </conditionalFormatting>
  <conditionalFormatting sqref="AC45:AD45">
    <cfRule type="expression" dxfId="13" priority="102">
      <formula>#REF! ="45≠33+34+35+39"</formula>
    </cfRule>
  </conditionalFormatting>
  <conditionalFormatting sqref="AC50:AD50">
    <cfRule type="expression" dxfId="12" priority="103">
      <formula>#REF! ="50≠51+53"</formula>
    </cfRule>
  </conditionalFormatting>
  <conditionalFormatting sqref="AC54:AD54">
    <cfRule type="expression" dxfId="11" priority="104">
      <formula>#REF! ="54≠55+56+57+58+59"</formula>
    </cfRule>
  </conditionalFormatting>
  <conditionalFormatting sqref="AC60:AD60">
    <cfRule type="expression" dxfId="10" priority="105">
      <formula>#REF! ="60≠48+49+50+54"</formula>
    </cfRule>
  </conditionalFormatting>
  <conditionalFormatting sqref="AC62:AD62">
    <cfRule type="expression" dxfId="9" priority="106">
      <formula>#REF! ="62≠45+46+60+61"</formula>
    </cfRule>
  </conditionalFormatting>
  <conditionalFormatting sqref="AC64:AD64">
    <cfRule type="expression" dxfId="8" priority="97">
      <formula>#REF! ="64≠29+62"</formula>
    </cfRule>
  </conditionalFormatting>
  <conditionalFormatting sqref="AC80:AD80">
    <cfRule type="expression" dxfId="7" priority="107">
      <formula>#REF! ="80≠73+74+75+76+77+78+79"</formula>
    </cfRule>
  </conditionalFormatting>
  <conditionalFormatting sqref="AC87:AD87">
    <cfRule type="expression" dxfId="6" priority="108">
      <formula>#REF! ="88≠82+83+84+85+86+87"</formula>
    </cfRule>
  </conditionalFormatting>
  <conditionalFormatting sqref="AC93:AD93">
    <cfRule type="expression" dxfId="5" priority="99">
      <formula>#REF! = "94≠68+69+71+80+88+89+90+91+92"</formula>
    </cfRule>
    <cfRule type="expression" dxfId="4" priority="98">
      <formula>#REF! = "64≠94"</formula>
    </cfRule>
  </conditionalFormatting>
  <conditionalFormatting sqref="AF93:AG93">
    <cfRule type="expression" dxfId="3" priority="432">
      <formula>#REF! = "64≠94"</formula>
    </cfRule>
    <cfRule type="expression" dxfId="2" priority="433">
      <formula>#REF! = "94≠68+69+71+80+88+89+90+91+92"</formula>
    </cfRule>
  </conditionalFormatting>
  <conditionalFormatting sqref="AG83">
    <cfRule type="expression" dxfId="1" priority="260">
      <formula>kvartal &lt; 4</formula>
    </cfRule>
  </conditionalFormatting>
  <conditionalFormatting sqref="AJ83">
    <cfRule type="expression" dxfId="0" priority="259">
      <formula>kvartal &lt; 4</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67B5-A844-47AB-BA92-DDA1529D92A0}">
  <sheetPr codeName="Ark43"/>
  <dimension ref="A1:AP17"/>
  <sheetViews>
    <sheetView showGridLines="0" zoomScale="70" zoomScaleNormal="70" workbookViewId="0">
      <pane xSplit="1" ySplit="8" topLeftCell="B9" activePane="bottomRight" state="frozen"/>
      <selection pane="topRight" activeCell="A42" sqref="A42"/>
      <selection pane="bottomLeft" activeCell="A42" sqref="A42"/>
      <selection pane="bottomRight" activeCell="A4" sqref="A4"/>
    </sheetView>
  </sheetViews>
  <sheetFormatPr baseColWidth="10" defaultColWidth="11.44140625" defaultRowHeight="13.2" x14ac:dyDescent="0.25"/>
  <cols>
    <col min="1" max="1" width="62" style="396" customWidth="1"/>
    <col min="2" max="31" width="11.6640625" style="396" customWidth="1"/>
    <col min="32" max="244" width="11.44140625" style="396"/>
    <col min="245" max="245" width="62" style="396" customWidth="1"/>
    <col min="246" max="281" width="11.6640625" style="396" customWidth="1"/>
    <col min="282" max="500" width="11.44140625" style="396"/>
    <col min="501" max="501" width="62" style="396" customWidth="1"/>
    <col min="502" max="537" width="11.6640625" style="396" customWidth="1"/>
    <col min="538" max="756" width="11.44140625" style="396"/>
    <col min="757" max="757" width="62" style="396" customWidth="1"/>
    <col min="758" max="793" width="11.6640625" style="396" customWidth="1"/>
    <col min="794" max="1012" width="11.44140625" style="396"/>
    <col min="1013" max="1013" width="62" style="396" customWidth="1"/>
    <col min="1014" max="1049" width="11.6640625" style="396" customWidth="1"/>
    <col min="1050" max="1268" width="11.44140625" style="396"/>
    <col min="1269" max="1269" width="62" style="396" customWidth="1"/>
    <col min="1270" max="1305" width="11.6640625" style="396" customWidth="1"/>
    <col min="1306" max="1524" width="11.44140625" style="396"/>
    <col min="1525" max="1525" width="62" style="396" customWidth="1"/>
    <col min="1526" max="1561" width="11.6640625" style="396" customWidth="1"/>
    <col min="1562" max="1780" width="11.44140625" style="396"/>
    <col min="1781" max="1781" width="62" style="396" customWidth="1"/>
    <col min="1782" max="1817" width="11.6640625" style="396" customWidth="1"/>
    <col min="1818" max="2036" width="11.44140625" style="396"/>
    <col min="2037" max="2037" width="62" style="396" customWidth="1"/>
    <col min="2038" max="2073" width="11.6640625" style="396" customWidth="1"/>
    <col min="2074" max="2292" width="11.44140625" style="396"/>
    <col min="2293" max="2293" width="62" style="396" customWidth="1"/>
    <col min="2294" max="2329" width="11.6640625" style="396" customWidth="1"/>
    <col min="2330" max="2548" width="11.44140625" style="396"/>
    <col min="2549" max="2549" width="62" style="396" customWidth="1"/>
    <col min="2550" max="2585" width="11.6640625" style="396" customWidth="1"/>
    <col min="2586" max="2804" width="11.44140625" style="396"/>
    <col min="2805" max="2805" width="62" style="396" customWidth="1"/>
    <col min="2806" max="2841" width="11.6640625" style="396" customWidth="1"/>
    <col min="2842" max="3060" width="11.44140625" style="396"/>
    <col min="3061" max="3061" width="62" style="396" customWidth="1"/>
    <col min="3062" max="3097" width="11.6640625" style="396" customWidth="1"/>
    <col min="3098" max="3316" width="11.44140625" style="396"/>
    <col min="3317" max="3317" width="62" style="396" customWidth="1"/>
    <col min="3318" max="3353" width="11.6640625" style="396" customWidth="1"/>
    <col min="3354" max="3572" width="11.44140625" style="396"/>
    <col min="3573" max="3573" width="62" style="396" customWidth="1"/>
    <col min="3574" max="3609" width="11.6640625" style="396" customWidth="1"/>
    <col min="3610" max="3828" width="11.44140625" style="396"/>
    <col min="3829" max="3829" width="62" style="396" customWidth="1"/>
    <col min="3830" max="3865" width="11.6640625" style="396" customWidth="1"/>
    <col min="3866" max="4084" width="11.44140625" style="396"/>
    <col min="4085" max="4085" width="62" style="396" customWidth="1"/>
    <col min="4086" max="4121" width="11.6640625" style="396" customWidth="1"/>
    <col min="4122" max="4340" width="11.44140625" style="396"/>
    <col min="4341" max="4341" width="62" style="396" customWidth="1"/>
    <col min="4342" max="4377" width="11.6640625" style="396" customWidth="1"/>
    <col min="4378" max="4596" width="11.44140625" style="396"/>
    <col min="4597" max="4597" width="62" style="396" customWidth="1"/>
    <col min="4598" max="4633" width="11.6640625" style="396" customWidth="1"/>
    <col min="4634" max="4852" width="11.44140625" style="396"/>
    <col min="4853" max="4853" width="62" style="396" customWidth="1"/>
    <col min="4854" max="4889" width="11.6640625" style="396" customWidth="1"/>
    <col min="4890" max="5108" width="11.44140625" style="396"/>
    <col min="5109" max="5109" width="62" style="396" customWidth="1"/>
    <col min="5110" max="5145" width="11.6640625" style="396" customWidth="1"/>
    <col min="5146" max="5364" width="11.44140625" style="396"/>
    <col min="5365" max="5365" width="62" style="396" customWidth="1"/>
    <col min="5366" max="5401" width="11.6640625" style="396" customWidth="1"/>
    <col min="5402" max="5620" width="11.44140625" style="396"/>
    <col min="5621" max="5621" width="62" style="396" customWidth="1"/>
    <col min="5622" max="5657" width="11.6640625" style="396" customWidth="1"/>
    <col min="5658" max="5876" width="11.44140625" style="396"/>
    <col min="5877" max="5877" width="62" style="396" customWidth="1"/>
    <col min="5878" max="5913" width="11.6640625" style="396" customWidth="1"/>
    <col min="5914" max="6132" width="11.44140625" style="396"/>
    <col min="6133" max="6133" width="62" style="396" customWidth="1"/>
    <col min="6134" max="6169" width="11.6640625" style="396" customWidth="1"/>
    <col min="6170" max="6388" width="11.44140625" style="396"/>
    <col min="6389" max="6389" width="62" style="396" customWidth="1"/>
    <col min="6390" max="6425" width="11.6640625" style="396" customWidth="1"/>
    <col min="6426" max="6644" width="11.44140625" style="396"/>
    <col min="6645" max="6645" width="62" style="396" customWidth="1"/>
    <col min="6646" max="6681" width="11.6640625" style="396" customWidth="1"/>
    <col min="6682" max="6900" width="11.44140625" style="396"/>
    <col min="6901" max="6901" width="62" style="396" customWidth="1"/>
    <col min="6902" max="6937" width="11.6640625" style="396" customWidth="1"/>
    <col min="6938" max="7156" width="11.44140625" style="396"/>
    <col min="7157" max="7157" width="62" style="396" customWidth="1"/>
    <col min="7158" max="7193" width="11.6640625" style="396" customWidth="1"/>
    <col min="7194" max="7412" width="11.44140625" style="396"/>
    <col min="7413" max="7413" width="62" style="396" customWidth="1"/>
    <col min="7414" max="7449" width="11.6640625" style="396" customWidth="1"/>
    <col min="7450" max="7668" width="11.44140625" style="396"/>
    <col min="7669" max="7669" width="62" style="396" customWidth="1"/>
    <col min="7670" max="7705" width="11.6640625" style="396" customWidth="1"/>
    <col min="7706" max="7924" width="11.44140625" style="396"/>
    <col min="7925" max="7925" width="62" style="396" customWidth="1"/>
    <col min="7926" max="7961" width="11.6640625" style="396" customWidth="1"/>
    <col min="7962" max="8180" width="11.44140625" style="396"/>
    <col min="8181" max="8181" width="62" style="396" customWidth="1"/>
    <col min="8182" max="8217" width="11.6640625" style="396" customWidth="1"/>
    <col min="8218" max="8436" width="11.44140625" style="396"/>
    <col min="8437" max="8437" width="62" style="396" customWidth="1"/>
    <col min="8438" max="8473" width="11.6640625" style="396" customWidth="1"/>
    <col min="8474" max="8692" width="11.44140625" style="396"/>
    <col min="8693" max="8693" width="62" style="396" customWidth="1"/>
    <col min="8694" max="8729" width="11.6640625" style="396" customWidth="1"/>
    <col min="8730" max="8948" width="11.44140625" style="396"/>
    <col min="8949" max="8949" width="62" style="396" customWidth="1"/>
    <col min="8950" max="8985" width="11.6640625" style="396" customWidth="1"/>
    <col min="8986" max="9204" width="11.44140625" style="396"/>
    <col min="9205" max="9205" width="62" style="396" customWidth="1"/>
    <col min="9206" max="9241" width="11.6640625" style="396" customWidth="1"/>
    <col min="9242" max="9460" width="11.44140625" style="396"/>
    <col min="9461" max="9461" width="62" style="396" customWidth="1"/>
    <col min="9462" max="9497" width="11.6640625" style="396" customWidth="1"/>
    <col min="9498" max="9716" width="11.44140625" style="396"/>
    <col min="9717" max="9717" width="62" style="396" customWidth="1"/>
    <col min="9718" max="9753" width="11.6640625" style="396" customWidth="1"/>
    <col min="9754" max="9972" width="11.44140625" style="396"/>
    <col min="9973" max="9973" width="62" style="396" customWidth="1"/>
    <col min="9974" max="10009" width="11.6640625" style="396" customWidth="1"/>
    <col min="10010" max="10228" width="11.44140625" style="396"/>
    <col min="10229" max="10229" width="62" style="396" customWidth="1"/>
    <col min="10230" max="10265" width="11.6640625" style="396" customWidth="1"/>
    <col min="10266" max="10484" width="11.44140625" style="396"/>
    <col min="10485" max="10485" width="62" style="396" customWidth="1"/>
    <col min="10486" max="10521" width="11.6640625" style="396" customWidth="1"/>
    <col min="10522" max="10740" width="11.44140625" style="396"/>
    <col min="10741" max="10741" width="62" style="396" customWidth="1"/>
    <col min="10742" max="10777" width="11.6640625" style="396" customWidth="1"/>
    <col min="10778" max="10996" width="11.44140625" style="396"/>
    <col min="10997" max="10997" width="62" style="396" customWidth="1"/>
    <col min="10998" max="11033" width="11.6640625" style="396" customWidth="1"/>
    <col min="11034" max="11252" width="11.44140625" style="396"/>
    <col min="11253" max="11253" width="62" style="396" customWidth="1"/>
    <col min="11254" max="11289" width="11.6640625" style="396" customWidth="1"/>
    <col min="11290" max="11508" width="11.44140625" style="396"/>
    <col min="11509" max="11509" width="62" style="396" customWidth="1"/>
    <col min="11510" max="11545" width="11.6640625" style="396" customWidth="1"/>
    <col min="11546" max="11764" width="11.44140625" style="396"/>
    <col min="11765" max="11765" width="62" style="396" customWidth="1"/>
    <col min="11766" max="11801" width="11.6640625" style="396" customWidth="1"/>
    <col min="11802" max="12020" width="11.44140625" style="396"/>
    <col min="12021" max="12021" width="62" style="396" customWidth="1"/>
    <col min="12022" max="12057" width="11.6640625" style="396" customWidth="1"/>
    <col min="12058" max="12276" width="11.44140625" style="396"/>
    <col min="12277" max="12277" width="62" style="396" customWidth="1"/>
    <col min="12278" max="12313" width="11.6640625" style="396" customWidth="1"/>
    <col min="12314" max="12532" width="11.44140625" style="396"/>
    <col min="12533" max="12533" width="62" style="396" customWidth="1"/>
    <col min="12534" max="12569" width="11.6640625" style="396" customWidth="1"/>
    <col min="12570" max="12788" width="11.44140625" style="396"/>
    <col min="12789" max="12789" width="62" style="396" customWidth="1"/>
    <col min="12790" max="12825" width="11.6640625" style="396" customWidth="1"/>
    <col min="12826" max="13044" width="11.44140625" style="396"/>
    <col min="13045" max="13045" width="62" style="396" customWidth="1"/>
    <col min="13046" max="13081" width="11.6640625" style="396" customWidth="1"/>
    <col min="13082" max="13300" width="11.44140625" style="396"/>
    <col min="13301" max="13301" width="62" style="396" customWidth="1"/>
    <col min="13302" max="13337" width="11.6640625" style="396" customWidth="1"/>
    <col min="13338" max="13556" width="11.44140625" style="396"/>
    <col min="13557" max="13557" width="62" style="396" customWidth="1"/>
    <col min="13558" max="13593" width="11.6640625" style="396" customWidth="1"/>
    <col min="13594" max="13812" width="11.44140625" style="396"/>
    <col min="13813" max="13813" width="62" style="396" customWidth="1"/>
    <col min="13814" max="13849" width="11.6640625" style="396" customWidth="1"/>
    <col min="13850" max="14068" width="11.44140625" style="396"/>
    <col min="14069" max="14069" width="62" style="396" customWidth="1"/>
    <col min="14070" max="14105" width="11.6640625" style="396" customWidth="1"/>
    <col min="14106" max="14324" width="11.44140625" style="396"/>
    <col min="14325" max="14325" width="62" style="396" customWidth="1"/>
    <col min="14326" max="14361" width="11.6640625" style="396" customWidth="1"/>
    <col min="14362" max="14580" width="11.44140625" style="396"/>
    <col min="14581" max="14581" width="62" style="396" customWidth="1"/>
    <col min="14582" max="14617" width="11.6640625" style="396" customWidth="1"/>
    <col min="14618" max="14836" width="11.44140625" style="396"/>
    <col min="14837" max="14837" width="62" style="396" customWidth="1"/>
    <col min="14838" max="14873" width="11.6640625" style="396" customWidth="1"/>
    <col min="14874" max="15092" width="11.44140625" style="396"/>
    <col min="15093" max="15093" width="62" style="396" customWidth="1"/>
    <col min="15094" max="15129" width="11.6640625" style="396" customWidth="1"/>
    <col min="15130" max="15348" width="11.44140625" style="396"/>
    <col min="15349" max="15349" width="62" style="396" customWidth="1"/>
    <col min="15350" max="15385" width="11.6640625" style="396" customWidth="1"/>
    <col min="15386" max="15604" width="11.44140625" style="396"/>
    <col min="15605" max="15605" width="62" style="396" customWidth="1"/>
    <col min="15606" max="15641" width="11.6640625" style="396" customWidth="1"/>
    <col min="15642" max="15860" width="11.44140625" style="396"/>
    <col min="15861" max="15861" width="62" style="396" customWidth="1"/>
    <col min="15862" max="15897" width="11.6640625" style="396" customWidth="1"/>
    <col min="15898" max="16116" width="11.44140625" style="396"/>
    <col min="16117" max="16117" width="62" style="396" customWidth="1"/>
    <col min="16118" max="16153" width="11.6640625" style="396" customWidth="1"/>
    <col min="16154" max="16384" width="11.44140625" style="396"/>
  </cols>
  <sheetData>
    <row r="1" spans="1:42" ht="20.399999999999999" x14ac:dyDescent="0.35">
      <c r="A1" s="395" t="s">
        <v>293</v>
      </c>
    </row>
    <row r="2" spans="1:42" ht="20.399999999999999" x14ac:dyDescent="0.35">
      <c r="A2" s="395" t="s">
        <v>41</v>
      </c>
      <c r="C2" s="567"/>
    </row>
    <row r="3" spans="1:42" ht="17.399999999999999" x14ac:dyDescent="0.3">
      <c r="A3" s="397" t="s">
        <v>373</v>
      </c>
    </row>
    <row r="4" spans="1:42" ht="17.399999999999999" x14ac:dyDescent="0.3">
      <c r="A4" s="398" t="s">
        <v>153</v>
      </c>
      <c r="B4" s="399"/>
      <c r="C4" s="400"/>
      <c r="D4" s="401"/>
      <c r="E4" s="400"/>
      <c r="F4" s="400"/>
      <c r="G4" s="401"/>
      <c r="H4" s="400"/>
      <c r="I4" s="400"/>
      <c r="J4" s="401"/>
      <c r="K4" s="399"/>
      <c r="L4" s="400"/>
      <c r="M4" s="401"/>
      <c r="N4" s="399"/>
      <c r="O4" s="400"/>
      <c r="P4" s="401"/>
      <c r="Q4" s="399"/>
      <c r="R4" s="400"/>
      <c r="S4" s="401"/>
      <c r="T4" s="399"/>
      <c r="U4" s="400"/>
      <c r="V4" s="401"/>
      <c r="W4" s="399"/>
      <c r="X4" s="400"/>
      <c r="Y4" s="401"/>
      <c r="Z4" s="399"/>
      <c r="AA4" s="400"/>
      <c r="AB4" s="401"/>
      <c r="AC4" s="399"/>
      <c r="AD4" s="402"/>
      <c r="AE4" s="401"/>
      <c r="AF4" s="403"/>
      <c r="AG4" s="403"/>
      <c r="AH4" s="403"/>
      <c r="AI4" s="403"/>
      <c r="AJ4" s="403"/>
      <c r="AK4" s="403"/>
      <c r="AL4" s="403"/>
      <c r="AM4" s="403"/>
      <c r="AN4" s="403"/>
      <c r="AO4" s="403"/>
      <c r="AP4" s="403"/>
    </row>
    <row r="5" spans="1:42" ht="17.399999999999999" x14ac:dyDescent="0.3">
      <c r="A5" s="404"/>
      <c r="B5" s="603" t="s">
        <v>228</v>
      </c>
      <c r="C5" s="604"/>
      <c r="D5" s="605"/>
      <c r="E5" s="510"/>
      <c r="F5" s="510"/>
      <c r="G5" s="511"/>
      <c r="H5" s="603" t="s">
        <v>229</v>
      </c>
      <c r="I5" s="604"/>
      <c r="J5" s="605"/>
      <c r="K5" s="603" t="s">
        <v>230</v>
      </c>
      <c r="L5" s="604"/>
      <c r="M5" s="605"/>
      <c r="N5" s="536" t="s">
        <v>294</v>
      </c>
      <c r="O5" s="510"/>
      <c r="P5" s="511"/>
      <c r="Q5" s="536"/>
      <c r="R5" s="510"/>
      <c r="S5" s="511"/>
      <c r="T5" s="603" t="s">
        <v>231</v>
      </c>
      <c r="U5" s="604"/>
      <c r="V5" s="605"/>
      <c r="W5" s="603" t="s">
        <v>239</v>
      </c>
      <c r="X5" s="604"/>
      <c r="Y5" s="605"/>
      <c r="Z5" s="603" t="s">
        <v>232</v>
      </c>
      <c r="AA5" s="604"/>
      <c r="AB5" s="605"/>
      <c r="AC5" s="603" t="s">
        <v>234</v>
      </c>
      <c r="AD5" s="604"/>
      <c r="AE5" s="605"/>
      <c r="AF5" s="513"/>
      <c r="AG5" s="513"/>
      <c r="AH5" s="606"/>
      <c r="AI5" s="606"/>
      <c r="AJ5" s="606"/>
      <c r="AK5" s="606"/>
      <c r="AL5" s="606"/>
      <c r="AM5" s="606"/>
      <c r="AN5" s="606"/>
      <c r="AO5" s="606"/>
      <c r="AP5" s="606"/>
    </row>
    <row r="6" spans="1:42" ht="17.399999999999999" x14ac:dyDescent="0.3">
      <c r="A6" s="405"/>
      <c r="B6" s="607" t="s">
        <v>235</v>
      </c>
      <c r="C6" s="608"/>
      <c r="D6" s="609"/>
      <c r="E6" s="607" t="s">
        <v>94</v>
      </c>
      <c r="F6" s="608"/>
      <c r="G6" s="609"/>
      <c r="H6" s="607" t="s">
        <v>235</v>
      </c>
      <c r="I6" s="608"/>
      <c r="J6" s="609"/>
      <c r="K6" s="607" t="s">
        <v>237</v>
      </c>
      <c r="L6" s="608"/>
      <c r="M6" s="609"/>
      <c r="N6" s="607" t="s">
        <v>54</v>
      </c>
      <c r="O6" s="608"/>
      <c r="P6" s="609"/>
      <c r="Q6" s="607" t="s">
        <v>59</v>
      </c>
      <c r="R6" s="608"/>
      <c r="S6" s="609"/>
      <c r="T6" s="607" t="s">
        <v>238</v>
      </c>
      <c r="U6" s="608"/>
      <c r="V6" s="609"/>
      <c r="W6" s="607" t="s">
        <v>295</v>
      </c>
      <c r="X6" s="608"/>
      <c r="Y6" s="609"/>
      <c r="Z6" s="607" t="s">
        <v>235</v>
      </c>
      <c r="AA6" s="608"/>
      <c r="AB6" s="609"/>
      <c r="AC6" s="607" t="s">
        <v>240</v>
      </c>
      <c r="AD6" s="608"/>
      <c r="AE6" s="609"/>
      <c r="AF6" s="513"/>
      <c r="AG6" s="513"/>
      <c r="AH6" s="606"/>
      <c r="AI6" s="606"/>
      <c r="AJ6" s="606"/>
      <c r="AK6" s="606"/>
      <c r="AL6" s="606"/>
      <c r="AM6" s="606"/>
      <c r="AN6" s="606"/>
      <c r="AO6" s="606"/>
      <c r="AP6" s="606"/>
    </row>
    <row r="7" spans="1:42" ht="17.399999999999999" x14ac:dyDescent="0.3">
      <c r="A7" s="405"/>
      <c r="B7" s="406"/>
      <c r="C7" s="406"/>
      <c r="D7" s="407" t="s">
        <v>84</v>
      </c>
      <c r="E7" s="406"/>
      <c r="F7" s="406"/>
      <c r="G7" s="407" t="s">
        <v>84</v>
      </c>
      <c r="H7" s="406"/>
      <c r="I7" s="406"/>
      <c r="J7" s="407" t="s">
        <v>84</v>
      </c>
      <c r="K7" s="406"/>
      <c r="L7" s="406"/>
      <c r="M7" s="407" t="s">
        <v>84</v>
      </c>
      <c r="N7" s="406"/>
      <c r="O7" s="406"/>
      <c r="P7" s="407" t="s">
        <v>84</v>
      </c>
      <c r="Q7" s="406"/>
      <c r="R7" s="406"/>
      <c r="S7" s="407" t="s">
        <v>84</v>
      </c>
      <c r="T7" s="406"/>
      <c r="U7" s="406"/>
      <c r="V7" s="407" t="s">
        <v>84</v>
      </c>
      <c r="W7" s="406"/>
      <c r="X7" s="406"/>
      <c r="Y7" s="407" t="s">
        <v>84</v>
      </c>
      <c r="Z7" s="406"/>
      <c r="AA7" s="406"/>
      <c r="AB7" s="407" t="s">
        <v>84</v>
      </c>
      <c r="AC7" s="406"/>
      <c r="AD7" s="406"/>
      <c r="AE7" s="407" t="s">
        <v>84</v>
      </c>
      <c r="AF7" s="513"/>
      <c r="AG7" s="513"/>
      <c r="AH7" s="513"/>
      <c r="AI7" s="513"/>
      <c r="AJ7" s="513"/>
      <c r="AK7" s="513"/>
      <c r="AL7" s="513"/>
      <c r="AM7" s="513"/>
      <c r="AN7" s="513"/>
      <c r="AO7" s="513"/>
      <c r="AP7" s="513"/>
    </row>
    <row r="8" spans="1:42" ht="16.2" x14ac:dyDescent="0.35">
      <c r="A8" s="408" t="s">
        <v>242</v>
      </c>
      <c r="B8" s="409">
        <v>2025</v>
      </c>
      <c r="C8" s="409">
        <v>2026</v>
      </c>
      <c r="D8" s="410" t="s">
        <v>87</v>
      </c>
      <c r="E8" s="409">
        <f>$B$8</f>
        <v>2025</v>
      </c>
      <c r="F8" s="409">
        <f>$C$8</f>
        <v>2026</v>
      </c>
      <c r="G8" s="410" t="s">
        <v>87</v>
      </c>
      <c r="H8" s="409">
        <f>$B$8</f>
        <v>2025</v>
      </c>
      <c r="I8" s="409">
        <f>$C$8</f>
        <v>2026</v>
      </c>
      <c r="J8" s="410" t="s">
        <v>87</v>
      </c>
      <c r="K8" s="409">
        <f>$B$8</f>
        <v>2025</v>
      </c>
      <c r="L8" s="409">
        <f>$C$8</f>
        <v>2026</v>
      </c>
      <c r="M8" s="410" t="s">
        <v>87</v>
      </c>
      <c r="N8" s="409">
        <f>$B$8</f>
        <v>2025</v>
      </c>
      <c r="O8" s="409">
        <f>$C$8</f>
        <v>2026</v>
      </c>
      <c r="P8" s="410" t="s">
        <v>87</v>
      </c>
      <c r="Q8" s="409">
        <f>$B$8</f>
        <v>2025</v>
      </c>
      <c r="R8" s="409">
        <f>$C$8</f>
        <v>2026</v>
      </c>
      <c r="S8" s="410" t="s">
        <v>87</v>
      </c>
      <c r="T8" s="409">
        <f>$B$8</f>
        <v>2025</v>
      </c>
      <c r="U8" s="409">
        <f>$C$8</f>
        <v>2026</v>
      </c>
      <c r="V8" s="410" t="s">
        <v>87</v>
      </c>
      <c r="W8" s="409">
        <f>$B$8</f>
        <v>2025</v>
      </c>
      <c r="X8" s="409">
        <f>$C$8</f>
        <v>2026</v>
      </c>
      <c r="Y8" s="410" t="s">
        <v>87</v>
      </c>
      <c r="Z8" s="409">
        <f>$B$8</f>
        <v>2025</v>
      </c>
      <c r="AA8" s="409">
        <f>$C$8</f>
        <v>2026</v>
      </c>
      <c r="AB8" s="410" t="s">
        <v>87</v>
      </c>
      <c r="AC8" s="409">
        <f>$B$8</f>
        <v>2025</v>
      </c>
      <c r="AD8" s="409">
        <f>$C$8</f>
        <v>2026</v>
      </c>
      <c r="AE8" s="410" t="s">
        <v>87</v>
      </c>
      <c r="AF8" s="412"/>
      <c r="AG8" s="411"/>
      <c r="AH8" s="412"/>
      <c r="AI8" s="412"/>
      <c r="AJ8" s="411"/>
      <c r="AK8" s="412"/>
      <c r="AL8" s="412"/>
      <c r="AM8" s="411"/>
      <c r="AN8" s="412"/>
      <c r="AO8" s="412"/>
      <c r="AP8" s="411"/>
    </row>
    <row r="9" spans="1:42" ht="18" x14ac:dyDescent="0.35">
      <c r="A9" s="413"/>
      <c r="B9" s="420"/>
      <c r="C9" s="420"/>
      <c r="D9" s="420"/>
      <c r="E9" s="420"/>
      <c r="F9" s="420"/>
      <c r="G9" s="420"/>
      <c r="H9" s="420"/>
      <c r="I9" s="420"/>
      <c r="J9" s="420"/>
      <c r="K9" s="420"/>
      <c r="L9" s="420"/>
      <c r="M9" s="420"/>
      <c r="N9" s="420"/>
      <c r="O9" s="420"/>
      <c r="P9" s="420"/>
      <c r="Q9" s="420"/>
      <c r="R9" s="390"/>
      <c r="S9" s="420"/>
      <c r="T9" s="420"/>
      <c r="U9" s="420"/>
      <c r="V9" s="420"/>
      <c r="W9" s="420"/>
      <c r="X9" s="420"/>
      <c r="Y9" s="420"/>
      <c r="Z9" s="420"/>
      <c r="AA9" s="420"/>
      <c r="AB9" s="420"/>
      <c r="AC9" s="414"/>
      <c r="AD9" s="414"/>
      <c r="AE9" s="414"/>
    </row>
    <row r="10" spans="1:42" ht="18" x14ac:dyDescent="0.35">
      <c r="A10" s="416" t="s">
        <v>376</v>
      </c>
      <c r="B10" s="420"/>
      <c r="C10" s="420"/>
      <c r="D10" s="420"/>
      <c r="E10" s="420"/>
      <c r="F10" s="420"/>
      <c r="G10" s="420"/>
      <c r="H10" s="420"/>
      <c r="I10" s="420"/>
      <c r="J10" s="420"/>
      <c r="K10" s="420"/>
      <c r="L10" s="420"/>
      <c r="M10" s="420"/>
      <c r="N10" s="420"/>
      <c r="O10" s="545">
        <v>0.81875369116513053</v>
      </c>
      <c r="P10" s="420"/>
      <c r="Q10" s="420"/>
      <c r="R10" s="390"/>
      <c r="S10" s="420"/>
      <c r="T10" s="390"/>
      <c r="U10" s="390"/>
      <c r="V10" s="420"/>
      <c r="W10" s="390"/>
      <c r="X10" s="390"/>
      <c r="Y10" s="420"/>
      <c r="Z10" s="390"/>
      <c r="AA10" s="390"/>
      <c r="AB10" s="420"/>
      <c r="AC10" s="420"/>
      <c r="AD10" s="420"/>
      <c r="AE10" s="421"/>
    </row>
    <row r="11" spans="1:42" ht="18" x14ac:dyDescent="0.35">
      <c r="A11" s="520" t="s">
        <v>377</v>
      </c>
      <c r="B11" s="420">
        <v>0.95</v>
      </c>
      <c r="C11" s="420">
        <v>1.02</v>
      </c>
      <c r="D11" s="421">
        <f>IF(B11=0, "    ---- ", IF(ABS(ROUND(100/B11*C11-100,1))&lt;999,ROUND(100/B11*C11-100,1),IF(ROUND(100/B11*C11-100,1)&gt;999,999,-999)))</f>
        <v>7.4</v>
      </c>
      <c r="E11" s="549">
        <v>0.69</v>
      </c>
      <c r="F11" s="549">
        <v>0.1</v>
      </c>
      <c r="G11" s="420"/>
      <c r="H11" s="420"/>
      <c r="I11" s="420"/>
      <c r="J11" s="420"/>
      <c r="K11" s="420">
        <v>0.96</v>
      </c>
      <c r="L11" s="420">
        <v>0.89</v>
      </c>
      <c r="M11" s="420"/>
      <c r="N11" s="420">
        <v>0</v>
      </c>
      <c r="O11" s="545">
        <v>0.31702537514715079</v>
      </c>
      <c r="P11" s="420"/>
      <c r="Q11" s="420">
        <v>0.6</v>
      </c>
      <c r="R11" s="390">
        <v>0.5</v>
      </c>
      <c r="S11" s="420"/>
      <c r="T11" s="390">
        <v>0.3</v>
      </c>
      <c r="U11" s="390">
        <v>-0.3</v>
      </c>
      <c r="V11" s="420"/>
      <c r="W11" s="390">
        <v>0.79512423676055799</v>
      </c>
      <c r="X11" s="390">
        <v>0.26271113084426201</v>
      </c>
      <c r="Y11" s="420"/>
      <c r="Z11" s="540">
        <v>0.47362433778306301</v>
      </c>
      <c r="AA11" s="390">
        <v>0.42932829677742002</v>
      </c>
      <c r="AB11" s="420"/>
      <c r="AC11" s="421"/>
      <c r="AD11" s="421"/>
      <c r="AE11" s="421"/>
    </row>
    <row r="12" spans="1:42" ht="18" x14ac:dyDescent="0.35">
      <c r="A12" s="416"/>
      <c r="B12" s="420"/>
      <c r="C12" s="420"/>
      <c r="D12" s="420"/>
      <c r="E12" s="549"/>
      <c r="F12" s="420"/>
      <c r="G12" s="420"/>
      <c r="H12" s="420"/>
      <c r="I12" s="420"/>
      <c r="J12" s="420"/>
      <c r="K12" s="420"/>
      <c r="L12" s="420"/>
      <c r="M12" s="420"/>
      <c r="N12" s="420"/>
      <c r="O12" s="545"/>
      <c r="P12" s="420"/>
      <c r="Q12" s="420"/>
      <c r="R12" s="390"/>
      <c r="S12" s="420"/>
      <c r="T12" s="390"/>
      <c r="U12" s="390"/>
      <c r="V12" s="420"/>
      <c r="W12" s="390"/>
      <c r="X12" s="390"/>
      <c r="Y12" s="420"/>
      <c r="Z12" s="390"/>
      <c r="AA12" s="390"/>
      <c r="AB12" s="420"/>
      <c r="AC12" s="420"/>
      <c r="AD12" s="420"/>
      <c r="AE12" s="420"/>
    </row>
    <row r="13" spans="1:42" ht="18" x14ac:dyDescent="0.35">
      <c r="A13" s="416" t="s">
        <v>378</v>
      </c>
      <c r="B13" s="420">
        <v>18.22</v>
      </c>
      <c r="C13" s="420">
        <v>17</v>
      </c>
      <c r="D13" s="421">
        <f>IF(B13=0, "    ---- ", IF(ABS(ROUND(100/B13*C13-100,1))&lt;999,ROUND(100/B13*C13-100,1),IF(ROUND(100/B13*C13-100,1)&gt;999,999,-999)))</f>
        <v>-6.7</v>
      </c>
      <c r="E13" s="549">
        <v>27.230863557092267</v>
      </c>
      <c r="F13" s="420">
        <v>26.990932488955693</v>
      </c>
      <c r="G13" s="421">
        <f>IF(E13=0, "    ---- ", IF(ABS(ROUND(100/E13*F13-100,1))&lt;999,ROUND(100/E13*F13-100,1),IF(ROUND(100/E13*F13-100,1)&gt;999,999,-999)))</f>
        <v>-0.9</v>
      </c>
      <c r="H13" s="420">
        <v>23.7</v>
      </c>
      <c r="I13" s="420">
        <v>24.2</v>
      </c>
      <c r="J13" s="421">
        <f>IF(H13=0, "    ---- ", IF(ABS(ROUND(100/H13*I13-100,1))&lt;999,ROUND(100/H13*I13-100,1),IF(ROUND(100/H13*I13-100,1)&gt;999,999,-999)))</f>
        <v>2.1</v>
      </c>
      <c r="K13" s="420">
        <v>7.56</v>
      </c>
      <c r="L13" s="420">
        <v>12.87</v>
      </c>
      <c r="M13" s="421">
        <f>IF(K13=0, "    ---- ", IF(ABS(ROUND(100/K13*L13-100,1))&lt;999,ROUND(100/K13*L13-100,1),IF(ROUND(100/K13*L13-100,1)&gt;999,999,-999)))</f>
        <v>70.2</v>
      </c>
      <c r="N13" s="420">
        <v>23.4</v>
      </c>
      <c r="O13" s="545">
        <v>22.2</v>
      </c>
      <c r="P13" s="421">
        <f>IF(N13=0, "    ---- ", IF(ABS(ROUND(100/N13*O13-100,1))&lt;999,ROUND(100/N13*O13-100,1),IF(ROUND(100/N13*O13-100,1)&gt;999,999,-999)))</f>
        <v>-5.0999999999999996</v>
      </c>
      <c r="Q13" s="420"/>
      <c r="R13" s="390"/>
      <c r="S13" s="421" t="str">
        <f>IF(Q13=0, "    ---- ", IF(ABS(ROUND(100/Q13*R13-100,1))&lt;999,ROUND(100/Q13*R13-100,1),IF(ROUND(100/Q13*R13-100,1)&gt;999,999,-999)))</f>
        <v xml:space="preserve">    ---- </v>
      </c>
      <c r="T13" s="415">
        <f>(1430+12100+32281-1362)/(91509+6140)*100</f>
        <v>45.519155342092596</v>
      </c>
      <c r="U13" s="415">
        <f>(1430+13130+35272-1276)/(99720+7488)*100</f>
        <v>45.29139616446534</v>
      </c>
      <c r="V13" s="421">
        <f>IF(T13=0, "    ---- ", IF(ABS(ROUND(100/T13*U13-100,1))&lt;999,ROUND(100/T13*U13-100,1),IF(ROUND(100/T13*U13-100,1)&gt;999,999,-999)))</f>
        <v>-0.5</v>
      </c>
      <c r="W13" s="415">
        <v>39.021863657565682</v>
      </c>
      <c r="X13" s="390">
        <v>35.63466054637334</v>
      </c>
      <c r="Y13" s="421">
        <f>IF(W13=0, "    ---- ", IF(ABS(ROUND(100/W13*X13-100,1))&lt;999,ROUND(100/W13*X13-100,1),IF(ROUND(100/W13*X13-100,1)&gt;999,999,-999)))</f>
        <v>-8.6999999999999993</v>
      </c>
      <c r="Z13" s="415">
        <v>10.2700072537659</v>
      </c>
      <c r="AA13" s="390">
        <v>10.9738945650102</v>
      </c>
      <c r="AB13" s="421">
        <f>IF(Z13=0, "    ---- ", IF(ABS(ROUND(100/Z13*AA13-100,1))&lt;999,ROUND(100/Z13*AA13-100,1),IF(ROUND(100/Z13*AA13-100,1)&gt;999,999,-999)))</f>
        <v>6.9</v>
      </c>
      <c r="AC13" s="421">
        <f t="shared" ref="AC13:AD13" si="0">B13+E13+H13+K13+N13+Q13+T13+W13+Z13</f>
        <v>194.92188981051646</v>
      </c>
      <c r="AD13" s="421">
        <f t="shared" si="0"/>
        <v>195.16088376480459</v>
      </c>
      <c r="AE13" s="421">
        <f>IF(AC13=0, "    ---- ", IF(ABS(ROUND(100/AC13*AD13-100,1))&lt;999,ROUND(100/AC13*AD13-100,1),IF(ROUND(100/AC13*AD13-100,1)&gt;999,999,-999)))</f>
        <v>0.1</v>
      </c>
    </row>
    <row r="14" spans="1:42" ht="18" x14ac:dyDescent="0.35">
      <c r="A14" s="416"/>
      <c r="B14" s="420"/>
      <c r="C14" s="420"/>
      <c r="D14" s="420"/>
      <c r="E14" s="549"/>
      <c r="F14" s="420"/>
      <c r="G14" s="420"/>
      <c r="H14" s="420"/>
      <c r="I14" s="420"/>
      <c r="J14" s="420"/>
      <c r="K14" s="420"/>
      <c r="L14" s="420"/>
      <c r="M14" s="420"/>
      <c r="N14" s="420"/>
      <c r="O14" s="545"/>
      <c r="P14" s="420"/>
      <c r="Q14" s="420"/>
      <c r="R14" s="390"/>
      <c r="S14" s="420"/>
      <c r="T14" s="390"/>
      <c r="U14" s="390"/>
      <c r="V14" s="420"/>
      <c r="W14" s="390"/>
      <c r="X14" s="390"/>
      <c r="Y14" s="420"/>
      <c r="Z14" s="390"/>
      <c r="AA14" s="390"/>
      <c r="AB14" s="420"/>
      <c r="AC14" s="420"/>
      <c r="AD14" s="420"/>
      <c r="AE14" s="420"/>
    </row>
    <row r="15" spans="1:42" ht="18" x14ac:dyDescent="0.35">
      <c r="A15" s="416" t="s">
        <v>374</v>
      </c>
      <c r="B15" s="543">
        <v>7957</v>
      </c>
      <c r="C15" s="421">
        <v>9311.9410000000007</v>
      </c>
      <c r="D15" s="421">
        <f>IF(B15=0, "    ---- ", IF(ABS(ROUND(100/B15*C15-100,1))&lt;999,ROUND(100/B15*C15-100,1),IF(ROUND(100/B15*C15-100,1)&gt;999,999,-999)))</f>
        <v>17</v>
      </c>
      <c r="E15" s="543"/>
      <c r="F15" s="421"/>
      <c r="G15" s="421"/>
      <c r="H15" s="421"/>
      <c r="I15" s="421"/>
      <c r="J15" s="421"/>
      <c r="K15" s="421">
        <v>345</v>
      </c>
      <c r="L15" s="421">
        <v>448</v>
      </c>
      <c r="M15" s="421">
        <f>IF(K15=0, "    ---- ", IF(ABS(ROUND(100/K15*L15-100,1))&lt;999,ROUND(100/K15*L15-100,1),IF(ROUND(100/K15*L15-100,1)&gt;999,999,-999)))</f>
        <v>29.9</v>
      </c>
      <c r="N15" s="421">
        <v>118937.01029563999</v>
      </c>
      <c r="O15" s="379">
        <v>144580.97245873002</v>
      </c>
      <c r="P15" s="421">
        <f>IF(N15=0, "    ---- ", IF(ABS(ROUND(100/N15*O15-100,1))&lt;999,ROUND(100/N15*O15-100,1),IF(ROUND(100/N15*O15-100,1)&gt;999,999,-999)))</f>
        <v>21.6</v>
      </c>
      <c r="Q15" s="421">
        <v>5789</v>
      </c>
      <c r="R15" s="391">
        <v>6125</v>
      </c>
      <c r="S15" s="421">
        <f>IF(Q15=0, "    ---- ", IF(ABS(ROUND(100/Q15*R15-100,1))&lt;999,ROUND(100/Q15*R15-100,1),IF(ROUND(100/Q15*R15-100,1)&gt;999,999,-999)))</f>
        <v>5.8</v>
      </c>
      <c r="T15" s="424">
        <v>32281</v>
      </c>
      <c r="U15" s="391">
        <v>35272</v>
      </c>
      <c r="V15" s="421">
        <f>IF(T15=0, "    ---- ", IF(ABS(ROUND(100/T15*U15-100,1))&lt;999,ROUND(100/T15*U15-100,1),IF(ROUND(100/T15*U15-100,1)&gt;999,999,-999)))</f>
        <v>9.3000000000000007</v>
      </c>
      <c r="W15" s="424">
        <v>3708.06</v>
      </c>
      <c r="X15" s="391">
        <v>4059.3675000800013</v>
      </c>
      <c r="Y15" s="421">
        <f>IF(W15=0, "    ---- ", IF(ABS(ROUND(100/W15*X15-100,1))&lt;999,ROUND(100/W15*X15-100,1),IF(ROUND(100/W15*X15-100,1)&gt;999,999,-999)))</f>
        <v>9.5</v>
      </c>
      <c r="Z15" s="391">
        <v>14196.759435839998</v>
      </c>
      <c r="AA15" s="391">
        <v>16237.427566950006</v>
      </c>
      <c r="AB15" s="421">
        <f>IF(Z15=0, "    ---- ", IF(ABS(ROUND(100/Z15*AA15-100,1))&lt;999,ROUND(100/Z15*AA15-100,1),IF(ROUND(100/Z15*AA15-100,1)&gt;999,999,-999)))</f>
        <v>14.4</v>
      </c>
      <c r="AC15" s="421">
        <f>B15+E15+H15+K15+N15+Q15+T15+W15+Z15</f>
        <v>183213.82973147999</v>
      </c>
      <c r="AD15" s="421">
        <f>C15+F15+I15+L15+O15+R15+U15+X15+AA15</f>
        <v>216034.70852576001</v>
      </c>
      <c r="AE15" s="421">
        <f>IF(AC15=0, "    ---- ", IF(ABS(ROUND(100/AC15*AD15-100,1))&lt;999,ROUND(100/AC15*AD15-100,1),IF(ROUND(100/AC15*AD15-100,1)&gt;999,999,-999)))</f>
        <v>17.899999999999999</v>
      </c>
    </row>
    <row r="16" spans="1:42" ht="18" x14ac:dyDescent="0.35">
      <c r="A16" s="416"/>
      <c r="B16" s="421"/>
      <c r="C16" s="421"/>
      <c r="D16" s="421"/>
      <c r="E16" s="543"/>
      <c r="F16" s="421"/>
      <c r="G16" s="421"/>
      <c r="H16" s="421"/>
      <c r="I16" s="421"/>
      <c r="J16" s="421"/>
      <c r="K16" s="421"/>
      <c r="L16" s="543"/>
      <c r="M16" s="421"/>
      <c r="N16" s="421"/>
      <c r="O16" s="546"/>
      <c r="P16" s="421"/>
      <c r="Q16" s="421"/>
      <c r="R16" s="391"/>
      <c r="S16" s="421"/>
      <c r="T16" s="391"/>
      <c r="U16" s="391"/>
      <c r="V16" s="421"/>
      <c r="W16" s="391"/>
      <c r="X16" s="391"/>
      <c r="Y16" s="421"/>
      <c r="Z16" s="391"/>
      <c r="AA16" s="391"/>
      <c r="AB16" s="421"/>
      <c r="AC16" s="421"/>
      <c r="AD16" s="421"/>
      <c r="AE16" s="421"/>
    </row>
    <row r="17" spans="1:31" ht="18" x14ac:dyDescent="0.35">
      <c r="A17" s="417" t="s">
        <v>375</v>
      </c>
      <c r="B17" s="422">
        <v>-6289.0550000000003</v>
      </c>
      <c r="C17" s="422">
        <v>-7450.558</v>
      </c>
      <c r="D17" s="422">
        <f>IF(B17=0, "    ---- ", IF(ABS(ROUND(100/B17*C17-100,1))&lt;999,ROUND(100/B17*C17-100,1),IF(ROUND(100/B17*C17-100,1)&gt;999,999,-999)))</f>
        <v>18.5</v>
      </c>
      <c r="E17" s="550">
        <v>1.8</v>
      </c>
      <c r="F17" s="551">
        <v>2.41</v>
      </c>
      <c r="G17" s="422">
        <f>IF(E17=0, "    ---- ", IF(ABS(ROUND(100/E17*F17-100,1))&lt;999,ROUND(100/E17*F17-100,1),IF(ROUND(100/E17*F17-100,1)&gt;999,999,-999)))</f>
        <v>33.9</v>
      </c>
      <c r="H17" s="422"/>
      <c r="I17" s="422"/>
      <c r="J17" s="422"/>
      <c r="K17" s="422">
        <v>-14.4</v>
      </c>
      <c r="L17" s="422">
        <v>-13</v>
      </c>
      <c r="M17" s="422">
        <f>IF(K17=0, "    ---- ", IF(ABS(ROUND(100/K17*L17-100,1))&lt;999,ROUND(100/K17*L17-100,1),IF(ROUND(100/K17*L17-100,1)&gt;999,999,-999)))</f>
        <v>-9.6999999999999993</v>
      </c>
      <c r="N17" s="422">
        <v>-742</v>
      </c>
      <c r="O17" s="547">
        <v>-295.89568600000007</v>
      </c>
      <c r="P17" s="422">
        <f>IF(N17=0, "    ---- ", IF(ABS(ROUND(100/N17*O17-100,1))&lt;999,ROUND(100/N17*O17-100,1),IF(ROUND(100/N17*O17-100,1)&gt;999,999,-999)))</f>
        <v>-60.1</v>
      </c>
      <c r="Q17" s="422">
        <v>-2948</v>
      </c>
      <c r="R17" s="392">
        <v>-3186</v>
      </c>
      <c r="S17" s="422">
        <f>IF(Q17=0, "    ---- ", IF(ABS(ROUND(100/Q17*R17-100,1))&lt;999,ROUND(100/Q17*R17-100,1),IF(ROUND(100/Q17*R17-100,1)&gt;999,999,-999)))</f>
        <v>8.1</v>
      </c>
      <c r="T17" s="392">
        <v>-1362</v>
      </c>
      <c r="U17" s="392">
        <v>-1276</v>
      </c>
      <c r="V17" s="422">
        <f>IF(T17=0, "    ---- ", IF(ABS(ROUND(100/T17*U17-100,1))&lt;999,ROUND(100/T17*U17-100,1),IF(ROUND(100/T17*U17-100,1)&gt;999,999,-999)))</f>
        <v>-6.3</v>
      </c>
      <c r="W17" s="392">
        <v>-59.420999999999999</v>
      </c>
      <c r="X17" s="392">
        <v>-59.411999999999999</v>
      </c>
      <c r="Y17" s="422">
        <f>IF(W17=0, "    ---- ", IF(ABS(ROUND(100/W17*X17-100,1))&lt;999,ROUND(100/W17*X17-100,1),IF(ROUND(100/W17*X17-100,1)&gt;999,999,-999)))</f>
        <v>0</v>
      </c>
      <c r="Z17" s="392">
        <v>-13668.872797</v>
      </c>
      <c r="AA17" s="392">
        <v>-14325.72614565</v>
      </c>
      <c r="AB17" s="422">
        <f>IF(Z17=0, "    ---- ", IF(ABS(ROUND(100/Z17*AA17-100,1))&lt;999,ROUND(100/Z17*AA17-100,1),IF(ROUND(100/Z17*AA17-100,1)&gt;999,999,-999)))</f>
        <v>4.8</v>
      </c>
      <c r="AC17" s="422">
        <f>B17+E17+H17+K17+N17+Q17+T17+W17+Z17</f>
        <v>-25081.948796999997</v>
      </c>
      <c r="AD17" s="422">
        <f>C17+F17+I17+L17+O17+R17+U17+X17+AA17</f>
        <v>-26604.181831649999</v>
      </c>
      <c r="AE17" s="422">
        <f>IF(AC17=0, "    ---- ", IF(ABS(ROUND(100/AC17*AD17-100,1))&lt;999,ROUND(100/AC17*AD17-100,1),IF(ROUND(100/AC17*AD17-100,1)&gt;999,999,-999)))</f>
        <v>6.1</v>
      </c>
    </row>
  </sheetData>
  <protectedRanges>
    <protectedRange sqref="R9:R10" name="Område1_13_3_1_1_1"/>
    <protectedRange sqref="R11:R17" name="Område1_5_1_2_1_1"/>
    <protectedRange sqref="Q14:Q17 Q9:Q12" name="Område1_9_3_1_1"/>
    <protectedRange sqref="Q13" name="Område1_4_2_3_1_1"/>
    <protectedRange sqref="AA11:AA17" name="Område1_8_1_1_1_1"/>
    <protectedRange sqref="Z9:Z10" name="Område1_10_1_1_1_1_1"/>
    <protectedRange sqref="Z11:Z17" name="Område1_8_1_1_1_1_1_1"/>
    <protectedRange sqref="C9:C10" name="Område1_13_5_1_1"/>
    <protectedRange sqref="C11:C17" name="Område1_2_1_2_1_1"/>
    <protectedRange sqref="B9:B10" name="Område1_13_5_1_1_3_1"/>
    <protectedRange sqref="B11:B17" name="Område1_2_1_2_1_1_3_1"/>
    <protectedRange sqref="L9:L12 L14:L17" name="Område1_9_6_1"/>
    <protectedRange sqref="L13" name="Område1_4_2_6_1"/>
    <protectedRange sqref="K14:K17 K9:K12" name="Område1_9_6_1_2_1"/>
    <protectedRange sqref="K13" name="Område1_4_2_6_1_2_1"/>
    <protectedRange sqref="U9:U10" name="Område1_13_4_1_1"/>
    <protectedRange sqref="U11:U12 U14:U17" name="Område1_6_1_2_1"/>
    <protectedRange sqref="T9:T10" name="Område1_13_4_1_1_1_1"/>
    <protectedRange sqref="T11:T12 T14:T17" name="Område1_6_1_2_1_1_1"/>
    <protectedRange sqref="T13:U13" name="Område1_4_2_5_1_1"/>
    <protectedRange sqref="O9:O10" name="Område1_13_2_1_1"/>
    <protectedRange sqref="O11:O17" name="Område1_3_1_2_1"/>
    <protectedRange sqref="N9:N10" name="Område1_13_2_1_1_1_1"/>
    <protectedRange sqref="N11:N17" name="Område1_3_1_2_1_1_1"/>
    <protectedRange sqref="I9:I12 I14:I17" name="Område1_13_1_1_1_2"/>
    <protectedRange sqref="I13" name="Område1_4_1_2_1_2"/>
    <protectedRange sqref="H14:H17 H9:H12" name="Område1_13_1_1_1_1_2"/>
    <protectedRange sqref="H13" name="Område1_4_1_2_1_1_2"/>
    <protectedRange sqref="E9:E10" name="Område1_13_5_2_1_1"/>
    <protectedRange sqref="E11:E17" name="Område1_2_1_2_2_1_1"/>
  </protectedRanges>
  <mergeCells count="23">
    <mergeCell ref="AN6:AP6"/>
    <mergeCell ref="T6:V6"/>
    <mergeCell ref="W6:Y6"/>
    <mergeCell ref="Z6:AB6"/>
    <mergeCell ref="AC6:AE6"/>
    <mergeCell ref="AH6:AJ6"/>
    <mergeCell ref="AK6:AM6"/>
    <mergeCell ref="AC5:AE5"/>
    <mergeCell ref="AH5:AJ5"/>
    <mergeCell ref="AK5:AM5"/>
    <mergeCell ref="AN5:AP5"/>
    <mergeCell ref="B6:D6"/>
    <mergeCell ref="E6:G6"/>
    <mergeCell ref="H6:J6"/>
    <mergeCell ref="K6:M6"/>
    <mergeCell ref="N6:P6"/>
    <mergeCell ref="Q6:S6"/>
    <mergeCell ref="B5:D5"/>
    <mergeCell ref="H5:J5"/>
    <mergeCell ref="K5:M5"/>
    <mergeCell ref="T5:V5"/>
    <mergeCell ref="W5:Y5"/>
    <mergeCell ref="Z5:AB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9"/>
  <dimension ref="A2:N65"/>
  <sheetViews>
    <sheetView showGridLines="0" zoomScale="90" zoomScaleNormal="90" workbookViewId="0"/>
  </sheetViews>
  <sheetFormatPr baseColWidth="10" defaultColWidth="11.44140625" defaultRowHeight="13.2" x14ac:dyDescent="0.25"/>
  <cols>
    <col min="1" max="1" width="66.33203125" style="1" customWidth="1"/>
    <col min="2" max="2" width="4.33203125" style="40" customWidth="1"/>
    <col min="3" max="3" width="105.33203125" style="1" customWidth="1"/>
    <col min="4" max="8" width="12.6640625" style="1" customWidth="1"/>
    <col min="9" max="257" width="11.44140625" style="1"/>
    <col min="258" max="258" width="2.6640625" style="1" customWidth="1"/>
    <col min="259" max="259" width="176.6640625" style="1" customWidth="1"/>
    <col min="260" max="260" width="11.44140625" style="1"/>
    <col min="261" max="261" width="176.6640625" style="1" customWidth="1"/>
    <col min="262" max="262" width="11.44140625" style="1"/>
    <col min="263" max="263" width="88.6640625" style="1" customWidth="1"/>
    <col min="264" max="513" width="11.44140625" style="1"/>
    <col min="514" max="514" width="2.6640625" style="1" customWidth="1"/>
    <col min="515" max="515" width="176.6640625" style="1" customWidth="1"/>
    <col min="516" max="516" width="11.44140625" style="1"/>
    <col min="517" max="517" width="176.6640625" style="1" customWidth="1"/>
    <col min="518" max="518" width="11.44140625" style="1"/>
    <col min="519" max="519" width="88.6640625" style="1" customWidth="1"/>
    <col min="520" max="769" width="11.44140625" style="1"/>
    <col min="770" max="770" width="2.6640625" style="1" customWidth="1"/>
    <col min="771" max="771" width="176.6640625" style="1" customWidth="1"/>
    <col min="772" max="772" width="11.44140625" style="1"/>
    <col min="773" max="773" width="176.6640625" style="1" customWidth="1"/>
    <col min="774" max="774" width="11.44140625" style="1"/>
    <col min="775" max="775" width="88.6640625" style="1" customWidth="1"/>
    <col min="776" max="1025" width="11.44140625" style="1"/>
    <col min="1026" max="1026" width="2.6640625" style="1" customWidth="1"/>
    <col min="1027" max="1027" width="176.6640625" style="1" customWidth="1"/>
    <col min="1028" max="1028" width="11.44140625" style="1"/>
    <col min="1029" max="1029" width="176.6640625" style="1" customWidth="1"/>
    <col min="1030" max="1030" width="11.44140625" style="1"/>
    <col min="1031" max="1031" width="88.6640625" style="1" customWidth="1"/>
    <col min="1032" max="1281" width="11.44140625" style="1"/>
    <col min="1282" max="1282" width="2.6640625" style="1" customWidth="1"/>
    <col min="1283" max="1283" width="176.6640625" style="1" customWidth="1"/>
    <col min="1284" max="1284" width="11.44140625" style="1"/>
    <col min="1285" max="1285" width="176.6640625" style="1" customWidth="1"/>
    <col min="1286" max="1286" width="11.44140625" style="1"/>
    <col min="1287" max="1287" width="88.6640625" style="1" customWidth="1"/>
    <col min="1288" max="1537" width="11.44140625" style="1"/>
    <col min="1538" max="1538" width="2.6640625" style="1" customWidth="1"/>
    <col min="1539" max="1539" width="176.6640625" style="1" customWidth="1"/>
    <col min="1540" max="1540" width="11.44140625" style="1"/>
    <col min="1541" max="1541" width="176.6640625" style="1" customWidth="1"/>
    <col min="1542" max="1542" width="11.44140625" style="1"/>
    <col min="1543" max="1543" width="88.6640625" style="1" customWidth="1"/>
    <col min="1544" max="1793" width="11.44140625" style="1"/>
    <col min="1794" max="1794" width="2.6640625" style="1" customWidth="1"/>
    <col min="1795" max="1795" width="176.6640625" style="1" customWidth="1"/>
    <col min="1796" max="1796" width="11.44140625" style="1"/>
    <col min="1797" max="1797" width="176.6640625" style="1" customWidth="1"/>
    <col min="1798" max="1798" width="11.44140625" style="1"/>
    <col min="1799" max="1799" width="88.6640625" style="1" customWidth="1"/>
    <col min="1800" max="2049" width="11.44140625" style="1"/>
    <col min="2050" max="2050" width="2.6640625" style="1" customWidth="1"/>
    <col min="2051" max="2051" width="176.6640625" style="1" customWidth="1"/>
    <col min="2052" max="2052" width="11.44140625" style="1"/>
    <col min="2053" max="2053" width="176.6640625" style="1" customWidth="1"/>
    <col min="2054" max="2054" width="11.44140625" style="1"/>
    <col min="2055" max="2055" width="88.6640625" style="1" customWidth="1"/>
    <col min="2056" max="2305" width="11.44140625" style="1"/>
    <col min="2306" max="2306" width="2.6640625" style="1" customWidth="1"/>
    <col min="2307" max="2307" width="176.6640625" style="1" customWidth="1"/>
    <col min="2308" max="2308" width="11.44140625" style="1"/>
    <col min="2309" max="2309" width="176.6640625" style="1" customWidth="1"/>
    <col min="2310" max="2310" width="11.44140625" style="1"/>
    <col min="2311" max="2311" width="88.6640625" style="1" customWidth="1"/>
    <col min="2312" max="2561" width="11.44140625" style="1"/>
    <col min="2562" max="2562" width="2.6640625" style="1" customWidth="1"/>
    <col min="2563" max="2563" width="176.6640625" style="1" customWidth="1"/>
    <col min="2564" max="2564" width="11.44140625" style="1"/>
    <col min="2565" max="2565" width="176.6640625" style="1" customWidth="1"/>
    <col min="2566" max="2566" width="11.44140625" style="1"/>
    <col min="2567" max="2567" width="88.6640625" style="1" customWidth="1"/>
    <col min="2568" max="2817" width="11.44140625" style="1"/>
    <col min="2818" max="2818" width="2.6640625" style="1" customWidth="1"/>
    <col min="2819" max="2819" width="176.6640625" style="1" customWidth="1"/>
    <col min="2820" max="2820" width="11.44140625" style="1"/>
    <col min="2821" max="2821" width="176.6640625" style="1" customWidth="1"/>
    <col min="2822" max="2822" width="11.44140625" style="1"/>
    <col min="2823" max="2823" width="88.6640625" style="1" customWidth="1"/>
    <col min="2824" max="3073" width="11.44140625" style="1"/>
    <col min="3074" max="3074" width="2.6640625" style="1" customWidth="1"/>
    <col min="3075" max="3075" width="176.6640625" style="1" customWidth="1"/>
    <col min="3076" max="3076" width="11.44140625" style="1"/>
    <col min="3077" max="3077" width="176.6640625" style="1" customWidth="1"/>
    <col min="3078" max="3078" width="11.44140625" style="1"/>
    <col min="3079" max="3079" width="88.6640625" style="1" customWidth="1"/>
    <col min="3080" max="3329" width="11.44140625" style="1"/>
    <col min="3330" max="3330" width="2.6640625" style="1" customWidth="1"/>
    <col min="3331" max="3331" width="176.6640625" style="1" customWidth="1"/>
    <col min="3332" max="3332" width="11.44140625" style="1"/>
    <col min="3333" max="3333" width="176.6640625" style="1" customWidth="1"/>
    <col min="3334" max="3334" width="11.44140625" style="1"/>
    <col min="3335" max="3335" width="88.6640625" style="1" customWidth="1"/>
    <col min="3336" max="3585" width="11.44140625" style="1"/>
    <col min="3586" max="3586" width="2.6640625" style="1" customWidth="1"/>
    <col min="3587" max="3587" width="176.6640625" style="1" customWidth="1"/>
    <col min="3588" max="3588" width="11.44140625" style="1"/>
    <col min="3589" max="3589" width="176.6640625" style="1" customWidth="1"/>
    <col min="3590" max="3590" width="11.44140625" style="1"/>
    <col min="3591" max="3591" width="88.6640625" style="1" customWidth="1"/>
    <col min="3592" max="3841" width="11.44140625" style="1"/>
    <col min="3842" max="3842" width="2.6640625" style="1" customWidth="1"/>
    <col min="3843" max="3843" width="176.6640625" style="1" customWidth="1"/>
    <col min="3844" max="3844" width="11.44140625" style="1"/>
    <col min="3845" max="3845" width="176.6640625" style="1" customWidth="1"/>
    <col min="3846" max="3846" width="11.44140625" style="1"/>
    <col min="3847" max="3847" width="88.6640625" style="1" customWidth="1"/>
    <col min="3848" max="4097" width="11.44140625" style="1"/>
    <col min="4098" max="4098" width="2.6640625" style="1" customWidth="1"/>
    <col min="4099" max="4099" width="176.6640625" style="1" customWidth="1"/>
    <col min="4100" max="4100" width="11.44140625" style="1"/>
    <col min="4101" max="4101" width="176.6640625" style="1" customWidth="1"/>
    <col min="4102" max="4102" width="11.44140625" style="1"/>
    <col min="4103" max="4103" width="88.6640625" style="1" customWidth="1"/>
    <col min="4104" max="4353" width="11.44140625" style="1"/>
    <col min="4354" max="4354" width="2.6640625" style="1" customWidth="1"/>
    <col min="4355" max="4355" width="176.6640625" style="1" customWidth="1"/>
    <col min="4356" max="4356" width="11.44140625" style="1"/>
    <col min="4357" max="4357" width="176.6640625" style="1" customWidth="1"/>
    <col min="4358" max="4358" width="11.44140625" style="1"/>
    <col min="4359" max="4359" width="88.6640625" style="1" customWidth="1"/>
    <col min="4360" max="4609" width="11.44140625" style="1"/>
    <col min="4610" max="4610" width="2.6640625" style="1" customWidth="1"/>
    <col min="4611" max="4611" width="176.6640625" style="1" customWidth="1"/>
    <col min="4612" max="4612" width="11.44140625" style="1"/>
    <col min="4613" max="4613" width="176.6640625" style="1" customWidth="1"/>
    <col min="4614" max="4614" width="11.44140625" style="1"/>
    <col min="4615" max="4615" width="88.6640625" style="1" customWidth="1"/>
    <col min="4616" max="4865" width="11.44140625" style="1"/>
    <col min="4866" max="4866" width="2.6640625" style="1" customWidth="1"/>
    <col min="4867" max="4867" width="176.6640625" style="1" customWidth="1"/>
    <col min="4868" max="4868" width="11.44140625" style="1"/>
    <col min="4869" max="4869" width="176.6640625" style="1" customWidth="1"/>
    <col min="4870" max="4870" width="11.44140625" style="1"/>
    <col min="4871" max="4871" width="88.6640625" style="1" customWidth="1"/>
    <col min="4872" max="5121" width="11.44140625" style="1"/>
    <col min="5122" max="5122" width="2.6640625" style="1" customWidth="1"/>
    <col min="5123" max="5123" width="176.6640625" style="1" customWidth="1"/>
    <col min="5124" max="5124" width="11.44140625" style="1"/>
    <col min="5125" max="5125" width="176.6640625" style="1" customWidth="1"/>
    <col min="5126" max="5126" width="11.44140625" style="1"/>
    <col min="5127" max="5127" width="88.6640625" style="1" customWidth="1"/>
    <col min="5128" max="5377" width="11.44140625" style="1"/>
    <col min="5378" max="5378" width="2.6640625" style="1" customWidth="1"/>
    <col min="5379" max="5379" width="176.6640625" style="1" customWidth="1"/>
    <col min="5380" max="5380" width="11.44140625" style="1"/>
    <col min="5381" max="5381" width="176.6640625" style="1" customWidth="1"/>
    <col min="5382" max="5382" width="11.44140625" style="1"/>
    <col min="5383" max="5383" width="88.6640625" style="1" customWidth="1"/>
    <col min="5384" max="5633" width="11.44140625" style="1"/>
    <col min="5634" max="5634" width="2.6640625" style="1" customWidth="1"/>
    <col min="5635" max="5635" width="176.6640625" style="1" customWidth="1"/>
    <col min="5636" max="5636" width="11.44140625" style="1"/>
    <col min="5637" max="5637" width="176.6640625" style="1" customWidth="1"/>
    <col min="5638" max="5638" width="11.44140625" style="1"/>
    <col min="5639" max="5639" width="88.6640625" style="1" customWidth="1"/>
    <col min="5640" max="5889" width="11.44140625" style="1"/>
    <col min="5890" max="5890" width="2.6640625" style="1" customWidth="1"/>
    <col min="5891" max="5891" width="176.6640625" style="1" customWidth="1"/>
    <col min="5892" max="5892" width="11.44140625" style="1"/>
    <col min="5893" max="5893" width="176.6640625" style="1" customWidth="1"/>
    <col min="5894" max="5894" width="11.44140625" style="1"/>
    <col min="5895" max="5895" width="88.6640625" style="1" customWidth="1"/>
    <col min="5896" max="6145" width="11.44140625" style="1"/>
    <col min="6146" max="6146" width="2.6640625" style="1" customWidth="1"/>
    <col min="6147" max="6147" width="176.6640625" style="1" customWidth="1"/>
    <col min="6148" max="6148" width="11.44140625" style="1"/>
    <col min="6149" max="6149" width="176.6640625" style="1" customWidth="1"/>
    <col min="6150" max="6150" width="11.44140625" style="1"/>
    <col min="6151" max="6151" width="88.6640625" style="1" customWidth="1"/>
    <col min="6152" max="6401" width="11.44140625" style="1"/>
    <col min="6402" max="6402" width="2.6640625" style="1" customWidth="1"/>
    <col min="6403" max="6403" width="176.6640625" style="1" customWidth="1"/>
    <col min="6404" max="6404" width="11.44140625" style="1"/>
    <col min="6405" max="6405" width="176.6640625" style="1" customWidth="1"/>
    <col min="6406" max="6406" width="11.44140625" style="1"/>
    <col min="6407" max="6407" width="88.6640625" style="1" customWidth="1"/>
    <col min="6408" max="6657" width="11.44140625" style="1"/>
    <col min="6658" max="6658" width="2.6640625" style="1" customWidth="1"/>
    <col min="6659" max="6659" width="176.6640625" style="1" customWidth="1"/>
    <col min="6660" max="6660" width="11.44140625" style="1"/>
    <col min="6661" max="6661" width="176.6640625" style="1" customWidth="1"/>
    <col min="6662" max="6662" width="11.44140625" style="1"/>
    <col min="6663" max="6663" width="88.6640625" style="1" customWidth="1"/>
    <col min="6664" max="6913" width="11.44140625" style="1"/>
    <col min="6914" max="6914" width="2.6640625" style="1" customWidth="1"/>
    <col min="6915" max="6915" width="176.6640625" style="1" customWidth="1"/>
    <col min="6916" max="6916" width="11.44140625" style="1"/>
    <col min="6917" max="6917" width="176.6640625" style="1" customWidth="1"/>
    <col min="6918" max="6918" width="11.44140625" style="1"/>
    <col min="6919" max="6919" width="88.6640625" style="1" customWidth="1"/>
    <col min="6920" max="7169" width="11.44140625" style="1"/>
    <col min="7170" max="7170" width="2.6640625" style="1" customWidth="1"/>
    <col min="7171" max="7171" width="176.6640625" style="1" customWidth="1"/>
    <col min="7172" max="7172" width="11.44140625" style="1"/>
    <col min="7173" max="7173" width="176.6640625" style="1" customWidth="1"/>
    <col min="7174" max="7174" width="11.44140625" style="1"/>
    <col min="7175" max="7175" width="88.6640625" style="1" customWidth="1"/>
    <col min="7176" max="7425" width="11.44140625" style="1"/>
    <col min="7426" max="7426" width="2.6640625" style="1" customWidth="1"/>
    <col min="7427" max="7427" width="176.6640625" style="1" customWidth="1"/>
    <col min="7428" max="7428" width="11.44140625" style="1"/>
    <col min="7429" max="7429" width="176.6640625" style="1" customWidth="1"/>
    <col min="7430" max="7430" width="11.44140625" style="1"/>
    <col min="7431" max="7431" width="88.6640625" style="1" customWidth="1"/>
    <col min="7432" max="7681" width="11.44140625" style="1"/>
    <col min="7682" max="7682" width="2.6640625" style="1" customWidth="1"/>
    <col min="7683" max="7683" width="176.6640625" style="1" customWidth="1"/>
    <col min="7684" max="7684" width="11.44140625" style="1"/>
    <col min="7685" max="7685" width="176.6640625" style="1" customWidth="1"/>
    <col min="7686" max="7686" width="11.44140625" style="1"/>
    <col min="7687" max="7687" width="88.6640625" style="1" customWidth="1"/>
    <col min="7688" max="7937" width="11.44140625" style="1"/>
    <col min="7938" max="7938" width="2.6640625" style="1" customWidth="1"/>
    <col min="7939" max="7939" width="176.6640625" style="1" customWidth="1"/>
    <col min="7940" max="7940" width="11.44140625" style="1"/>
    <col min="7941" max="7941" width="176.6640625" style="1" customWidth="1"/>
    <col min="7942" max="7942" width="11.44140625" style="1"/>
    <col min="7943" max="7943" width="88.6640625" style="1" customWidth="1"/>
    <col min="7944" max="8193" width="11.44140625" style="1"/>
    <col min="8194" max="8194" width="2.6640625" style="1" customWidth="1"/>
    <col min="8195" max="8195" width="176.6640625" style="1" customWidth="1"/>
    <col min="8196" max="8196" width="11.44140625" style="1"/>
    <col min="8197" max="8197" width="176.6640625" style="1" customWidth="1"/>
    <col min="8198" max="8198" width="11.44140625" style="1"/>
    <col min="8199" max="8199" width="88.6640625" style="1" customWidth="1"/>
    <col min="8200" max="8449" width="11.44140625" style="1"/>
    <col min="8450" max="8450" width="2.6640625" style="1" customWidth="1"/>
    <col min="8451" max="8451" width="176.6640625" style="1" customWidth="1"/>
    <col min="8452" max="8452" width="11.44140625" style="1"/>
    <col min="8453" max="8453" width="176.6640625" style="1" customWidth="1"/>
    <col min="8454" max="8454" width="11.44140625" style="1"/>
    <col min="8455" max="8455" width="88.6640625" style="1" customWidth="1"/>
    <col min="8456" max="8705" width="11.44140625" style="1"/>
    <col min="8706" max="8706" width="2.6640625" style="1" customWidth="1"/>
    <col min="8707" max="8707" width="176.6640625" style="1" customWidth="1"/>
    <col min="8708" max="8708" width="11.44140625" style="1"/>
    <col min="8709" max="8709" width="176.6640625" style="1" customWidth="1"/>
    <col min="8710" max="8710" width="11.44140625" style="1"/>
    <col min="8711" max="8711" width="88.6640625" style="1" customWidth="1"/>
    <col min="8712" max="8961" width="11.44140625" style="1"/>
    <col min="8962" max="8962" width="2.6640625" style="1" customWidth="1"/>
    <col min="8963" max="8963" width="176.6640625" style="1" customWidth="1"/>
    <col min="8964" max="8964" width="11.44140625" style="1"/>
    <col min="8965" max="8965" width="176.6640625" style="1" customWidth="1"/>
    <col min="8966" max="8966" width="11.44140625" style="1"/>
    <col min="8967" max="8967" width="88.6640625" style="1" customWidth="1"/>
    <col min="8968" max="9217" width="11.44140625" style="1"/>
    <col min="9218" max="9218" width="2.6640625" style="1" customWidth="1"/>
    <col min="9219" max="9219" width="176.6640625" style="1" customWidth="1"/>
    <col min="9220" max="9220" width="11.44140625" style="1"/>
    <col min="9221" max="9221" width="176.6640625" style="1" customWidth="1"/>
    <col min="9222" max="9222" width="11.44140625" style="1"/>
    <col min="9223" max="9223" width="88.6640625" style="1" customWidth="1"/>
    <col min="9224" max="9473" width="11.44140625" style="1"/>
    <col min="9474" max="9474" width="2.6640625" style="1" customWidth="1"/>
    <col min="9475" max="9475" width="176.6640625" style="1" customWidth="1"/>
    <col min="9476" max="9476" width="11.44140625" style="1"/>
    <col min="9477" max="9477" width="176.6640625" style="1" customWidth="1"/>
    <col min="9478" max="9478" width="11.44140625" style="1"/>
    <col min="9479" max="9479" width="88.6640625" style="1" customWidth="1"/>
    <col min="9480" max="9729" width="11.44140625" style="1"/>
    <col min="9730" max="9730" width="2.6640625" style="1" customWidth="1"/>
    <col min="9731" max="9731" width="176.6640625" style="1" customWidth="1"/>
    <col min="9732" max="9732" width="11.44140625" style="1"/>
    <col min="9733" max="9733" width="176.6640625" style="1" customWidth="1"/>
    <col min="9734" max="9734" width="11.44140625" style="1"/>
    <col min="9735" max="9735" width="88.6640625" style="1" customWidth="1"/>
    <col min="9736" max="9985" width="11.44140625" style="1"/>
    <col min="9986" max="9986" width="2.6640625" style="1" customWidth="1"/>
    <col min="9987" max="9987" width="176.6640625" style="1" customWidth="1"/>
    <col min="9988" max="9988" width="11.44140625" style="1"/>
    <col min="9989" max="9989" width="176.6640625" style="1" customWidth="1"/>
    <col min="9990" max="9990" width="11.44140625" style="1"/>
    <col min="9991" max="9991" width="88.6640625" style="1" customWidth="1"/>
    <col min="9992" max="10241" width="11.44140625" style="1"/>
    <col min="10242" max="10242" width="2.6640625" style="1" customWidth="1"/>
    <col min="10243" max="10243" width="176.6640625" style="1" customWidth="1"/>
    <col min="10244" max="10244" width="11.44140625" style="1"/>
    <col min="10245" max="10245" width="176.6640625" style="1" customWidth="1"/>
    <col min="10246" max="10246" width="11.44140625" style="1"/>
    <col min="10247" max="10247" width="88.6640625" style="1" customWidth="1"/>
    <col min="10248" max="10497" width="11.44140625" style="1"/>
    <col min="10498" max="10498" width="2.6640625" style="1" customWidth="1"/>
    <col min="10499" max="10499" width="176.6640625" style="1" customWidth="1"/>
    <col min="10500" max="10500" width="11.44140625" style="1"/>
    <col min="10501" max="10501" width="176.6640625" style="1" customWidth="1"/>
    <col min="10502" max="10502" width="11.44140625" style="1"/>
    <col min="10503" max="10503" width="88.6640625" style="1" customWidth="1"/>
    <col min="10504" max="10753" width="11.44140625" style="1"/>
    <col min="10754" max="10754" width="2.6640625" style="1" customWidth="1"/>
    <col min="10755" max="10755" width="176.6640625" style="1" customWidth="1"/>
    <col min="10756" max="10756" width="11.44140625" style="1"/>
    <col min="10757" max="10757" width="176.6640625" style="1" customWidth="1"/>
    <col min="10758" max="10758" width="11.44140625" style="1"/>
    <col min="10759" max="10759" width="88.6640625" style="1" customWidth="1"/>
    <col min="10760" max="11009" width="11.44140625" style="1"/>
    <col min="11010" max="11010" width="2.6640625" style="1" customWidth="1"/>
    <col min="11011" max="11011" width="176.6640625" style="1" customWidth="1"/>
    <col min="11012" max="11012" width="11.44140625" style="1"/>
    <col min="11013" max="11013" width="176.6640625" style="1" customWidth="1"/>
    <col min="11014" max="11014" width="11.44140625" style="1"/>
    <col min="11015" max="11015" width="88.6640625" style="1" customWidth="1"/>
    <col min="11016" max="11265" width="11.44140625" style="1"/>
    <col min="11266" max="11266" width="2.6640625" style="1" customWidth="1"/>
    <col min="11267" max="11267" width="176.6640625" style="1" customWidth="1"/>
    <col min="11268" max="11268" width="11.44140625" style="1"/>
    <col min="11269" max="11269" width="176.6640625" style="1" customWidth="1"/>
    <col min="11270" max="11270" width="11.44140625" style="1"/>
    <col min="11271" max="11271" width="88.6640625" style="1" customWidth="1"/>
    <col min="11272" max="11521" width="11.44140625" style="1"/>
    <col min="11522" max="11522" width="2.6640625" style="1" customWidth="1"/>
    <col min="11523" max="11523" width="176.6640625" style="1" customWidth="1"/>
    <col min="11524" max="11524" width="11.44140625" style="1"/>
    <col min="11525" max="11525" width="176.6640625" style="1" customWidth="1"/>
    <col min="11526" max="11526" width="11.44140625" style="1"/>
    <col min="11527" max="11527" width="88.6640625" style="1" customWidth="1"/>
    <col min="11528" max="11777" width="11.44140625" style="1"/>
    <col min="11778" max="11778" width="2.6640625" style="1" customWidth="1"/>
    <col min="11779" max="11779" width="176.6640625" style="1" customWidth="1"/>
    <col min="11780" max="11780" width="11.44140625" style="1"/>
    <col min="11781" max="11781" width="176.6640625" style="1" customWidth="1"/>
    <col min="11782" max="11782" width="11.44140625" style="1"/>
    <col min="11783" max="11783" width="88.6640625" style="1" customWidth="1"/>
    <col min="11784" max="12033" width="11.44140625" style="1"/>
    <col min="12034" max="12034" width="2.6640625" style="1" customWidth="1"/>
    <col min="12035" max="12035" width="176.6640625" style="1" customWidth="1"/>
    <col min="12036" max="12036" width="11.44140625" style="1"/>
    <col min="12037" max="12037" width="176.6640625" style="1" customWidth="1"/>
    <col min="12038" max="12038" width="11.44140625" style="1"/>
    <col min="12039" max="12039" width="88.6640625" style="1" customWidth="1"/>
    <col min="12040" max="12289" width="11.44140625" style="1"/>
    <col min="12290" max="12290" width="2.6640625" style="1" customWidth="1"/>
    <col min="12291" max="12291" width="176.6640625" style="1" customWidth="1"/>
    <col min="12292" max="12292" width="11.44140625" style="1"/>
    <col min="12293" max="12293" width="176.6640625" style="1" customWidth="1"/>
    <col min="12294" max="12294" width="11.44140625" style="1"/>
    <col min="12295" max="12295" width="88.6640625" style="1" customWidth="1"/>
    <col min="12296" max="12545" width="11.44140625" style="1"/>
    <col min="12546" max="12546" width="2.6640625" style="1" customWidth="1"/>
    <col min="12547" max="12547" width="176.6640625" style="1" customWidth="1"/>
    <col min="12548" max="12548" width="11.44140625" style="1"/>
    <col min="12549" max="12549" width="176.6640625" style="1" customWidth="1"/>
    <col min="12550" max="12550" width="11.44140625" style="1"/>
    <col min="12551" max="12551" width="88.6640625" style="1" customWidth="1"/>
    <col min="12552" max="12801" width="11.44140625" style="1"/>
    <col min="12802" max="12802" width="2.6640625" style="1" customWidth="1"/>
    <col min="12803" max="12803" width="176.6640625" style="1" customWidth="1"/>
    <col min="12804" max="12804" width="11.44140625" style="1"/>
    <col min="12805" max="12805" width="176.6640625" style="1" customWidth="1"/>
    <col min="12806" max="12806" width="11.44140625" style="1"/>
    <col min="12807" max="12807" width="88.6640625" style="1" customWidth="1"/>
    <col min="12808" max="13057" width="11.44140625" style="1"/>
    <col min="13058" max="13058" width="2.6640625" style="1" customWidth="1"/>
    <col min="13059" max="13059" width="176.6640625" style="1" customWidth="1"/>
    <col min="13060" max="13060" width="11.44140625" style="1"/>
    <col min="13061" max="13061" width="176.6640625" style="1" customWidth="1"/>
    <col min="13062" max="13062" width="11.44140625" style="1"/>
    <col min="13063" max="13063" width="88.6640625" style="1" customWidth="1"/>
    <col min="13064" max="13313" width="11.44140625" style="1"/>
    <col min="13314" max="13314" width="2.6640625" style="1" customWidth="1"/>
    <col min="13315" max="13315" width="176.6640625" style="1" customWidth="1"/>
    <col min="13316" max="13316" width="11.44140625" style="1"/>
    <col min="13317" max="13317" width="176.6640625" style="1" customWidth="1"/>
    <col min="13318" max="13318" width="11.44140625" style="1"/>
    <col min="13319" max="13319" width="88.6640625" style="1" customWidth="1"/>
    <col min="13320" max="13569" width="11.44140625" style="1"/>
    <col min="13570" max="13570" width="2.6640625" style="1" customWidth="1"/>
    <col min="13571" max="13571" width="176.6640625" style="1" customWidth="1"/>
    <col min="13572" max="13572" width="11.44140625" style="1"/>
    <col min="13573" max="13573" width="176.6640625" style="1" customWidth="1"/>
    <col min="13574" max="13574" width="11.44140625" style="1"/>
    <col min="13575" max="13575" width="88.6640625" style="1" customWidth="1"/>
    <col min="13576" max="13825" width="11.44140625" style="1"/>
    <col min="13826" max="13826" width="2.6640625" style="1" customWidth="1"/>
    <col min="13827" max="13827" width="176.6640625" style="1" customWidth="1"/>
    <col min="13828" max="13828" width="11.44140625" style="1"/>
    <col min="13829" max="13829" width="176.6640625" style="1" customWidth="1"/>
    <col min="13830" max="13830" width="11.44140625" style="1"/>
    <col min="13831" max="13831" width="88.6640625" style="1" customWidth="1"/>
    <col min="13832" max="14081" width="11.44140625" style="1"/>
    <col min="14082" max="14082" width="2.6640625" style="1" customWidth="1"/>
    <col min="14083" max="14083" width="176.6640625" style="1" customWidth="1"/>
    <col min="14084" max="14084" width="11.44140625" style="1"/>
    <col min="14085" max="14085" width="176.6640625" style="1" customWidth="1"/>
    <col min="14086" max="14086" width="11.44140625" style="1"/>
    <col min="14087" max="14087" width="88.6640625" style="1" customWidth="1"/>
    <col min="14088" max="14337" width="11.44140625" style="1"/>
    <col min="14338" max="14338" width="2.6640625" style="1" customWidth="1"/>
    <col min="14339" max="14339" width="176.6640625" style="1" customWidth="1"/>
    <col min="14340" max="14340" width="11.44140625" style="1"/>
    <col min="14341" max="14341" width="176.6640625" style="1" customWidth="1"/>
    <col min="14342" max="14342" width="11.44140625" style="1"/>
    <col min="14343" max="14343" width="88.6640625" style="1" customWidth="1"/>
    <col min="14344" max="14593" width="11.44140625" style="1"/>
    <col min="14594" max="14594" width="2.6640625" style="1" customWidth="1"/>
    <col min="14595" max="14595" width="176.6640625" style="1" customWidth="1"/>
    <col min="14596" max="14596" width="11.44140625" style="1"/>
    <col min="14597" max="14597" width="176.6640625" style="1" customWidth="1"/>
    <col min="14598" max="14598" width="11.44140625" style="1"/>
    <col min="14599" max="14599" width="88.6640625" style="1" customWidth="1"/>
    <col min="14600" max="14849" width="11.44140625" style="1"/>
    <col min="14850" max="14850" width="2.6640625" style="1" customWidth="1"/>
    <col min="14851" max="14851" width="176.6640625" style="1" customWidth="1"/>
    <col min="14852" max="14852" width="11.44140625" style="1"/>
    <col min="14853" max="14853" width="176.6640625" style="1" customWidth="1"/>
    <col min="14854" max="14854" width="11.44140625" style="1"/>
    <col min="14855" max="14855" width="88.6640625" style="1" customWidth="1"/>
    <col min="14856" max="15105" width="11.44140625" style="1"/>
    <col min="15106" max="15106" width="2.6640625" style="1" customWidth="1"/>
    <col min="15107" max="15107" width="176.6640625" style="1" customWidth="1"/>
    <col min="15108" max="15108" width="11.44140625" style="1"/>
    <col min="15109" max="15109" width="176.6640625" style="1" customWidth="1"/>
    <col min="15110" max="15110" width="11.44140625" style="1"/>
    <col min="15111" max="15111" width="88.6640625" style="1" customWidth="1"/>
    <col min="15112" max="15361" width="11.44140625" style="1"/>
    <col min="15362" max="15362" width="2.6640625" style="1" customWidth="1"/>
    <col min="15363" max="15363" width="176.6640625" style="1" customWidth="1"/>
    <col min="15364" max="15364" width="11.44140625" style="1"/>
    <col min="15365" max="15365" width="176.6640625" style="1" customWidth="1"/>
    <col min="15366" max="15366" width="11.44140625" style="1"/>
    <col min="15367" max="15367" width="88.6640625" style="1" customWidth="1"/>
    <col min="15368" max="15617" width="11.44140625" style="1"/>
    <col min="15618" max="15618" width="2.6640625" style="1" customWidth="1"/>
    <col min="15619" max="15619" width="176.6640625" style="1" customWidth="1"/>
    <col min="15620" max="15620" width="11.44140625" style="1"/>
    <col min="15621" max="15621" width="176.6640625" style="1" customWidth="1"/>
    <col min="15622" max="15622" width="11.44140625" style="1"/>
    <col min="15623" max="15623" width="88.6640625" style="1" customWidth="1"/>
    <col min="15624" max="15873" width="11.44140625" style="1"/>
    <col min="15874" max="15874" width="2.6640625" style="1" customWidth="1"/>
    <col min="15875" max="15875" width="176.6640625" style="1" customWidth="1"/>
    <col min="15876" max="15876" width="11.44140625" style="1"/>
    <col min="15877" max="15877" width="176.6640625" style="1" customWidth="1"/>
    <col min="15878" max="15878" width="11.44140625" style="1"/>
    <col min="15879" max="15879" width="88.6640625" style="1" customWidth="1"/>
    <col min="15880" max="16129" width="11.44140625" style="1"/>
    <col min="16130" max="16130" width="2.6640625" style="1" customWidth="1"/>
    <col min="16131" max="16131" width="176.6640625" style="1" customWidth="1"/>
    <col min="16132" max="16132" width="11.44140625" style="1"/>
    <col min="16133" max="16133" width="176.6640625" style="1" customWidth="1"/>
    <col min="16134" max="16134" width="11.44140625" style="1"/>
    <col min="16135" max="16135" width="88.6640625" style="1" customWidth="1"/>
    <col min="16136" max="16384" width="11.44140625" style="1"/>
  </cols>
  <sheetData>
    <row r="2" spans="1:11" x14ac:dyDescent="0.25">
      <c r="C2" s="271"/>
      <c r="D2" s="271"/>
      <c r="E2" s="271"/>
    </row>
    <row r="3" spans="1:11" x14ac:dyDescent="0.25">
      <c r="A3" s="35" t="s">
        <v>43</v>
      </c>
    </row>
    <row r="4" spans="1:11" x14ac:dyDescent="0.25">
      <c r="C4" s="271"/>
      <c r="D4" s="271"/>
      <c r="E4" s="271"/>
      <c r="F4" s="271"/>
      <c r="G4" s="271"/>
      <c r="H4" s="271"/>
      <c r="I4" s="271"/>
      <c r="J4" s="271"/>
      <c r="K4" s="271"/>
    </row>
    <row r="6" spans="1:11" ht="15.6" x14ac:dyDescent="0.3">
      <c r="C6" s="276" t="s">
        <v>379</v>
      </c>
      <c r="E6" s="276"/>
    </row>
    <row r="7" spans="1:11" ht="18.75" customHeight="1" x14ac:dyDescent="0.25">
      <c r="E7" s="40"/>
    </row>
    <row r="8" spans="1:11" ht="15.6" x14ac:dyDescent="0.3">
      <c r="B8" s="272">
        <v>1</v>
      </c>
      <c r="C8" s="273" t="s">
        <v>380</v>
      </c>
      <c r="E8" s="279"/>
    </row>
    <row r="9" spans="1:11" ht="31.2" x14ac:dyDescent="0.25">
      <c r="B9" s="272">
        <v>2</v>
      </c>
      <c r="C9" s="273" t="s">
        <v>381</v>
      </c>
      <c r="E9" s="5"/>
    </row>
    <row r="10" spans="1:11" ht="46.8" x14ac:dyDescent="0.25">
      <c r="B10" s="272">
        <v>3</v>
      </c>
      <c r="C10" s="273" t="s">
        <v>382</v>
      </c>
      <c r="E10" s="5"/>
    </row>
    <row r="11" spans="1:11" ht="31.2" x14ac:dyDescent="0.25">
      <c r="B11" s="272">
        <v>4</v>
      </c>
      <c r="C11" s="522" t="s">
        <v>383</v>
      </c>
      <c r="E11" s="5"/>
    </row>
    <row r="12" spans="1:11" ht="31.2" x14ac:dyDescent="0.25">
      <c r="B12" s="272">
        <v>5</v>
      </c>
      <c r="C12" s="273" t="s">
        <v>384</v>
      </c>
    </row>
    <row r="13" spans="1:11" ht="15.6" x14ac:dyDescent="0.25">
      <c r="B13" s="272">
        <v>6</v>
      </c>
      <c r="C13" s="273" t="s">
        <v>385</v>
      </c>
    </row>
    <row r="14" spans="1:11" ht="15.6" x14ac:dyDescent="0.25">
      <c r="B14" s="272">
        <v>7</v>
      </c>
      <c r="C14" s="273" t="s">
        <v>386</v>
      </c>
    </row>
    <row r="15" spans="1:11" ht="18.75" customHeight="1" x14ac:dyDescent="0.25">
      <c r="B15" s="272">
        <v>8</v>
      </c>
      <c r="C15" s="273" t="s">
        <v>387</v>
      </c>
    </row>
    <row r="16" spans="1:11" ht="18.75" customHeight="1" x14ac:dyDescent="0.25">
      <c r="B16" s="272">
        <v>9</v>
      </c>
      <c r="C16" s="273" t="s">
        <v>388</v>
      </c>
    </row>
    <row r="17" spans="2:9" ht="62.4" x14ac:dyDescent="0.3">
      <c r="B17" s="272">
        <v>10</v>
      </c>
      <c r="C17" s="273" t="s">
        <v>389</v>
      </c>
      <c r="E17" s="276"/>
    </row>
    <row r="18" spans="2:9" ht="15.6" x14ac:dyDescent="0.25">
      <c r="B18" s="272">
        <v>11</v>
      </c>
      <c r="C18" s="273" t="s">
        <v>390</v>
      </c>
      <c r="E18" s="5"/>
    </row>
    <row r="19" spans="2:9" ht="15.6" x14ac:dyDescent="0.25">
      <c r="B19" s="272">
        <v>12</v>
      </c>
      <c r="C19" s="273" t="s">
        <v>391</v>
      </c>
      <c r="E19" s="5"/>
    </row>
    <row r="20" spans="2:9" ht="15.6" x14ac:dyDescent="0.25">
      <c r="B20" s="272">
        <v>13</v>
      </c>
      <c r="C20" s="273" t="s">
        <v>392</v>
      </c>
    </row>
    <row r="21" spans="2:9" ht="46.8" x14ac:dyDescent="0.25">
      <c r="B21" s="272">
        <v>14</v>
      </c>
      <c r="C21" s="273" t="s">
        <v>393</v>
      </c>
      <c r="E21" s="280"/>
    </row>
    <row r="22" spans="2:9" ht="31.2" x14ac:dyDescent="0.25">
      <c r="B22" s="272">
        <v>15</v>
      </c>
      <c r="C22" s="273" t="s">
        <v>394</v>
      </c>
    </row>
    <row r="23" spans="2:9" ht="15.6" x14ac:dyDescent="0.3">
      <c r="B23" s="272">
        <v>16</v>
      </c>
      <c r="C23" s="275" t="s">
        <v>395</v>
      </c>
      <c r="D23" s="2"/>
      <c r="E23" s="271"/>
      <c r="F23" s="2"/>
      <c r="G23" s="2"/>
      <c r="H23" s="2"/>
      <c r="I23" s="2"/>
    </row>
    <row r="24" spans="2:9" ht="18.75" customHeight="1" x14ac:dyDescent="0.3">
      <c r="B24" s="274">
        <v>17</v>
      </c>
      <c r="C24" s="275" t="s">
        <v>396</v>
      </c>
    </row>
    <row r="25" spans="2:9" ht="18.75" customHeight="1" x14ac:dyDescent="0.25">
      <c r="B25" s="425">
        <v>18</v>
      </c>
      <c r="C25" s="610" t="s">
        <v>397</v>
      </c>
    </row>
    <row r="26" spans="2:9" ht="18.75" customHeight="1" x14ac:dyDescent="0.3">
      <c r="B26" s="426"/>
      <c r="C26" s="610"/>
    </row>
    <row r="27" spans="2:9" ht="18.75" customHeight="1" x14ac:dyDescent="0.3">
      <c r="B27" s="425">
        <v>19</v>
      </c>
      <c r="C27" s="516" t="s">
        <v>398</v>
      </c>
    </row>
    <row r="28" spans="2:9" ht="31.2" x14ac:dyDescent="0.25">
      <c r="B28" s="425">
        <v>20</v>
      </c>
      <c r="C28" s="552" t="s">
        <v>411</v>
      </c>
    </row>
    <row r="29" spans="2:9" ht="18.75" customHeight="1" x14ac:dyDescent="0.25">
      <c r="C29" s="278"/>
    </row>
    <row r="31" spans="2:9" ht="18.75" customHeight="1" x14ac:dyDescent="0.25"/>
    <row r="32" spans="2:9" ht="18.75" customHeight="1" x14ac:dyDescent="0.25"/>
    <row r="33" spans="2:2" ht="18.75" customHeight="1" x14ac:dyDescent="0.25"/>
    <row r="34" spans="2:2" ht="18.75" customHeight="1" x14ac:dyDescent="0.25"/>
    <row r="35" spans="2:2" ht="18.75" customHeight="1" x14ac:dyDescent="0.25"/>
    <row r="36" spans="2:2" ht="18.75" customHeight="1" x14ac:dyDescent="0.25"/>
    <row r="37" spans="2:2" ht="18.75" customHeight="1" x14ac:dyDescent="0.25"/>
    <row r="38" spans="2:2" ht="18.75" customHeight="1" x14ac:dyDescent="0.25"/>
    <row r="39" spans="2:2" ht="18.75" customHeight="1" x14ac:dyDescent="0.25"/>
    <row r="40" spans="2:2" ht="18.75" customHeight="1" x14ac:dyDescent="0.25">
      <c r="B40" s="5"/>
    </row>
    <row r="41" spans="2:2" ht="18.75" customHeight="1" x14ac:dyDescent="0.25">
      <c r="B41" s="5"/>
    </row>
    <row r="42" spans="2:2" ht="18.75" customHeight="1" x14ac:dyDescent="0.25">
      <c r="B42" s="5"/>
    </row>
    <row r="43" spans="2:2" ht="18.75" customHeight="1" x14ac:dyDescent="0.25">
      <c r="B43" s="5"/>
    </row>
    <row r="44" spans="2:2" ht="18.75" customHeight="1" x14ac:dyDescent="0.25">
      <c r="B44" s="5"/>
    </row>
    <row r="45" spans="2:2" ht="18.75" customHeight="1" x14ac:dyDescent="0.25">
      <c r="B45" s="5"/>
    </row>
    <row r="46" spans="2:2" ht="18.75" customHeight="1" x14ac:dyDescent="0.25"/>
    <row r="47" spans="2:2" ht="18.75" customHeight="1" x14ac:dyDescent="0.25"/>
    <row r="48" spans="2:2" ht="18.75" customHeight="1" x14ac:dyDescent="0.25"/>
    <row r="49" spans="4:14" ht="18.75" customHeight="1" x14ac:dyDescent="0.25"/>
    <row r="50" spans="4:14" ht="18.75" customHeight="1" x14ac:dyDescent="0.25">
      <c r="D50" s="271"/>
      <c r="E50" s="271"/>
      <c r="F50" s="271"/>
      <c r="G50" s="271"/>
      <c r="H50" s="271"/>
      <c r="I50" s="271"/>
      <c r="J50" s="271"/>
      <c r="K50" s="271"/>
      <c r="L50" s="271"/>
      <c r="M50" s="271"/>
      <c r="N50" s="271"/>
    </row>
    <row r="51" spans="4:14" ht="18.75" customHeight="1" x14ac:dyDescent="0.25"/>
    <row r="52" spans="4:14" ht="18.75" customHeight="1" x14ac:dyDescent="0.25"/>
    <row r="53" spans="4:14" ht="18.75" customHeight="1" x14ac:dyDescent="0.25"/>
    <row r="54" spans="4:14" ht="18.75" customHeight="1" x14ac:dyDescent="0.25"/>
    <row r="55" spans="4:14" ht="18.75" customHeight="1" x14ac:dyDescent="0.25"/>
    <row r="56" spans="4:14" ht="18.75" customHeight="1" x14ac:dyDescent="0.25"/>
    <row r="57" spans="4:14" ht="18.75" customHeight="1" x14ac:dyDescent="0.25"/>
    <row r="58" spans="4:14" ht="18.75" customHeight="1" x14ac:dyDescent="0.25"/>
    <row r="59" spans="4:14" ht="18.75" customHeight="1" x14ac:dyDescent="0.25"/>
    <row r="60" spans="4:14" ht="18.75" customHeight="1" x14ac:dyDescent="0.25"/>
    <row r="61" spans="4:14" ht="18.75" customHeight="1" x14ac:dyDescent="0.25"/>
    <row r="62" spans="4:14" ht="18.75" customHeight="1" x14ac:dyDescent="0.25"/>
    <row r="63" spans="4:14" ht="18.75" customHeight="1" x14ac:dyDescent="0.25"/>
    <row r="64" spans="4:14" ht="18.75" customHeight="1" x14ac:dyDescent="0.25"/>
    <row r="65" ht="18.75" customHeight="1" x14ac:dyDescent="0.25"/>
  </sheetData>
  <sortState xmlns:xlrd2="http://schemas.microsoft.com/office/spreadsheetml/2017/richdata2" ref="B5:E41">
    <sortCondition ref="B5:B41"/>
  </sortState>
  <mergeCells count="1">
    <mergeCell ref="C25:C26"/>
  </mergeCells>
  <pageMargins left="0.78740157480314965" right="0.78740157480314965" top="0.98425196850393704" bottom="0.98425196850393704" header="0.51181102362204722" footer="0.51181102362204722"/>
  <pageSetup paperSize="9" scale="65" fitToWidth="3" orientation="portrait" r:id="rId1"/>
  <headerFooter alignWithMargins="0"/>
  <colBreaks count="2" manualBreakCount="2">
    <brk id="1" max="42" man="1"/>
    <brk id="3" min="4"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IF107"/>
  <sheetViews>
    <sheetView showGridLines="0" showZeros="0" zoomScale="70" zoomScaleNormal="70" workbookViewId="0">
      <pane xSplit="1" ySplit="7" topLeftCell="B8" activePane="bottomRight" state="frozen"/>
      <selection pane="topRight" activeCell="H73" sqref="H73"/>
      <selection pane="bottomLeft" activeCell="H73" sqref="H73"/>
      <selection pane="bottomRight" activeCell="A4" sqref="A4"/>
    </sheetView>
  </sheetViews>
  <sheetFormatPr baseColWidth="10" defaultColWidth="11.44140625" defaultRowHeight="13.2" x14ac:dyDescent="0.25"/>
  <cols>
    <col min="1" max="1" width="49" style="59" customWidth="1"/>
    <col min="2" max="3" width="15.6640625" style="59" customWidth="1"/>
    <col min="4" max="4" width="8.6640625" style="59" customWidth="1"/>
    <col min="5" max="5" width="12.109375" style="59" bestFit="1" customWidth="1"/>
    <col min="6" max="6" width="4.6640625" style="59" customWidth="1"/>
    <col min="7" max="7" width="18.44140625" style="59" customWidth="1"/>
    <col min="8" max="8" width="17.6640625" style="59" customWidth="1"/>
    <col min="9" max="9" width="8.6640625" style="59" customWidth="1"/>
    <col min="10" max="10" width="12.109375" style="59" bestFit="1" customWidth="1"/>
    <col min="11" max="11" width="13.44140625" style="59" hidden="1" customWidth="1"/>
    <col min="12" max="12" width="14.6640625" style="59" hidden="1" customWidth="1"/>
    <col min="13" max="13" width="13.6640625" style="59" hidden="1" customWidth="1"/>
    <col min="14" max="15" width="15.6640625" style="59" hidden="1" customWidth="1"/>
    <col min="16" max="16" width="11.44140625" style="59" hidden="1" customWidth="1"/>
    <col min="17" max="19" width="11.44140625" style="59" customWidth="1"/>
    <col min="20" max="16384" width="11.44140625" style="59"/>
  </cols>
  <sheetData>
    <row r="1" spans="1:18" ht="20.399999999999999" x14ac:dyDescent="0.35">
      <c r="A1" s="52" t="s">
        <v>77</v>
      </c>
      <c r="B1" s="47" t="s">
        <v>44</v>
      </c>
      <c r="C1" s="48"/>
      <c r="D1" s="48"/>
      <c r="E1" s="48"/>
      <c r="F1" s="48"/>
      <c r="G1" s="48"/>
      <c r="H1" s="48"/>
      <c r="I1" s="48"/>
      <c r="J1" s="48"/>
      <c r="K1" s="48"/>
    </row>
    <row r="2" spans="1:18" ht="20.399999999999999" x14ac:dyDescent="0.35">
      <c r="A2" s="52" t="s">
        <v>78</v>
      </c>
      <c r="B2" s="48"/>
      <c r="C2" s="48"/>
      <c r="D2" s="48"/>
      <c r="E2" s="514"/>
      <c r="F2" s="50"/>
      <c r="G2" s="50"/>
      <c r="H2" s="50"/>
      <c r="I2" s="50"/>
      <c r="J2" s="50"/>
      <c r="K2" s="50"/>
      <c r="L2" s="515"/>
      <c r="M2" s="515"/>
      <c r="N2" s="515"/>
      <c r="O2" s="515"/>
      <c r="P2" s="515"/>
      <c r="Q2" s="515"/>
    </row>
    <row r="3" spans="1:18" ht="18" x14ac:dyDescent="0.35">
      <c r="A3" s="572" t="s">
        <v>79</v>
      </c>
      <c r="B3" s="572"/>
      <c r="C3" s="48"/>
      <c r="D3" s="48"/>
      <c r="E3" s="48"/>
      <c r="F3" s="48"/>
      <c r="G3" s="48"/>
      <c r="H3" s="48"/>
      <c r="I3" s="48"/>
      <c r="J3" s="48"/>
      <c r="K3" s="48"/>
    </row>
    <row r="4" spans="1:18" ht="18" x14ac:dyDescent="0.35">
      <c r="A4" s="54" t="s">
        <v>153</v>
      </c>
      <c r="B4" s="55"/>
      <c r="C4" s="56"/>
      <c r="D4" s="56"/>
      <c r="E4" s="57"/>
      <c r="F4" s="58"/>
      <c r="G4" s="55"/>
      <c r="H4" s="56"/>
      <c r="I4" s="56"/>
      <c r="J4" s="57"/>
      <c r="K4" s="48"/>
      <c r="L4" s="159"/>
      <c r="M4" s="160"/>
      <c r="N4" s="161"/>
      <c r="O4" s="160"/>
    </row>
    <row r="5" spans="1:18" ht="20.399999999999999" x14ac:dyDescent="0.35">
      <c r="A5" s="60"/>
      <c r="B5" s="573" t="s">
        <v>80</v>
      </c>
      <c r="C5" s="574"/>
      <c r="D5" s="574"/>
      <c r="E5" s="575"/>
      <c r="F5" s="62"/>
      <c r="G5" s="573" t="s">
        <v>81</v>
      </c>
      <c r="H5" s="574"/>
      <c r="I5" s="574"/>
      <c r="J5" s="575"/>
      <c r="K5" s="61"/>
      <c r="L5" s="576" t="s">
        <v>82</v>
      </c>
      <c r="M5" s="571"/>
      <c r="N5" s="570" t="s">
        <v>83</v>
      </c>
      <c r="O5" s="571"/>
    </row>
    <row r="6" spans="1:18" ht="17.399999999999999" x14ac:dyDescent="0.3">
      <c r="A6" s="63"/>
      <c r="B6" s="64"/>
      <c r="C6" s="65"/>
      <c r="D6" s="65" t="s">
        <v>84</v>
      </c>
      <c r="E6" s="66" t="s">
        <v>85</v>
      </c>
      <c r="F6" s="67"/>
      <c r="G6" s="64"/>
      <c r="H6" s="65"/>
      <c r="I6" s="65" t="s">
        <v>84</v>
      </c>
      <c r="J6" s="66" t="s">
        <v>85</v>
      </c>
      <c r="K6" s="72"/>
      <c r="L6" s="162"/>
      <c r="M6" s="163"/>
      <c r="N6" s="164"/>
      <c r="O6" s="163"/>
    </row>
    <row r="7" spans="1:18" ht="16.2" x14ac:dyDescent="0.35">
      <c r="A7" s="68" t="s">
        <v>86</v>
      </c>
      <c r="B7" s="69">
        <v>2025</v>
      </c>
      <c r="C7" s="69">
        <v>2026</v>
      </c>
      <c r="D7" s="70" t="s">
        <v>87</v>
      </c>
      <c r="E7" s="71" t="s">
        <v>88</v>
      </c>
      <c r="F7" s="67"/>
      <c r="G7" s="69">
        <v>2025</v>
      </c>
      <c r="H7" s="69">
        <v>2026</v>
      </c>
      <c r="I7" s="70" t="s">
        <v>87</v>
      </c>
      <c r="J7" s="71" t="s">
        <v>88</v>
      </c>
      <c r="K7" s="72"/>
      <c r="L7" s="165">
        <v>2015</v>
      </c>
      <c r="M7" s="166">
        <v>2016</v>
      </c>
      <c r="N7" s="167">
        <v>2015</v>
      </c>
      <c r="O7" s="166">
        <v>2016</v>
      </c>
      <c r="P7" s="59" t="s">
        <v>89</v>
      </c>
    </row>
    <row r="8" spans="1:18" ht="18" x14ac:dyDescent="0.35">
      <c r="A8" s="73" t="s">
        <v>46</v>
      </c>
      <c r="B8" s="97"/>
      <c r="C8" s="75"/>
      <c r="D8" s="76"/>
      <c r="E8" s="328"/>
      <c r="F8" s="133"/>
      <c r="G8" s="97"/>
      <c r="H8" s="97"/>
      <c r="I8" s="75"/>
      <c r="J8" s="328"/>
      <c r="K8" s="51"/>
      <c r="L8" s="168" t="s">
        <v>46</v>
      </c>
      <c r="M8" s="169"/>
      <c r="N8" s="170"/>
      <c r="O8" s="169"/>
      <c r="P8" s="59" t="s">
        <v>90</v>
      </c>
    </row>
    <row r="9" spans="1:18" ht="18" x14ac:dyDescent="0.35">
      <c r="A9" s="77" t="s">
        <v>91</v>
      </c>
      <c r="B9" s="133">
        <f>'DNB Livsforsikring'!B7+'DNB Livsforsikring'!B22+'DNB Livsforsikring'!B36+'DNB Livsforsikring'!B47+'DNB Livsforsikring'!B66+'DNB Livsforsikring'!B134</f>
        <v>1249688</v>
      </c>
      <c r="C9" s="133">
        <f>'DNB Livsforsikring'!C7+'DNB Livsforsikring'!C22+'DNB Livsforsikring'!C36+'DNB Livsforsikring'!C47+'DNB Livsforsikring'!C66+'DNB Livsforsikring'!C134</f>
        <v>1251034.2379600001</v>
      </c>
      <c r="D9" s="76">
        <f t="shared" ref="D9:D30" si="0">IF(B9=0, "    ---- ", IF(ABS(ROUND(100/B9*C9-100,1))&lt;999,ROUND(100/B9*C9-100,1),IF(ROUND(100/B9*C9-100,1)&gt;999,999,-999)))</f>
        <v>0.1</v>
      </c>
      <c r="E9" s="328">
        <f t="shared" ref="E9:E31" si="1">100/C$32*C9</f>
        <v>5.9391941908719339</v>
      </c>
      <c r="F9" s="75"/>
      <c r="G9" s="133">
        <f>'DNB Livsforsikring'!B10+'DNB Livsforsikring'!B29+'DNB Livsforsikring'!B37+'DNB Livsforsikring'!B87+'DNB Livsforsikring'!B135</f>
        <v>179684402.72244999</v>
      </c>
      <c r="H9" s="133">
        <f>'DNB Livsforsikring'!C10+'DNB Livsforsikring'!C29+'DNB Livsforsikring'!C37+'DNB Livsforsikring'!C87+'DNB Livsforsikring'!C135</f>
        <v>178517753.45691475</v>
      </c>
      <c r="I9" s="76">
        <f t="shared" ref="I9:I27" si="2">IF(G9=0, "    ---- ", IF(ABS(ROUND(100/G9*H9-100,1))&lt;999,ROUND(100/G9*H9-100,1),IF(ROUND(100/G9*H9-100,1)&gt;999,999,-999)))</f>
        <v>-0.6</v>
      </c>
      <c r="J9" s="328">
        <f t="shared" ref="J9:J31" si="3">100/H$32*H9</f>
        <v>12.018720246028613</v>
      </c>
      <c r="K9" s="158" t="s">
        <v>92</v>
      </c>
      <c r="L9" s="171" t="e">
        <f ca="1">INDIRECT("'" &amp;#REF! &amp; "'!" &amp; $P$7)</f>
        <v>#REF!</v>
      </c>
      <c r="M9" s="169" t="e">
        <f ca="1">INDIRECT("'" &amp;#REF! &amp; "'!" &amp; $P$8)</f>
        <v>#REF!</v>
      </c>
      <c r="N9" s="171" t="e">
        <f ca="1">INDIRECT("'" &amp;#REF! &amp; "'!" &amp;#REF!)</f>
        <v>#REF!</v>
      </c>
      <c r="O9" s="169" t="e">
        <f ca="1">INDIRECT("'" &amp;#REF! &amp; "'!" &amp; $P$9)</f>
        <v>#REF!</v>
      </c>
      <c r="P9" s="59" t="s">
        <v>93</v>
      </c>
    </row>
    <row r="10" spans="1:18" ht="18" x14ac:dyDescent="0.35">
      <c r="A10" s="77" t="s">
        <v>48</v>
      </c>
      <c r="B10" s="133">
        <f>'Euro Accident'!B7+'Euro Accident'!B22+'Euro Accident'!B36+'Euro Accident'!B47+'Euro Accident'!B66+'Euro Accident'!B134</f>
        <v>30761</v>
      </c>
      <c r="C10" s="133">
        <f>'Euro Accident'!C7+'Euro Accident'!C22+'Euro Accident'!C36+'Euro Accident'!C47+'Euro Accident'!C66+'Euro Accident'!C134</f>
        <v>46204</v>
      </c>
      <c r="D10" s="76">
        <f t="shared" ref="D10" si="4">IF(B10=0, "    ---- ", IF(ABS(ROUND(100/B10*C10-100,1))&lt;999,ROUND(100/B10*C10-100,1),IF(ROUND(100/B10*C10-100,1)&gt;999,999,-999)))</f>
        <v>50.2</v>
      </c>
      <c r="E10" s="328">
        <f t="shared" si="1"/>
        <v>0.21935013452750987</v>
      </c>
      <c r="F10" s="75"/>
      <c r="G10" s="133"/>
      <c r="H10" s="133"/>
      <c r="I10" s="76"/>
      <c r="J10" s="328"/>
      <c r="L10" s="171"/>
      <c r="M10" s="169"/>
      <c r="N10" s="171"/>
      <c r="O10" s="169"/>
    </row>
    <row r="11" spans="1:18" ht="18" x14ac:dyDescent="0.35">
      <c r="A11" s="77" t="s">
        <v>409</v>
      </c>
      <c r="B11" s="133">
        <f>Fremtind!B7+Fremtind!B22+Fremtind!B36+Fremtind!B47+Fremtind!B66+Fremtind!B134</f>
        <v>1271137.3383900002</v>
      </c>
      <c r="C11" s="133">
        <f>Fremtind!C7+Fremtind!C22+Fremtind!C36+Fremtind!C47+Fremtind!C66+Fremtind!C134</f>
        <v>1220218.7109099999</v>
      </c>
      <c r="D11" s="76">
        <f t="shared" si="0"/>
        <v>-4</v>
      </c>
      <c r="E11" s="328">
        <f t="shared" si="1"/>
        <v>5.7928997141176772</v>
      </c>
      <c r="F11" s="75"/>
      <c r="G11" s="133">
        <f>Fremtind!B10+Fremtind!B29+Fremtind!B37+Fremtind!B87+Fremtind!B135</f>
        <v>6000495.18102</v>
      </c>
      <c r="H11" s="133">
        <f>Fremtind!C10+Fremtind!C29+Fremtind!C37+Fremtind!C87+Fremtind!C135</f>
        <v>6592758.1898499997</v>
      </c>
      <c r="I11" s="76">
        <f t="shared" si="2"/>
        <v>9.9</v>
      </c>
      <c r="J11" s="328">
        <f t="shared" si="3"/>
        <v>0.44385790656190877</v>
      </c>
      <c r="K11" s="59" t="s">
        <v>95</v>
      </c>
      <c r="L11" s="171" t="e">
        <f ca="1">INDIRECT("'" &amp;#REF! &amp; "'!" &amp; $P$7)</f>
        <v>#REF!</v>
      </c>
      <c r="M11" s="169" t="e">
        <f ca="1">INDIRECT("'" &amp;#REF! &amp; "'!" &amp; $P$8)</f>
        <v>#REF!</v>
      </c>
      <c r="N11" s="171" t="e">
        <f ca="1">INDIRECT("'" &amp;#REF! &amp; "'!" &amp;#REF!)</f>
        <v>#REF!</v>
      </c>
      <c r="O11" s="169" t="e">
        <f ca="1">INDIRECT("'" &amp;#REF! &amp; "'!" &amp; $P$9)</f>
        <v>#REF!</v>
      </c>
      <c r="R11" s="423"/>
    </row>
    <row r="12" spans="1:18" ht="18" x14ac:dyDescent="0.35">
      <c r="A12" s="77" t="s">
        <v>96</v>
      </c>
      <c r="B12" s="133">
        <f>'Frende Livsforsikring'!B7+'Frende Livsforsikring'!B22+'Frende Livsforsikring'!B36+'Frende Livsforsikring'!B47+'Frende Livsforsikring'!B66+'Frende Livsforsikring'!B134</f>
        <v>713825</v>
      </c>
      <c r="C12" s="133">
        <f>'Frende Livsforsikring'!C7+'Frende Livsforsikring'!C22+'Frende Livsforsikring'!C36+'Frende Livsforsikring'!C47+'Frende Livsforsikring'!C66+'Frende Livsforsikring'!C134</f>
        <v>787243</v>
      </c>
      <c r="D12" s="76">
        <f t="shared" si="0"/>
        <v>10.3</v>
      </c>
      <c r="E12" s="328">
        <f t="shared" si="1"/>
        <v>3.7373789705618661</v>
      </c>
      <c r="F12" s="75"/>
      <c r="G12" s="133">
        <f>'Frende Livsforsikring'!B10+'Frende Livsforsikring'!B29+'Frende Livsforsikring'!B37+'Frende Livsforsikring'!B87+'Frende Livsforsikring'!B135</f>
        <v>2437488</v>
      </c>
      <c r="H12" s="133">
        <f>'Frende Livsforsikring'!C10+'Frende Livsforsikring'!C29+'Frende Livsforsikring'!C37+'Frende Livsforsikring'!C87+'Frende Livsforsikring'!C135</f>
        <v>2794309</v>
      </c>
      <c r="I12" s="76">
        <f t="shared" si="2"/>
        <v>14.6</v>
      </c>
      <c r="J12" s="328">
        <f t="shared" si="3"/>
        <v>0.18812704900000585</v>
      </c>
      <c r="L12" s="171"/>
      <c r="M12" s="169"/>
      <c r="N12" s="171"/>
      <c r="O12" s="169"/>
    </row>
    <row r="13" spans="1:18" ht="18" x14ac:dyDescent="0.35">
      <c r="A13" s="77" t="s">
        <v>97</v>
      </c>
      <c r="B13" s="133">
        <f>'Frende Skadeforsikring'!B7+'Frende Skadeforsikring'!B22+'Frende Skadeforsikring'!B36+'Frende Skadeforsikring'!B47+'Frende Skadeforsikring'!B66+'Frende Skadeforsikring'!B134</f>
        <v>287.33699999999999</v>
      </c>
      <c r="C13" s="133">
        <f>'Frende Skadeforsikring'!C7+'Frende Skadeforsikring'!C22+'Frende Skadeforsikring'!C36+'Frende Skadeforsikring'!C47+'Frende Skadeforsikring'!C66+'Frende Skadeforsikring'!C134</f>
        <v>25.518999999999998</v>
      </c>
      <c r="D13" s="76">
        <f t="shared" si="0"/>
        <v>-91.1</v>
      </c>
      <c r="E13" s="328">
        <f t="shared" si="1"/>
        <v>1.2114959923399542E-4</v>
      </c>
      <c r="F13" s="75"/>
      <c r="G13" s="133"/>
      <c r="H13" s="133"/>
      <c r="I13" s="76"/>
      <c r="J13" s="328"/>
      <c r="K13" s="59" t="s">
        <v>98</v>
      </c>
      <c r="L13" s="171">
        <f t="shared" ref="L13:L30" ca="1" si="5">INDIRECT("'" &amp; $A12 &amp; "'!" &amp; $P$7)</f>
        <v>0</v>
      </c>
      <c r="M13" s="169">
        <f t="shared" ref="M13:M30" ca="1" si="6">INDIRECT("'" &amp; $A12 &amp; "'!" &amp; $P$8)</f>
        <v>0</v>
      </c>
      <c r="N13" s="171" t="e">
        <f ca="1">INDIRECT("'" &amp; $A12 &amp; "'!" &amp;#REF!)</f>
        <v>#REF!</v>
      </c>
      <c r="O13" s="169">
        <f t="shared" ref="O13:O30" ca="1" si="7">INDIRECT("'" &amp; $A12 &amp; "'!" &amp; $P$9)</f>
        <v>0</v>
      </c>
    </row>
    <row r="14" spans="1:18" ht="18" x14ac:dyDescent="0.35">
      <c r="A14" s="77" t="s">
        <v>99</v>
      </c>
      <c r="B14" s="133">
        <f>'Gjensidige Forsikring'!B7+'Gjensidige Forsikring'!B22+'Gjensidige Forsikring'!B36+'Gjensidige Forsikring'!B47+'Gjensidige Forsikring'!B66+'Gjensidige Forsikring'!B134</f>
        <v>1611395.2398000001</v>
      </c>
      <c r="C14" s="133">
        <f>'Gjensidige Forsikring'!C7+'Gjensidige Forsikring'!C22+'Gjensidige Forsikring'!C36+'Gjensidige Forsikring'!C47+'Gjensidige Forsikring'!C66+'Gjensidige Forsikring'!C134</f>
        <v>1562214.5224200001</v>
      </c>
      <c r="D14" s="76">
        <f t="shared" si="0"/>
        <v>-3.1</v>
      </c>
      <c r="E14" s="328">
        <f t="shared" si="1"/>
        <v>7.4164999925040389</v>
      </c>
      <c r="F14" s="75"/>
      <c r="G14" s="133"/>
      <c r="H14" s="133"/>
      <c r="I14" s="76"/>
      <c r="J14" s="328"/>
      <c r="K14" s="59" t="s">
        <v>100</v>
      </c>
      <c r="L14" s="171">
        <f t="shared" ca="1" si="5"/>
        <v>0</v>
      </c>
      <c r="M14" s="169">
        <f t="shared" ca="1" si="6"/>
        <v>0</v>
      </c>
      <c r="N14" s="171" t="e">
        <f ca="1">INDIRECT("'" &amp; $A13 &amp; "'!" &amp;#REF!)</f>
        <v>#REF!</v>
      </c>
      <c r="O14" s="169">
        <f t="shared" ca="1" si="7"/>
        <v>0</v>
      </c>
    </row>
    <row r="15" spans="1:18" ht="18" x14ac:dyDescent="0.35">
      <c r="A15" s="77" t="s">
        <v>101</v>
      </c>
      <c r="B15" s="133">
        <f>'Gjensidige Pensjon'!B7+'Gjensidige Pensjon'!B22+'Gjensidige Pensjon'!B36+'Gjensidige Pensjon'!B47+'Gjensidige Pensjon'!B66+'Gjensidige Pensjon'!B134</f>
        <v>361354</v>
      </c>
      <c r="C15" s="133">
        <f>'Gjensidige Pensjon'!C7+'Gjensidige Pensjon'!C22+'Gjensidige Pensjon'!C36+'Gjensidige Pensjon'!C47+'Gjensidige Pensjon'!C66+'Gjensidige Pensjon'!C134</f>
        <v>385947</v>
      </c>
      <c r="D15" s="76">
        <f t="shared" si="0"/>
        <v>6.8</v>
      </c>
      <c r="E15" s="328">
        <f t="shared" si="1"/>
        <v>1.8322553538760467</v>
      </c>
      <c r="F15" s="75"/>
      <c r="G15" s="133">
        <f>'Gjensidige Pensjon'!B10+'Gjensidige Pensjon'!B29+'Gjensidige Pensjon'!B37+'Gjensidige Pensjon'!B87+'Gjensidige Pensjon'!B135</f>
        <v>11279029</v>
      </c>
      <c r="H15" s="133">
        <f>'Gjensidige Pensjon'!C10+'Gjensidige Pensjon'!C29+'Gjensidige Pensjon'!C37+'Gjensidige Pensjon'!C87+'Gjensidige Pensjon'!C135</f>
        <v>12086275</v>
      </c>
      <c r="I15" s="76">
        <f t="shared" si="2"/>
        <v>7.2</v>
      </c>
      <c r="J15" s="328">
        <f t="shared" si="3"/>
        <v>0.8137093102990921</v>
      </c>
      <c r="K15" s="59" t="s">
        <v>89</v>
      </c>
      <c r="L15" s="171">
        <f t="shared" ca="1" si="5"/>
        <v>0</v>
      </c>
      <c r="M15" s="169">
        <f t="shared" ca="1" si="6"/>
        <v>0</v>
      </c>
      <c r="N15" s="171" t="e">
        <f ca="1">INDIRECT("'" &amp; $A14 &amp; "'!" &amp;#REF!)</f>
        <v>#REF!</v>
      </c>
      <c r="O15" s="169">
        <f t="shared" ca="1" si="7"/>
        <v>0</v>
      </c>
    </row>
    <row r="16" spans="1:18" ht="18" x14ac:dyDescent="0.35">
      <c r="A16" s="77" t="s">
        <v>102</v>
      </c>
      <c r="B16" s="133">
        <f>'If Skadeforsikring NUF'!B7+'If Skadeforsikring NUF'!B22+'If Skadeforsikring NUF'!B36+'If Skadeforsikring NUF'!B47+'If Skadeforsikring NUF'!B66+'If Skadeforsikring NUF'!B134</f>
        <v>238957.54931210299</v>
      </c>
      <c r="C16" s="133">
        <f>'If Skadeforsikring NUF'!C7+'If Skadeforsikring NUF'!C22+'If Skadeforsikring NUF'!C36+'If Skadeforsikring NUF'!C47+'If Skadeforsikring NUF'!C66+'If Skadeforsikring NUF'!C134</f>
        <v>261854.26316000003</v>
      </c>
      <c r="D16" s="76">
        <f t="shared" si="0"/>
        <v>9.6</v>
      </c>
      <c r="E16" s="328">
        <f t="shared" si="1"/>
        <v>1.2431340977133578</v>
      </c>
      <c r="F16" s="75"/>
      <c r="G16" s="133"/>
      <c r="H16" s="133"/>
      <c r="I16" s="76"/>
      <c r="J16" s="328"/>
      <c r="K16" s="51"/>
      <c r="L16" s="171" t="e">
        <f ca="1">INDIRECT("'" &amp;#REF! &amp; "'!" &amp; $P$7)</f>
        <v>#REF!</v>
      </c>
      <c r="M16" s="169" t="e">
        <f ca="1">INDIRECT("'" &amp;#REF! &amp; "'!" &amp; $P$8)</f>
        <v>#REF!</v>
      </c>
      <c r="N16" s="171" t="e">
        <f ca="1">INDIRECT("'" &amp;#REF! &amp; "'!" &amp;#REF!)</f>
        <v>#REF!</v>
      </c>
      <c r="O16" s="169" t="e">
        <f ca="1">INDIRECT("'" &amp;#REF! &amp; "'!" &amp; $P$9)</f>
        <v>#REF!</v>
      </c>
    </row>
    <row r="17" spans="1:21" ht="18" x14ac:dyDescent="0.35">
      <c r="A17" s="77" t="s">
        <v>54</v>
      </c>
      <c r="B17" s="133">
        <f>KLP!B7+KLP!B22+KLP!B36+KLP!B47+KLP!B66+KLP!B134</f>
        <v>8049379.79641</v>
      </c>
      <c r="C17" s="133">
        <f>KLP!C7+KLP!C22+KLP!C36+KLP!C47+KLP!C66+KLP!C134</f>
        <v>8744623.9051599987</v>
      </c>
      <c r="D17" s="76">
        <f t="shared" si="0"/>
        <v>8.6</v>
      </c>
      <c r="E17" s="328">
        <f t="shared" si="1"/>
        <v>41.514466929039145</v>
      </c>
      <c r="F17" s="75"/>
      <c r="G17" s="133">
        <f>KLP!B10+KLP!B29+KLP!B37+KLP!B87+KLP!B135</f>
        <v>794812677.44805002</v>
      </c>
      <c r="H17" s="133">
        <f>KLP!C10+KLP!C29+KLP!C37+KLP!C87+KLP!C135</f>
        <v>876265272.58194005</v>
      </c>
      <c r="I17" s="76">
        <f t="shared" si="2"/>
        <v>10.199999999999999</v>
      </c>
      <c r="J17" s="328">
        <f t="shared" si="3"/>
        <v>58.994620806799148</v>
      </c>
      <c r="K17" s="51"/>
      <c r="L17" s="171" t="e">
        <f ca="1">INDIRECT("'" &amp;#REF! &amp; "'!" &amp; $P$7)</f>
        <v>#REF!</v>
      </c>
      <c r="M17" s="169" t="e">
        <f ca="1">INDIRECT("'" &amp;#REF! &amp; "'!" &amp; $P$8)</f>
        <v>#REF!</v>
      </c>
      <c r="N17" s="171" t="e">
        <f ca="1">INDIRECT("'" &amp;#REF! &amp; "'!" &amp;#REF!)</f>
        <v>#REF!</v>
      </c>
      <c r="O17" s="169" t="e">
        <f ca="1">INDIRECT("'" &amp;#REF! &amp; "'!" &amp; $P$9)</f>
        <v>#REF!</v>
      </c>
    </row>
    <row r="18" spans="1:21" ht="18" x14ac:dyDescent="0.35">
      <c r="A18" s="77" t="s">
        <v>103</v>
      </c>
      <c r="B18" s="133">
        <f>'KLP Skadeforsikring AS'!B7+'KLP Skadeforsikring AS'!B22+'KLP Skadeforsikring AS'!B36+'KLP Skadeforsikring AS'!B47+'KLP Skadeforsikring AS'!B66+'KLP Skadeforsikring AS'!B134</f>
        <v>234700.55499999999</v>
      </c>
      <c r="C18" s="133">
        <f>'KLP Skadeforsikring AS'!C7+'KLP Skadeforsikring AS'!C22+'KLP Skadeforsikring AS'!C36+'KLP Skadeforsikring AS'!C47+'KLP Skadeforsikring AS'!C66+'KLP Skadeforsikring AS'!C134</f>
        <v>696348.86199999996</v>
      </c>
      <c r="D18" s="76">
        <f t="shared" si="0"/>
        <v>196.7</v>
      </c>
      <c r="E18" s="328">
        <f t="shared" si="1"/>
        <v>3.3058656514106661</v>
      </c>
      <c r="F18" s="75"/>
      <c r="G18" s="133">
        <f>'KLP Skadeforsikring AS'!B10+'KLP Skadeforsikring AS'!B29+'KLP Skadeforsikring AS'!B37+'KLP Skadeforsikring AS'!B87+'KLP Skadeforsikring AS'!B135</f>
        <v>173603.853</v>
      </c>
      <c r="H18" s="133">
        <f>'KLP Skadeforsikring AS'!C10+'KLP Skadeforsikring AS'!C29+'KLP Skadeforsikring AS'!C37+'KLP Skadeforsikring AS'!C87+'KLP Skadeforsikring AS'!C135</f>
        <v>284694.43099999998</v>
      </c>
      <c r="I18" s="76">
        <f t="shared" si="2"/>
        <v>64</v>
      </c>
      <c r="J18" s="328">
        <f t="shared" si="3"/>
        <v>1.9167072492972604E-2</v>
      </c>
      <c r="K18" s="51"/>
      <c r="L18" s="171">
        <f ca="1">INDIRECT("'" &amp; $A31 &amp; "'!" &amp; $P$7)</f>
        <v>0</v>
      </c>
      <c r="M18" s="169">
        <f ca="1">INDIRECT("'" &amp; $A31 &amp; "'!" &amp; $P$8)</f>
        <v>0</v>
      </c>
      <c r="N18" s="171" t="e">
        <f ca="1">INDIRECT("'" &amp; $A31 &amp; "'!" &amp;#REF!)</f>
        <v>#REF!</v>
      </c>
      <c r="O18" s="169">
        <f ca="1">INDIRECT("'" &amp; $A31 &amp; "'!" &amp; $P$9)</f>
        <v>0</v>
      </c>
    </row>
    <row r="19" spans="1:21" ht="18" x14ac:dyDescent="0.35">
      <c r="A19" s="77" t="s">
        <v>104</v>
      </c>
      <c r="B19" s="133">
        <f>'Knif Trygghet Forsikring'!B7+'Knif Trygghet Forsikring'!B22+'Knif Trygghet Forsikring'!B36+'Knif Trygghet Forsikring'!B47+'Knif Trygghet Forsikring'!B66+'Knif Trygghet Forsikring'!B134</f>
        <v>0</v>
      </c>
      <c r="C19" s="133">
        <f>'Knif Trygghet Forsikring'!C7+'Knif Trygghet Forsikring'!C22+'Knif Trygghet Forsikring'!C36+'Knif Trygghet Forsikring'!C47+'Knif Trygghet Forsikring'!C66+'Knif Trygghet Forsikring'!C134</f>
        <v>53091</v>
      </c>
      <c r="D19" s="76" t="str">
        <f t="shared" ref="D19" si="8">IF(B19=0, "    ---- ", IF(ABS(ROUND(100/B19*C19-100,1))&lt;999,ROUND(100/B19*C19-100,1),IF(ROUND(100/B19*C19-100,1)&gt;999,999,-999)))</f>
        <v xml:space="preserve">    ---- </v>
      </c>
      <c r="E19" s="328">
        <f t="shared" si="1"/>
        <v>0.25204566687299862</v>
      </c>
      <c r="F19" s="75"/>
      <c r="G19" s="133">
        <f>'Knif Trygghet Forsikring'!B10+'Knif Trygghet Forsikring'!B29+'Knif Trygghet Forsikring'!B37+'Knif Trygghet Forsikring'!B87+'Knif Trygghet Forsikring'!B66+'Knif Trygghet Forsikring'!B135</f>
        <v>0</v>
      </c>
      <c r="H19" s="133">
        <f>'Knif Trygghet Forsikring'!C10+'Knif Trygghet Forsikring'!C29+'Knif Trygghet Forsikring'!C37+'Knif Trygghet Forsikring'!C87+'Knif Trygghet Forsikring'!C66+'Knif Trygghet Forsikring'!C135</f>
        <v>3595</v>
      </c>
      <c r="I19" s="76" t="str">
        <f t="shared" ref="I19" si="9">IF(G19=0, "    ---- ", IF(ABS(ROUND(100/G19*H19-100,1))&lt;999,ROUND(100/G19*H19-100,1),IF(ROUND(100/G19*H19-100,1)&gt;999,999,-999)))</f>
        <v xml:space="preserve">    ---- </v>
      </c>
      <c r="J19" s="328">
        <f t="shared" si="3"/>
        <v>2.4203362661574687E-4</v>
      </c>
      <c r="K19" s="51"/>
      <c r="L19" s="171"/>
      <c r="M19" s="169"/>
      <c r="N19" s="171"/>
      <c r="O19" s="169"/>
    </row>
    <row r="20" spans="1:21" ht="18" x14ac:dyDescent="0.35">
      <c r="A20" s="77" t="s">
        <v>105</v>
      </c>
      <c r="B20" s="133">
        <f>'Landkreditt Forsikring AS'!B7+'Landkreditt Forsikring AS'!B22+'Landkreditt Forsikring AS'!B36+'Landkreditt Forsikring AS'!B47+'Landkreditt Forsikring AS'!B66+'Landkreditt Forsikring AS'!B134</f>
        <v>82536</v>
      </c>
      <c r="C20" s="133">
        <f>'Landkreditt Forsikring AS'!C7+'Landkreditt Forsikring AS'!C22+'Landkreditt Forsikring AS'!C36+'Landkreditt Forsikring AS'!C47+'Landkreditt Forsikring AS'!C66+'Landkreditt Forsikring AS'!C134</f>
        <v>71658</v>
      </c>
      <c r="D20" s="76">
        <f t="shared" si="0"/>
        <v>-13.2</v>
      </c>
      <c r="E20" s="328">
        <f t="shared" si="1"/>
        <v>0.34019115098199948</v>
      </c>
      <c r="F20" s="75"/>
      <c r="G20" s="133"/>
      <c r="H20" s="133"/>
      <c r="I20" s="76"/>
      <c r="J20" s="328"/>
      <c r="K20" s="51"/>
      <c r="L20" s="171">
        <f ca="1">INDIRECT("'" &amp; $A18 &amp; "'!" &amp; $P$7)</f>
        <v>0</v>
      </c>
      <c r="M20" s="169">
        <f ca="1">INDIRECT("'" &amp; $A18 &amp; "'!" &amp; $P$8)</f>
        <v>0</v>
      </c>
      <c r="N20" s="171" t="e">
        <f ca="1">INDIRECT("'" &amp; $A18 &amp; "'!" &amp;#REF!)</f>
        <v>#REF!</v>
      </c>
      <c r="O20" s="169">
        <f ca="1">INDIRECT("'" &amp; $A18 &amp; "'!" &amp; $P$9)</f>
        <v>0</v>
      </c>
    </row>
    <row r="21" spans="1:21" ht="18" x14ac:dyDescent="0.35">
      <c r="A21" s="77" t="s">
        <v>58</v>
      </c>
      <c r="B21" s="133">
        <f>'Ly Forsikring'!B7+'Ly Forsikring'!B22+'Ly Forsikring'!B36+'Ly Forsikring'!B47+'Ly Forsikring'!B66+'Ly Forsikring'!B134</f>
        <v>15177</v>
      </c>
      <c r="C21" s="133">
        <f>'Ly Forsikring'!C7+'Ly Forsikring'!C22+'Ly Forsikring'!C36+'Ly Forsikring'!C47+'Ly Forsikring'!C66+'Ly Forsikring'!C134</f>
        <v>16314</v>
      </c>
      <c r="D21" s="76">
        <f t="shared" ref="D21" si="10">IF(B21=0, "    ---- ", IF(ABS(ROUND(100/B21*C21-100,1))&lt;999,ROUND(100/B21*C21-100,1),IF(ROUND(100/B21*C21-100,1)&gt;999,999,-999)))</f>
        <v>7.5</v>
      </c>
      <c r="E21" s="328">
        <f t="shared" si="1"/>
        <v>7.7449530228590524E-2</v>
      </c>
      <c r="F21" s="75"/>
      <c r="G21" s="133"/>
      <c r="H21" s="133"/>
      <c r="I21" s="76"/>
      <c r="J21" s="328"/>
      <c r="K21" s="51"/>
      <c r="L21" s="171"/>
      <c r="M21" s="169"/>
      <c r="N21" s="171"/>
      <c r="O21" s="169"/>
    </row>
    <row r="22" spans="1:21" ht="18" x14ac:dyDescent="0.35">
      <c r="A22" s="77" t="s">
        <v>106</v>
      </c>
      <c r="B22" s="133">
        <f>'Nordea Liv '!B7+'Nordea Liv '!B22+'Nordea Liv '!B36+'Nordea Liv '!B47+'Nordea Liv '!B66+'Nordea Liv '!B134</f>
        <v>811738.02410864085</v>
      </c>
      <c r="C22" s="133">
        <f>'Nordea Liv '!C7+'Nordea Liv '!C22+'Nordea Liv '!C36+'Nordea Liv '!C47+'Nordea Liv '!C66+'Nordea Liv '!C134</f>
        <v>855566.53582891263</v>
      </c>
      <c r="D22" s="76">
        <f t="shared" si="0"/>
        <v>5.4</v>
      </c>
      <c r="E22" s="328">
        <f t="shared" si="1"/>
        <v>4.0617399950503765</v>
      </c>
      <c r="F22" s="75"/>
      <c r="G22" s="133">
        <f>'Nordea Liv '!B10+'Nordea Liv '!B29+'Nordea Liv '!B37+'Nordea Liv '!B87+'Nordea Liv '!B135</f>
        <v>54964640.000001788</v>
      </c>
      <c r="H22" s="133">
        <f>'Nordea Liv '!C10+'Nordea Liv '!C29+'Nordea Liv '!C37+'Nordea Liv '!C87+'Nordea Liv '!C135</f>
        <v>56434150.000000753</v>
      </c>
      <c r="I22" s="76">
        <f t="shared" si="2"/>
        <v>2.7</v>
      </c>
      <c r="J22" s="328">
        <f t="shared" si="3"/>
        <v>3.7994330986028464</v>
      </c>
      <c r="K22" s="51"/>
      <c r="L22" s="171" t="e">
        <f ca="1">INDIRECT("'" &amp; $A20 &amp; "'!" &amp; $P$7)</f>
        <v>#REF!</v>
      </c>
      <c r="M22" s="169" t="e">
        <f ca="1">INDIRECT("'" &amp; $A20 &amp; "'!" &amp; $P$8)</f>
        <v>#REF!</v>
      </c>
      <c r="N22" s="171" t="e">
        <f ca="1">INDIRECT("'" &amp; $A20 &amp; "'!" &amp;#REF!)</f>
        <v>#REF!</v>
      </c>
      <c r="O22" s="169" t="e">
        <f ca="1">INDIRECT("'" &amp; $A20 &amp; "'!" &amp; $P$9)</f>
        <v>#REF!</v>
      </c>
    </row>
    <row r="23" spans="1:21" ht="18" x14ac:dyDescent="0.35">
      <c r="A23" s="77" t="s">
        <v>60</v>
      </c>
      <c r="B23" s="133">
        <f>'Oslo Forsikring'!B7+'Oslo Forsikring'!B22+'Oslo Forsikring'!B36+'Oslo Forsikring'!B47+'Oslo Forsikring'!B66+'Oslo Forsikring'!B134</f>
        <v>8970</v>
      </c>
      <c r="C23" s="133">
        <f>'Oslo Forsikring'!C7+'Oslo Forsikring'!C22+'Oslo Forsikring'!C36+'Oslo Forsikring'!C47+'Oslo Forsikring'!C66+'Oslo Forsikring'!C134</f>
        <v>9386</v>
      </c>
      <c r="D23" s="76">
        <f t="shared" ref="D23" si="11">IF(B23=0, "    ---- ", IF(ABS(ROUND(100/B23*C23-100,1))&lt;999,ROUND(100/B23*C23-100,1),IF(ROUND(100/B23*C23-100,1)&gt;999,999,-999)))</f>
        <v>4.5999999999999996</v>
      </c>
      <c r="E23" s="328">
        <f t="shared" si="1"/>
        <v>4.4559353360644267E-2</v>
      </c>
      <c r="F23" s="75"/>
      <c r="G23" s="133"/>
      <c r="H23" s="133"/>
      <c r="I23" s="76"/>
      <c r="J23" s="328"/>
      <c r="K23" s="51"/>
      <c r="L23" s="171"/>
      <c r="M23" s="169"/>
      <c r="N23" s="171"/>
      <c r="O23" s="169"/>
    </row>
    <row r="24" spans="1:21" ht="18" x14ac:dyDescent="0.35">
      <c r="A24" s="77" t="s">
        <v>107</v>
      </c>
      <c r="B24" s="133">
        <f>'Oslo Pensjonsforsikring'!B7+'Oslo Pensjonsforsikring'!B22+'Oslo Pensjonsforsikring'!B36+'Oslo Pensjonsforsikring'!B47+'Oslo Pensjonsforsikring'!B66+'Oslo Pensjonsforsikring'!B134</f>
        <v>908116</v>
      </c>
      <c r="C24" s="133">
        <f>'Oslo Pensjonsforsikring'!C7+'Oslo Pensjonsforsikring'!C22+'Oslo Pensjonsforsikring'!C36+'Oslo Pensjonsforsikring'!C47+'Oslo Pensjonsforsikring'!C66+'Oslo Pensjonsforsikring'!C134</f>
        <v>694944</v>
      </c>
      <c r="D24" s="76">
        <f t="shared" si="0"/>
        <v>-23.5</v>
      </c>
      <c r="E24" s="328">
        <f t="shared" si="1"/>
        <v>3.2991961710909408</v>
      </c>
      <c r="F24" s="75"/>
      <c r="G24" s="133">
        <f>'Oslo Pensjonsforsikring'!B10+'Oslo Pensjonsforsikring'!B29+'Oslo Pensjonsforsikring'!B37+'Oslo Pensjonsforsikring'!B87+'Oslo Pensjonsforsikring'!B135</f>
        <v>97889000</v>
      </c>
      <c r="H24" s="133">
        <f>'Oslo Pensjonsforsikring'!C10+'Oslo Pensjonsforsikring'!C29+'Oslo Pensjonsforsikring'!C37+'Oslo Pensjonsforsikring'!C87+'Oslo Pensjonsforsikring'!C135</f>
        <v>104208000</v>
      </c>
      <c r="I24" s="76">
        <f t="shared" si="2"/>
        <v>6.5</v>
      </c>
      <c r="J24" s="328">
        <f t="shared" si="3"/>
        <v>7.0158108935671075</v>
      </c>
      <c r="K24" s="51"/>
      <c r="L24" s="171">
        <f ca="1">INDIRECT("'" &amp; $A22 &amp; "'!" &amp; $P$7)</f>
        <v>0</v>
      </c>
      <c r="M24" s="169">
        <f ca="1">INDIRECT("'" &amp; $A22 &amp; "'!" &amp; $P$8)</f>
        <v>0</v>
      </c>
      <c r="N24" s="171" t="e">
        <f ca="1">INDIRECT("'" &amp; $A22 &amp; "'!" &amp;#REF!)</f>
        <v>#REF!</v>
      </c>
      <c r="O24" s="169">
        <f ca="1">INDIRECT("'" &amp; $A22 &amp; "'!" &amp; $P$9)</f>
        <v>0</v>
      </c>
    </row>
    <row r="25" spans="1:21" ht="18" x14ac:dyDescent="0.35">
      <c r="A25" s="77" t="s">
        <v>108</v>
      </c>
      <c r="B25" s="133">
        <f>'Protector Forsikring'!B7+'Protector Forsikring'!B22+'Protector Forsikring'!B36+'Protector Forsikring'!B47+'Protector Forsikring'!B66+'Protector Forsikring'!B134</f>
        <v>318529</v>
      </c>
      <c r="C25" s="133">
        <f>'Protector Forsikring'!C7+'Protector Forsikring'!C22+'Protector Forsikring'!C36+'Protector Forsikring'!C47+'Protector Forsikring'!C66+'Protector Forsikring'!C134</f>
        <v>387470</v>
      </c>
      <c r="D25" s="76">
        <f t="shared" si="0"/>
        <v>21.6</v>
      </c>
      <c r="E25" s="328">
        <f t="shared" si="1"/>
        <v>1.8394856857712374</v>
      </c>
      <c r="F25" s="75"/>
      <c r="G25" s="133"/>
      <c r="H25" s="133"/>
      <c r="I25" s="76"/>
      <c r="J25" s="328"/>
      <c r="K25" s="51"/>
      <c r="L25" s="171">
        <f t="shared" ca="1" si="5"/>
        <v>0</v>
      </c>
      <c r="M25" s="169">
        <f t="shared" ca="1" si="6"/>
        <v>0</v>
      </c>
      <c r="N25" s="171" t="e">
        <f ca="1">INDIRECT("'" &amp; $A24 &amp; "'!" &amp;#REF!)</f>
        <v>#REF!</v>
      </c>
      <c r="O25" s="169">
        <f t="shared" ca="1" si="7"/>
        <v>0</v>
      </c>
    </row>
    <row r="26" spans="1:21" ht="18" x14ac:dyDescent="0.35">
      <c r="A26" s="77" t="s">
        <v>63</v>
      </c>
      <c r="B26" s="133">
        <f>'Sparebank 1 Fors.'!B7+'Sparebank 1 Fors.'!B22+'Sparebank 1 Fors.'!B36+'Sparebank 1 Fors.'!B47+'Sparebank 1 Fors.'!B66+'Sparebank 1 Fors.'!B134</f>
        <v>287814.84760999994</v>
      </c>
      <c r="C26" s="133">
        <f>'Sparebank 1 Fors.'!C7+'Sparebank 1 Fors.'!C22+'Sparebank 1 Fors.'!C36+'Sparebank 1 Fors.'!C47+'Sparebank 1 Fors.'!C66+'Sparebank 1 Fors.'!C134</f>
        <v>287093.53328999999</v>
      </c>
      <c r="D26" s="76">
        <f t="shared" si="0"/>
        <v>-0.3</v>
      </c>
      <c r="E26" s="328">
        <f t="shared" si="1"/>
        <v>1.3629556997043468</v>
      </c>
      <c r="F26" s="75"/>
      <c r="G26" s="133">
        <f>'Sparebank 1 Fors.'!B10+'Sparebank 1 Fors.'!B29+'Sparebank 1 Fors.'!B37+'Sparebank 1 Fors.'!B87+'Sparebank 1 Fors.'!B135</f>
        <v>23632770.244150002</v>
      </c>
      <c r="H26" s="133">
        <f>'Sparebank 1 Fors.'!C10+'Sparebank 1 Fors.'!C29+'Sparebank 1 Fors.'!C37+'Sparebank 1 Fors.'!C87+'Sparebank 1 Fors.'!C135</f>
        <v>26630201.299020004</v>
      </c>
      <c r="I26" s="76">
        <f t="shared" si="2"/>
        <v>12.7</v>
      </c>
      <c r="J26" s="328">
        <f t="shared" si="3"/>
        <v>1.7928801663168803</v>
      </c>
      <c r="K26" s="51"/>
      <c r="L26" s="171">
        <f t="shared" ca="1" si="5"/>
        <v>0</v>
      </c>
      <c r="M26" s="169">
        <f t="shared" ca="1" si="6"/>
        <v>0</v>
      </c>
      <c r="N26" s="171" t="e">
        <f ca="1">INDIRECT("'" &amp; $A25 &amp; "'!" &amp;#REF!)</f>
        <v>#REF!</v>
      </c>
      <c r="O26" s="169">
        <f t="shared" ca="1" si="7"/>
        <v>0</v>
      </c>
    </row>
    <row r="27" spans="1:21" ht="18" x14ac:dyDescent="0.35">
      <c r="A27" s="77" t="s">
        <v>109</v>
      </c>
      <c r="B27" s="133">
        <f>'Storebrand Livsforsikring'!B7+'Storebrand Livsforsikring'!B22+'Storebrand Livsforsikring'!B36+'Storebrand Livsforsikring'!B47+'Storebrand Livsforsikring'!B66+'Storebrand Livsforsikring'!B134</f>
        <v>2689958.4868299998</v>
      </c>
      <c r="C27" s="133">
        <f>'Storebrand Livsforsikring'!C7+'Storebrand Livsforsikring'!C22+'Storebrand Livsforsikring'!C36+'Storebrand Livsforsikring'!C47+'Storebrand Livsforsikring'!C66+'Storebrand Livsforsikring'!C134</f>
        <v>2940213.8751999997</v>
      </c>
      <c r="D27" s="76">
        <f t="shared" si="0"/>
        <v>9.3000000000000007</v>
      </c>
      <c r="E27" s="328">
        <f t="shared" si="1"/>
        <v>13.958451845398042</v>
      </c>
      <c r="F27" s="75"/>
      <c r="G27" s="133">
        <f>'Storebrand Livsforsikring'!B10+'Storebrand Livsforsikring'!B29+'Storebrand Livsforsikring'!B37+'Storebrand Livsforsikring'!B87+'Storebrand Livsforsikring'!B135</f>
        <v>215118616.59341002</v>
      </c>
      <c r="H27" s="133">
        <f>'Storebrand Livsforsikring'!C10+'Storebrand Livsforsikring'!C29+'Storebrand Livsforsikring'!C37+'Storebrand Livsforsikring'!C87+'Storebrand Livsforsikring'!C135</f>
        <v>221419656.01634002</v>
      </c>
      <c r="I27" s="76">
        <f t="shared" si="2"/>
        <v>2.9</v>
      </c>
      <c r="J27" s="328">
        <f t="shared" si="3"/>
        <v>14.907093838566329</v>
      </c>
      <c r="K27" s="51"/>
      <c r="L27" s="171" t="e">
        <f t="shared" ca="1" si="5"/>
        <v>#REF!</v>
      </c>
      <c r="M27" s="169" t="e">
        <f t="shared" ca="1" si="6"/>
        <v>#REF!</v>
      </c>
      <c r="N27" s="171" t="e">
        <f ca="1">INDIRECT("'" &amp; $A26 &amp; "'!" &amp;#REF!)</f>
        <v>#REF!</v>
      </c>
      <c r="O27" s="169" t="e">
        <f t="shared" ca="1" si="7"/>
        <v>#REF!</v>
      </c>
    </row>
    <row r="28" spans="1:21" ht="18" x14ac:dyDescent="0.35">
      <c r="A28" s="77" t="s">
        <v>72</v>
      </c>
      <c r="B28" s="133">
        <f>'Telenor Forsikring'!B7+'Telenor Forsikring'!B22+'Telenor Forsikring'!B36+'Telenor Forsikring'!B47+'Telenor Forsikring'!B66+'Telenor Forsikring'!B134</f>
        <v>2290</v>
      </c>
      <c r="C28" s="133">
        <f>'Telenor Forsikring'!C7+'Telenor Forsikring'!C22+'Telenor Forsikring'!C36+'Telenor Forsikring'!C47+'Telenor Forsikring'!C66+'Telenor Forsikring'!C134</f>
        <v>2001</v>
      </c>
      <c r="D28" s="76">
        <f t="shared" si="0"/>
        <v>-12.6</v>
      </c>
      <c r="E28" s="328">
        <f t="shared" si="1"/>
        <v>9.4996021814030673E-3</v>
      </c>
      <c r="F28" s="75"/>
      <c r="G28" s="133"/>
      <c r="H28" s="133"/>
      <c r="I28" s="76"/>
      <c r="J28" s="328"/>
      <c r="K28" s="51"/>
      <c r="L28" s="171">
        <f t="shared" ca="1" si="5"/>
        <v>0</v>
      </c>
      <c r="M28" s="169">
        <f t="shared" ca="1" si="6"/>
        <v>0</v>
      </c>
      <c r="N28" s="171" t="e">
        <f ca="1">INDIRECT("'" &amp; $A27 &amp; "'!" &amp;#REF!)</f>
        <v>#REF!</v>
      </c>
      <c r="O28" s="169">
        <f t="shared" ca="1" si="7"/>
        <v>0</v>
      </c>
      <c r="R28" s="423"/>
    </row>
    <row r="29" spans="1:21" ht="18" x14ac:dyDescent="0.35">
      <c r="A29" s="77" t="s">
        <v>73</v>
      </c>
      <c r="B29" s="133">
        <f>'Tryg Forsikring'!B7+'Tryg Forsikring'!B22+'Tryg Forsikring'!B36+'Tryg Forsikring'!B47+'Tryg Forsikring'!B66+'Tryg Forsikring'!B134</f>
        <v>758059</v>
      </c>
      <c r="C29" s="133">
        <f>'Tryg Forsikring'!C7+'Tryg Forsikring'!C22+'Tryg Forsikring'!C36+'Tryg Forsikring'!C47+'Tryg Forsikring'!C66+'Tryg Forsikring'!C134</f>
        <v>772427</v>
      </c>
      <c r="D29" s="76">
        <f t="shared" si="0"/>
        <v>1.9</v>
      </c>
      <c r="E29" s="328">
        <f t="shared" si="1"/>
        <v>3.667041086544041</v>
      </c>
      <c r="F29" s="133"/>
      <c r="G29" s="133"/>
      <c r="H29" s="133"/>
      <c r="I29" s="76"/>
      <c r="J29" s="328"/>
      <c r="K29" s="158"/>
      <c r="L29" s="171">
        <f t="shared" ca="1" si="5"/>
        <v>0</v>
      </c>
      <c r="M29" s="169">
        <f t="shared" ca="1" si="6"/>
        <v>0</v>
      </c>
      <c r="N29" s="171" t="e">
        <f ca="1">INDIRECT("'" &amp; $A28 &amp; "'!" &amp;#REF!)</f>
        <v>#REF!</v>
      </c>
      <c r="O29" s="169">
        <f t="shared" ca="1" si="7"/>
        <v>0</v>
      </c>
    </row>
    <row r="30" spans="1:21" ht="18" x14ac:dyDescent="0.35">
      <c r="A30" s="77" t="s">
        <v>110</v>
      </c>
      <c r="B30" s="133">
        <f>'WaterCircles F'!B7+'WaterCircles F'!B22+'WaterCircles F'!B36+'WaterCircles F'!B47+'WaterCircles F'!B66+'WaterCircles F'!B136</f>
        <v>1680</v>
      </c>
      <c r="C30" s="133">
        <f>'WaterCircles F'!C7+'WaterCircles F'!C22+'WaterCircles F'!C36+'WaterCircles F'!C47+'WaterCircles F'!C66+'WaterCircles F'!C136</f>
        <v>1584</v>
      </c>
      <c r="D30" s="76">
        <f t="shared" si="0"/>
        <v>-5.7</v>
      </c>
      <c r="E30" s="328">
        <f t="shared" si="1"/>
        <v>7.5199249651886346E-3</v>
      </c>
      <c r="F30" s="77"/>
      <c r="G30" s="75"/>
      <c r="H30" s="75"/>
      <c r="I30" s="76"/>
      <c r="J30" s="328"/>
      <c r="K30" s="158"/>
      <c r="L30" s="171">
        <f t="shared" ca="1" si="5"/>
        <v>0</v>
      </c>
      <c r="M30" s="169">
        <f t="shared" ca="1" si="6"/>
        <v>0</v>
      </c>
      <c r="N30" s="171" t="e">
        <f ca="1">INDIRECT("'" &amp; $A29 &amp; "'!" &amp;#REF!)</f>
        <v>#REF!</v>
      </c>
      <c r="O30" s="169">
        <f t="shared" ca="1" si="7"/>
        <v>0</v>
      </c>
    </row>
    <row r="31" spans="1:21" ht="18" x14ac:dyDescent="0.35">
      <c r="A31" s="77" t="s">
        <v>111</v>
      </c>
      <c r="B31" s="133">
        <f>'Youplus Livsforsikring'!B7+'Youplus Livsforsikring'!B22+'Youplus Livsforsikring'!B36+'Youplus Livsforsikring'!B47+'Youplus Livsforsikring'!B66+'Youplus Livsforsikring'!B134</f>
        <v>43878</v>
      </c>
      <c r="C31" s="133">
        <f>'Youplus Livsforsikring'!C7+'Youplus Livsforsikring'!C22+'Youplus Livsforsikring'!C36+'Youplus Livsforsikring'!C47+'Youplus Livsforsikring'!C66+'Youplus Livsforsikring'!C134</f>
        <v>16577</v>
      </c>
      <c r="D31" s="76">
        <f>IF(B31=0, "    ---- ", IF(ABS(ROUND(100/B31*C31-100,1))&lt;999,ROUND(100/B31*C31-100,1),IF(ROUND(100/B31*C31-100,1)&gt;999,999,-999)))</f>
        <v>-62.2</v>
      </c>
      <c r="E31" s="328">
        <f t="shared" si="1"/>
        <v>7.8698103628744936E-2</v>
      </c>
      <c r="F31" s="75"/>
      <c r="G31" s="133">
        <f>'Youplus Livsforsikring'!B10+'Youplus Livsforsikring'!B29+'Youplus Livsforsikring'!B37+'Youplus Livsforsikring'!B87+'Youplus Livsforsikring'!B135</f>
        <v>69378</v>
      </c>
      <c r="H31" s="133">
        <f>'Youplus Livsforsikring'!C10+'Youplus Livsforsikring'!C29+'Youplus Livsforsikring'!C37+'Youplus Livsforsikring'!C87+'Youplus Livsforsikring'!C135</f>
        <v>94134</v>
      </c>
      <c r="I31" s="76">
        <f>IF(G31=0, "    ---- ", IF(ABS(ROUND(100/G31*H31-100,1))&lt;999,ROUND(100/G31*H31-100,1),IF(ROUND(100/G31*H31-100,1)&gt;999,999,-999)))</f>
        <v>35.700000000000003</v>
      </c>
      <c r="J31" s="328">
        <f t="shared" si="3"/>
        <v>6.3375781384830921E-3</v>
      </c>
      <c r="K31" s="51"/>
      <c r="L31" s="171">
        <f ca="1">INDIRECT("'" &amp; $A17 &amp; "'!" &amp; $P$7)</f>
        <v>0</v>
      </c>
      <c r="M31" s="169">
        <f ca="1">INDIRECT("'" &amp; $A17 &amp; "'!" &amp; $P$8)</f>
        <v>0</v>
      </c>
      <c r="N31" s="171" t="e">
        <f ca="1">INDIRECT("'" &amp; $A17 &amp; "'!" &amp;#REF!)</f>
        <v>#REF!</v>
      </c>
      <c r="O31" s="169">
        <f ca="1">INDIRECT("'" &amp; $A17 &amp; "'!" &amp; $P$9)</f>
        <v>0</v>
      </c>
    </row>
    <row r="32" spans="1:21" s="80" customFormat="1" ht="18" x14ac:dyDescent="0.35">
      <c r="A32" s="103" t="s">
        <v>112</v>
      </c>
      <c r="B32" s="63">
        <f>SUM(B9:B31)</f>
        <v>19690232.174460743</v>
      </c>
      <c r="C32" s="189">
        <f>SUM(C9:C31)</f>
        <v>21064039.964928906</v>
      </c>
      <c r="D32" s="76">
        <f t="shared" ref="D32" si="12">IF(B32=0, "    ---- ", IF(ABS(ROUND(100/B32*C32-100,1))&lt;999,ROUND(100/B32*C32-100,1),IF(ROUND(100/B32*C32-100,1)&gt;999,999,-999)))</f>
        <v>7</v>
      </c>
      <c r="E32" s="329">
        <f>SUM(E9:E31)</f>
        <v>100.00000000000004</v>
      </c>
      <c r="F32" s="78"/>
      <c r="G32" s="63">
        <f>SUM(G9:G31)</f>
        <v>1386062101.0420818</v>
      </c>
      <c r="H32" s="63">
        <f>SUM(H9:H31)</f>
        <v>1485330798.9750657</v>
      </c>
      <c r="I32" s="76">
        <f t="shared" ref="I32" si="13">IF(G32=0, "    ---- ", IF(ABS(ROUND(100/G32*H32-100,1))&lt;999,ROUND(100/G32*H32-100,1),IF(ROUND(100/G32*H32-100,1)&gt;999,999,-999)))</f>
        <v>7.2</v>
      </c>
      <c r="J32" s="329">
        <f>SUM(J9:J31)</f>
        <v>100</v>
      </c>
      <c r="K32" s="156"/>
      <c r="L32" s="171" t="e">
        <f ca="1">SUM(L9:L30)</f>
        <v>#REF!</v>
      </c>
      <c r="M32" s="169" t="e">
        <f ca="1">SUM(M9:M30)</f>
        <v>#REF!</v>
      </c>
      <c r="N32" s="171" t="e">
        <f ca="1">SUM(N9:N30)</f>
        <v>#REF!</v>
      </c>
      <c r="O32" s="169" t="e">
        <f ca="1">SUM(O9:O30)</f>
        <v>#REF!</v>
      </c>
      <c r="U32" s="156"/>
    </row>
    <row r="33" spans="1:20" ht="18" x14ac:dyDescent="0.35">
      <c r="A33" s="58"/>
      <c r="B33" s="133"/>
      <c r="C33" s="51"/>
      <c r="D33" s="76"/>
      <c r="E33" s="328"/>
      <c r="F33" s="75"/>
      <c r="G33" s="133"/>
      <c r="H33" s="75"/>
      <c r="I33" s="76"/>
      <c r="J33" s="328"/>
      <c r="K33" s="158"/>
      <c r="L33" s="168" t="s">
        <v>69</v>
      </c>
      <c r="M33" s="169"/>
      <c r="N33" s="171"/>
      <c r="O33" s="169"/>
    </row>
    <row r="34" spans="1:20" ht="18" x14ac:dyDescent="0.35">
      <c r="A34" s="73" t="s">
        <v>69</v>
      </c>
      <c r="B34" s="133"/>
      <c r="C34" s="51"/>
      <c r="D34" s="76"/>
      <c r="E34" s="328"/>
      <c r="F34" s="75"/>
      <c r="G34" s="133"/>
      <c r="H34" s="75"/>
      <c r="I34" s="76"/>
      <c r="J34" s="328"/>
      <c r="K34" s="158"/>
      <c r="L34" s="172">
        <v>2015</v>
      </c>
      <c r="M34" s="173">
        <v>2016</v>
      </c>
      <c r="N34" s="172">
        <v>2015</v>
      </c>
      <c r="O34" s="173">
        <v>2016</v>
      </c>
      <c r="P34" s="59" t="s">
        <v>113</v>
      </c>
    </row>
    <row r="35" spans="1:20" ht="18" x14ac:dyDescent="0.35">
      <c r="A35" s="58" t="s">
        <v>91</v>
      </c>
      <c r="B35" s="98">
        <f>'DNB Livsforsikring'!F7+'DNB Livsforsikring'!F22+'DNB Livsforsikring'!F66+'DNB Livsforsikring'!F134</f>
        <v>4416210.9040000001</v>
      </c>
      <c r="C35" s="98">
        <f>'DNB Livsforsikring'!G7+'DNB Livsforsikring'!G22+'DNB Livsforsikring'!G66+'DNB Livsforsikring'!G134</f>
        <v>4595185.1543399999</v>
      </c>
      <c r="D35" s="76">
        <f t="shared" ref="D35:D41" si="14">IF(B35=0, "    ---- ", IF(ABS(ROUND(100/B35*C35-100,1))&lt;999,ROUND(100/B35*C35-100,1),IF(ROUND(100/B35*C35-100,1)&gt;999,999,-999)))</f>
        <v>4.0999999999999996</v>
      </c>
      <c r="E35" s="328">
        <f t="shared" ref="E35:E40" si="15">100/C$41*C35</f>
        <v>23.619513314481384</v>
      </c>
      <c r="F35" s="75"/>
      <c r="G35" s="133">
        <f>'DNB Livsforsikring'!F10+'DNB Livsforsikring'!F29+'DNB Livsforsikring'!F87+'DNB Livsforsikring'!F135</f>
        <v>203568699.91183773</v>
      </c>
      <c r="H35" s="133">
        <f>'DNB Livsforsikring'!G10+'DNB Livsforsikring'!G29+'DNB Livsforsikring'!G87+'DNB Livsforsikring'!G135</f>
        <v>245957648.95815971</v>
      </c>
      <c r="I35" s="76">
        <f t="shared" ref="I35:I41" si="16">IF(G35=0, "    ---- ", IF(ABS(ROUND(100/G35*H35-100,1))&lt;999,ROUND(100/G35*H35-100,1),IF(ROUND(100/G35*H35-100,1)&gt;999,999,-999)))</f>
        <v>20.8</v>
      </c>
      <c r="J35" s="328">
        <f t="shared" ref="J35:J40" si="17">100/H$41*H35</f>
        <v>26.276842992958663</v>
      </c>
      <c r="K35" s="59" t="s">
        <v>114</v>
      </c>
      <c r="L35" s="171">
        <f t="shared" ref="L35:L40" ca="1" si="18">INDIRECT("'" &amp; $A35 &amp; "'!" &amp; $P$34)</f>
        <v>0</v>
      </c>
      <c r="M35" s="169" t="e">
        <f ca="1">INDIRECT("'" &amp; $A35 &amp; "'!" &amp;#REF!)</f>
        <v>#REF!</v>
      </c>
      <c r="N35" s="171">
        <f t="shared" ref="N35:N40" ca="1" si="19">INDIRECT("'" &amp; $A35 &amp; "'!" &amp; $P$35)</f>
        <v>0</v>
      </c>
      <c r="O35" s="169" t="e">
        <f ca="1">INDIRECT("'"&amp;$A35&amp;"'!"&amp;#REF!)</f>
        <v>#REF!</v>
      </c>
      <c r="P35" s="59" t="s">
        <v>115</v>
      </c>
    </row>
    <row r="36" spans="1:20" ht="18" x14ac:dyDescent="0.35">
      <c r="A36" s="58" t="s">
        <v>101</v>
      </c>
      <c r="B36" s="98">
        <f>'Gjensidige Pensjon'!F7+'Gjensidige Pensjon'!F22+'Gjensidige Pensjon'!F66+'Gjensidige Pensjon'!F134</f>
        <v>1741309</v>
      </c>
      <c r="C36" s="98">
        <f>'Gjensidige Pensjon'!G7+'Gjensidige Pensjon'!G22+'Gjensidige Pensjon'!G66+'Gjensidige Pensjon'!G134</f>
        <v>1912502</v>
      </c>
      <c r="D36" s="76">
        <f t="shared" si="14"/>
        <v>9.8000000000000007</v>
      </c>
      <c r="E36" s="328">
        <f t="shared" si="15"/>
        <v>9.8303691659319696</v>
      </c>
      <c r="F36" s="75"/>
      <c r="G36" s="133">
        <f>'Gjensidige Pensjon'!F10+'Gjensidige Pensjon'!F29+'Gjensidige Pensjon'!F87+'Gjensidige Pensjon'!F135</f>
        <v>76968991</v>
      </c>
      <c r="H36" s="133">
        <f>'Gjensidige Pensjon'!G10+'Gjensidige Pensjon'!G29+'Gjensidige Pensjon'!G87+'Gjensidige Pensjon'!G135</f>
        <v>91000808</v>
      </c>
      <c r="I36" s="76">
        <f t="shared" si="16"/>
        <v>18.2</v>
      </c>
      <c r="J36" s="328">
        <f t="shared" si="17"/>
        <v>9.722055622897706</v>
      </c>
      <c r="K36" s="59" t="s">
        <v>116</v>
      </c>
      <c r="L36" s="171">
        <f t="shared" ca="1" si="18"/>
        <v>0</v>
      </c>
      <c r="M36" s="169" t="e">
        <f ca="1">INDIRECT("'" &amp; $A36 &amp; "'!" &amp;#REF!)</f>
        <v>#REF!</v>
      </c>
      <c r="N36" s="171">
        <f t="shared" ca="1" si="19"/>
        <v>0</v>
      </c>
      <c r="O36" s="169" t="e">
        <f ca="1">INDIRECT("'"&amp;$A36&amp;"'!"&amp;#REF!)</f>
        <v>#REF!</v>
      </c>
    </row>
    <row r="37" spans="1:20" ht="18" x14ac:dyDescent="0.35">
      <c r="A37" s="58" t="s">
        <v>54</v>
      </c>
      <c r="B37" s="98">
        <f>KLP!F7+KLP!F22+KLP!F66+KLP!F134</f>
        <v>20929.275000000001</v>
      </c>
      <c r="C37" s="98">
        <f>KLP!G7+KLP!G22+KLP!G66+KLP!G134</f>
        <v>30212.771000000001</v>
      </c>
      <c r="D37" s="76">
        <f t="shared" si="14"/>
        <v>44.4</v>
      </c>
      <c r="E37" s="328">
        <f t="shared" si="15"/>
        <v>0.15529536306668626</v>
      </c>
      <c r="F37" s="75"/>
      <c r="G37" s="133">
        <f>KLP!F10+KLP!F29+KLP!F87+KLP!F135</f>
        <v>2888738.0707899998</v>
      </c>
      <c r="H37" s="133">
        <f>KLP!G10+KLP!G29+KLP!G87+KLP!G135</f>
        <v>2410575.5415099999</v>
      </c>
      <c r="I37" s="76">
        <f t="shared" si="16"/>
        <v>-16.600000000000001</v>
      </c>
      <c r="J37" s="328">
        <f t="shared" si="17"/>
        <v>0.25753342209617497</v>
      </c>
      <c r="K37" s="59" t="s">
        <v>117</v>
      </c>
      <c r="L37" s="171">
        <f t="shared" ca="1" si="18"/>
        <v>0</v>
      </c>
      <c r="M37" s="169" t="e">
        <f ca="1">INDIRECT("'" &amp; $A37 &amp; "'!" &amp;#REF!)</f>
        <v>#REF!</v>
      </c>
      <c r="N37" s="171">
        <f t="shared" ca="1" si="19"/>
        <v>0</v>
      </c>
      <c r="O37" s="169" t="e">
        <f ca="1">INDIRECT("'"&amp;$A37&amp;"'!"&amp;#REF!)</f>
        <v>#REF!</v>
      </c>
    </row>
    <row r="38" spans="1:20" ht="18" x14ac:dyDescent="0.35">
      <c r="A38" s="58" t="s">
        <v>106</v>
      </c>
      <c r="B38" s="98">
        <f>'Nordea Liv '!F7+'Nordea Liv '!F22+'Nordea Liv '!F66+'Nordea Liv '!F134</f>
        <v>4781667.1471800003</v>
      </c>
      <c r="C38" s="98">
        <f>'Nordea Liv '!G7+'Nordea Liv '!G22+'Nordea Liv '!G66+'Nordea Liv '!G134</f>
        <v>5869756.8764300002</v>
      </c>
      <c r="D38" s="76">
        <f t="shared" si="14"/>
        <v>22.8</v>
      </c>
      <c r="E38" s="328">
        <f t="shared" si="15"/>
        <v>30.170884532185916</v>
      </c>
      <c r="F38" s="75"/>
      <c r="G38" s="133">
        <f>'Nordea Liv '!F10+'Nordea Liv '!F29+'Nordea Liv '!F87+'Nordea Liv '!F135</f>
        <v>177451030</v>
      </c>
      <c r="H38" s="133">
        <f>'Nordea Liv '!G10+'Nordea Liv '!G29+'Nordea Liv '!G87+'Nordea Liv '!G135</f>
        <v>217451090</v>
      </c>
      <c r="I38" s="76">
        <f t="shared" si="16"/>
        <v>22.5</v>
      </c>
      <c r="J38" s="328">
        <f t="shared" si="17"/>
        <v>23.231349684716371</v>
      </c>
      <c r="K38" s="158"/>
      <c r="L38" s="171">
        <f t="shared" ca="1" si="18"/>
        <v>0</v>
      </c>
      <c r="M38" s="169" t="e">
        <f ca="1">INDIRECT("'" &amp; $A38 &amp; "'!" &amp;#REF!)</f>
        <v>#REF!</v>
      </c>
      <c r="N38" s="171">
        <f t="shared" ca="1" si="19"/>
        <v>0</v>
      </c>
      <c r="O38" s="169" t="e">
        <f ca="1">INDIRECT("'"&amp;$A38&amp;"'!"&amp;#REF!)</f>
        <v>#REF!</v>
      </c>
    </row>
    <row r="39" spans="1:20" ht="18" x14ac:dyDescent="0.35">
      <c r="A39" s="58" t="s">
        <v>63</v>
      </c>
      <c r="B39" s="98">
        <f>'Sparebank 1 Fors.'!F7+'Sparebank 1 Fors.'!F22+'Sparebank 1 Fors.'!F66+'Sparebank 1 Fors.'!F134</f>
        <v>2096094.96572</v>
      </c>
      <c r="C39" s="98">
        <f>'Sparebank 1 Fors.'!G7+'Sparebank 1 Fors.'!G22+'Sparebank 1 Fors.'!G66+'Sparebank 1 Fors.'!G134</f>
        <v>2204043.2582200002</v>
      </c>
      <c r="D39" s="76">
        <f t="shared" si="14"/>
        <v>5.0999999999999996</v>
      </c>
      <c r="E39" s="328">
        <f t="shared" si="15"/>
        <v>11.328907831723118</v>
      </c>
      <c r="F39" s="75"/>
      <c r="G39" s="133">
        <f>'Sparebank 1 Fors.'!F10+'Sparebank 1 Fors.'!F29+'Sparebank 1 Fors.'!F87+'Sparebank 1 Fors.'!F135</f>
        <v>85714629.687940001</v>
      </c>
      <c r="H39" s="133">
        <f>'Sparebank 1 Fors.'!G10+'Sparebank 1 Fors.'!G29+'Sparebank 1 Fors.'!G87+'Sparebank 1 Fors.'!G135</f>
        <v>96535673.192670003</v>
      </c>
      <c r="I39" s="76">
        <f t="shared" si="16"/>
        <v>12.6</v>
      </c>
      <c r="J39" s="328">
        <f t="shared" si="17"/>
        <v>10.313371990862024</v>
      </c>
      <c r="K39" s="51"/>
      <c r="L39" s="171" t="e">
        <f t="shared" ca="1" si="18"/>
        <v>#REF!</v>
      </c>
      <c r="M39" s="169" t="e">
        <f ca="1">INDIRECT("'" &amp; $A39 &amp; "'!" &amp;#REF!)</f>
        <v>#REF!</v>
      </c>
      <c r="N39" s="171" t="e">
        <f t="shared" ca="1" si="19"/>
        <v>#REF!</v>
      </c>
      <c r="O39" s="169" t="e">
        <f ca="1">INDIRECT("'"&amp;$A39&amp;"'!"&amp;#REF!)</f>
        <v>#REF!</v>
      </c>
    </row>
    <row r="40" spans="1:20" ht="18" x14ac:dyDescent="0.35">
      <c r="A40" s="58" t="s">
        <v>109</v>
      </c>
      <c r="B40" s="98">
        <f>'Storebrand Livsforsikring'!F7+'Storebrand Livsforsikring'!F22+'Storebrand Livsforsikring'!F66+'Storebrand Livsforsikring'!F134</f>
        <v>4815430.6112099998</v>
      </c>
      <c r="C40" s="98">
        <f>'Storebrand Livsforsikring'!G7+'Storebrand Livsforsikring'!G22+'Storebrand Livsforsikring'!G66+'Storebrand Livsforsikring'!G134</f>
        <v>4843337.3624900002</v>
      </c>
      <c r="D40" s="76">
        <f t="shared" si="14"/>
        <v>0.6</v>
      </c>
      <c r="E40" s="328">
        <f t="shared" si="15"/>
        <v>24.89502979261092</v>
      </c>
      <c r="F40" s="75"/>
      <c r="G40" s="133">
        <f>'Storebrand Livsforsikring'!F10+'Storebrand Livsforsikring'!F29+'Storebrand Livsforsikring'!F87+'Storebrand Livsforsikring'!F135</f>
        <v>244753007.38714001</v>
      </c>
      <c r="H40" s="133">
        <f>'Storebrand Livsforsikring'!G10+'Storebrand Livsforsikring'!G29+'Storebrand Livsforsikring'!G87+'Storebrand Livsforsikring'!G135</f>
        <v>282668554.81304002</v>
      </c>
      <c r="I40" s="76">
        <f t="shared" si="16"/>
        <v>15.5</v>
      </c>
      <c r="J40" s="328">
        <f t="shared" si="17"/>
        <v>30.198846286469063</v>
      </c>
      <c r="K40" s="51"/>
      <c r="L40" s="171">
        <f t="shared" ca="1" si="18"/>
        <v>0</v>
      </c>
      <c r="M40" s="169" t="e">
        <f ca="1">INDIRECT("'" &amp; $A40 &amp; "'!" &amp;#REF!)</f>
        <v>#REF!</v>
      </c>
      <c r="N40" s="171">
        <f t="shared" ca="1" si="19"/>
        <v>0</v>
      </c>
      <c r="O40" s="169" t="e">
        <f ca="1">INDIRECT("'"&amp;$A40&amp;"'!"&amp;#REF!)</f>
        <v>#REF!</v>
      </c>
    </row>
    <row r="41" spans="1:20" s="80" customFormat="1" ht="18" x14ac:dyDescent="0.35">
      <c r="A41" s="73" t="s">
        <v>118</v>
      </c>
      <c r="B41" s="189">
        <f>SUM(B35:B40)</f>
        <v>17871641.903109998</v>
      </c>
      <c r="C41" s="189">
        <f>SUM(C35:C40)</f>
        <v>19455037.422480002</v>
      </c>
      <c r="D41" s="76">
        <f t="shared" si="14"/>
        <v>8.9</v>
      </c>
      <c r="E41" s="329">
        <f>SUM(E35:E40)</f>
        <v>100</v>
      </c>
      <c r="F41" s="78"/>
      <c r="G41" s="63">
        <f>SUM(G35:G40)</f>
        <v>791345096.05770779</v>
      </c>
      <c r="H41" s="63">
        <f>SUM(H35:H40)</f>
        <v>936024350.50537968</v>
      </c>
      <c r="I41" s="76">
        <f t="shared" si="16"/>
        <v>18.3</v>
      </c>
      <c r="J41" s="329">
        <f>SUM(J35:J40)</f>
        <v>100</v>
      </c>
      <c r="K41" s="51"/>
      <c r="L41" s="171" t="e">
        <f ca="1">SUM(L35:L40)</f>
        <v>#REF!</v>
      </c>
      <c r="M41" s="169" t="e">
        <f ca="1">SUM(M35:M40)</f>
        <v>#REF!</v>
      </c>
      <c r="N41" s="171" t="e">
        <f ca="1">SUM(N35:N40)</f>
        <v>#REF!</v>
      </c>
      <c r="O41" s="169" t="e">
        <f ca="1">SUM(O35:O40)</f>
        <v>#REF!</v>
      </c>
    </row>
    <row r="42" spans="1:20" ht="18" x14ac:dyDescent="0.35">
      <c r="A42" s="73"/>
      <c r="B42" s="98"/>
      <c r="C42" s="78"/>
      <c r="D42" s="79"/>
      <c r="E42" s="328"/>
      <c r="F42" s="78"/>
      <c r="G42" s="63"/>
      <c r="H42" s="78"/>
      <c r="I42" s="79"/>
      <c r="J42" s="329"/>
      <c r="K42" s="51"/>
      <c r="L42" s="168" t="s">
        <v>119</v>
      </c>
      <c r="M42" s="174"/>
      <c r="N42" s="175"/>
      <c r="O42" s="174"/>
    </row>
    <row r="43" spans="1:20" ht="18" x14ac:dyDescent="0.35">
      <c r="A43" s="58"/>
      <c r="B43" s="98"/>
      <c r="C43" s="75"/>
      <c r="D43" s="76"/>
      <c r="E43" s="328"/>
      <c r="F43" s="75"/>
      <c r="G43" s="133"/>
      <c r="H43" s="75"/>
      <c r="I43" s="76"/>
      <c r="J43" s="328"/>
      <c r="K43" s="51"/>
      <c r="L43" s="172">
        <v>2015</v>
      </c>
      <c r="M43" s="173">
        <v>2016</v>
      </c>
      <c r="N43" s="172">
        <v>2015</v>
      </c>
      <c r="O43" s="173">
        <v>2016</v>
      </c>
    </row>
    <row r="44" spans="1:20" ht="18" x14ac:dyDescent="0.35">
      <c r="A44" s="73" t="s">
        <v>119</v>
      </c>
      <c r="B44" s="98"/>
      <c r="C44" s="75"/>
      <c r="D44" s="76"/>
      <c r="E44" s="328"/>
      <c r="F44" s="75"/>
      <c r="G44" s="133"/>
      <c r="H44" s="75"/>
      <c r="I44" s="76"/>
      <c r="J44" s="328"/>
      <c r="K44" s="51"/>
      <c r="L44" s="171"/>
      <c r="M44" s="169"/>
      <c r="N44" s="171"/>
      <c r="O44" s="169"/>
      <c r="P44" s="158"/>
      <c r="Q44" s="158"/>
      <c r="R44" s="158"/>
      <c r="S44" s="136"/>
      <c r="T44" s="51"/>
    </row>
    <row r="45" spans="1:20" ht="18" x14ac:dyDescent="0.35">
      <c r="A45" s="58" t="s">
        <v>91</v>
      </c>
      <c r="B45" s="98">
        <f>B9+B35</f>
        <v>5665898.9040000001</v>
      </c>
      <c r="C45" s="75">
        <f>+C9+C35</f>
        <v>5846219.3923000004</v>
      </c>
      <c r="D45" s="76">
        <f t="shared" ref="D45:D66" si="20">IF(B45=0, "    ---- ", IF(ABS(ROUND(100/B45*C45-100,1))&lt;999,ROUND(100/B45*C45-100,1),IF(ROUND(100/B45*C45-100,1)&gt;999,999,-999)))</f>
        <v>3.2</v>
      </c>
      <c r="E45" s="328">
        <f t="shared" ref="E45:E65" si="21">100/C$68*C45</f>
        <v>14.428313202700618</v>
      </c>
      <c r="F45" s="75"/>
      <c r="G45" s="133">
        <f>+G9+G35</f>
        <v>383253102.63428771</v>
      </c>
      <c r="H45" s="133">
        <f>+H9+H35</f>
        <v>424475402.41507447</v>
      </c>
      <c r="I45" s="76">
        <f t="shared" ref="I45:I63" si="22">IF(G45=0, "    ---- ", IF(ABS(ROUND(100/G45*H45-100,1))&lt;999,ROUND(100/G45*H45-100,1),IF(ROUND(100/G45*H45-100,1)&gt;999,999,-999)))</f>
        <v>10.8</v>
      </c>
      <c r="J45" s="328">
        <f t="shared" ref="J45:J63" si="23">100/H$68*H45</f>
        <v>17.530489176945192</v>
      </c>
      <c r="K45" s="51"/>
      <c r="L45" s="171" t="e">
        <f ca="1">#REF!+L35</f>
        <v>#REF!</v>
      </c>
      <c r="M45" s="169" t="e">
        <f ca="1">+#REF!+M35</f>
        <v>#REF!</v>
      </c>
      <c r="N45" s="171" t="e">
        <f ca="1">+#REF!+N35</f>
        <v>#REF!</v>
      </c>
      <c r="O45" s="169" t="e">
        <f ca="1">+#REF!+O35</f>
        <v>#REF!</v>
      </c>
      <c r="P45" s="158"/>
      <c r="Q45" s="158"/>
      <c r="R45" s="158"/>
      <c r="S45" s="136"/>
      <c r="T45" s="51"/>
    </row>
    <row r="46" spans="1:20" ht="18" x14ac:dyDescent="0.35">
      <c r="A46" s="58" t="s">
        <v>48</v>
      </c>
      <c r="B46" s="98">
        <f t="shared" ref="B46:C49" si="24">B10</f>
        <v>30761</v>
      </c>
      <c r="C46" s="98">
        <f t="shared" si="24"/>
        <v>46204</v>
      </c>
      <c r="D46" s="76">
        <f t="shared" ref="D46" si="25">IF(B46=0, "    ---- ", IF(ABS(ROUND(100/B46*C46-100,1))&lt;999,ROUND(100/B46*C46-100,1),IF(ROUND(100/B46*C46-100,1)&gt;999,999,-999)))</f>
        <v>50.2</v>
      </c>
      <c r="E46" s="328">
        <f t="shared" si="21"/>
        <v>0.11403023706151229</v>
      </c>
      <c r="F46" s="75"/>
      <c r="G46" s="133"/>
      <c r="H46" s="133"/>
      <c r="I46" s="76"/>
      <c r="J46" s="328"/>
      <c r="K46" s="51"/>
      <c r="L46" s="171"/>
      <c r="M46" s="169"/>
      <c r="N46" s="171"/>
      <c r="O46" s="169"/>
      <c r="P46" s="158"/>
      <c r="Q46" s="158"/>
      <c r="R46" s="158"/>
      <c r="S46" s="136"/>
      <c r="T46" s="51"/>
    </row>
    <row r="47" spans="1:20" ht="18" x14ac:dyDescent="0.35">
      <c r="A47" s="58" t="s">
        <v>409</v>
      </c>
      <c r="B47" s="98">
        <f t="shared" si="24"/>
        <v>1271137.3383900002</v>
      </c>
      <c r="C47" s="98">
        <f t="shared" si="24"/>
        <v>1220218.7109099999</v>
      </c>
      <c r="D47" s="76">
        <f t="shared" ref="D47" si="26">IF(B47=0, "    ---- ", IF(ABS(ROUND(100/B47*C47-100,1))&lt;999,ROUND(100/B47*C47-100,1),IF(ROUND(100/B47*C47-100,1)&gt;999,999,-999)))</f>
        <v>-4</v>
      </c>
      <c r="E47" s="328">
        <f t="shared" si="21"/>
        <v>3.0114671645736348</v>
      </c>
      <c r="F47" s="75"/>
      <c r="G47" s="133">
        <f>G11</f>
        <v>6000495.18102</v>
      </c>
      <c r="H47" s="133">
        <f>H11</f>
        <v>6592758.1898499997</v>
      </c>
      <c r="I47" s="76">
        <f t="shared" ref="I47" si="27">IF(G47=0, "    ---- ", IF(ABS(ROUND(100/G47*H47-100,1))&lt;999,ROUND(100/G47*H47-100,1),IF(ROUND(100/G47*H47-100,1)&gt;999,999,-999)))</f>
        <v>9.9</v>
      </c>
      <c r="J47" s="328">
        <f t="shared" si="23"/>
        <v>0.27227555574673223</v>
      </c>
      <c r="K47" s="51"/>
      <c r="L47" s="171"/>
      <c r="M47" s="169"/>
      <c r="N47" s="171"/>
      <c r="O47" s="169"/>
      <c r="P47" s="158"/>
      <c r="Q47" s="158"/>
      <c r="R47" s="158"/>
      <c r="S47" s="136"/>
      <c r="T47" s="51"/>
    </row>
    <row r="48" spans="1:20" ht="18" x14ac:dyDescent="0.35">
      <c r="A48" s="58" t="s">
        <v>96</v>
      </c>
      <c r="B48" s="98">
        <f t="shared" si="24"/>
        <v>713825</v>
      </c>
      <c r="C48" s="75">
        <f t="shared" si="24"/>
        <v>787243</v>
      </c>
      <c r="D48" s="76">
        <f t="shared" si="20"/>
        <v>10.3</v>
      </c>
      <c r="E48" s="328">
        <f t="shared" si="21"/>
        <v>1.9428946826035867</v>
      </c>
      <c r="F48" s="75"/>
      <c r="G48" s="133">
        <f>G12</f>
        <v>2437488</v>
      </c>
      <c r="H48" s="133">
        <f>H12</f>
        <v>2794309</v>
      </c>
      <c r="I48" s="76">
        <f t="shared" si="22"/>
        <v>14.6</v>
      </c>
      <c r="J48" s="328">
        <f t="shared" si="23"/>
        <v>0.11540269095178296</v>
      </c>
      <c r="K48" s="51"/>
      <c r="L48" s="171" t="e">
        <f ca="1">L13+#REF!</f>
        <v>#REF!</v>
      </c>
      <c r="M48" s="169" t="e">
        <f ca="1">M13+#REF!</f>
        <v>#REF!</v>
      </c>
      <c r="N48" s="171" t="e">
        <f ca="1">N13+#REF!</f>
        <v>#REF!</v>
      </c>
      <c r="O48" s="169" t="e">
        <f ca="1">O13+#REF!</f>
        <v>#REF!</v>
      </c>
      <c r="P48" s="158"/>
      <c r="Q48" s="158"/>
      <c r="R48" s="158"/>
      <c r="S48" s="136"/>
      <c r="T48" s="51"/>
    </row>
    <row r="49" spans="1:20" ht="18" x14ac:dyDescent="0.35">
      <c r="A49" s="58" t="s">
        <v>97</v>
      </c>
      <c r="B49" s="98">
        <f t="shared" si="24"/>
        <v>287.33699999999999</v>
      </c>
      <c r="C49" s="75">
        <f t="shared" si="24"/>
        <v>25.518999999999998</v>
      </c>
      <c r="D49" s="76">
        <f t="shared" si="20"/>
        <v>-91.1</v>
      </c>
      <c r="E49" s="328">
        <f t="shared" si="21"/>
        <v>6.2980209929286028E-5</v>
      </c>
      <c r="F49" s="75"/>
      <c r="G49" s="133"/>
      <c r="H49" s="133"/>
      <c r="I49" s="76"/>
      <c r="J49" s="328"/>
      <c r="K49" s="51"/>
      <c r="L49" s="171">
        <f ca="1">L14</f>
        <v>0</v>
      </c>
      <c r="M49" s="169">
        <f ca="1">M14</f>
        <v>0</v>
      </c>
      <c r="N49" s="171" t="e">
        <f ca="1">N14</f>
        <v>#REF!</v>
      </c>
      <c r="O49" s="169">
        <f ca="1">O14</f>
        <v>0</v>
      </c>
      <c r="P49" s="158"/>
      <c r="Q49" s="158"/>
      <c r="R49" s="158"/>
      <c r="S49" s="136"/>
      <c r="T49" s="51"/>
    </row>
    <row r="50" spans="1:20" ht="18" x14ac:dyDescent="0.35">
      <c r="A50" s="58" t="s">
        <v>99</v>
      </c>
      <c r="B50" s="75">
        <f>B14</f>
        <v>1611395.2398000001</v>
      </c>
      <c r="C50" s="75">
        <f>+C14</f>
        <v>1562214.5224200001</v>
      </c>
      <c r="D50" s="76">
        <f t="shared" si="20"/>
        <v>-3.1</v>
      </c>
      <c r="E50" s="328">
        <f t="shared" si="21"/>
        <v>3.8555036865312484</v>
      </c>
      <c r="F50" s="75"/>
      <c r="G50" s="133"/>
      <c r="H50" s="133"/>
      <c r="I50" s="76"/>
      <c r="J50" s="328"/>
      <c r="K50" s="51"/>
      <c r="L50" s="171">
        <f ca="1">L15</f>
        <v>0</v>
      </c>
      <c r="M50" s="169">
        <f ca="1">+M15</f>
        <v>0</v>
      </c>
      <c r="N50" s="171" t="e">
        <f ca="1">+N15</f>
        <v>#REF!</v>
      </c>
      <c r="O50" s="169">
        <f ca="1">+O15</f>
        <v>0</v>
      </c>
      <c r="P50" s="158"/>
      <c r="Q50" s="158"/>
      <c r="R50" s="158"/>
      <c r="S50" s="136"/>
      <c r="T50" s="51"/>
    </row>
    <row r="51" spans="1:20" ht="18" x14ac:dyDescent="0.35">
      <c r="A51" s="58" t="s">
        <v>101</v>
      </c>
      <c r="B51" s="75">
        <f>B15+B36</f>
        <v>2102663</v>
      </c>
      <c r="C51" s="75">
        <f>C15+C36</f>
        <v>2298449</v>
      </c>
      <c r="D51" s="76">
        <f t="shared" si="20"/>
        <v>9.3000000000000007</v>
      </c>
      <c r="E51" s="328">
        <f t="shared" si="21"/>
        <v>5.6725106991558274</v>
      </c>
      <c r="F51" s="75"/>
      <c r="G51" s="133">
        <f>G15+G36</f>
        <v>88248020</v>
      </c>
      <c r="H51" s="133">
        <f>H15+H36</f>
        <v>103087083</v>
      </c>
      <c r="I51" s="76">
        <f t="shared" si="22"/>
        <v>16.8</v>
      </c>
      <c r="J51" s="328">
        <f t="shared" si="23"/>
        <v>4.2574127559156123</v>
      </c>
      <c r="K51" s="51"/>
      <c r="L51" s="171" t="e">
        <f ca="1">#REF!+L36</f>
        <v>#REF!</v>
      </c>
      <c r="M51" s="169" t="e">
        <f ca="1">#REF!+M36</f>
        <v>#REF!</v>
      </c>
      <c r="N51" s="171" t="e">
        <f ca="1">#REF!+N36</f>
        <v>#REF!</v>
      </c>
      <c r="O51" s="169" t="e">
        <f ca="1">#REF!+O36</f>
        <v>#REF!</v>
      </c>
      <c r="P51" s="158"/>
      <c r="Q51" s="158"/>
      <c r="R51" s="158"/>
      <c r="S51" s="136"/>
      <c r="T51" s="51"/>
    </row>
    <row r="52" spans="1:20" ht="18" x14ac:dyDescent="0.35">
      <c r="A52" s="58" t="s">
        <v>102</v>
      </c>
      <c r="B52" s="75">
        <f>B16</f>
        <v>238957.54931210299</v>
      </c>
      <c r="C52" s="75">
        <f>+C16</f>
        <v>261854.26316000003</v>
      </c>
      <c r="D52" s="76">
        <f t="shared" si="20"/>
        <v>9.6</v>
      </c>
      <c r="E52" s="328">
        <f t="shared" si="21"/>
        <v>0.64624932264960666</v>
      </c>
      <c r="F52" s="75"/>
      <c r="G52" s="133"/>
      <c r="H52" s="133"/>
      <c r="I52" s="76"/>
      <c r="J52" s="328"/>
      <c r="K52" s="51"/>
      <c r="L52" s="171" t="e">
        <f>#REF!</f>
        <v>#REF!</v>
      </c>
      <c r="M52" s="169" t="e">
        <f>+#REF!</f>
        <v>#REF!</v>
      </c>
      <c r="N52" s="171" t="e">
        <f>+#REF!</f>
        <v>#REF!</v>
      </c>
      <c r="O52" s="169" t="e">
        <f>+#REF!</f>
        <v>#REF!</v>
      </c>
      <c r="P52" s="158"/>
      <c r="Q52" s="158"/>
      <c r="R52" s="158"/>
      <c r="S52" s="136"/>
      <c r="T52" s="51"/>
    </row>
    <row r="53" spans="1:20" ht="18" x14ac:dyDescent="0.35">
      <c r="A53" s="58" t="s">
        <v>54</v>
      </c>
      <c r="B53" s="75">
        <f>B17+B37</f>
        <v>8070309.0714100003</v>
      </c>
      <c r="C53" s="75">
        <f>C17+C37</f>
        <v>8774836.6761599984</v>
      </c>
      <c r="D53" s="76">
        <f t="shared" si="20"/>
        <v>8.6999999999999993</v>
      </c>
      <c r="E53" s="328">
        <f t="shared" si="21"/>
        <v>21.656062383312637</v>
      </c>
      <c r="F53" s="75"/>
      <c r="G53" s="133">
        <f>G17+G37</f>
        <v>797701415.51884007</v>
      </c>
      <c r="H53" s="133">
        <f>H17+H37</f>
        <v>878675848.12345004</v>
      </c>
      <c r="I53" s="76">
        <f t="shared" si="22"/>
        <v>10.199999999999999</v>
      </c>
      <c r="J53" s="328">
        <f t="shared" si="23"/>
        <v>36.288598486347176</v>
      </c>
      <c r="K53" s="51"/>
      <c r="L53" s="171">
        <f ca="1">L31+L37</f>
        <v>0</v>
      </c>
      <c r="M53" s="169" t="e">
        <f ca="1">M31+M37</f>
        <v>#REF!</v>
      </c>
      <c r="N53" s="171" t="e">
        <f ca="1">N31+N37</f>
        <v>#REF!</v>
      </c>
      <c r="O53" s="169" t="e">
        <f ca="1">O31+O37</f>
        <v>#REF!</v>
      </c>
      <c r="P53" s="158"/>
      <c r="Q53" s="158"/>
      <c r="R53" s="158"/>
      <c r="S53" s="136"/>
      <c r="T53" s="51"/>
    </row>
    <row r="54" spans="1:20" ht="18" x14ac:dyDescent="0.35">
      <c r="A54" s="58" t="s">
        <v>103</v>
      </c>
      <c r="B54" s="75">
        <f t="shared" ref="B54:C57" si="28">B18</f>
        <v>234700.55499999999</v>
      </c>
      <c r="C54" s="75">
        <f t="shared" si="28"/>
        <v>696348.86199999996</v>
      </c>
      <c r="D54" s="76">
        <f>IF(B54=0, "    ---- ", IF(ABS(ROUND(100/B54*C54-100,1))&lt;999,ROUND(100/B54*C54-100,1),IF(ROUND(100/B54*C54-100,1)&gt;999,999,-999)))</f>
        <v>196.7</v>
      </c>
      <c r="E54" s="328">
        <f t="shared" si="21"/>
        <v>1.7185703794341247</v>
      </c>
      <c r="F54" s="75"/>
      <c r="G54" s="133">
        <f t="shared" ref="G54:H55" si="29">G18</f>
        <v>173603.853</v>
      </c>
      <c r="H54" s="133">
        <f t="shared" si="29"/>
        <v>284694.43099999998</v>
      </c>
      <c r="I54" s="76">
        <f>IF(G54=0, "    ---- ", IF(ABS(ROUND(100/G54*H54-100,1))&lt;999,ROUND(100/G54*H54-100,1),IF(ROUND(100/G54*H54-100,1)&gt;999,999,-999)))</f>
        <v>64</v>
      </c>
      <c r="J54" s="328">
        <f t="shared" si="23"/>
        <v>1.1757648648158345E-2</v>
      </c>
      <c r="K54" s="51"/>
      <c r="L54" s="171">
        <f ca="1">L20</f>
        <v>0</v>
      </c>
      <c r="M54" s="169">
        <f ca="1">M20</f>
        <v>0</v>
      </c>
      <c r="N54" s="171" t="e">
        <f ca="1">N20</f>
        <v>#REF!</v>
      </c>
      <c r="O54" s="169">
        <f ca="1">O20</f>
        <v>0</v>
      </c>
      <c r="P54" s="158"/>
      <c r="Q54" s="158"/>
      <c r="R54" s="158"/>
      <c r="S54" s="136"/>
      <c r="T54" s="51"/>
    </row>
    <row r="55" spans="1:20" ht="18" x14ac:dyDescent="0.35">
      <c r="A55" s="58" t="s">
        <v>104</v>
      </c>
      <c r="B55" s="75">
        <f t="shared" si="28"/>
        <v>0</v>
      </c>
      <c r="C55" s="75">
        <f t="shared" si="28"/>
        <v>53091</v>
      </c>
      <c r="D55" s="76" t="str">
        <f>IF(B55=0, "    ---- ", IF(ABS(ROUND(100/B55*C55-100,1))&lt;999,ROUND(100/B55*C55-100,1),IF(ROUND(100/B55*C55-100,1)&gt;999,999,-999)))</f>
        <v xml:space="preserve">    ---- </v>
      </c>
      <c r="E55" s="328">
        <f t="shared" si="21"/>
        <v>0.13102716898607802</v>
      </c>
      <c r="F55" s="75"/>
      <c r="G55" s="133">
        <f t="shared" si="29"/>
        <v>0</v>
      </c>
      <c r="H55" s="133">
        <f t="shared" si="29"/>
        <v>3595</v>
      </c>
      <c r="I55" s="76" t="str">
        <f>IF(G55=0, "    ---- ", IF(ABS(ROUND(100/G55*H55-100,1))&lt;999,ROUND(100/G55*H55-100,1),IF(ROUND(100/G55*H55-100,1)&gt;999,999,-999)))</f>
        <v xml:space="preserve">    ---- </v>
      </c>
      <c r="J55" s="328">
        <f t="shared" si="23"/>
        <v>1.4847057858370701E-4</v>
      </c>
      <c r="K55" s="51"/>
      <c r="L55" s="171"/>
      <c r="M55" s="169"/>
      <c r="N55" s="171"/>
      <c r="O55" s="169"/>
      <c r="P55" s="158"/>
      <c r="Q55" s="158"/>
      <c r="R55" s="158"/>
      <c r="S55" s="136"/>
      <c r="T55" s="51"/>
    </row>
    <row r="56" spans="1:20" ht="18" x14ac:dyDescent="0.35">
      <c r="A56" s="77" t="s">
        <v>105</v>
      </c>
      <c r="B56" s="75">
        <f t="shared" si="28"/>
        <v>82536</v>
      </c>
      <c r="C56" s="75">
        <f t="shared" si="28"/>
        <v>71658</v>
      </c>
      <c r="D56" s="76">
        <f t="shared" si="20"/>
        <v>-13.2</v>
      </c>
      <c r="E56" s="328">
        <f t="shared" si="21"/>
        <v>0.17685002872811548</v>
      </c>
      <c r="F56" s="75"/>
      <c r="G56" s="133"/>
      <c r="H56" s="133"/>
      <c r="I56" s="76"/>
      <c r="J56" s="328"/>
      <c r="K56" s="51"/>
      <c r="L56" s="171" t="e">
        <f ca="1">L22</f>
        <v>#REF!</v>
      </c>
      <c r="M56" s="169" t="e">
        <f ca="1">M22</f>
        <v>#REF!</v>
      </c>
      <c r="N56" s="171" t="e">
        <f ca="1">N22</f>
        <v>#REF!</v>
      </c>
      <c r="O56" s="169" t="e">
        <f ca="1">O22</f>
        <v>#REF!</v>
      </c>
      <c r="P56" s="158"/>
      <c r="Q56" s="158"/>
      <c r="R56" s="158"/>
      <c r="S56" s="136"/>
      <c r="T56" s="51"/>
    </row>
    <row r="57" spans="1:20" ht="18" x14ac:dyDescent="0.35">
      <c r="A57" s="77" t="s">
        <v>58</v>
      </c>
      <c r="B57" s="75">
        <f t="shared" si="28"/>
        <v>15177</v>
      </c>
      <c r="C57" s="75">
        <f t="shared" si="28"/>
        <v>16314</v>
      </c>
      <c r="D57" s="76">
        <f t="shared" ref="D57" si="30">IF(B57=0, "    ---- ", IF(ABS(ROUND(100/B57*C57-100,1))&lt;999,ROUND(100/B57*C57-100,1),IF(ROUND(100/B57*C57-100,1)&gt;999,999,-999)))</f>
        <v>7.5</v>
      </c>
      <c r="E57" s="328">
        <f t="shared" si="21"/>
        <v>4.0262515960122744E-2</v>
      </c>
      <c r="F57" s="75"/>
      <c r="G57" s="133"/>
      <c r="H57" s="133"/>
      <c r="I57" s="76"/>
      <c r="J57" s="328"/>
      <c r="K57" s="51"/>
      <c r="L57" s="171"/>
      <c r="M57" s="169"/>
      <c r="N57" s="171"/>
      <c r="O57" s="169"/>
      <c r="P57" s="158"/>
      <c r="Q57" s="158"/>
      <c r="R57" s="158"/>
      <c r="S57" s="136"/>
      <c r="T57" s="51"/>
    </row>
    <row r="58" spans="1:20" ht="18" x14ac:dyDescent="0.35">
      <c r="A58" s="58" t="s">
        <v>59</v>
      </c>
      <c r="B58" s="75">
        <f>B22+B38</f>
        <v>5593405.1712886412</v>
      </c>
      <c r="C58" s="75">
        <f>+C22+C38</f>
        <v>6725323.4122589128</v>
      </c>
      <c r="D58" s="76">
        <f t="shared" si="20"/>
        <v>20.2</v>
      </c>
      <c r="E58" s="328">
        <f t="shared" si="21"/>
        <v>16.597918427305483</v>
      </c>
      <c r="F58" s="75"/>
      <c r="G58" s="133">
        <f>+G22+G38</f>
        <v>232415670.00000179</v>
      </c>
      <c r="H58" s="133">
        <f>+H22+H38</f>
        <v>273885240.00000077</v>
      </c>
      <c r="I58" s="76">
        <f t="shared" si="22"/>
        <v>17.8</v>
      </c>
      <c r="J58" s="328">
        <f t="shared" si="23"/>
        <v>11.311237843765666</v>
      </c>
      <c r="K58" s="51"/>
      <c r="L58" s="171">
        <f ca="1">L24+L38</f>
        <v>0</v>
      </c>
      <c r="M58" s="169" t="e">
        <f ca="1">+M24+M38</f>
        <v>#REF!</v>
      </c>
      <c r="N58" s="171" t="e">
        <f ca="1">+N24+N38</f>
        <v>#REF!</v>
      </c>
      <c r="O58" s="169" t="e">
        <f ca="1">+O24+O38</f>
        <v>#REF!</v>
      </c>
      <c r="P58" s="158"/>
      <c r="Q58" s="158"/>
      <c r="R58" s="158"/>
      <c r="S58" s="136"/>
      <c r="T58" s="51"/>
    </row>
    <row r="59" spans="1:20" ht="18" x14ac:dyDescent="0.35">
      <c r="A59" s="58" t="s">
        <v>60</v>
      </c>
      <c r="B59" s="75">
        <f t="shared" ref="B59:C61" si="31">B23</f>
        <v>8970</v>
      </c>
      <c r="C59" s="75">
        <f t="shared" si="31"/>
        <v>9386</v>
      </c>
      <c r="D59" s="76">
        <f t="shared" ref="D59" si="32">IF(B59=0, "    ---- ", IF(ABS(ROUND(100/B59*C59-100,1))&lt;999,ROUND(100/B59*C59-100,1),IF(ROUND(100/B59*C59-100,1)&gt;999,999,-999)))</f>
        <v>4.5999999999999996</v>
      </c>
      <c r="E59" s="328">
        <f t="shared" si="21"/>
        <v>2.3164397131403218E-2</v>
      </c>
      <c r="F59" s="75"/>
      <c r="G59" s="133"/>
      <c r="H59" s="133"/>
      <c r="I59" s="76"/>
      <c r="J59" s="328"/>
      <c r="K59" s="51"/>
      <c r="L59" s="171"/>
      <c r="M59" s="169"/>
      <c r="N59" s="171"/>
      <c r="O59" s="169"/>
      <c r="P59" s="158"/>
      <c r="Q59" s="158"/>
      <c r="R59" s="158"/>
      <c r="S59" s="136"/>
      <c r="T59" s="51"/>
    </row>
    <row r="60" spans="1:20" ht="18.75" customHeight="1" x14ac:dyDescent="0.35">
      <c r="A60" s="58" t="s">
        <v>107</v>
      </c>
      <c r="B60" s="75">
        <f t="shared" si="31"/>
        <v>908116</v>
      </c>
      <c r="C60" s="75">
        <f t="shared" si="31"/>
        <v>694944</v>
      </c>
      <c r="D60" s="76">
        <f t="shared" si="20"/>
        <v>-23.5</v>
      </c>
      <c r="E60" s="328">
        <f t="shared" si="21"/>
        <v>1.7151032175672147</v>
      </c>
      <c r="F60" s="75"/>
      <c r="G60" s="133">
        <f t="shared" ref="G60:H60" si="33">G24</f>
        <v>97889000</v>
      </c>
      <c r="H60" s="133">
        <f t="shared" si="33"/>
        <v>104208000</v>
      </c>
      <c r="I60" s="76">
        <f t="shared" si="22"/>
        <v>6.5</v>
      </c>
      <c r="J60" s="328">
        <f t="shared" si="23"/>
        <v>4.3037057171212627</v>
      </c>
      <c r="K60" s="51"/>
      <c r="L60" s="171">
        <f ca="1">L25</f>
        <v>0</v>
      </c>
      <c r="M60" s="169">
        <f ca="1">M25</f>
        <v>0</v>
      </c>
      <c r="N60" s="171" t="e">
        <f ca="1">N25</f>
        <v>#REF!</v>
      </c>
      <c r="O60" s="169">
        <f ca="1">O25</f>
        <v>0</v>
      </c>
      <c r="P60" s="158"/>
      <c r="Q60" s="158"/>
      <c r="R60" s="158"/>
      <c r="S60" s="136"/>
      <c r="T60" s="51"/>
    </row>
    <row r="61" spans="1:20" ht="18.75" customHeight="1" x14ac:dyDescent="0.35">
      <c r="A61" s="58" t="s">
        <v>108</v>
      </c>
      <c r="B61" s="75">
        <f t="shared" si="31"/>
        <v>318529</v>
      </c>
      <c r="C61" s="75">
        <f t="shared" si="31"/>
        <v>387470</v>
      </c>
      <c r="D61" s="76">
        <f t="shared" ref="D61" si="34">IF(B61=0, "    ---- ", IF(ABS(ROUND(100/B61*C61-100,1))&lt;999,ROUND(100/B61*C61-100,1),IF(ROUND(100/B61*C61-100,1)&gt;999,999,-999)))</f>
        <v>21.6</v>
      </c>
      <c r="E61" s="328">
        <f t="shared" si="21"/>
        <v>0.95626560371881575</v>
      </c>
      <c r="F61" s="75"/>
      <c r="G61" s="133"/>
      <c r="H61" s="133"/>
      <c r="I61" s="76"/>
      <c r="J61" s="328"/>
      <c r="K61" s="51"/>
      <c r="L61" s="171"/>
      <c r="M61" s="169"/>
      <c r="N61" s="171"/>
      <c r="O61" s="169"/>
      <c r="P61" s="158"/>
      <c r="Q61" s="158"/>
      <c r="R61" s="158"/>
      <c r="S61" s="136"/>
      <c r="T61" s="51"/>
    </row>
    <row r="62" spans="1:20" ht="18.75" customHeight="1" x14ac:dyDescent="0.35">
      <c r="A62" s="58" t="s">
        <v>63</v>
      </c>
      <c r="B62" s="75">
        <f>B26+B39</f>
        <v>2383909.8133299998</v>
      </c>
      <c r="C62" s="75">
        <f>+C26+C39</f>
        <v>2491136.7915100004</v>
      </c>
      <c r="D62" s="76">
        <f t="shared" si="20"/>
        <v>4.5</v>
      </c>
      <c r="E62" s="328">
        <f t="shared" si="21"/>
        <v>6.1480590184516588</v>
      </c>
      <c r="F62" s="75"/>
      <c r="G62" s="133">
        <f>+G26+G39</f>
        <v>109347399.93209</v>
      </c>
      <c r="H62" s="133">
        <f>+H26+H39</f>
        <v>123165874.49169001</v>
      </c>
      <c r="I62" s="76">
        <f t="shared" si="22"/>
        <v>12.6</v>
      </c>
      <c r="J62" s="328">
        <f t="shared" si="23"/>
        <v>5.0866505278301686</v>
      </c>
      <c r="K62" s="51"/>
      <c r="L62" s="171" t="e">
        <f ca="1">L27+L39</f>
        <v>#REF!</v>
      </c>
      <c r="M62" s="169" t="e">
        <f t="shared" ref="M62:O63" ca="1" si="35">+M27+M39</f>
        <v>#REF!</v>
      </c>
      <c r="N62" s="171" t="e">
        <f t="shared" ca="1" si="35"/>
        <v>#REF!</v>
      </c>
      <c r="O62" s="169" t="e">
        <f t="shared" ca="1" si="35"/>
        <v>#REF!</v>
      </c>
      <c r="P62" s="158"/>
      <c r="Q62" s="158"/>
      <c r="R62" s="158"/>
      <c r="S62" s="136"/>
      <c r="T62" s="51"/>
    </row>
    <row r="63" spans="1:20" ht="18.75" customHeight="1" x14ac:dyDescent="0.35">
      <c r="A63" s="58" t="s">
        <v>109</v>
      </c>
      <c r="B63" s="75">
        <f>B40+B27</f>
        <v>7505389.0980399996</v>
      </c>
      <c r="C63" s="75">
        <f>+C27+C40</f>
        <v>7783551.2376899999</v>
      </c>
      <c r="D63" s="76">
        <f t="shared" si="20"/>
        <v>3.7</v>
      </c>
      <c r="E63" s="328">
        <f t="shared" si="21"/>
        <v>19.209596416202452</v>
      </c>
      <c r="F63" s="75"/>
      <c r="G63" s="133">
        <f>+G27+G40</f>
        <v>459871623.98055005</v>
      </c>
      <c r="H63" s="133">
        <f>+H27+H40</f>
        <v>504088210.82938004</v>
      </c>
      <c r="I63" s="76">
        <f t="shared" si="22"/>
        <v>9.6</v>
      </c>
      <c r="J63" s="328">
        <f t="shared" si="23"/>
        <v>20.818433468446102</v>
      </c>
      <c r="K63" s="51"/>
      <c r="L63" s="171">
        <f ca="1">L40+L28</f>
        <v>0</v>
      </c>
      <c r="M63" s="169" t="e">
        <f t="shared" ca="1" si="35"/>
        <v>#REF!</v>
      </c>
      <c r="N63" s="171" t="e">
        <f t="shared" ca="1" si="35"/>
        <v>#REF!</v>
      </c>
      <c r="O63" s="169" t="e">
        <f t="shared" ca="1" si="35"/>
        <v>#REF!</v>
      </c>
      <c r="P63" s="158"/>
      <c r="Q63" s="158"/>
      <c r="R63" s="158"/>
      <c r="S63" s="136"/>
      <c r="T63" s="51"/>
    </row>
    <row r="64" spans="1:20" ht="18.75" customHeight="1" x14ac:dyDescent="0.35">
      <c r="A64" s="58" t="s">
        <v>72</v>
      </c>
      <c r="B64" s="75">
        <f>B28</f>
        <v>2290</v>
      </c>
      <c r="C64" s="75">
        <f>+C28</f>
        <v>2001</v>
      </c>
      <c r="D64" s="76">
        <f t="shared" si="20"/>
        <v>-12.6</v>
      </c>
      <c r="E64" s="328">
        <f t="shared" si="21"/>
        <v>4.9384145173596676E-3</v>
      </c>
      <c r="F64" s="75"/>
      <c r="G64" s="133"/>
      <c r="H64" s="133"/>
      <c r="I64" s="76"/>
      <c r="J64" s="328"/>
      <c r="K64" s="51"/>
      <c r="L64" s="171">
        <f ca="1">L29</f>
        <v>0</v>
      </c>
      <c r="M64" s="169">
        <f t="shared" ref="M64:O65" ca="1" si="36">+M29</f>
        <v>0</v>
      </c>
      <c r="N64" s="171" t="e">
        <f t="shared" ca="1" si="36"/>
        <v>#REF!</v>
      </c>
      <c r="O64" s="169">
        <f t="shared" ca="1" si="36"/>
        <v>0</v>
      </c>
      <c r="P64" s="158"/>
      <c r="Q64" s="158"/>
      <c r="R64" s="158"/>
      <c r="S64" s="136"/>
      <c r="T64" s="51"/>
    </row>
    <row r="65" spans="1:240" ht="18.75" customHeight="1" x14ac:dyDescent="0.35">
      <c r="A65" s="58" t="s">
        <v>73</v>
      </c>
      <c r="B65" s="75">
        <f>B29</f>
        <v>758059</v>
      </c>
      <c r="C65" s="75">
        <f>+C29</f>
        <v>772427</v>
      </c>
      <c r="D65" s="76">
        <f t="shared" si="20"/>
        <v>1.9</v>
      </c>
      <c r="E65" s="328">
        <f t="shared" si="21"/>
        <v>1.9063291906049855</v>
      </c>
      <c r="F65" s="75"/>
      <c r="G65" s="133"/>
      <c r="H65" s="133"/>
      <c r="I65" s="76"/>
      <c r="J65" s="328"/>
      <c r="K65" s="51"/>
      <c r="L65" s="171">
        <f ca="1">L30</f>
        <v>0</v>
      </c>
      <c r="M65" s="169">
        <f t="shared" ca="1" si="36"/>
        <v>0</v>
      </c>
      <c r="N65" s="171" t="e">
        <f t="shared" ca="1" si="36"/>
        <v>#REF!</v>
      </c>
      <c r="O65" s="169">
        <f t="shared" ca="1" si="36"/>
        <v>0</v>
      </c>
      <c r="P65" s="158"/>
      <c r="Q65" s="158"/>
      <c r="R65" s="158"/>
      <c r="S65" s="136"/>
      <c r="T65" s="51"/>
    </row>
    <row r="66" spans="1:240" ht="18" x14ac:dyDescent="0.35">
      <c r="A66" s="77" t="s">
        <v>110</v>
      </c>
      <c r="B66" s="75">
        <f>B30</f>
        <v>1680</v>
      </c>
      <c r="C66" s="75">
        <f>C30</f>
        <v>1584</v>
      </c>
      <c r="D66" s="76">
        <f t="shared" si="20"/>
        <v>-5.7</v>
      </c>
      <c r="E66" s="328">
        <f t="shared" ref="E66" si="37">100/C$32*C66</f>
        <v>7.5199249651886346E-3</v>
      </c>
      <c r="F66" s="77"/>
      <c r="G66" s="133"/>
      <c r="H66" s="133"/>
      <c r="I66" s="77"/>
      <c r="J66" s="328"/>
      <c r="K66" s="158"/>
      <c r="L66" s="171">
        <f t="shared" ref="L66" ca="1" si="38">INDIRECT("'" &amp; $A65 &amp; "'!" &amp; $P$7)</f>
        <v>0</v>
      </c>
      <c r="M66" s="169">
        <f t="shared" ref="M66" ca="1" si="39">INDIRECT("'" &amp; $A65 &amp; "'!" &amp; $P$8)</f>
        <v>0</v>
      </c>
      <c r="N66" s="171" t="e">
        <f ca="1">INDIRECT("'" &amp; $A65 &amp; "'!" &amp;#REF!)</f>
        <v>#REF!</v>
      </c>
      <c r="O66" s="169">
        <f t="shared" ref="O66" ca="1" si="40">INDIRECT("'" &amp; $A65 &amp; "'!" &amp; $P$9)</f>
        <v>0</v>
      </c>
    </row>
    <row r="67" spans="1:240" ht="18" x14ac:dyDescent="0.35">
      <c r="A67" s="58" t="s">
        <v>111</v>
      </c>
      <c r="B67" s="75">
        <f>B31</f>
        <v>43878</v>
      </c>
      <c r="C67" s="75">
        <f>+C31</f>
        <v>16577</v>
      </c>
      <c r="D67" s="76">
        <f>IF(B67=0, "    ---- ", IF(ABS(ROUND(100/B67*C67-100,1))&lt;999,ROUND(100/B67*C67-100,1),IF(ROUND(100/B67*C67-100,1)&gt;999,999,-999)))</f>
        <v>-62.2</v>
      </c>
      <c r="E67" s="328">
        <f>100/C$68*C67</f>
        <v>4.0911592930670267E-2</v>
      </c>
      <c r="F67" s="75"/>
      <c r="G67" s="133">
        <f>G31</f>
        <v>69378</v>
      </c>
      <c r="H67" s="133">
        <f>H31</f>
        <v>94134</v>
      </c>
      <c r="I67" s="76">
        <f>IF(G67=0, "    ---- ", IF(ABS(ROUND(100/G67*H67-100,1))&lt;999,ROUND(100/G67*H67-100,1),IF(ROUND(100/G67*H67-100,1)&gt;999,999,-999)))</f>
        <v>35.700000000000003</v>
      </c>
      <c r="J67" s="328">
        <f>100/H$68*H67</f>
        <v>3.8876577035879488E-3</v>
      </c>
      <c r="K67" s="51"/>
      <c r="L67" s="171" t="e">
        <f ca="1">L18+#REF!</f>
        <v>#REF!</v>
      </c>
      <c r="M67" s="169" t="e">
        <f ca="1">+M18+#REF!</f>
        <v>#REF!</v>
      </c>
      <c r="N67" s="171" t="e">
        <f ca="1">N18+#REF!</f>
        <v>#REF!</v>
      </c>
      <c r="O67" s="169" t="e">
        <f ca="1">O18+#REF!</f>
        <v>#REF!</v>
      </c>
      <c r="P67" s="158"/>
      <c r="Q67" s="158"/>
      <c r="R67" s="158"/>
      <c r="S67" s="136"/>
      <c r="T67" s="51"/>
    </row>
    <row r="68" spans="1:240" s="80" customFormat="1" ht="18.75" customHeight="1" x14ac:dyDescent="0.3">
      <c r="A68" s="81" t="s">
        <v>120</v>
      </c>
      <c r="B68" s="82">
        <f>SUM(B45:B67)</f>
        <v>37561874.077570736</v>
      </c>
      <c r="C68" s="82">
        <f>SUM(C45:C67)</f>
        <v>40519077.387408912</v>
      </c>
      <c r="D68" s="83">
        <f>IF(B68=0, "    ---- ", IF(ABS(ROUND(100/B68*C68-100,1))&lt;999,ROUND(100/B68*C68-100,1),IF(ROUND(100/B68*C68-100,1)&gt;999,999,-999)))</f>
        <v>7.9</v>
      </c>
      <c r="E68" s="330">
        <f>SUM(E45:E67)</f>
        <v>100.00361065530228</v>
      </c>
      <c r="F68" s="78"/>
      <c r="G68" s="135">
        <f>SUM(G45:G67)</f>
        <v>2177407197.0997896</v>
      </c>
      <c r="H68" s="135">
        <f>SUM(H45:H67)</f>
        <v>2421355149.4804449</v>
      </c>
      <c r="I68" s="83">
        <f>IF(G68=0, "    ---- ", IF(ABS(ROUND(100/G68*H68-100,1))&lt;999,ROUND(100/G68*H68-100,1),IF(ROUND(100/G68*H68-100,1)&gt;999,999,-999)))</f>
        <v>11.2</v>
      </c>
      <c r="J68" s="330">
        <f>SUM(J45:J67)</f>
        <v>100.00000000000003</v>
      </c>
      <c r="K68" s="134"/>
      <c r="L68" s="176" t="e">
        <f ca="1">SUM(L45:L65)</f>
        <v>#REF!</v>
      </c>
      <c r="M68" s="177" t="e">
        <f ca="1">SUM(M45:M65)</f>
        <v>#REF!</v>
      </c>
      <c r="N68" s="176" t="e">
        <f ca="1">SUM(N45:N65)</f>
        <v>#REF!</v>
      </c>
      <c r="O68" s="177" t="e">
        <f ca="1">SUM(O45:O65)</f>
        <v>#REF!</v>
      </c>
      <c r="P68" s="156"/>
      <c r="Q68" s="156"/>
      <c r="R68" s="156"/>
      <c r="S68" s="104"/>
      <c r="T68" s="134"/>
    </row>
    <row r="69" spans="1:240" ht="18.75" customHeight="1" x14ac:dyDescent="0.35">
      <c r="A69" s="48" t="s">
        <v>121</v>
      </c>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48"/>
      <c r="EQ69" s="48"/>
      <c r="ER69" s="48"/>
      <c r="ES69" s="48"/>
      <c r="ET69" s="48"/>
      <c r="EU69" s="48"/>
      <c r="EV69" s="48"/>
      <c r="EW69" s="48"/>
      <c r="EX69" s="48"/>
      <c r="EY69" s="48"/>
      <c r="EZ69" s="48"/>
      <c r="FA69" s="48"/>
      <c r="FB69" s="48"/>
      <c r="FC69" s="48"/>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48"/>
      <c r="HI69" s="48"/>
      <c r="HJ69" s="48"/>
      <c r="HK69" s="48"/>
      <c r="HL69" s="48"/>
      <c r="HM69" s="48"/>
      <c r="HN69" s="48"/>
      <c r="HO69" s="48"/>
      <c r="HP69" s="48"/>
      <c r="HQ69" s="48"/>
      <c r="HR69" s="48"/>
      <c r="HS69" s="48"/>
      <c r="HT69" s="48"/>
      <c r="HU69" s="48"/>
      <c r="HV69" s="48"/>
      <c r="HW69" s="48"/>
      <c r="HX69" s="48"/>
      <c r="HY69" s="48"/>
      <c r="HZ69" s="48"/>
      <c r="IA69" s="48"/>
      <c r="IB69" s="48"/>
      <c r="IC69" s="48"/>
      <c r="ID69" s="48"/>
      <c r="IE69" s="48"/>
      <c r="IF69" s="48"/>
    </row>
    <row r="70" spans="1:240" ht="18.75" customHeight="1" x14ac:dyDescent="0.35">
      <c r="A70" s="48"/>
      <c r="B70" s="48"/>
      <c r="C70" s="48"/>
      <c r="D70" s="48"/>
      <c r="E70" s="48"/>
      <c r="F70" s="48"/>
      <c r="G70" s="48"/>
      <c r="H70" s="48"/>
      <c r="I70" s="48"/>
      <c r="J70" s="48"/>
      <c r="K70" s="48"/>
    </row>
    <row r="71" spans="1:240" ht="18.75" customHeight="1" x14ac:dyDescent="0.35">
      <c r="A71" s="48"/>
      <c r="B71" s="48"/>
      <c r="C71" s="48"/>
      <c r="D71" s="48"/>
      <c r="E71" s="48"/>
      <c r="F71" s="48"/>
      <c r="G71" s="48"/>
      <c r="H71" s="48"/>
      <c r="I71" s="48"/>
      <c r="J71" s="48"/>
      <c r="K71" s="48"/>
    </row>
    <row r="72" spans="1:240" ht="18.75" customHeight="1" x14ac:dyDescent="0.35">
      <c r="A72" s="48"/>
      <c r="B72" s="51"/>
      <c r="C72" s="51"/>
      <c r="D72" s="48"/>
      <c r="E72" s="48"/>
      <c r="F72" s="48"/>
      <c r="G72" s="51"/>
      <c r="H72" s="51"/>
      <c r="I72" s="48"/>
      <c r="J72" s="48"/>
      <c r="K72" s="48"/>
    </row>
    <row r="73" spans="1:240" ht="18.75" customHeight="1" x14ac:dyDescent="0.35">
      <c r="A73" s="48"/>
      <c r="B73" s="48"/>
      <c r="C73" s="48"/>
      <c r="D73" s="48"/>
      <c r="E73" s="48"/>
      <c r="F73" s="48"/>
      <c r="G73" s="48"/>
      <c r="H73" s="48"/>
      <c r="I73" s="48"/>
      <c r="J73" s="48"/>
      <c r="K73" s="48"/>
    </row>
    <row r="74" spans="1:240" ht="18.75" customHeight="1" x14ac:dyDescent="0.35">
      <c r="A74" s="48"/>
      <c r="B74" s="48"/>
      <c r="C74" s="48"/>
      <c r="D74" s="48"/>
      <c r="E74" s="48"/>
      <c r="F74" s="48"/>
      <c r="G74" s="48"/>
      <c r="H74" s="48"/>
      <c r="I74" s="48"/>
      <c r="J74" s="48"/>
      <c r="K74" s="48"/>
    </row>
    <row r="75" spans="1:240" ht="18.75" customHeight="1" x14ac:dyDescent="0.35">
      <c r="A75" s="48"/>
      <c r="B75" s="48"/>
      <c r="C75" s="48"/>
      <c r="D75" s="48"/>
      <c r="E75" s="48"/>
      <c r="F75" s="48"/>
      <c r="G75" s="48"/>
      <c r="H75" s="48"/>
      <c r="I75" s="48"/>
      <c r="J75" s="48"/>
      <c r="K75" s="48"/>
    </row>
    <row r="76" spans="1:240" ht="18.75" customHeight="1" x14ac:dyDescent="0.35">
      <c r="A76" s="48"/>
      <c r="B76" s="48"/>
      <c r="C76" s="48"/>
      <c r="D76" s="48"/>
      <c r="E76" s="48"/>
      <c r="F76" s="48"/>
      <c r="G76" s="48"/>
      <c r="H76" s="48"/>
      <c r="I76" s="48"/>
      <c r="J76" s="48"/>
      <c r="K76" s="48"/>
    </row>
    <row r="77" spans="1:240" ht="18" x14ac:dyDescent="0.35">
      <c r="A77" s="48"/>
      <c r="B77" s="48"/>
      <c r="C77" s="48"/>
      <c r="D77" s="48"/>
      <c r="E77" s="48"/>
      <c r="F77" s="48"/>
      <c r="G77" s="48"/>
      <c r="H77" s="48"/>
      <c r="I77" s="48"/>
      <c r="J77" s="48"/>
      <c r="K77" s="48"/>
    </row>
    <row r="78" spans="1:240" ht="18" x14ac:dyDescent="0.35">
      <c r="A78" s="48"/>
      <c r="B78" s="48"/>
      <c r="C78" s="48"/>
      <c r="D78" s="48"/>
      <c r="E78" s="48"/>
      <c r="F78" s="48"/>
      <c r="G78" s="48"/>
      <c r="H78" s="48"/>
      <c r="I78" s="48"/>
      <c r="J78" s="48"/>
      <c r="K78" s="48"/>
    </row>
    <row r="79" spans="1:240" ht="18" x14ac:dyDescent="0.35">
      <c r="A79" s="48"/>
      <c r="B79" s="48"/>
      <c r="C79" s="48"/>
      <c r="D79" s="48"/>
      <c r="E79" s="48"/>
      <c r="F79" s="48"/>
      <c r="G79" s="48"/>
      <c r="H79" s="48"/>
      <c r="I79" s="48"/>
      <c r="J79" s="48"/>
      <c r="K79" s="48"/>
    </row>
    <row r="80" spans="1:240" ht="18" x14ac:dyDescent="0.35">
      <c r="A80" s="48"/>
      <c r="B80" s="48"/>
      <c r="C80" s="48"/>
      <c r="D80" s="48"/>
      <c r="E80" s="48"/>
      <c r="F80" s="48"/>
      <c r="G80" s="48"/>
      <c r="H80" s="48"/>
      <c r="I80" s="48"/>
      <c r="J80" s="48"/>
      <c r="K80" s="48"/>
    </row>
    <row r="81" spans="1:11" ht="18" x14ac:dyDescent="0.35">
      <c r="A81" s="48"/>
      <c r="B81" s="48"/>
      <c r="C81" s="48"/>
      <c r="D81" s="48"/>
      <c r="E81" s="48"/>
      <c r="F81" s="48"/>
      <c r="G81" s="48"/>
      <c r="H81" s="48"/>
      <c r="I81" s="48"/>
      <c r="J81" s="48"/>
      <c r="K81" s="48"/>
    </row>
    <row r="82" spans="1:11" ht="18" x14ac:dyDescent="0.35">
      <c r="A82" s="48"/>
      <c r="B82" s="48"/>
      <c r="C82" s="48"/>
      <c r="D82" s="48"/>
      <c r="E82" s="48"/>
      <c r="F82" s="48"/>
      <c r="G82" s="48"/>
      <c r="H82" s="48"/>
      <c r="I82" s="48"/>
      <c r="J82" s="48"/>
      <c r="K82" s="48"/>
    </row>
    <row r="83" spans="1:11" ht="18" x14ac:dyDescent="0.35">
      <c r="A83" s="48"/>
      <c r="B83" s="48"/>
      <c r="C83" s="48"/>
      <c r="D83" s="48"/>
      <c r="E83" s="48"/>
      <c r="F83" s="48"/>
      <c r="G83" s="48"/>
      <c r="H83" s="48"/>
      <c r="I83" s="48"/>
      <c r="J83" s="48"/>
      <c r="K83" s="48"/>
    </row>
    <row r="84" spans="1:11" ht="18" x14ac:dyDescent="0.35">
      <c r="A84" s="48"/>
      <c r="B84" s="48"/>
      <c r="C84" s="48"/>
      <c r="D84" s="48"/>
      <c r="E84" s="48"/>
      <c r="F84" s="48"/>
      <c r="G84" s="48"/>
      <c r="H84" s="48"/>
      <c r="I84" s="48"/>
      <c r="J84" s="48"/>
      <c r="K84" s="48"/>
    </row>
    <row r="85" spans="1:11" ht="18" x14ac:dyDescent="0.35">
      <c r="A85" s="48"/>
      <c r="B85" s="48"/>
      <c r="C85" s="48"/>
      <c r="D85" s="48"/>
      <c r="E85" s="48"/>
      <c r="F85" s="48"/>
      <c r="G85" s="48"/>
      <c r="H85" s="48"/>
      <c r="I85" s="48"/>
      <c r="J85" s="48"/>
      <c r="K85" s="48"/>
    </row>
    <row r="86" spans="1:11" ht="18" x14ac:dyDescent="0.35">
      <c r="A86" s="48"/>
      <c r="B86" s="48"/>
      <c r="C86" s="48"/>
      <c r="D86" s="48"/>
      <c r="E86" s="48"/>
      <c r="F86" s="48"/>
      <c r="G86" s="48"/>
      <c r="H86" s="48"/>
      <c r="I86" s="48"/>
      <c r="J86" s="48"/>
      <c r="K86" s="48"/>
    </row>
    <row r="87" spans="1:11" ht="18" x14ac:dyDescent="0.35">
      <c r="A87" s="48"/>
      <c r="B87" s="48"/>
      <c r="C87" s="48"/>
      <c r="D87" s="48"/>
      <c r="E87" s="48"/>
      <c r="F87" s="48"/>
      <c r="G87" s="48"/>
      <c r="H87" s="48"/>
      <c r="I87" s="48"/>
      <c r="J87" s="48"/>
      <c r="K87" s="48"/>
    </row>
    <row r="88" spans="1:11" ht="18" x14ac:dyDescent="0.35">
      <c r="A88" s="48"/>
      <c r="B88" s="48"/>
      <c r="C88" s="48"/>
      <c r="D88" s="48"/>
      <c r="E88" s="48"/>
      <c r="F88" s="48"/>
      <c r="G88" s="48"/>
      <c r="H88" s="48"/>
      <c r="I88" s="48"/>
      <c r="J88" s="48"/>
      <c r="K88" s="48"/>
    </row>
    <row r="89" spans="1:11" ht="18" x14ac:dyDescent="0.35">
      <c r="A89" s="48"/>
      <c r="B89" s="48"/>
      <c r="C89" s="48"/>
      <c r="D89" s="48"/>
      <c r="E89" s="48"/>
      <c r="F89" s="48"/>
      <c r="G89" s="48"/>
      <c r="H89" s="48"/>
      <c r="I89" s="48"/>
      <c r="J89" s="48"/>
      <c r="K89" s="48"/>
    </row>
    <row r="90" spans="1:11" ht="18" x14ac:dyDescent="0.35">
      <c r="A90" s="48"/>
      <c r="B90" s="48"/>
      <c r="C90" s="48"/>
      <c r="D90" s="48"/>
      <c r="E90" s="48"/>
      <c r="F90" s="48"/>
      <c r="G90" s="48"/>
      <c r="H90" s="48"/>
      <c r="I90" s="48"/>
      <c r="J90" s="48"/>
      <c r="K90" s="48"/>
    </row>
    <row r="91" spans="1:11" ht="18" x14ac:dyDescent="0.35">
      <c r="A91" s="48"/>
      <c r="B91" s="48"/>
      <c r="C91" s="48"/>
      <c r="D91" s="48"/>
      <c r="E91" s="48"/>
      <c r="F91" s="48"/>
      <c r="G91" s="48"/>
      <c r="H91" s="48"/>
      <c r="I91" s="48"/>
      <c r="J91" s="48"/>
      <c r="K91" s="48"/>
    </row>
    <row r="92" spans="1:11" ht="18" x14ac:dyDescent="0.35">
      <c r="A92" s="48"/>
      <c r="B92" s="48"/>
      <c r="C92" s="48"/>
      <c r="D92" s="48"/>
      <c r="E92" s="48"/>
      <c r="F92" s="48"/>
      <c r="G92" s="48"/>
      <c r="H92" s="48"/>
      <c r="I92" s="48"/>
      <c r="J92" s="48"/>
      <c r="K92" s="48"/>
    </row>
    <row r="93" spans="1:11" ht="18" x14ac:dyDescent="0.35">
      <c r="A93" s="48"/>
      <c r="B93" s="48"/>
      <c r="C93" s="48"/>
      <c r="D93" s="48"/>
      <c r="E93" s="48"/>
      <c r="F93" s="48"/>
      <c r="G93" s="48"/>
      <c r="H93" s="48"/>
      <c r="I93" s="48"/>
      <c r="J93" s="48"/>
      <c r="K93" s="48"/>
    </row>
    <row r="94" spans="1:11" ht="18" x14ac:dyDescent="0.35">
      <c r="A94" s="48"/>
      <c r="B94" s="48"/>
      <c r="C94" s="48"/>
      <c r="D94" s="48"/>
      <c r="E94" s="48"/>
      <c r="F94" s="48"/>
      <c r="G94" s="48"/>
      <c r="H94" s="48"/>
      <c r="I94" s="48"/>
      <c r="J94" s="48"/>
      <c r="K94" s="48"/>
    </row>
    <row r="95" spans="1:11" ht="18" x14ac:dyDescent="0.35">
      <c r="A95" s="84"/>
      <c r="B95" s="85"/>
      <c r="C95" s="85"/>
      <c r="D95" s="85"/>
      <c r="E95" s="48"/>
      <c r="F95" s="48"/>
      <c r="G95" s="48"/>
      <c r="H95" s="48"/>
      <c r="I95" s="48"/>
      <c r="J95" s="49"/>
      <c r="K95" s="49"/>
    </row>
    <row r="96" spans="1:11" ht="18" x14ac:dyDescent="0.35">
      <c r="A96" s="48"/>
      <c r="B96" s="48"/>
      <c r="C96" s="48"/>
      <c r="D96" s="48"/>
      <c r="E96" s="48"/>
      <c r="F96" s="48"/>
      <c r="G96" s="48"/>
      <c r="H96" s="48"/>
      <c r="I96" s="48"/>
      <c r="J96" s="48"/>
      <c r="K96" s="48"/>
    </row>
    <row r="97" spans="1:11" ht="18" x14ac:dyDescent="0.35">
      <c r="A97" s="48"/>
      <c r="B97" s="48"/>
      <c r="C97" s="48"/>
      <c r="D97" s="48"/>
      <c r="E97" s="48"/>
      <c r="F97" s="48"/>
      <c r="G97" s="48"/>
      <c r="H97" s="48"/>
      <c r="I97" s="48"/>
      <c r="J97" s="48"/>
      <c r="K97" s="48"/>
    </row>
    <row r="98" spans="1:11" ht="18" x14ac:dyDescent="0.35">
      <c r="A98" s="48"/>
      <c r="B98" s="48"/>
      <c r="C98" s="48"/>
      <c r="D98" s="48"/>
      <c r="E98" s="48"/>
      <c r="F98" s="48"/>
      <c r="G98" s="48"/>
      <c r="H98" s="48"/>
      <c r="I98" s="48"/>
      <c r="J98" s="48"/>
      <c r="K98" s="48"/>
    </row>
    <row r="99" spans="1:11" ht="18" x14ac:dyDescent="0.35">
      <c r="A99" s="48"/>
      <c r="B99" s="48"/>
      <c r="C99" s="48"/>
      <c r="D99" s="48"/>
      <c r="E99" s="48"/>
      <c r="F99" s="48"/>
      <c r="G99" s="48"/>
      <c r="H99" s="48"/>
      <c r="I99" s="48"/>
      <c r="J99" s="48"/>
      <c r="K99" s="48"/>
    </row>
    <row r="100" spans="1:11" ht="18" x14ac:dyDescent="0.35">
      <c r="A100" s="48"/>
      <c r="B100" s="48"/>
      <c r="C100" s="48"/>
      <c r="D100" s="48"/>
      <c r="E100" s="48"/>
      <c r="F100" s="48"/>
      <c r="G100" s="48"/>
      <c r="H100" s="48"/>
      <c r="I100" s="48"/>
      <c r="J100" s="48"/>
      <c r="K100" s="48"/>
    </row>
    <row r="101" spans="1:11" ht="18" x14ac:dyDescent="0.35">
      <c r="A101" s="48"/>
      <c r="B101" s="48"/>
      <c r="C101" s="48"/>
      <c r="D101" s="48"/>
      <c r="E101" s="48"/>
      <c r="F101" s="48"/>
      <c r="G101" s="48"/>
      <c r="H101" s="48"/>
      <c r="I101" s="48"/>
      <c r="J101" s="48"/>
      <c r="K101" s="48"/>
    </row>
    <row r="102" spans="1:11" ht="18" x14ac:dyDescent="0.35">
      <c r="A102" s="48"/>
      <c r="B102" s="48"/>
      <c r="C102" s="48"/>
      <c r="D102" s="48"/>
      <c r="E102" s="48"/>
      <c r="F102" s="48"/>
      <c r="G102" s="48"/>
      <c r="H102" s="48"/>
      <c r="I102" s="48"/>
      <c r="J102" s="48"/>
      <c r="K102" s="48"/>
    </row>
    <row r="103" spans="1:11" ht="18" x14ac:dyDescent="0.35">
      <c r="A103" s="48"/>
      <c r="B103" s="48"/>
      <c r="C103" s="48"/>
      <c r="D103" s="48"/>
      <c r="E103" s="48"/>
      <c r="F103" s="48"/>
      <c r="G103" s="48"/>
      <c r="H103" s="48"/>
      <c r="I103" s="48"/>
      <c r="J103" s="48"/>
      <c r="K103" s="48"/>
    </row>
    <row r="104" spans="1:11" ht="18" x14ac:dyDescent="0.35">
      <c r="A104" s="48"/>
      <c r="B104" s="48"/>
      <c r="C104" s="48"/>
      <c r="D104" s="48"/>
      <c r="E104" s="48"/>
      <c r="F104" s="48"/>
      <c r="G104" s="48"/>
      <c r="H104" s="48"/>
      <c r="I104" s="48"/>
      <c r="J104" s="48"/>
      <c r="K104" s="48"/>
    </row>
    <row r="105" spans="1:11" ht="18" x14ac:dyDescent="0.35">
      <c r="A105" s="48"/>
      <c r="B105" s="48"/>
      <c r="C105" s="48"/>
      <c r="D105" s="48"/>
      <c r="E105" s="48"/>
      <c r="F105" s="48"/>
      <c r="G105" s="48"/>
      <c r="H105" s="48"/>
      <c r="I105" s="48"/>
      <c r="J105" s="48"/>
      <c r="K105" s="48"/>
    </row>
    <row r="106" spans="1:11" ht="18" x14ac:dyDescent="0.35">
      <c r="A106" s="48"/>
      <c r="B106" s="48"/>
      <c r="C106" s="48"/>
      <c r="D106" s="48"/>
      <c r="E106" s="48"/>
      <c r="F106" s="48"/>
      <c r="G106" s="48"/>
      <c r="H106" s="48"/>
      <c r="I106" s="48"/>
      <c r="J106" s="48"/>
      <c r="K106" s="48"/>
    </row>
    <row r="107" spans="1:11" ht="18" x14ac:dyDescent="0.35">
      <c r="A107" s="48"/>
      <c r="B107" s="48"/>
      <c r="C107" s="48"/>
      <c r="D107" s="48"/>
      <c r="E107" s="48"/>
      <c r="F107" s="48"/>
      <c r="G107" s="48"/>
      <c r="H107" s="48"/>
      <c r="I107" s="48"/>
      <c r="J107" s="48"/>
      <c r="K107" s="48"/>
    </row>
  </sheetData>
  <mergeCells count="5">
    <mergeCell ref="N5:O5"/>
    <mergeCell ref="A3:B3"/>
    <mergeCell ref="B5:E5"/>
    <mergeCell ref="G5:J5"/>
    <mergeCell ref="L5:M5"/>
  </mergeCells>
  <hyperlinks>
    <hyperlink ref="B1" location="Innhold!A1" display="Tilbake" xr:uid="{00000000-0004-0000-0300-000000000000}"/>
  </hyperlinks>
  <pageMargins left="0.70866141732283472" right="0.70866141732283472" top="0.78740157480314965" bottom="0.78740157480314965"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O115"/>
  <sheetViews>
    <sheetView showGridLines="0" showZeros="0" zoomScale="70" zoomScaleNormal="70" workbookViewId="0">
      <pane xSplit="1" ySplit="7" topLeftCell="B8" activePane="bottomRight" state="frozen"/>
      <selection pane="topRight" activeCell="H73" sqref="H73"/>
      <selection pane="bottomLeft" activeCell="H73" sqref="H73"/>
      <selection pane="bottomRight" activeCell="A4" sqref="A4"/>
    </sheetView>
  </sheetViews>
  <sheetFormatPr baseColWidth="10" defaultColWidth="11.44140625" defaultRowHeight="17.399999999999999" x14ac:dyDescent="0.3"/>
  <cols>
    <col min="1" max="1" width="51" style="53" customWidth="1"/>
    <col min="2" max="2" width="17.88671875" style="53" bestFit="1" customWidth="1"/>
    <col min="3" max="3" width="16.6640625" style="53" customWidth="1"/>
    <col min="4" max="4" width="9.33203125" style="53" bestFit="1" customWidth="1"/>
    <col min="5" max="5" width="4.6640625" style="53" customWidth="1"/>
    <col min="6" max="7" width="16.6640625" style="53" customWidth="1"/>
    <col min="8" max="8" width="9.33203125" style="53" bestFit="1" customWidth="1"/>
    <col min="9" max="9" width="4.6640625" style="53" customWidth="1"/>
    <col min="10" max="10" width="18.6640625" style="53" customWidth="1"/>
    <col min="11" max="11" width="18" style="53" bestFit="1" customWidth="1"/>
    <col min="12" max="12" width="9.33203125" style="53" bestFit="1" customWidth="1"/>
    <col min="13" max="13" width="11.44140625" style="53"/>
    <col min="14" max="15" width="17.33203125" style="53" bestFit="1" customWidth="1"/>
    <col min="16" max="16384" width="11.44140625" style="53"/>
  </cols>
  <sheetData>
    <row r="1" spans="1:13" ht="20.399999999999999" x14ac:dyDescent="0.35">
      <c r="A1" s="52" t="s">
        <v>77</v>
      </c>
      <c r="B1" s="47" t="s">
        <v>44</v>
      </c>
      <c r="C1" s="48"/>
      <c r="D1" s="48"/>
      <c r="E1" s="48"/>
      <c r="F1" s="48"/>
      <c r="G1" s="48"/>
      <c r="H1" s="48"/>
      <c r="I1" s="48"/>
      <c r="J1" s="48"/>
      <c r="K1" s="48"/>
      <c r="L1" s="48"/>
      <c r="M1" s="48"/>
    </row>
    <row r="2" spans="1:13" ht="20.399999999999999" x14ac:dyDescent="0.35">
      <c r="A2" s="52" t="s">
        <v>122</v>
      </c>
      <c r="B2" s="47"/>
      <c r="C2" s="48"/>
      <c r="D2" s="48"/>
      <c r="E2" s="48"/>
      <c r="F2" s="48"/>
      <c r="G2" s="48"/>
      <c r="H2" s="48"/>
      <c r="I2" s="48"/>
      <c r="J2" s="48"/>
      <c r="K2" s="48"/>
      <c r="L2" s="48"/>
      <c r="M2" s="48"/>
    </row>
    <row r="3" spans="1:13" ht="18" x14ac:dyDescent="0.35">
      <c r="A3" s="49" t="s">
        <v>123</v>
      </c>
      <c r="B3" s="48"/>
      <c r="C3" s="48"/>
      <c r="D3" s="48"/>
      <c r="E3" s="48"/>
      <c r="F3" s="48"/>
      <c r="G3" s="48"/>
      <c r="H3" s="48"/>
      <c r="I3" s="48"/>
      <c r="J3" s="48"/>
      <c r="K3" s="48"/>
      <c r="L3" s="48"/>
      <c r="M3" s="48"/>
    </row>
    <row r="4" spans="1:13" ht="18" x14ac:dyDescent="0.35">
      <c r="A4" s="54" t="s">
        <v>153</v>
      </c>
      <c r="B4" s="74"/>
      <c r="C4" s="86"/>
      <c r="D4" s="87"/>
      <c r="E4" s="48"/>
      <c r="F4" s="55"/>
      <c r="G4" s="56"/>
      <c r="H4" s="57"/>
      <c r="I4" s="48"/>
      <c r="J4" s="55"/>
      <c r="K4" s="56"/>
      <c r="L4" s="57"/>
      <c r="M4" s="48"/>
    </row>
    <row r="5" spans="1:13" ht="18" x14ac:dyDescent="0.35">
      <c r="A5" s="88"/>
      <c r="B5" s="573" t="s">
        <v>46</v>
      </c>
      <c r="C5" s="574"/>
      <c r="D5" s="575"/>
      <c r="E5" s="61"/>
      <c r="F5" s="573" t="s">
        <v>69</v>
      </c>
      <c r="G5" s="574"/>
      <c r="H5" s="575"/>
      <c r="I5" s="89"/>
      <c r="J5" s="573" t="s">
        <v>124</v>
      </c>
      <c r="K5" s="574"/>
      <c r="L5" s="575"/>
      <c r="M5" s="48"/>
    </row>
    <row r="6" spans="1:13" ht="18" x14ac:dyDescent="0.35">
      <c r="A6" s="90"/>
      <c r="B6" s="91"/>
      <c r="C6" s="92"/>
      <c r="D6" s="66" t="s">
        <v>125</v>
      </c>
      <c r="E6" s="72"/>
      <c r="F6" s="91"/>
      <c r="G6" s="92"/>
      <c r="H6" s="66" t="s">
        <v>125</v>
      </c>
      <c r="I6" s="93"/>
      <c r="J6" s="91"/>
      <c r="K6" s="92"/>
      <c r="L6" s="66" t="s">
        <v>125</v>
      </c>
      <c r="M6" s="48"/>
    </row>
    <row r="7" spans="1:13" ht="18" x14ac:dyDescent="0.35">
      <c r="A7" s="94" t="s">
        <v>126</v>
      </c>
      <c r="B7" s="95">
        <v>2025</v>
      </c>
      <c r="C7" s="139">
        <v>2026</v>
      </c>
      <c r="D7" s="71" t="s">
        <v>87</v>
      </c>
      <c r="E7" s="72"/>
      <c r="F7" s="69">
        <v>2025</v>
      </c>
      <c r="G7" s="95">
        <v>2026</v>
      </c>
      <c r="H7" s="71" t="s">
        <v>87</v>
      </c>
      <c r="I7" s="96"/>
      <c r="J7" s="138">
        <v>2025</v>
      </c>
      <c r="K7" s="139">
        <v>2026</v>
      </c>
      <c r="L7" s="71" t="s">
        <v>87</v>
      </c>
      <c r="M7" s="48"/>
    </row>
    <row r="8" spans="1:13" ht="20.399999999999999" x14ac:dyDescent="0.35">
      <c r="A8" s="144" t="s">
        <v>127</v>
      </c>
      <c r="B8" s="179"/>
      <c r="C8" s="152"/>
      <c r="D8" s="152"/>
      <c r="E8" s="136"/>
      <c r="F8" s="152"/>
      <c r="G8" s="152"/>
      <c r="H8" s="152"/>
      <c r="I8" s="153"/>
      <c r="J8" s="152"/>
      <c r="K8" s="152"/>
      <c r="L8" s="152"/>
      <c r="M8" s="48"/>
    </row>
    <row r="9" spans="1:13" ht="18" x14ac:dyDescent="0.35">
      <c r="A9" s="77" t="s">
        <v>128</v>
      </c>
      <c r="B9" s="76">
        <f>'Skjema total MA'!B7</f>
        <v>2007693.8526482559</v>
      </c>
      <c r="C9" s="76">
        <f>'Skjema total MA'!C7</f>
        <v>2099019.4950461169</v>
      </c>
      <c r="D9" s="180">
        <f>IF(B9=0, "    ---- ", IF(ABS(ROUND(100/B9*C9-100,1))&lt;999,ROUND(100/B9*C9-100,1),IF(ROUND(100/B9*C9-100,1)&gt;999,999,-999)))</f>
        <v>4.5</v>
      </c>
      <c r="E9" s="136"/>
      <c r="F9" s="147">
        <f>'Skjema total MA'!E7</f>
        <v>2988485.3559699999</v>
      </c>
      <c r="G9" s="147">
        <f>'Skjema total MA'!F7</f>
        <v>3757879.6639300003</v>
      </c>
      <c r="H9" s="180">
        <f>IF(F9=0, "    ---- ", IF(ABS(ROUND(100/F9*G9-100,1))&lt;999,ROUND(100/F9*G9-100,1),IF(ROUND(100/F9*G9-100,1)&gt;999,999,-999)))</f>
        <v>25.7</v>
      </c>
      <c r="I9" s="136"/>
      <c r="J9" s="147">
        <f t="shared" ref="J9:K60" si="0">SUM(B9+F9)</f>
        <v>4996179.2086182553</v>
      </c>
      <c r="K9" s="147">
        <f t="shared" si="0"/>
        <v>5856899.1589761171</v>
      </c>
      <c r="L9" s="178">
        <f>IF(J9=0, "    ---- ", IF(ABS(ROUND(100/J9*K9-100,1))&lt;999,ROUND(100/J9*K9-100,1),IF(ROUND(100/J9*K9-100,1)&gt;999,999,-999)))</f>
        <v>17.2</v>
      </c>
      <c r="M9" s="48"/>
    </row>
    <row r="10" spans="1:13" ht="18" x14ac:dyDescent="0.35">
      <c r="A10" s="77" t="s">
        <v>129</v>
      </c>
      <c r="B10" s="76">
        <f>'Skjema total MA'!B22</f>
        <v>992677.89621248806</v>
      </c>
      <c r="C10" s="76">
        <f>'Skjema total MA'!C22</f>
        <v>1078054.3328327956</v>
      </c>
      <c r="D10" s="180">
        <f t="shared" ref="D10:D17" si="1">IF(B10=0, "    ---- ", IF(ABS(ROUND(100/B10*C10-100,1))&lt;999,ROUND(100/B10*C10-100,1),IF(ROUND(100/B10*C10-100,1)&gt;999,999,-999)))</f>
        <v>8.6</v>
      </c>
      <c r="E10" s="136"/>
      <c r="F10" s="147">
        <f>'Skjema total MA'!E22</f>
        <v>287527.38150000002</v>
      </c>
      <c r="G10" s="147">
        <f>'Skjema total MA'!F22</f>
        <v>446345.47116999998</v>
      </c>
      <c r="H10" s="180">
        <f t="shared" ref="H10:H57" si="2">IF(F10=0, "    ---- ", IF(ABS(ROUND(100/F10*G10-100,1))&lt;999,ROUND(100/F10*G10-100,1),IF(ROUND(100/F10*G10-100,1)&gt;999,999,-999)))</f>
        <v>55.2</v>
      </c>
      <c r="I10" s="136"/>
      <c r="J10" s="147">
        <f t="shared" si="0"/>
        <v>1280205.2777124881</v>
      </c>
      <c r="K10" s="147">
        <f t="shared" si="0"/>
        <v>1524399.8040027956</v>
      </c>
      <c r="L10" s="178">
        <f t="shared" ref="L10:L60" si="3">IF(J10=0, "    ---- ", IF(ABS(ROUND(100/J10*K10-100,1))&lt;999,ROUND(100/J10*K10-100,1),IF(ROUND(100/J10*K10-100,1)&gt;999,999,-999)))</f>
        <v>19.100000000000001</v>
      </c>
      <c r="M10" s="48"/>
    </row>
    <row r="11" spans="1:13" ht="18" x14ac:dyDescent="0.35">
      <c r="A11" s="77" t="s">
        <v>130</v>
      </c>
      <c r="B11" s="76">
        <f>'Skjema total MA'!B47</f>
        <v>4364076.9310300006</v>
      </c>
      <c r="C11" s="76">
        <f>'Skjema total MA'!C47</f>
        <v>4951974.4911099998</v>
      </c>
      <c r="D11" s="180">
        <f t="shared" si="1"/>
        <v>13.5</v>
      </c>
      <c r="E11" s="136"/>
      <c r="F11" s="147"/>
      <c r="G11" s="147"/>
      <c r="H11" s="180"/>
      <c r="I11" s="136"/>
      <c r="J11" s="147">
        <f t="shared" si="0"/>
        <v>4364076.9310300006</v>
      </c>
      <c r="K11" s="147">
        <f t="shared" si="0"/>
        <v>4951974.4911099998</v>
      </c>
      <c r="L11" s="178">
        <f t="shared" si="3"/>
        <v>13.5</v>
      </c>
      <c r="M11" s="48"/>
    </row>
    <row r="12" spans="1:13" ht="18" x14ac:dyDescent="0.35">
      <c r="A12" s="77" t="s">
        <v>131</v>
      </c>
      <c r="B12" s="76">
        <f>'Skjema total MA'!B66</f>
        <v>2945251.8256099997</v>
      </c>
      <c r="C12" s="76">
        <f>'Skjema total MA'!C66</f>
        <v>3039821.6262999997</v>
      </c>
      <c r="D12" s="180">
        <f t="shared" si="1"/>
        <v>3.2</v>
      </c>
      <c r="E12" s="136"/>
      <c r="F12" s="147">
        <f>'Skjema total MA'!E66</f>
        <v>14574699.89064</v>
      </c>
      <c r="G12" s="147">
        <f>'Skjema total MA'!F66</f>
        <v>15220599.516379999</v>
      </c>
      <c r="H12" s="180">
        <f t="shared" si="2"/>
        <v>4.4000000000000004</v>
      </c>
      <c r="I12" s="136"/>
      <c r="J12" s="147">
        <f t="shared" si="0"/>
        <v>17519951.716249999</v>
      </c>
      <c r="K12" s="147">
        <f t="shared" si="0"/>
        <v>18260421.142679997</v>
      </c>
      <c r="L12" s="178">
        <f t="shared" si="3"/>
        <v>4.2</v>
      </c>
      <c r="M12" s="48"/>
    </row>
    <row r="13" spans="1:13" ht="18" x14ac:dyDescent="0.35">
      <c r="A13" s="77" t="s">
        <v>132</v>
      </c>
      <c r="B13" s="76">
        <f>'Skjema total MA'!B68</f>
        <v>8248.00252</v>
      </c>
      <c r="C13" s="76">
        <f>'Skjema total MA'!C68</f>
        <v>4535.4735199999996</v>
      </c>
      <c r="D13" s="180">
        <f t="shared" si="1"/>
        <v>-45</v>
      </c>
      <c r="E13" s="136"/>
      <c r="F13" s="147">
        <f>'Skjema total MA'!E68</f>
        <v>14040757.27189</v>
      </c>
      <c r="G13" s="147">
        <f>'Skjema total MA'!F68</f>
        <v>14665715.196029998</v>
      </c>
      <c r="H13" s="180">
        <f t="shared" si="2"/>
        <v>4.5</v>
      </c>
      <c r="I13" s="136"/>
      <c r="J13" s="147">
        <f t="shared" si="0"/>
        <v>14049005.27441</v>
      </c>
      <c r="K13" s="147">
        <f t="shared" si="0"/>
        <v>14670250.669549998</v>
      </c>
      <c r="L13" s="178">
        <f t="shared" si="3"/>
        <v>4.4000000000000004</v>
      </c>
      <c r="M13" s="48"/>
    </row>
    <row r="14" spans="1:13" s="100" customFormat="1" ht="18" x14ac:dyDescent="0.35">
      <c r="A14" s="145" t="s">
        <v>133</v>
      </c>
      <c r="B14" s="99">
        <f>'Skjema total MA'!B75+'Skjema total MA'!B76</f>
        <v>1106397.0180926381</v>
      </c>
      <c r="C14" s="99">
        <f>'Skjema total MA'!C75+'Skjema total MA'!C76</f>
        <v>1329040.0757054249</v>
      </c>
      <c r="D14" s="180">
        <f t="shared" si="1"/>
        <v>20.100000000000001</v>
      </c>
      <c r="E14" s="137"/>
      <c r="F14" s="148">
        <f>'Skjema total MA'!E75+'Skjema total MA'!E76</f>
        <v>533942.61875000002</v>
      </c>
      <c r="G14" s="148">
        <f>'Skjema total MA'!F75+'Skjema total MA'!F76</f>
        <v>554884.32034999994</v>
      </c>
      <c r="H14" s="180">
        <f t="shared" si="2"/>
        <v>3.9</v>
      </c>
      <c r="I14" s="137"/>
      <c r="J14" s="147">
        <f t="shared" si="0"/>
        <v>1640339.6368426383</v>
      </c>
      <c r="K14" s="147">
        <f t="shared" si="0"/>
        <v>1883924.3960554248</v>
      </c>
      <c r="L14" s="178">
        <f t="shared" si="3"/>
        <v>14.8</v>
      </c>
      <c r="M14" s="50"/>
    </row>
    <row r="15" spans="1:13" ht="20.399999999999999" x14ac:dyDescent="0.35">
      <c r="A15" s="77" t="s">
        <v>134</v>
      </c>
      <c r="B15" s="76">
        <f>'Skjema total MA'!B134</f>
        <v>9379924.6689600013</v>
      </c>
      <c r="C15" s="76">
        <f>'Skjema total MA'!C134</f>
        <v>9894732.5936399996</v>
      </c>
      <c r="D15" s="180">
        <f t="shared" si="1"/>
        <v>5.5</v>
      </c>
      <c r="E15" s="136"/>
      <c r="F15" s="147">
        <f>'Skjema total MA'!E134</f>
        <v>20929.275000000001</v>
      </c>
      <c r="G15" s="147">
        <f>'Skjema total MA'!F134</f>
        <v>30212.771000000001</v>
      </c>
      <c r="H15" s="180">
        <f t="shared" si="2"/>
        <v>44.4</v>
      </c>
      <c r="I15" s="136"/>
      <c r="J15" s="147">
        <f t="shared" si="0"/>
        <v>9400853.9439600017</v>
      </c>
      <c r="K15" s="147">
        <f t="shared" si="0"/>
        <v>9924945.3646399993</v>
      </c>
      <c r="L15" s="178">
        <f t="shared" si="3"/>
        <v>5.6</v>
      </c>
      <c r="M15" s="48"/>
    </row>
    <row r="16" spans="1:13" ht="18" x14ac:dyDescent="0.35">
      <c r="A16" s="77" t="s">
        <v>135</v>
      </c>
      <c r="B16" s="76">
        <f>'Skjema total MA'!B36</f>
        <v>607</v>
      </c>
      <c r="C16" s="76">
        <f>'Skjema total MA'!C36</f>
        <v>437.42599999999999</v>
      </c>
      <c r="D16" s="180">
        <f t="shared" si="1"/>
        <v>-27.9</v>
      </c>
      <c r="E16" s="136"/>
      <c r="F16" s="147"/>
      <c r="G16" s="147"/>
      <c r="H16" s="180"/>
      <c r="I16" s="136"/>
      <c r="J16" s="147">
        <f t="shared" si="0"/>
        <v>607</v>
      </c>
      <c r="K16" s="147">
        <f t="shared" si="0"/>
        <v>437.42599999999999</v>
      </c>
      <c r="L16" s="178">
        <f t="shared" si="3"/>
        <v>-27.9</v>
      </c>
      <c r="M16" s="48"/>
    </row>
    <row r="17" spans="1:15" s="102" customFormat="1" ht="18.75" customHeight="1" x14ac:dyDescent="0.35">
      <c r="A17" s="103" t="s">
        <v>136</v>
      </c>
      <c r="B17" s="79">
        <f>'Tabel 1.1'!B32</f>
        <v>19690232.174460743</v>
      </c>
      <c r="C17" s="149">
        <f>'Tabel 1.1'!C32</f>
        <v>21064039.964928906</v>
      </c>
      <c r="D17" s="180">
        <f t="shared" si="1"/>
        <v>7</v>
      </c>
      <c r="E17" s="104"/>
      <c r="F17" s="149">
        <f>'Tabel 1.1'!B41</f>
        <v>17871641.903109998</v>
      </c>
      <c r="G17" s="149">
        <f>'Tabel 1.1'!C41</f>
        <v>19455037.422480002</v>
      </c>
      <c r="H17" s="180">
        <f t="shared" si="2"/>
        <v>8.9</v>
      </c>
      <c r="I17" s="104"/>
      <c r="J17" s="149">
        <f t="shared" si="0"/>
        <v>37561874.077570736</v>
      </c>
      <c r="K17" s="149">
        <f t="shared" si="0"/>
        <v>40519077.387408912</v>
      </c>
      <c r="L17" s="178">
        <f t="shared" si="3"/>
        <v>7.9</v>
      </c>
      <c r="M17" s="49"/>
      <c r="N17" s="101"/>
      <c r="O17" s="101"/>
    </row>
    <row r="18" spans="1:15" ht="18.75" customHeight="1" x14ac:dyDescent="0.35">
      <c r="A18" s="103"/>
      <c r="B18" s="76"/>
      <c r="C18" s="147"/>
      <c r="D18" s="147"/>
      <c r="E18" s="136"/>
      <c r="F18" s="147"/>
      <c r="G18" s="147"/>
      <c r="H18" s="180"/>
      <c r="I18" s="136"/>
      <c r="J18" s="147"/>
      <c r="K18" s="147"/>
      <c r="L18" s="178"/>
      <c r="M18" s="48"/>
    </row>
    <row r="19" spans="1:15" ht="18.75" customHeight="1" x14ac:dyDescent="0.35">
      <c r="A19" s="144" t="s">
        <v>137</v>
      </c>
      <c r="B19" s="151"/>
      <c r="C19" s="154"/>
      <c r="D19" s="147"/>
      <c r="E19" s="136"/>
      <c r="F19" s="154"/>
      <c r="G19" s="154"/>
      <c r="H19" s="180"/>
      <c r="I19" s="136"/>
      <c r="J19" s="147"/>
      <c r="K19" s="147"/>
      <c r="L19" s="178"/>
      <c r="M19" s="48"/>
    </row>
    <row r="20" spans="1:15" ht="18.75" customHeight="1" x14ac:dyDescent="0.35">
      <c r="A20" s="77" t="s">
        <v>128</v>
      </c>
      <c r="B20" s="76">
        <f>'Skjema total MA'!B10</f>
        <v>12653191.192621982</v>
      </c>
      <c r="C20" s="76">
        <f>'Skjema total MA'!C10</f>
        <v>12775939.877392391</v>
      </c>
      <c r="D20" s="180">
        <f>IF(B20=0, "    ---- ", IF(ABS(ROUND(100/B20*C20-100,1))&lt;999,ROUND(100/B20*C20-100,1),IF(ROUND(100/B20*C20-100,1)&gt;999,999,-999)))</f>
        <v>1</v>
      </c>
      <c r="E20" s="136"/>
      <c r="F20" s="147">
        <f>'Skjema total MA'!E10</f>
        <v>94510190.04756251</v>
      </c>
      <c r="G20" s="147">
        <f>'Skjema total MA'!F10</f>
        <v>107676074.62078729</v>
      </c>
      <c r="H20" s="180">
        <f t="shared" si="2"/>
        <v>13.9</v>
      </c>
      <c r="I20" s="136"/>
      <c r="J20" s="147">
        <f t="shared" si="0"/>
        <v>107163381.24018449</v>
      </c>
      <c r="K20" s="147">
        <f t="shared" si="0"/>
        <v>120452014.49817969</v>
      </c>
      <c r="L20" s="178">
        <f t="shared" si="3"/>
        <v>12.4</v>
      </c>
      <c r="M20" s="48"/>
    </row>
    <row r="21" spans="1:15" ht="18.75" customHeight="1" x14ac:dyDescent="0.35">
      <c r="A21" s="77" t="s">
        <v>129</v>
      </c>
      <c r="B21" s="76">
        <f>'Skjema total MA'!B29</f>
        <v>44006076.134077512</v>
      </c>
      <c r="C21" s="76">
        <f>'Skjema total MA'!C29</f>
        <v>44504845.872325547</v>
      </c>
      <c r="D21" s="180">
        <f t="shared" ref="D21:D27" si="4">IF(B21=0, "    ---- ", IF(ABS(ROUND(100/B21*C21-100,1))&lt;999,ROUND(100/B21*C21-100,1),IF(ROUND(100/B21*C21-100,1)&gt;999,999,-999)))</f>
        <v>1.1000000000000001</v>
      </c>
      <c r="E21" s="136"/>
      <c r="F21" s="147">
        <f>'Skjema total MA'!E29</f>
        <v>28605602.015649192</v>
      </c>
      <c r="G21" s="147">
        <f>'Skjema total MA'!F29</f>
        <v>31182335.228054419</v>
      </c>
      <c r="H21" s="180">
        <f t="shared" si="2"/>
        <v>9</v>
      </c>
      <c r="I21" s="136"/>
      <c r="J21" s="147">
        <f t="shared" si="0"/>
        <v>72611678.149726704</v>
      </c>
      <c r="K21" s="147">
        <f t="shared" si="0"/>
        <v>75687181.100379974</v>
      </c>
      <c r="L21" s="178">
        <f t="shared" si="3"/>
        <v>4.2</v>
      </c>
      <c r="M21" s="48"/>
    </row>
    <row r="22" spans="1:15" ht="18" x14ac:dyDescent="0.35">
      <c r="A22" s="77" t="s">
        <v>131</v>
      </c>
      <c r="B22" s="76">
        <f>'Skjema total MA'!B87</f>
        <v>406587314.16967237</v>
      </c>
      <c r="C22" s="76">
        <f>'Skjema total MA'!C87</f>
        <v>414599950.62831992</v>
      </c>
      <c r="D22" s="180">
        <f t="shared" si="4"/>
        <v>2</v>
      </c>
      <c r="E22" s="136"/>
      <c r="F22" s="147">
        <f>'Skjema total MA'!E87</f>
        <v>665340565.92370605</v>
      </c>
      <c r="G22" s="147">
        <f>'Skjema total MA'!F87</f>
        <v>794755365.11502802</v>
      </c>
      <c r="H22" s="180">
        <f t="shared" si="2"/>
        <v>19.5</v>
      </c>
      <c r="I22" s="136"/>
      <c r="J22" s="147">
        <f t="shared" si="0"/>
        <v>1071927880.0933784</v>
      </c>
      <c r="K22" s="147">
        <f t="shared" si="0"/>
        <v>1209355315.7433479</v>
      </c>
      <c r="L22" s="178">
        <f t="shared" si="3"/>
        <v>12.8</v>
      </c>
      <c r="M22" s="48"/>
    </row>
    <row r="23" spans="1:15" ht="20.399999999999999" x14ac:dyDescent="0.35">
      <c r="A23" s="77" t="s">
        <v>138</v>
      </c>
      <c r="B23" s="76">
        <f>'Skjema total MA'!B89</f>
        <v>2369244.5086599998</v>
      </c>
      <c r="C23" s="76">
        <f>'Skjema total MA'!C89</f>
        <v>4235867.1137095941</v>
      </c>
      <c r="D23" s="180">
        <f t="shared" si="4"/>
        <v>78.8</v>
      </c>
      <c r="E23" s="136"/>
      <c r="F23" s="147">
        <f>'Skjema total MA'!E89</f>
        <v>655108168.52648604</v>
      </c>
      <c r="G23" s="147">
        <f>'Skjema total MA'!F89</f>
        <v>781900269.66406798</v>
      </c>
      <c r="H23" s="180">
        <f t="shared" si="2"/>
        <v>19.399999999999999</v>
      </c>
      <c r="I23" s="136"/>
      <c r="J23" s="147">
        <f t="shared" si="0"/>
        <v>657477413.035146</v>
      </c>
      <c r="K23" s="147">
        <f t="shared" si="0"/>
        <v>786136136.77777755</v>
      </c>
      <c r="L23" s="178">
        <f t="shared" si="3"/>
        <v>19.600000000000001</v>
      </c>
      <c r="M23" s="48"/>
    </row>
    <row r="24" spans="1:15" ht="18" x14ac:dyDescent="0.35">
      <c r="A24" s="145" t="s">
        <v>133</v>
      </c>
      <c r="B24" s="76">
        <f>'Skjema total MA'!B96+'Skjema total MA'!B97</f>
        <v>19970825.652520001</v>
      </c>
      <c r="C24" s="76">
        <f>'Skjema total MA'!C96+'Skjema total MA'!C97</f>
        <v>23624914.074720003</v>
      </c>
      <c r="D24" s="180">
        <f t="shared" si="4"/>
        <v>18.3</v>
      </c>
      <c r="E24" s="136"/>
      <c r="F24" s="147">
        <f>'Skjema total MA'!E96+'Skjema total MA'!E97</f>
        <v>10232397.397220001</v>
      </c>
      <c r="G24" s="147">
        <f>'Skjema total MA'!F96+'Skjema total MA'!F97</f>
        <v>12855095.450959999</v>
      </c>
      <c r="H24" s="180">
        <f t="shared" si="2"/>
        <v>25.6</v>
      </c>
      <c r="I24" s="136"/>
      <c r="J24" s="147">
        <f t="shared" si="0"/>
        <v>30203223.049740002</v>
      </c>
      <c r="K24" s="147">
        <f t="shared" si="0"/>
        <v>36480009.525680006</v>
      </c>
      <c r="L24" s="178">
        <f t="shared" si="3"/>
        <v>20.8</v>
      </c>
      <c r="M24" s="48"/>
    </row>
    <row r="25" spans="1:15" ht="20.399999999999999" x14ac:dyDescent="0.35">
      <c r="A25" s="77" t="s">
        <v>134</v>
      </c>
      <c r="B25" s="76">
        <f>'Skjema total MA'!B135</f>
        <v>920369575.27947998</v>
      </c>
      <c r="C25" s="76">
        <f>'Skjema total MA'!C135</f>
        <v>1011167882.8414201</v>
      </c>
      <c r="D25" s="180">
        <f t="shared" si="4"/>
        <v>9.9</v>
      </c>
      <c r="E25" s="136"/>
      <c r="F25" s="147">
        <f>'Skjema total MA'!E135</f>
        <v>2888738.0707899998</v>
      </c>
      <c r="G25" s="147">
        <f>'Skjema total MA'!F135</f>
        <v>2410575.5415099999</v>
      </c>
      <c r="H25" s="180">
        <f t="shared" si="2"/>
        <v>-16.600000000000001</v>
      </c>
      <c r="I25" s="136"/>
      <c r="J25" s="147">
        <f t="shared" si="0"/>
        <v>923258313.35027003</v>
      </c>
      <c r="K25" s="147">
        <f t="shared" si="0"/>
        <v>1013578458.38293</v>
      </c>
      <c r="L25" s="178">
        <f t="shared" si="3"/>
        <v>9.8000000000000007</v>
      </c>
      <c r="M25" s="48"/>
    </row>
    <row r="26" spans="1:15" ht="18" x14ac:dyDescent="0.35">
      <c r="A26" s="77" t="s">
        <v>135</v>
      </c>
      <c r="B26" s="76">
        <f>'Skjema total MA'!B37</f>
        <v>2445944.2662300002</v>
      </c>
      <c r="C26" s="76">
        <f>'Skjema total MA'!C37</f>
        <v>2282179.75560768</v>
      </c>
      <c r="D26" s="180">
        <f t="shared" si="4"/>
        <v>-6.7</v>
      </c>
      <c r="E26" s="136"/>
      <c r="F26" s="147"/>
      <c r="G26" s="147"/>
      <c r="H26" s="180"/>
      <c r="I26" s="136"/>
      <c r="J26" s="147">
        <f t="shared" si="0"/>
        <v>2445944.2662300002</v>
      </c>
      <c r="K26" s="147">
        <f t="shared" si="0"/>
        <v>2282179.75560768</v>
      </c>
      <c r="L26" s="178">
        <f t="shared" si="3"/>
        <v>-6.7</v>
      </c>
      <c r="M26" s="48"/>
    </row>
    <row r="27" spans="1:15" s="102" customFormat="1" ht="18" x14ac:dyDescent="0.35">
      <c r="A27" s="103" t="s">
        <v>139</v>
      </c>
      <c r="B27" s="79">
        <f>'Tabel 1.1'!G32</f>
        <v>1386062101.0420818</v>
      </c>
      <c r="C27" s="149">
        <f>'Tabel 1.1'!H32</f>
        <v>1485330798.9750657</v>
      </c>
      <c r="D27" s="180">
        <f t="shared" si="4"/>
        <v>7.2</v>
      </c>
      <c r="E27" s="104"/>
      <c r="F27" s="149">
        <f>'Tabel 1.1'!G41</f>
        <v>791345096.05770779</v>
      </c>
      <c r="G27" s="149">
        <f>'Tabel 1.1'!H41</f>
        <v>936024350.50537968</v>
      </c>
      <c r="H27" s="180">
        <f t="shared" si="2"/>
        <v>18.3</v>
      </c>
      <c r="I27" s="104"/>
      <c r="J27" s="149">
        <f t="shared" si="0"/>
        <v>2177407197.0997896</v>
      </c>
      <c r="K27" s="149">
        <f t="shared" si="0"/>
        <v>2421355149.4804454</v>
      </c>
      <c r="L27" s="178">
        <f t="shared" si="3"/>
        <v>11.2</v>
      </c>
      <c r="M27" s="49"/>
      <c r="N27" s="101"/>
      <c r="O27" s="101"/>
    </row>
    <row r="28" spans="1:15" ht="18" x14ac:dyDescent="0.35">
      <c r="A28" s="103"/>
      <c r="B28" s="76"/>
      <c r="C28" s="147"/>
      <c r="D28" s="180"/>
      <c r="E28" s="136"/>
      <c r="F28" s="147"/>
      <c r="G28" s="147"/>
      <c r="H28" s="180"/>
      <c r="I28" s="136"/>
      <c r="J28" s="147">
        <f t="shared" si="0"/>
        <v>0</v>
      </c>
      <c r="K28" s="147">
        <f t="shared" si="0"/>
        <v>0</v>
      </c>
      <c r="L28" s="178"/>
      <c r="M28" s="48"/>
    </row>
    <row r="29" spans="1:15" ht="20.399999999999999" x14ac:dyDescent="0.35">
      <c r="A29" s="144" t="s">
        <v>140</v>
      </c>
      <c r="B29" s="151"/>
      <c r="C29" s="154"/>
      <c r="D29" s="147"/>
      <c r="E29" s="136"/>
      <c r="F29" s="147"/>
      <c r="G29" s="147"/>
      <c r="H29" s="180"/>
      <c r="I29" s="136"/>
      <c r="J29" s="147"/>
      <c r="K29" s="147"/>
      <c r="L29" s="178"/>
      <c r="M29" s="48"/>
    </row>
    <row r="30" spans="1:15" ht="18" x14ac:dyDescent="0.35">
      <c r="A30" s="77" t="s">
        <v>128</v>
      </c>
      <c r="B30" s="76"/>
      <c r="C30" s="76"/>
      <c r="D30" s="180"/>
      <c r="E30" s="136"/>
      <c r="F30" s="147">
        <f>'Skjema total MA'!E11</f>
        <v>162532.77116999999</v>
      </c>
      <c r="G30" s="147">
        <f>'Skjema total MA'!F11</f>
        <v>106958.19328999998</v>
      </c>
      <c r="H30" s="180">
        <f t="shared" si="2"/>
        <v>-34.200000000000003</v>
      </c>
      <c r="I30" s="136"/>
      <c r="J30" s="147">
        <f t="shared" si="0"/>
        <v>162532.77116999999</v>
      </c>
      <c r="K30" s="147">
        <f t="shared" si="0"/>
        <v>106958.19328999998</v>
      </c>
      <c r="L30" s="178">
        <f t="shared" si="3"/>
        <v>-34.200000000000003</v>
      </c>
      <c r="M30" s="48"/>
    </row>
    <row r="31" spans="1:15" ht="18" x14ac:dyDescent="0.35">
      <c r="A31" s="77" t="s">
        <v>129</v>
      </c>
      <c r="B31" s="76">
        <f>'Skjema total MA'!B34</f>
        <v>5797.2493300000006</v>
      </c>
      <c r="C31" s="76">
        <f>'Skjema total MA'!C34</f>
        <v>4326.7759999999998</v>
      </c>
      <c r="D31" s="180">
        <f t="shared" ref="D31:D38" si="5">IF(B31=0, "    ---- ", IF(ABS(ROUND(100/B31*C31-100,1))&lt;999,ROUND(100/B31*C31-100,1),IF(ROUND(100/B31*C31-100,1)&gt;999,999,-999)))</f>
        <v>-25.4</v>
      </c>
      <c r="E31" s="136"/>
      <c r="F31" s="147">
        <f>'Skjema total MA'!E34</f>
        <v>-104367.89246</v>
      </c>
      <c r="G31" s="147">
        <f>'Skjema total MA'!F34</f>
        <v>78329.192170000009</v>
      </c>
      <c r="H31" s="180">
        <f t="shared" si="2"/>
        <v>-175.1</v>
      </c>
      <c r="I31" s="136"/>
      <c r="J31" s="147">
        <f t="shared" si="0"/>
        <v>-98570.643129999997</v>
      </c>
      <c r="K31" s="147">
        <f t="shared" si="0"/>
        <v>82655.968170000007</v>
      </c>
      <c r="L31" s="178">
        <f t="shared" si="3"/>
        <v>-183.9</v>
      </c>
      <c r="M31" s="48"/>
    </row>
    <row r="32" spans="1:15" ht="18" x14ac:dyDescent="0.35">
      <c r="A32" s="77" t="s">
        <v>131</v>
      </c>
      <c r="B32" s="76">
        <f>'Skjema total MA'!B111</f>
        <v>1135493.62424</v>
      </c>
      <c r="C32" s="76">
        <f>'Skjema total MA'!C111</f>
        <v>299574.75540000002</v>
      </c>
      <c r="D32" s="180">
        <f t="shared" si="5"/>
        <v>-73.599999999999994</v>
      </c>
      <c r="E32" s="136"/>
      <c r="F32" s="147">
        <f>'Skjema total MA'!E111</f>
        <v>19977944.200959999</v>
      </c>
      <c r="G32" s="147">
        <f>'Skjema total MA'!F111</f>
        <v>24119223.99368</v>
      </c>
      <c r="H32" s="180">
        <f t="shared" si="2"/>
        <v>20.7</v>
      </c>
      <c r="I32" s="136"/>
      <c r="J32" s="147">
        <f t="shared" si="0"/>
        <v>21113437.825199999</v>
      </c>
      <c r="K32" s="147">
        <f t="shared" si="0"/>
        <v>24418798.749079999</v>
      </c>
      <c r="L32" s="178">
        <f t="shared" si="3"/>
        <v>15.7</v>
      </c>
      <c r="M32" s="48"/>
    </row>
    <row r="33" spans="1:15" ht="20.399999999999999" x14ac:dyDescent="0.35">
      <c r="A33" s="77" t="s">
        <v>134</v>
      </c>
      <c r="B33" s="76">
        <f>'Skjema total MA'!B136</f>
        <v>3241225.6810000003</v>
      </c>
      <c r="C33" s="76">
        <f>'Skjema total MA'!C136</f>
        <v>3412565.5005900003</v>
      </c>
      <c r="D33" s="180">
        <f t="shared" si="5"/>
        <v>5.3</v>
      </c>
      <c r="E33" s="136"/>
      <c r="F33" s="147">
        <f>'Skjema total MA'!E136</f>
        <v>0</v>
      </c>
      <c r="G33" s="147">
        <f>'Skjema total MA'!F136</f>
        <v>-516456.22738</v>
      </c>
      <c r="H33" s="180" t="str">
        <f t="shared" si="2"/>
        <v xml:space="preserve">    ---- </v>
      </c>
      <c r="I33" s="136"/>
      <c r="J33" s="147">
        <f t="shared" si="0"/>
        <v>3241225.6810000003</v>
      </c>
      <c r="K33" s="147">
        <f t="shared" si="0"/>
        <v>2896109.2732100002</v>
      </c>
      <c r="L33" s="178">
        <f t="shared" si="3"/>
        <v>-10.6</v>
      </c>
      <c r="M33" s="48"/>
    </row>
    <row r="34" spans="1:15" ht="18" x14ac:dyDescent="0.35">
      <c r="A34" s="77" t="s">
        <v>135</v>
      </c>
      <c r="B34" s="76"/>
      <c r="C34" s="76"/>
      <c r="D34" s="180"/>
      <c r="E34" s="136"/>
      <c r="F34" s="147"/>
      <c r="G34" s="147"/>
      <c r="H34" s="180"/>
      <c r="I34" s="136"/>
      <c r="J34" s="147"/>
      <c r="K34" s="147"/>
      <c r="L34" s="178"/>
      <c r="M34" s="48"/>
    </row>
    <row r="35" spans="1:15" s="102" customFormat="1" ht="18" x14ac:dyDescent="0.35">
      <c r="A35" s="103" t="s">
        <v>141</v>
      </c>
      <c r="B35" s="79">
        <f>SUM(B30:B34)</f>
        <v>4382516.5545700006</v>
      </c>
      <c r="C35" s="149">
        <f>SUM(C30:C34)</f>
        <v>3716467.0319900005</v>
      </c>
      <c r="D35" s="180">
        <f t="shared" si="5"/>
        <v>-15.2</v>
      </c>
      <c r="E35" s="104"/>
      <c r="F35" s="149">
        <f>SUM(F30:F34)</f>
        <v>20036109.079670001</v>
      </c>
      <c r="G35" s="149">
        <f>SUM(G30:G34)</f>
        <v>23788055.151760001</v>
      </c>
      <c r="H35" s="180">
        <f t="shared" si="2"/>
        <v>18.7</v>
      </c>
      <c r="I35" s="104"/>
      <c r="J35" s="149">
        <f t="shared" si="0"/>
        <v>24418625.634240001</v>
      </c>
      <c r="K35" s="149">
        <f t="shared" si="0"/>
        <v>27504522.18375</v>
      </c>
      <c r="L35" s="178">
        <f t="shared" si="3"/>
        <v>12.6</v>
      </c>
      <c r="M35" s="49"/>
    </row>
    <row r="36" spans="1:15" ht="18" x14ac:dyDescent="0.35">
      <c r="A36" s="103"/>
      <c r="B36" s="79"/>
      <c r="C36" s="149"/>
      <c r="D36" s="180"/>
      <c r="E36" s="104"/>
      <c r="F36" s="149"/>
      <c r="G36" s="149"/>
      <c r="H36" s="180"/>
      <c r="I36" s="104"/>
      <c r="J36" s="147"/>
      <c r="K36" s="147"/>
      <c r="L36" s="178"/>
      <c r="M36" s="48"/>
    </row>
    <row r="37" spans="1:15" ht="20.399999999999999" x14ac:dyDescent="0.35">
      <c r="A37" s="103" t="s">
        <v>142</v>
      </c>
      <c r="B37" s="79"/>
      <c r="C37" s="149"/>
      <c r="D37" s="147"/>
      <c r="E37" s="104"/>
      <c r="F37" s="149"/>
      <c r="G37" s="149"/>
      <c r="H37" s="180"/>
      <c r="I37" s="104"/>
      <c r="J37" s="147"/>
      <c r="K37" s="147"/>
      <c r="L37" s="178"/>
      <c r="M37" s="48"/>
    </row>
    <row r="38" spans="1:15" s="102" customFormat="1" ht="18" x14ac:dyDescent="0.35">
      <c r="A38" s="103" t="s">
        <v>130</v>
      </c>
      <c r="B38" s="79">
        <f>'Skjema total MA'!B53</f>
        <v>182062.962</v>
      </c>
      <c r="C38" s="79">
        <f>'Skjema total MA'!C53</f>
        <v>130898.106</v>
      </c>
      <c r="D38" s="180">
        <f t="shared" si="5"/>
        <v>-28.1</v>
      </c>
      <c r="E38" s="104"/>
      <c r="F38" s="149"/>
      <c r="G38" s="149"/>
      <c r="H38" s="180"/>
      <c r="I38" s="104"/>
      <c r="J38" s="149">
        <f t="shared" si="0"/>
        <v>182062.962</v>
      </c>
      <c r="K38" s="149">
        <f t="shared" si="0"/>
        <v>130898.106</v>
      </c>
      <c r="L38" s="178">
        <f t="shared" si="3"/>
        <v>-28.1</v>
      </c>
      <c r="M38" s="49"/>
    </row>
    <row r="39" spans="1:15" ht="18" x14ac:dyDescent="0.35">
      <c r="A39" s="103"/>
      <c r="B39" s="79"/>
      <c r="C39" s="149"/>
      <c r="D39" s="147"/>
      <c r="E39" s="104"/>
      <c r="F39" s="149"/>
      <c r="G39" s="149"/>
      <c r="H39" s="180"/>
      <c r="I39" s="104"/>
      <c r="J39" s="147"/>
      <c r="K39" s="147"/>
      <c r="L39" s="178"/>
      <c r="M39" s="48"/>
    </row>
    <row r="40" spans="1:15" ht="20.399999999999999" x14ac:dyDescent="0.35">
      <c r="A40" s="144" t="s">
        <v>143</v>
      </c>
      <c r="B40" s="151"/>
      <c r="C40" s="154"/>
      <c r="D40" s="147"/>
      <c r="E40" s="136"/>
      <c r="F40" s="147"/>
      <c r="G40" s="147"/>
      <c r="H40" s="180"/>
      <c r="I40" s="136"/>
      <c r="J40" s="147"/>
      <c r="K40" s="147"/>
      <c r="L40" s="178"/>
      <c r="M40" s="48"/>
    </row>
    <row r="41" spans="1:15" ht="18" x14ac:dyDescent="0.35">
      <c r="A41" s="77" t="s">
        <v>128</v>
      </c>
      <c r="B41" s="76">
        <f>'Skjema total MA'!B12</f>
        <v>0</v>
      </c>
      <c r="C41" s="76">
        <f>'Skjema total MA'!C12</f>
        <v>-16431.795600000001</v>
      </c>
      <c r="D41" s="180" t="str">
        <f>IF(B41=0, "    ---- ", IF(ABS(ROUND(100/B41*C41-100,1))&lt;999,ROUND(100/B41*C41-100,1),IF(ROUND(100/B41*C41-100,1)&gt;999,999,-999)))</f>
        <v xml:space="preserve">    ---- </v>
      </c>
      <c r="E41" s="136"/>
      <c r="F41" s="147">
        <f>'Skjema total MA'!E12</f>
        <v>217906.62864000001</v>
      </c>
      <c r="G41" s="147">
        <f>'Skjema total MA'!F12</f>
        <v>125383.07923</v>
      </c>
      <c r="H41" s="180">
        <f t="shared" si="2"/>
        <v>-42.5</v>
      </c>
      <c r="I41" s="136"/>
      <c r="J41" s="147">
        <f t="shared" si="0"/>
        <v>217906.62864000001</v>
      </c>
      <c r="K41" s="147">
        <f t="shared" si="0"/>
        <v>108951.28363000001</v>
      </c>
      <c r="L41" s="178">
        <f t="shared" si="3"/>
        <v>-50</v>
      </c>
      <c r="M41" s="48"/>
    </row>
    <row r="42" spans="1:15" ht="18" x14ac:dyDescent="0.35">
      <c r="A42" s="77" t="s">
        <v>129</v>
      </c>
      <c r="B42" s="76">
        <f>'Skjema total MA'!B35</f>
        <v>-149053.81912</v>
      </c>
      <c r="C42" s="76">
        <f>'Skjema total MA'!C35</f>
        <v>-1258799.1245100002</v>
      </c>
      <c r="D42" s="180">
        <f t="shared" ref="D42:D46" si="6">IF(B42=0, "    ---- ", IF(ABS(ROUND(100/B42*C42-100,1))&lt;999,ROUND(100/B42*C42-100,1),IF(ROUND(100/B42*C42-100,1)&gt;999,999,-999)))</f>
        <v>744.5</v>
      </c>
      <c r="E42" s="136"/>
      <c r="F42" s="147">
        <f>'Skjema total MA'!E35</f>
        <v>68852.985529999991</v>
      </c>
      <c r="G42" s="147">
        <f>'Skjema total MA'!F35</f>
        <v>109697.74497</v>
      </c>
      <c r="H42" s="180">
        <f t="shared" si="2"/>
        <v>59.3</v>
      </c>
      <c r="I42" s="136"/>
      <c r="J42" s="147">
        <f t="shared" si="0"/>
        <v>-80200.833590000009</v>
      </c>
      <c r="K42" s="147">
        <f t="shared" si="0"/>
        <v>-1149101.3795400001</v>
      </c>
      <c r="L42" s="178">
        <f t="shared" si="3"/>
        <v>999</v>
      </c>
      <c r="M42" s="48"/>
    </row>
    <row r="43" spans="1:15" ht="18" x14ac:dyDescent="0.35">
      <c r="A43" s="77" t="s">
        <v>131</v>
      </c>
      <c r="B43" s="76">
        <f>'Skjema total MA'!B119</f>
        <v>215315.51566</v>
      </c>
      <c r="C43" s="76">
        <f>'Skjema total MA'!C119</f>
        <v>343318.17107999994</v>
      </c>
      <c r="D43" s="180">
        <f t="shared" si="6"/>
        <v>59.4</v>
      </c>
      <c r="E43" s="136"/>
      <c r="F43" s="147">
        <f>'Skjema total MA'!E119</f>
        <v>21023794.571490001</v>
      </c>
      <c r="G43" s="147">
        <f>'Skjema total MA'!F119</f>
        <v>24959799.818119999</v>
      </c>
      <c r="H43" s="180">
        <f t="shared" si="2"/>
        <v>18.7</v>
      </c>
      <c r="I43" s="136"/>
      <c r="J43" s="147">
        <f t="shared" si="0"/>
        <v>21239110.08715</v>
      </c>
      <c r="K43" s="147">
        <f t="shared" si="0"/>
        <v>25303117.9892</v>
      </c>
      <c r="L43" s="178">
        <f t="shared" si="3"/>
        <v>19.100000000000001</v>
      </c>
      <c r="M43" s="48"/>
    </row>
    <row r="44" spans="1:15" ht="20.399999999999999" x14ac:dyDescent="0.35">
      <c r="A44" s="77" t="s">
        <v>134</v>
      </c>
      <c r="B44" s="76">
        <f>'Skjema total MA'!B137</f>
        <v>4289073.5640000002</v>
      </c>
      <c r="C44" s="76">
        <f>'Skjema total MA'!C137</f>
        <v>891012.81200000003</v>
      </c>
      <c r="D44" s="180">
        <f t="shared" si="6"/>
        <v>-79.2</v>
      </c>
      <c r="E44" s="136"/>
      <c r="F44" s="147"/>
      <c r="G44" s="147"/>
      <c r="H44" s="180"/>
      <c r="I44" s="136"/>
      <c r="J44" s="147">
        <f t="shared" si="0"/>
        <v>4289073.5640000002</v>
      </c>
      <c r="K44" s="147">
        <f t="shared" si="0"/>
        <v>891012.81200000003</v>
      </c>
      <c r="L44" s="178">
        <f t="shared" si="3"/>
        <v>-79.2</v>
      </c>
      <c r="M44" s="48"/>
    </row>
    <row r="45" spans="1:15" ht="18" x14ac:dyDescent="0.35">
      <c r="A45" s="77" t="s">
        <v>135</v>
      </c>
      <c r="B45" s="76">
        <f>'Skjema total MA'!B39</f>
        <v>1</v>
      </c>
      <c r="C45" s="76">
        <f>'Skjema total MA'!C39</f>
        <v>0.47299999999999998</v>
      </c>
      <c r="D45" s="180">
        <f t="shared" si="6"/>
        <v>-52.7</v>
      </c>
      <c r="E45" s="136"/>
      <c r="F45" s="147"/>
      <c r="G45" s="147"/>
      <c r="H45" s="180"/>
      <c r="I45" s="136"/>
      <c r="J45" s="147">
        <f t="shared" si="0"/>
        <v>1</v>
      </c>
      <c r="K45" s="147">
        <f t="shared" si="0"/>
        <v>0.47299999999999998</v>
      </c>
      <c r="L45" s="178">
        <f t="shared" si="3"/>
        <v>-52.7</v>
      </c>
      <c r="M45" s="48"/>
    </row>
    <row r="46" spans="1:15" s="102" customFormat="1" ht="18" x14ac:dyDescent="0.35">
      <c r="A46" s="103" t="s">
        <v>144</v>
      </c>
      <c r="B46" s="79">
        <f>SUM(B41:B45)</f>
        <v>4355336.2605400002</v>
      </c>
      <c r="C46" s="149">
        <f>SUM(C41:C45)</f>
        <v>-40899.464030000265</v>
      </c>
      <c r="D46" s="180">
        <f t="shared" si="6"/>
        <v>-100.9</v>
      </c>
      <c r="E46" s="104"/>
      <c r="F46" s="149">
        <f>SUM(F41:F45)</f>
        <v>21310554.185660001</v>
      </c>
      <c r="G46" s="149">
        <f>SUM(G41:G45)</f>
        <v>25194880.64232</v>
      </c>
      <c r="H46" s="180">
        <f t="shared" si="2"/>
        <v>18.2</v>
      </c>
      <c r="I46" s="104"/>
      <c r="J46" s="149">
        <f t="shared" si="0"/>
        <v>25665890.446200002</v>
      </c>
      <c r="K46" s="149">
        <f t="shared" si="0"/>
        <v>25153981.178289998</v>
      </c>
      <c r="L46" s="178">
        <f t="shared" si="3"/>
        <v>-2</v>
      </c>
      <c r="M46" s="49"/>
      <c r="N46" s="101"/>
      <c r="O46" s="101"/>
    </row>
    <row r="47" spans="1:15" ht="18" x14ac:dyDescent="0.35">
      <c r="A47" s="103"/>
      <c r="B47" s="79"/>
      <c r="C47" s="149"/>
      <c r="D47" s="147"/>
      <c r="E47" s="104"/>
      <c r="F47" s="149"/>
      <c r="G47" s="149"/>
      <c r="H47" s="180"/>
      <c r="I47" s="104"/>
      <c r="J47" s="147"/>
      <c r="K47" s="147"/>
      <c r="L47" s="178"/>
      <c r="M47" s="48"/>
    </row>
    <row r="48" spans="1:15" ht="20.399999999999999" x14ac:dyDescent="0.35">
      <c r="A48" s="103" t="s">
        <v>145</v>
      </c>
      <c r="B48" s="79"/>
      <c r="C48" s="149"/>
      <c r="D48" s="147"/>
      <c r="E48" s="104"/>
      <c r="F48" s="149"/>
      <c r="G48" s="149"/>
      <c r="H48" s="180"/>
      <c r="I48" s="104"/>
      <c r="J48" s="147"/>
      <c r="K48" s="147"/>
      <c r="L48" s="178"/>
      <c r="M48" s="48"/>
    </row>
    <row r="49" spans="1:15" s="102" customFormat="1" ht="18" x14ac:dyDescent="0.35">
      <c r="A49" s="103" t="s">
        <v>130</v>
      </c>
      <c r="B49" s="79">
        <f>'Skjema total MA'!B56</f>
        <v>103338.186</v>
      </c>
      <c r="C49" s="79">
        <f>'Skjema total MA'!C56</f>
        <v>110194.011</v>
      </c>
      <c r="D49" s="180">
        <f t="shared" ref="D49" si="7">IF(B49=0, "    ---- ", IF(ABS(ROUND(100/B49*C49-100,1))&lt;999,ROUND(100/B49*C49-100,1),IF(ROUND(100/B49*C49-100,1)&gt;999,999,-999)))</f>
        <v>6.6</v>
      </c>
      <c r="E49" s="104"/>
      <c r="F49" s="149"/>
      <c r="G49" s="149"/>
      <c r="H49" s="180"/>
      <c r="I49" s="104"/>
      <c r="J49" s="149">
        <f>SUM(B49+F49)</f>
        <v>103338.186</v>
      </c>
      <c r="K49" s="149">
        <f>SUM(C49+G49)</f>
        <v>110194.011</v>
      </c>
      <c r="L49" s="178">
        <f t="shared" si="3"/>
        <v>6.6</v>
      </c>
      <c r="M49" s="49"/>
    </row>
    <row r="50" spans="1:15" ht="18" x14ac:dyDescent="0.35">
      <c r="A50" s="103"/>
      <c r="B50" s="76"/>
      <c r="C50" s="147"/>
      <c r="D50" s="147"/>
      <c r="E50" s="136"/>
      <c r="F50" s="147"/>
      <c r="G50" s="147"/>
      <c r="H50" s="180"/>
      <c r="I50" s="136"/>
      <c r="J50" s="147"/>
      <c r="K50" s="147"/>
      <c r="L50" s="178"/>
      <c r="M50" s="48"/>
    </row>
    <row r="51" spans="1:15" ht="21" x14ac:dyDescent="0.35">
      <c r="A51" s="144" t="s">
        <v>146</v>
      </c>
      <c r="B51" s="76"/>
      <c r="C51" s="147"/>
      <c r="D51" s="147"/>
      <c r="E51" s="136"/>
      <c r="F51" s="147"/>
      <c r="G51" s="147"/>
      <c r="H51" s="180"/>
      <c r="I51" s="136"/>
      <c r="J51" s="147"/>
      <c r="K51" s="147"/>
      <c r="L51" s="178" t="str">
        <f t="shared" si="3"/>
        <v xml:space="preserve">    ---- </v>
      </c>
      <c r="M51" s="48"/>
    </row>
    <row r="52" spans="1:15" ht="18" x14ac:dyDescent="0.35">
      <c r="A52" s="77" t="s">
        <v>128</v>
      </c>
      <c r="B52" s="76">
        <f>B30-B41</f>
        <v>0</v>
      </c>
      <c r="C52" s="147">
        <f>C30-C41</f>
        <v>16431.795600000001</v>
      </c>
      <c r="D52" s="180" t="str">
        <f>IF(B52=0, "    ---- ", IF(ABS(ROUND(100/B52*C52-100,1))&lt;999,ROUND(100/B52*C52-100,1),IF(ROUND(100/B52*C52-100,1)&gt;999,999,-999)))</f>
        <v xml:space="preserve">    ---- </v>
      </c>
      <c r="E52" s="136"/>
      <c r="F52" s="147">
        <f>F30-F41</f>
        <v>-55373.857470000017</v>
      </c>
      <c r="G52" s="147">
        <f>G30-G41</f>
        <v>-18424.885940000022</v>
      </c>
      <c r="H52" s="180">
        <f t="shared" si="2"/>
        <v>-66.7</v>
      </c>
      <c r="I52" s="136"/>
      <c r="J52" s="147">
        <f t="shared" si="0"/>
        <v>-55373.857470000017</v>
      </c>
      <c r="K52" s="147">
        <f t="shared" si="0"/>
        <v>-1993.0903400000207</v>
      </c>
      <c r="L52" s="178">
        <f t="shared" si="3"/>
        <v>-96.4</v>
      </c>
      <c r="M52" s="48"/>
    </row>
    <row r="53" spans="1:15" ht="18" x14ac:dyDescent="0.35">
      <c r="A53" s="77" t="s">
        <v>129</v>
      </c>
      <c r="B53" s="76">
        <f t="shared" ref="B53:C56" si="8">B31-B42</f>
        <v>154851.06844999999</v>
      </c>
      <c r="C53" s="147">
        <f t="shared" si="8"/>
        <v>1263125.9005100003</v>
      </c>
      <c r="D53" s="180">
        <f t="shared" ref="D53:D60" si="9">IF(B53=0, "    ---- ", IF(ABS(ROUND(100/B53*C53-100,1))&lt;999,ROUND(100/B53*C53-100,1),IF(ROUND(100/B53*C53-100,1)&gt;999,999,-999)))</f>
        <v>715.7</v>
      </c>
      <c r="E53" s="136"/>
      <c r="F53" s="147">
        <f t="shared" ref="F53:G55" si="10">F31-F42</f>
        <v>-173220.87799000001</v>
      </c>
      <c r="G53" s="147">
        <f t="shared" si="10"/>
        <v>-31368.55279999999</v>
      </c>
      <c r="H53" s="180">
        <f t="shared" si="2"/>
        <v>-81.900000000000006</v>
      </c>
      <c r="I53" s="136"/>
      <c r="J53" s="147">
        <f t="shared" si="0"/>
        <v>-18369.809540000017</v>
      </c>
      <c r="K53" s="147">
        <f t="shared" si="0"/>
        <v>1231757.3477100004</v>
      </c>
      <c r="L53" s="178">
        <f t="shared" si="3"/>
        <v>-999</v>
      </c>
      <c r="M53" s="48"/>
    </row>
    <row r="54" spans="1:15" ht="18" x14ac:dyDescent="0.35">
      <c r="A54" s="77" t="s">
        <v>131</v>
      </c>
      <c r="B54" s="76">
        <f t="shared" si="8"/>
        <v>920178.10858</v>
      </c>
      <c r="C54" s="147">
        <f t="shared" si="8"/>
        <v>-43743.415679999918</v>
      </c>
      <c r="D54" s="180">
        <f t="shared" si="9"/>
        <v>-104.8</v>
      </c>
      <c r="E54" s="136"/>
      <c r="F54" s="147">
        <f t="shared" si="10"/>
        <v>-1045850.3705300018</v>
      </c>
      <c r="G54" s="147">
        <f t="shared" si="10"/>
        <v>-840575.82443999872</v>
      </c>
      <c r="H54" s="180">
        <f t="shared" si="2"/>
        <v>-19.600000000000001</v>
      </c>
      <c r="I54" s="136"/>
      <c r="J54" s="147">
        <f t="shared" si="0"/>
        <v>-125672.26195000182</v>
      </c>
      <c r="K54" s="147">
        <f t="shared" si="0"/>
        <v>-884319.24011999858</v>
      </c>
      <c r="L54" s="178">
        <f t="shared" si="3"/>
        <v>603.70000000000005</v>
      </c>
      <c r="M54" s="48"/>
    </row>
    <row r="55" spans="1:15" ht="20.399999999999999" x14ac:dyDescent="0.35">
      <c r="A55" s="77" t="s">
        <v>134</v>
      </c>
      <c r="B55" s="76">
        <f t="shared" si="8"/>
        <v>-1047847.8829999999</v>
      </c>
      <c r="C55" s="147">
        <f t="shared" si="8"/>
        <v>2521552.6885900004</v>
      </c>
      <c r="D55" s="180">
        <f t="shared" si="9"/>
        <v>-340.6</v>
      </c>
      <c r="E55" s="136"/>
      <c r="F55" s="147">
        <f t="shared" si="10"/>
        <v>0</v>
      </c>
      <c r="G55" s="147">
        <f t="shared" si="10"/>
        <v>-516456.22738</v>
      </c>
      <c r="H55" s="180" t="str">
        <f t="shared" si="2"/>
        <v xml:space="preserve">    ---- </v>
      </c>
      <c r="I55" s="136"/>
      <c r="J55" s="147">
        <f t="shared" si="0"/>
        <v>-1047847.8829999999</v>
      </c>
      <c r="K55" s="147">
        <f t="shared" si="0"/>
        <v>2005096.4612100003</v>
      </c>
      <c r="L55" s="178">
        <f t="shared" si="3"/>
        <v>-291.39999999999998</v>
      </c>
      <c r="M55" s="48"/>
    </row>
    <row r="56" spans="1:15" ht="18" x14ac:dyDescent="0.35">
      <c r="A56" s="77" t="s">
        <v>135</v>
      </c>
      <c r="B56" s="76">
        <f t="shared" si="8"/>
        <v>-1</v>
      </c>
      <c r="C56" s="147">
        <f t="shared" si="8"/>
        <v>-0.47299999999999998</v>
      </c>
      <c r="D56" s="180">
        <f t="shared" si="9"/>
        <v>-52.7</v>
      </c>
      <c r="E56" s="136"/>
      <c r="F56" s="147"/>
      <c r="G56" s="147"/>
      <c r="H56" s="180"/>
      <c r="I56" s="136"/>
      <c r="J56" s="147">
        <f t="shared" si="0"/>
        <v>-1</v>
      </c>
      <c r="K56" s="147">
        <f t="shared" si="0"/>
        <v>-0.47299999999999998</v>
      </c>
      <c r="L56" s="178">
        <f t="shared" si="3"/>
        <v>-52.7</v>
      </c>
      <c r="M56" s="48"/>
    </row>
    <row r="57" spans="1:15" s="102" customFormat="1" ht="18" x14ac:dyDescent="0.35">
      <c r="A57" s="103" t="s">
        <v>147</v>
      </c>
      <c r="B57" s="79">
        <f>SUM(B52:B56)</f>
        <v>27180.29402999999</v>
      </c>
      <c r="C57" s="149">
        <f>SUM(C52:C56)</f>
        <v>3757366.4960200004</v>
      </c>
      <c r="D57" s="180">
        <f>IF(B57=0, "    ---- ", IF(ABS(ROUND(100/B57*C57-100,1))&lt;999,ROUND(100/B57*C57-100,1),IF(ROUND(100/B57*C57-100,1)&gt;999,999,-999)))</f>
        <v>999</v>
      </c>
      <c r="E57" s="104"/>
      <c r="F57" s="149">
        <f>SUM(F52:F56)</f>
        <v>-1274445.1059900019</v>
      </c>
      <c r="G57" s="149">
        <f>SUM(G52:G56)</f>
        <v>-1406825.4905599987</v>
      </c>
      <c r="H57" s="180">
        <f t="shared" si="2"/>
        <v>10.4</v>
      </c>
      <c r="I57" s="104"/>
      <c r="J57" s="149">
        <f t="shared" si="0"/>
        <v>-1247264.8119600019</v>
      </c>
      <c r="K57" s="147">
        <f t="shared" si="0"/>
        <v>2350541.0054600015</v>
      </c>
      <c r="L57" s="178">
        <f t="shared" si="3"/>
        <v>-288.5</v>
      </c>
      <c r="M57" s="49"/>
      <c r="N57" s="101"/>
      <c r="O57" s="101"/>
    </row>
    <row r="58" spans="1:15" ht="18" x14ac:dyDescent="0.35">
      <c r="A58" s="103"/>
      <c r="B58" s="79"/>
      <c r="C58" s="149"/>
      <c r="D58" s="180"/>
      <c r="E58" s="104"/>
      <c r="F58" s="149"/>
      <c r="G58" s="149"/>
      <c r="H58" s="180"/>
      <c r="I58" s="104"/>
      <c r="J58" s="149"/>
      <c r="K58" s="147"/>
      <c r="L58" s="178"/>
      <c r="M58" s="48"/>
    </row>
    <row r="59" spans="1:15" ht="20.399999999999999" x14ac:dyDescent="0.35">
      <c r="A59" s="103" t="s">
        <v>148</v>
      </c>
      <c r="B59" s="79"/>
      <c r="C59" s="149"/>
      <c r="D59" s="180"/>
      <c r="E59" s="104"/>
      <c r="F59" s="149"/>
      <c r="G59" s="149"/>
      <c r="H59" s="180"/>
      <c r="I59" s="104"/>
      <c r="J59" s="149"/>
      <c r="K59" s="147"/>
      <c r="L59" s="178"/>
      <c r="M59" s="48"/>
    </row>
    <row r="60" spans="1:15" s="102" customFormat="1" ht="18" x14ac:dyDescent="0.35">
      <c r="A60" s="103" t="s">
        <v>130</v>
      </c>
      <c r="B60" s="79">
        <f>B38-B49</f>
        <v>78724.775999999998</v>
      </c>
      <c r="C60" s="149">
        <f>C38-C49</f>
        <v>20704.095000000001</v>
      </c>
      <c r="D60" s="180">
        <f t="shared" si="9"/>
        <v>-73.7</v>
      </c>
      <c r="E60" s="104"/>
      <c r="F60" s="149">
        <f>F38-F49</f>
        <v>0</v>
      </c>
      <c r="G60" s="149">
        <f>G38-G49</f>
        <v>0</v>
      </c>
      <c r="H60" s="180"/>
      <c r="I60" s="104"/>
      <c r="J60" s="149">
        <f t="shared" si="0"/>
        <v>78724.775999999998</v>
      </c>
      <c r="K60" s="147">
        <f t="shared" si="0"/>
        <v>20704.095000000001</v>
      </c>
      <c r="L60" s="178">
        <f t="shared" si="3"/>
        <v>-73.7</v>
      </c>
      <c r="M60" s="49"/>
    </row>
    <row r="61" spans="1:15" s="102" customFormat="1" ht="18" x14ac:dyDescent="0.35">
      <c r="A61" s="146"/>
      <c r="B61" s="83"/>
      <c r="C61" s="150"/>
      <c r="D61" s="155"/>
      <c r="E61" s="104"/>
      <c r="F61" s="150"/>
      <c r="G61" s="150"/>
      <c r="H61" s="155"/>
      <c r="I61" s="104"/>
      <c r="J61" s="155"/>
      <c r="K61" s="155"/>
      <c r="L61" s="155"/>
      <c r="M61" s="49"/>
    </row>
    <row r="62" spans="1:15" ht="18" x14ac:dyDescent="0.35">
      <c r="A62" s="48" t="s">
        <v>149</v>
      </c>
      <c r="C62" s="51"/>
      <c r="D62" s="51"/>
      <c r="E62" s="51"/>
      <c r="F62" s="51"/>
      <c r="G62" s="48"/>
      <c r="H62" s="48"/>
      <c r="I62" s="48"/>
      <c r="J62" s="48"/>
      <c r="K62" s="48"/>
      <c r="L62" s="48"/>
      <c r="M62" s="48"/>
    </row>
    <row r="63" spans="1:15" ht="18" x14ac:dyDescent="0.35">
      <c r="A63" s="48" t="s">
        <v>150</v>
      </c>
      <c r="C63" s="51"/>
      <c r="D63" s="51"/>
      <c r="E63" s="51"/>
      <c r="F63" s="51"/>
      <c r="G63" s="48"/>
      <c r="H63" s="48"/>
      <c r="I63" s="48"/>
      <c r="J63" s="48"/>
      <c r="K63" s="48"/>
      <c r="L63" s="48"/>
      <c r="M63" s="48"/>
    </row>
    <row r="64" spans="1:15" ht="18" x14ac:dyDescent="0.35">
      <c r="A64" s="48" t="s">
        <v>121</v>
      </c>
      <c r="B64" s="48"/>
      <c r="C64" s="48"/>
      <c r="D64" s="48"/>
      <c r="E64" s="48"/>
      <c r="F64" s="48"/>
      <c r="G64" s="48"/>
      <c r="H64" s="48"/>
      <c r="I64" s="48"/>
      <c r="J64" s="48"/>
      <c r="K64" s="48"/>
      <c r="L64" s="48"/>
      <c r="M64" s="48"/>
    </row>
    <row r="65" spans="1:13" ht="18" x14ac:dyDescent="0.35">
      <c r="A65" s="48"/>
      <c r="C65" s="48"/>
      <c r="D65" s="48"/>
      <c r="E65" s="48"/>
      <c r="F65" s="48"/>
      <c r="G65" s="48"/>
      <c r="H65" s="48"/>
      <c r="I65" s="48"/>
      <c r="J65" s="48"/>
      <c r="K65" s="48"/>
      <c r="L65" s="48"/>
      <c r="M65" s="48"/>
    </row>
    <row r="66" spans="1:13" ht="18" x14ac:dyDescent="0.35">
      <c r="A66" s="48"/>
      <c r="B66" s="48"/>
      <c r="C66" s="48"/>
      <c r="D66" s="48"/>
      <c r="E66" s="48"/>
      <c r="F66" s="48"/>
      <c r="G66" s="48"/>
      <c r="H66" s="48"/>
      <c r="I66" s="48"/>
      <c r="J66" s="48"/>
      <c r="K66" s="48"/>
      <c r="L66" s="48"/>
      <c r="M66" s="48"/>
    </row>
    <row r="67" spans="1:13" ht="18" x14ac:dyDescent="0.35">
      <c r="A67" s="48"/>
      <c r="B67" s="48"/>
      <c r="C67" s="48"/>
      <c r="D67" s="48"/>
      <c r="E67" s="48"/>
      <c r="F67" s="48"/>
      <c r="G67" s="48"/>
      <c r="H67" s="48"/>
      <c r="I67" s="48"/>
      <c r="J67" s="48"/>
      <c r="K67" s="48"/>
      <c r="L67" s="48"/>
      <c r="M67" s="48"/>
    </row>
    <row r="68" spans="1:13" ht="18" x14ac:dyDescent="0.35">
      <c r="A68" s="48"/>
      <c r="B68" s="48"/>
      <c r="C68" s="48"/>
      <c r="D68" s="48"/>
      <c r="E68" s="48"/>
      <c r="F68" s="48"/>
      <c r="G68" s="48"/>
      <c r="H68" s="48"/>
      <c r="I68" s="48"/>
      <c r="J68" s="48"/>
      <c r="K68" s="48"/>
      <c r="L68" s="48"/>
      <c r="M68" s="48"/>
    </row>
    <row r="69" spans="1:13" ht="18" x14ac:dyDescent="0.35">
      <c r="A69" s="48"/>
      <c r="B69" s="48"/>
      <c r="C69" s="48"/>
      <c r="D69" s="48"/>
      <c r="E69" s="48"/>
      <c r="F69" s="48"/>
      <c r="G69" s="48"/>
      <c r="H69" s="48"/>
      <c r="I69" s="48"/>
      <c r="J69" s="48"/>
      <c r="K69" s="48"/>
      <c r="L69" s="48"/>
      <c r="M69" s="48"/>
    </row>
    <row r="70" spans="1:13" ht="18" x14ac:dyDescent="0.35">
      <c r="A70" s="48"/>
      <c r="B70" s="48"/>
      <c r="C70" s="48"/>
      <c r="D70" s="48"/>
      <c r="E70" s="48"/>
      <c r="F70" s="48"/>
      <c r="G70" s="48"/>
      <c r="H70" s="48"/>
      <c r="I70" s="48"/>
      <c r="J70" s="48"/>
      <c r="K70" s="48"/>
      <c r="L70" s="48"/>
      <c r="M70" s="48"/>
    </row>
    <row r="71" spans="1:13" ht="18" x14ac:dyDescent="0.35">
      <c r="A71" s="48"/>
      <c r="B71" s="48"/>
      <c r="C71" s="48"/>
      <c r="D71" s="48"/>
      <c r="E71" s="48"/>
      <c r="F71" s="48"/>
      <c r="G71" s="48"/>
      <c r="H71" s="48"/>
      <c r="I71" s="48"/>
      <c r="J71" s="48"/>
      <c r="K71" s="48"/>
      <c r="L71" s="48"/>
      <c r="M71" s="48"/>
    </row>
    <row r="72" spans="1:13" ht="18" x14ac:dyDescent="0.35">
      <c r="A72" s="48"/>
      <c r="B72" s="48"/>
      <c r="C72" s="48"/>
      <c r="D72" s="48"/>
      <c r="E72" s="48"/>
      <c r="F72" s="48"/>
      <c r="G72" s="48"/>
      <c r="H72" s="48"/>
      <c r="I72" s="48"/>
      <c r="J72" s="48"/>
      <c r="K72" s="48"/>
      <c r="L72" s="48"/>
      <c r="M72" s="48"/>
    </row>
    <row r="73" spans="1:13" ht="18" x14ac:dyDescent="0.35">
      <c r="A73" s="48"/>
      <c r="B73" s="48"/>
      <c r="C73" s="48"/>
      <c r="D73" s="48"/>
      <c r="E73" s="48"/>
      <c r="F73" s="48"/>
      <c r="G73" s="48"/>
      <c r="H73" s="48"/>
      <c r="I73" s="48"/>
      <c r="J73" s="48"/>
      <c r="K73" s="48"/>
      <c r="L73" s="48"/>
      <c r="M73" s="48"/>
    </row>
    <row r="74" spans="1:13" ht="18" x14ac:dyDescent="0.35">
      <c r="A74" s="48"/>
      <c r="B74" s="48"/>
      <c r="C74" s="48"/>
      <c r="D74" s="48"/>
      <c r="E74" s="48"/>
      <c r="F74" s="48"/>
      <c r="G74" s="48"/>
      <c r="H74" s="48"/>
      <c r="I74" s="48"/>
      <c r="J74" s="48"/>
      <c r="K74" s="48"/>
      <c r="L74" s="48"/>
      <c r="M74" s="48"/>
    </row>
    <row r="75" spans="1:13" ht="18" x14ac:dyDescent="0.35">
      <c r="A75" s="48"/>
      <c r="B75" s="48"/>
      <c r="C75" s="48"/>
      <c r="D75" s="48"/>
      <c r="E75" s="48"/>
      <c r="F75" s="48"/>
      <c r="G75" s="48"/>
      <c r="H75" s="48"/>
      <c r="I75" s="48"/>
      <c r="J75" s="48"/>
      <c r="K75" s="48"/>
      <c r="L75" s="48"/>
      <c r="M75" s="48"/>
    </row>
    <row r="76" spans="1:13" ht="18" x14ac:dyDescent="0.35">
      <c r="A76" s="48"/>
      <c r="B76" s="48"/>
      <c r="C76" s="48"/>
      <c r="D76" s="48"/>
      <c r="E76" s="48"/>
      <c r="F76" s="48"/>
      <c r="G76" s="48"/>
      <c r="H76" s="48"/>
      <c r="I76" s="48"/>
      <c r="J76" s="48"/>
      <c r="K76" s="48"/>
      <c r="L76" s="48"/>
      <c r="M76" s="48"/>
    </row>
    <row r="77" spans="1:13" ht="18" x14ac:dyDescent="0.35">
      <c r="A77" s="48"/>
      <c r="B77" s="48"/>
      <c r="C77" s="48"/>
      <c r="D77" s="48"/>
      <c r="E77" s="48"/>
      <c r="F77" s="48"/>
      <c r="G77" s="48"/>
      <c r="H77" s="48"/>
      <c r="I77" s="48"/>
      <c r="J77" s="48"/>
      <c r="K77" s="48"/>
      <c r="L77" s="48"/>
      <c r="M77" s="48"/>
    </row>
    <row r="78" spans="1:13" ht="18" x14ac:dyDescent="0.35">
      <c r="A78" s="48"/>
      <c r="B78" s="48"/>
      <c r="C78" s="48"/>
      <c r="D78" s="48"/>
      <c r="E78" s="48"/>
      <c r="F78" s="48"/>
      <c r="G78" s="48"/>
      <c r="H78" s="48"/>
      <c r="I78" s="48"/>
      <c r="J78" s="48"/>
      <c r="K78" s="48"/>
      <c r="L78" s="48"/>
      <c r="M78" s="48"/>
    </row>
    <row r="79" spans="1:13" ht="18" x14ac:dyDescent="0.35">
      <c r="A79" s="48"/>
      <c r="B79" s="48"/>
      <c r="C79" s="48"/>
      <c r="D79" s="48"/>
      <c r="E79" s="48"/>
      <c r="F79" s="48"/>
      <c r="G79" s="48"/>
      <c r="H79" s="48"/>
      <c r="I79" s="48"/>
      <c r="J79" s="48"/>
      <c r="K79" s="48"/>
      <c r="L79" s="48"/>
      <c r="M79" s="48"/>
    </row>
    <row r="80" spans="1:13" ht="18" x14ac:dyDescent="0.35">
      <c r="A80" s="48"/>
      <c r="B80" s="48"/>
      <c r="C80" s="48"/>
      <c r="D80" s="48"/>
      <c r="E80" s="48"/>
      <c r="F80" s="48"/>
      <c r="G80" s="48"/>
      <c r="H80" s="48"/>
      <c r="I80" s="48"/>
      <c r="J80" s="48"/>
      <c r="K80" s="48"/>
      <c r="L80" s="48"/>
      <c r="M80" s="48"/>
    </row>
    <row r="81" spans="1:13" ht="18" x14ac:dyDescent="0.35">
      <c r="A81" s="48"/>
      <c r="B81" s="48"/>
      <c r="C81" s="48"/>
      <c r="D81" s="48"/>
      <c r="E81" s="48"/>
      <c r="F81" s="48"/>
      <c r="G81" s="48"/>
      <c r="H81" s="48"/>
      <c r="I81" s="48"/>
      <c r="J81" s="48"/>
      <c r="K81" s="48"/>
      <c r="L81" s="48"/>
      <c r="M81" s="48"/>
    </row>
    <row r="82" spans="1:13" ht="18" x14ac:dyDescent="0.35">
      <c r="A82" s="48"/>
      <c r="B82" s="48"/>
      <c r="C82" s="48"/>
      <c r="D82" s="48"/>
      <c r="E82" s="48"/>
      <c r="F82" s="48"/>
      <c r="G82" s="48"/>
      <c r="H82" s="48"/>
      <c r="I82" s="48"/>
      <c r="J82" s="48"/>
      <c r="K82" s="48"/>
      <c r="L82" s="48"/>
      <c r="M82" s="48"/>
    </row>
    <row r="83" spans="1:13" ht="18" x14ac:dyDescent="0.35">
      <c r="A83" s="48"/>
      <c r="B83" s="48"/>
      <c r="C83" s="48"/>
      <c r="D83" s="48"/>
      <c r="E83" s="48"/>
      <c r="F83" s="48"/>
      <c r="G83" s="48"/>
      <c r="H83" s="48"/>
      <c r="I83" s="48"/>
      <c r="J83" s="48"/>
      <c r="K83" s="48"/>
      <c r="L83" s="48"/>
      <c r="M83" s="48"/>
    </row>
    <row r="84" spans="1:13" ht="18" x14ac:dyDescent="0.35">
      <c r="A84" s="48"/>
      <c r="B84" s="48"/>
      <c r="C84" s="48"/>
      <c r="D84" s="48"/>
      <c r="E84" s="48"/>
      <c r="F84" s="48"/>
      <c r="G84" s="48"/>
      <c r="H84" s="48"/>
      <c r="I84" s="48"/>
      <c r="J84" s="48"/>
      <c r="K84" s="48"/>
      <c r="L84" s="48"/>
      <c r="M84" s="48"/>
    </row>
    <row r="85" spans="1:13" ht="18" x14ac:dyDescent="0.35">
      <c r="A85" s="48"/>
      <c r="B85" s="48"/>
      <c r="C85" s="48"/>
      <c r="D85" s="48"/>
      <c r="E85" s="48"/>
      <c r="F85" s="48"/>
      <c r="G85" s="48"/>
      <c r="H85" s="48"/>
      <c r="I85" s="48"/>
      <c r="J85" s="48"/>
      <c r="K85" s="48"/>
      <c r="L85" s="48"/>
      <c r="M85" s="48"/>
    </row>
    <row r="86" spans="1:13" ht="18" x14ac:dyDescent="0.35">
      <c r="A86" s="48"/>
      <c r="B86" s="48"/>
      <c r="C86" s="48"/>
      <c r="D86" s="48"/>
      <c r="E86" s="48"/>
      <c r="F86" s="48"/>
      <c r="G86" s="48"/>
      <c r="H86" s="48"/>
      <c r="I86" s="48"/>
      <c r="J86" s="48"/>
      <c r="K86" s="48"/>
      <c r="L86" s="48"/>
      <c r="M86" s="48"/>
    </row>
    <row r="87" spans="1:13" ht="18" x14ac:dyDescent="0.35">
      <c r="A87" s="48"/>
      <c r="B87" s="48"/>
      <c r="C87" s="48"/>
      <c r="D87" s="48"/>
      <c r="E87" s="48"/>
      <c r="F87" s="48"/>
      <c r="G87" s="48"/>
      <c r="H87" s="48"/>
      <c r="I87" s="48"/>
      <c r="J87" s="48"/>
      <c r="K87" s="48"/>
      <c r="L87" s="48"/>
      <c r="M87" s="48"/>
    </row>
    <row r="88" spans="1:13" ht="18" x14ac:dyDescent="0.35">
      <c r="A88" s="48"/>
      <c r="B88" s="48"/>
      <c r="C88" s="48"/>
      <c r="D88" s="48"/>
      <c r="E88" s="48"/>
      <c r="F88" s="48"/>
      <c r="G88" s="48"/>
      <c r="H88" s="48"/>
      <c r="I88" s="48"/>
      <c r="J88" s="48"/>
      <c r="K88" s="48"/>
      <c r="L88" s="48"/>
      <c r="M88" s="48"/>
    </row>
    <row r="89" spans="1:13" ht="18" x14ac:dyDescent="0.35">
      <c r="A89" s="48"/>
      <c r="B89" s="48"/>
      <c r="C89" s="48"/>
      <c r="D89" s="48"/>
      <c r="E89" s="48"/>
      <c r="F89" s="48"/>
      <c r="G89" s="48"/>
      <c r="H89" s="48"/>
      <c r="I89" s="48"/>
      <c r="J89" s="48"/>
      <c r="K89" s="48"/>
      <c r="L89" s="48"/>
      <c r="M89" s="48"/>
    </row>
    <row r="90" spans="1:13" ht="18" x14ac:dyDescent="0.35">
      <c r="A90" s="48"/>
      <c r="B90" s="48"/>
      <c r="C90" s="48"/>
      <c r="D90" s="48"/>
      <c r="E90" s="48"/>
      <c r="F90" s="48"/>
      <c r="G90" s="48"/>
      <c r="H90" s="48"/>
      <c r="I90" s="48"/>
      <c r="J90" s="48"/>
      <c r="K90" s="48"/>
      <c r="L90" s="48"/>
      <c r="M90" s="48"/>
    </row>
    <row r="91" spans="1:13" ht="18" x14ac:dyDescent="0.35">
      <c r="A91" s="48"/>
      <c r="B91" s="48"/>
      <c r="C91" s="48"/>
      <c r="D91" s="48"/>
      <c r="E91" s="48"/>
      <c r="F91" s="48"/>
      <c r="G91" s="48"/>
      <c r="H91" s="48"/>
      <c r="I91" s="48"/>
      <c r="J91" s="48"/>
      <c r="K91" s="48"/>
      <c r="L91" s="48"/>
      <c r="M91" s="48"/>
    </row>
    <row r="92" spans="1:13" ht="18" x14ac:dyDescent="0.35">
      <c r="A92" s="48"/>
      <c r="B92" s="48"/>
      <c r="C92" s="48"/>
      <c r="D92" s="48"/>
      <c r="E92" s="48"/>
      <c r="F92" s="48"/>
      <c r="G92" s="48"/>
      <c r="H92" s="48"/>
      <c r="I92" s="48"/>
      <c r="J92" s="48"/>
      <c r="K92" s="48"/>
      <c r="L92" s="48"/>
      <c r="M92" s="48"/>
    </row>
    <row r="93" spans="1:13" ht="18" x14ac:dyDescent="0.35">
      <c r="A93" s="48"/>
      <c r="B93" s="48"/>
      <c r="C93" s="48"/>
      <c r="D93" s="48"/>
      <c r="E93" s="48"/>
      <c r="F93" s="48"/>
      <c r="G93" s="48"/>
      <c r="H93" s="48"/>
      <c r="I93" s="48"/>
      <c r="J93" s="48"/>
      <c r="K93" s="48"/>
      <c r="L93" s="48"/>
      <c r="M93" s="48"/>
    </row>
    <row r="94" spans="1:13" ht="18" x14ac:dyDescent="0.35">
      <c r="A94" s="48"/>
      <c r="B94" s="48"/>
      <c r="C94" s="48"/>
      <c r="D94" s="48"/>
      <c r="E94" s="48"/>
      <c r="F94" s="48"/>
      <c r="G94" s="48"/>
      <c r="H94" s="48"/>
      <c r="I94" s="48"/>
      <c r="J94" s="48"/>
      <c r="K94" s="48"/>
      <c r="L94" s="48"/>
      <c r="M94" s="48"/>
    </row>
    <row r="95" spans="1:13" ht="18" x14ac:dyDescent="0.35">
      <c r="A95" s="48"/>
      <c r="B95" s="48"/>
      <c r="C95" s="48"/>
      <c r="D95" s="48"/>
      <c r="E95" s="48"/>
      <c r="F95" s="48"/>
      <c r="G95" s="48"/>
      <c r="H95" s="48"/>
      <c r="I95" s="48"/>
      <c r="J95" s="48"/>
      <c r="K95" s="48"/>
      <c r="L95" s="48"/>
      <c r="M95" s="48"/>
    </row>
    <row r="96" spans="1:13" ht="18" x14ac:dyDescent="0.35">
      <c r="A96" s="48"/>
      <c r="B96" s="48"/>
      <c r="C96" s="48"/>
      <c r="D96" s="48"/>
      <c r="E96" s="48"/>
      <c r="F96" s="48"/>
      <c r="G96" s="48"/>
      <c r="H96" s="48"/>
      <c r="I96" s="48"/>
      <c r="J96" s="48"/>
      <c r="K96" s="48"/>
      <c r="L96" s="48"/>
      <c r="M96" s="48"/>
    </row>
    <row r="97" spans="1:13" ht="18" x14ac:dyDescent="0.35">
      <c r="A97" s="48"/>
      <c r="B97" s="48"/>
      <c r="C97" s="48"/>
      <c r="D97" s="48"/>
      <c r="E97" s="48"/>
      <c r="F97" s="48"/>
      <c r="G97" s="48"/>
      <c r="H97" s="48"/>
      <c r="I97" s="48"/>
      <c r="J97" s="48"/>
      <c r="K97" s="48"/>
      <c r="L97" s="48"/>
      <c r="M97" s="48"/>
    </row>
    <row r="98" spans="1:13" ht="18" x14ac:dyDescent="0.35">
      <c r="A98" s="48"/>
      <c r="B98" s="48"/>
      <c r="C98" s="48"/>
      <c r="D98" s="48"/>
      <c r="E98" s="48"/>
      <c r="F98" s="48"/>
      <c r="G98" s="48"/>
      <c r="H98" s="48"/>
      <c r="I98" s="48"/>
      <c r="J98" s="48"/>
      <c r="K98" s="48"/>
      <c r="L98" s="48"/>
      <c r="M98" s="48"/>
    </row>
    <row r="99" spans="1:13" ht="18" x14ac:dyDescent="0.35">
      <c r="A99" s="48"/>
      <c r="B99" s="48"/>
      <c r="C99" s="48"/>
      <c r="D99" s="48"/>
      <c r="E99" s="48"/>
      <c r="F99" s="48"/>
      <c r="G99" s="48"/>
      <c r="H99" s="48"/>
      <c r="I99" s="48"/>
      <c r="J99" s="48"/>
      <c r="K99" s="48"/>
      <c r="L99" s="48"/>
      <c r="M99" s="48"/>
    </row>
    <row r="100" spans="1:13" ht="18" x14ac:dyDescent="0.35">
      <c r="A100" s="48"/>
      <c r="B100" s="48"/>
      <c r="C100" s="48"/>
      <c r="D100" s="48"/>
      <c r="E100" s="48"/>
      <c r="F100" s="48"/>
      <c r="G100" s="48"/>
      <c r="H100" s="48"/>
      <c r="I100" s="48"/>
      <c r="J100" s="48"/>
      <c r="K100" s="48"/>
      <c r="L100" s="48"/>
      <c r="M100" s="48"/>
    </row>
    <row r="101" spans="1:13" ht="18" x14ac:dyDescent="0.35">
      <c r="A101" s="48"/>
      <c r="B101" s="48"/>
      <c r="C101" s="48"/>
      <c r="D101" s="48"/>
      <c r="E101" s="48"/>
      <c r="F101" s="48"/>
      <c r="G101" s="48"/>
      <c r="H101" s="48"/>
      <c r="I101" s="48"/>
      <c r="J101" s="48"/>
      <c r="K101" s="48"/>
      <c r="L101" s="48"/>
      <c r="M101" s="48"/>
    </row>
    <row r="102" spans="1:13" ht="18" x14ac:dyDescent="0.35">
      <c r="A102" s="48"/>
      <c r="B102" s="48"/>
      <c r="C102" s="48"/>
      <c r="D102" s="48"/>
      <c r="E102" s="48"/>
      <c r="F102" s="48"/>
      <c r="G102" s="48"/>
      <c r="H102" s="48"/>
      <c r="I102" s="48"/>
      <c r="J102" s="48"/>
      <c r="K102" s="48"/>
      <c r="L102" s="48"/>
      <c r="M102" s="48"/>
    </row>
    <row r="103" spans="1:13" ht="18" x14ac:dyDescent="0.35">
      <c r="A103" s="48"/>
      <c r="B103" s="48"/>
      <c r="C103" s="48"/>
      <c r="D103" s="48"/>
      <c r="E103" s="48"/>
      <c r="F103" s="48"/>
      <c r="G103" s="48"/>
      <c r="H103" s="48"/>
      <c r="I103" s="48"/>
      <c r="J103" s="48"/>
      <c r="K103" s="48"/>
      <c r="L103" s="48"/>
      <c r="M103" s="48"/>
    </row>
    <row r="104" spans="1:13" ht="18" x14ac:dyDescent="0.35">
      <c r="A104" s="48"/>
      <c r="B104" s="48"/>
      <c r="C104" s="48"/>
      <c r="D104" s="48"/>
      <c r="E104" s="48"/>
      <c r="F104" s="48"/>
      <c r="G104" s="48"/>
      <c r="H104" s="48"/>
      <c r="I104" s="48"/>
      <c r="J104" s="48"/>
      <c r="K104" s="48"/>
      <c r="L104" s="48"/>
      <c r="M104" s="48"/>
    </row>
    <row r="105" spans="1:13" ht="18" x14ac:dyDescent="0.35">
      <c r="A105" s="48"/>
      <c r="B105" s="48"/>
      <c r="C105" s="48"/>
      <c r="D105" s="48"/>
      <c r="E105" s="48"/>
      <c r="F105" s="48"/>
      <c r="G105" s="48"/>
      <c r="H105" s="48"/>
      <c r="I105" s="48"/>
      <c r="J105" s="48"/>
      <c r="K105" s="48"/>
      <c r="L105" s="48"/>
      <c r="M105" s="48"/>
    </row>
    <row r="106" spans="1:13" ht="18" x14ac:dyDescent="0.35">
      <c r="A106" s="48"/>
      <c r="B106" s="48"/>
      <c r="C106" s="48"/>
      <c r="D106" s="48"/>
      <c r="E106" s="48"/>
      <c r="F106" s="48"/>
      <c r="G106" s="48"/>
      <c r="H106" s="48"/>
      <c r="I106" s="48"/>
      <c r="J106" s="48"/>
      <c r="K106" s="48"/>
      <c r="L106" s="48"/>
      <c r="M106" s="48"/>
    </row>
    <row r="107" spans="1:13" ht="18" x14ac:dyDescent="0.35">
      <c r="A107" s="48"/>
      <c r="B107" s="48"/>
      <c r="C107" s="48"/>
      <c r="D107" s="48"/>
      <c r="E107" s="48"/>
      <c r="F107" s="48"/>
      <c r="G107" s="48"/>
      <c r="H107" s="48"/>
      <c r="I107" s="48"/>
      <c r="J107" s="48"/>
      <c r="K107" s="48"/>
      <c r="L107" s="48"/>
      <c r="M107" s="48"/>
    </row>
    <row r="108" spans="1:13" ht="18" x14ac:dyDescent="0.35">
      <c r="A108" s="48"/>
      <c r="B108" s="48"/>
      <c r="C108" s="48"/>
      <c r="D108" s="48"/>
      <c r="E108" s="48"/>
      <c r="F108" s="48"/>
      <c r="G108" s="48"/>
      <c r="H108" s="48"/>
      <c r="I108" s="48"/>
      <c r="J108" s="48"/>
      <c r="K108" s="48"/>
      <c r="L108" s="48"/>
      <c r="M108" s="48"/>
    </row>
    <row r="109" spans="1:13" ht="18" x14ac:dyDescent="0.35">
      <c r="A109" s="48"/>
      <c r="B109" s="48"/>
      <c r="C109" s="48"/>
      <c r="D109" s="48"/>
      <c r="E109" s="48"/>
      <c r="F109" s="48"/>
      <c r="G109" s="48"/>
      <c r="H109" s="48"/>
      <c r="I109" s="48"/>
      <c r="J109" s="48"/>
      <c r="K109" s="48"/>
      <c r="L109" s="48"/>
      <c r="M109" s="48"/>
    </row>
    <row r="110" spans="1:13" ht="18" x14ac:dyDescent="0.35">
      <c r="A110" s="48"/>
      <c r="B110" s="48"/>
      <c r="C110" s="48"/>
      <c r="D110" s="48"/>
      <c r="E110" s="48"/>
      <c r="F110" s="48"/>
      <c r="G110" s="48"/>
      <c r="H110" s="48"/>
      <c r="I110" s="48"/>
      <c r="J110" s="48"/>
      <c r="K110" s="48"/>
      <c r="L110" s="48"/>
      <c r="M110" s="48"/>
    </row>
    <row r="111" spans="1:13" ht="18" x14ac:dyDescent="0.35">
      <c r="A111" s="48"/>
      <c r="B111" s="48"/>
      <c r="C111" s="48"/>
      <c r="D111" s="48"/>
      <c r="E111" s="48"/>
      <c r="F111" s="48"/>
      <c r="G111" s="48"/>
      <c r="H111" s="48"/>
      <c r="I111" s="48"/>
      <c r="J111" s="48"/>
      <c r="K111" s="48"/>
      <c r="L111" s="48"/>
      <c r="M111" s="48"/>
    </row>
    <row r="112" spans="1:13" ht="18" x14ac:dyDescent="0.35">
      <c r="A112" s="48"/>
      <c r="B112" s="48"/>
      <c r="C112" s="48"/>
      <c r="D112" s="48"/>
      <c r="E112" s="48"/>
      <c r="F112" s="48"/>
      <c r="G112" s="48"/>
      <c r="H112" s="48"/>
      <c r="I112" s="48"/>
      <c r="J112" s="48"/>
      <c r="K112" s="48"/>
      <c r="L112" s="48"/>
      <c r="M112" s="48"/>
    </row>
    <row r="113" spans="1:13" ht="18" x14ac:dyDescent="0.35">
      <c r="A113" s="48"/>
      <c r="B113" s="48"/>
      <c r="C113" s="48"/>
      <c r="D113" s="48"/>
      <c r="E113" s="48"/>
      <c r="F113" s="48"/>
      <c r="G113" s="48"/>
      <c r="H113" s="48"/>
      <c r="I113" s="48"/>
      <c r="J113" s="48"/>
      <c r="K113" s="48"/>
      <c r="L113" s="48"/>
      <c r="M113" s="48"/>
    </row>
    <row r="114" spans="1:13" ht="18" x14ac:dyDescent="0.35">
      <c r="A114" s="48"/>
      <c r="B114" s="48"/>
      <c r="C114" s="48"/>
      <c r="D114" s="48"/>
      <c r="E114" s="48"/>
      <c r="F114" s="48"/>
      <c r="G114" s="48"/>
      <c r="H114" s="48"/>
      <c r="I114" s="48"/>
      <c r="J114" s="48"/>
      <c r="K114" s="48"/>
      <c r="L114" s="48"/>
      <c r="M114" s="48"/>
    </row>
    <row r="115" spans="1:13" ht="18" x14ac:dyDescent="0.35">
      <c r="A115" s="48"/>
      <c r="B115" s="48"/>
      <c r="C115" s="48"/>
      <c r="D115" s="48"/>
      <c r="E115" s="48"/>
      <c r="F115" s="48"/>
      <c r="G115" s="48"/>
      <c r="H115" s="48"/>
      <c r="I115" s="48"/>
      <c r="J115" s="48"/>
      <c r="K115" s="48"/>
      <c r="L115" s="48"/>
      <c r="M115" s="48"/>
    </row>
  </sheetData>
  <mergeCells count="3">
    <mergeCell ref="B5:D5"/>
    <mergeCell ref="F5:H5"/>
    <mergeCell ref="J5:L5"/>
  </mergeCells>
  <hyperlinks>
    <hyperlink ref="B1" location="Innhold!A1" display="Tilbake" xr:uid="{00000000-0004-0000-0400-000000000000}"/>
  </hyperlinks>
  <pageMargins left="0.7" right="0.7" top="0.78740157499999996" bottom="0.78740157499999996"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dimension ref="A1:K92"/>
  <sheetViews>
    <sheetView showGridLines="0" zoomScale="70" zoomScaleNormal="70" workbookViewId="0">
      <pane xSplit="1" ySplit="7" topLeftCell="B8" activePane="bottomRight" state="frozen"/>
      <selection pane="topRight" activeCell="H73" sqref="H73"/>
      <selection pane="bottomLeft" activeCell="H73" sqref="H73"/>
      <selection pane="bottomRight" activeCell="A4" sqref="A4"/>
    </sheetView>
  </sheetViews>
  <sheetFormatPr baseColWidth="10" defaultColWidth="11.44140625" defaultRowHeight="17.399999999999999" x14ac:dyDescent="0.3"/>
  <cols>
    <col min="1" max="1" width="35.6640625" style="53" customWidth="1"/>
    <col min="2" max="2" width="18.33203125" style="53" customWidth="1"/>
    <col min="3" max="3" width="17.6640625" style="53" customWidth="1"/>
    <col min="4" max="4" width="11.6640625" style="53" customWidth="1"/>
    <col min="5" max="5" width="4.6640625" style="53" customWidth="1"/>
    <col min="6" max="7" width="13" style="53" customWidth="1"/>
    <col min="8" max="8" width="11.6640625" style="53" customWidth="1"/>
    <col min="9" max="9" width="12.44140625" style="53" customWidth="1"/>
    <col min="10" max="10" width="11.44140625" style="53"/>
    <col min="11" max="12" width="17.33203125" style="53" bestFit="1" customWidth="1"/>
    <col min="13" max="16384" width="11.44140625" style="53"/>
  </cols>
  <sheetData>
    <row r="1" spans="1:11" ht="18.75" customHeight="1" x14ac:dyDescent="0.35">
      <c r="A1" s="52" t="s">
        <v>77</v>
      </c>
      <c r="B1" s="47" t="s">
        <v>44</v>
      </c>
      <c r="C1" s="52"/>
      <c r="D1" s="52"/>
      <c r="E1" s="52"/>
      <c r="F1" s="48"/>
      <c r="G1" s="48"/>
      <c r="H1" s="48"/>
      <c r="I1" s="48"/>
      <c r="J1" s="48"/>
    </row>
    <row r="2" spans="1:11" ht="20.100000000000001" customHeight="1" x14ac:dyDescent="0.35">
      <c r="A2" s="52" t="s">
        <v>151</v>
      </c>
      <c r="B2" s="52"/>
      <c r="C2" s="507"/>
      <c r="D2" s="52"/>
      <c r="E2" s="52"/>
      <c r="F2" s="48"/>
      <c r="G2" s="48"/>
      <c r="H2" s="48"/>
      <c r="I2" s="48"/>
      <c r="J2" s="48"/>
    </row>
    <row r="3" spans="1:11" ht="20.100000000000001" customHeight="1" x14ac:dyDescent="0.35">
      <c r="A3" s="49"/>
      <c r="B3" s="49"/>
      <c r="C3" s="49"/>
      <c r="D3" s="49"/>
      <c r="E3" s="49"/>
      <c r="F3" s="48"/>
      <c r="G3" s="48"/>
      <c r="H3" s="48"/>
      <c r="I3" s="48"/>
      <c r="J3" s="48"/>
    </row>
    <row r="4" spans="1:11" ht="20.100000000000001" customHeight="1" x14ac:dyDescent="0.35">
      <c r="A4" s="208"/>
      <c r="B4" s="577" t="s">
        <v>152</v>
      </c>
      <c r="C4" s="577"/>
      <c r="D4" s="578"/>
      <c r="E4" s="61"/>
      <c r="F4" s="579" t="s">
        <v>152</v>
      </c>
      <c r="G4" s="577"/>
      <c r="H4" s="578"/>
      <c r="I4" s="48"/>
      <c r="J4" s="48"/>
    </row>
    <row r="5" spans="1:11" ht="18.75" customHeight="1" x14ac:dyDescent="0.35">
      <c r="A5" s="508" t="s">
        <v>153</v>
      </c>
      <c r="B5" s="580" t="s">
        <v>154</v>
      </c>
      <c r="C5" s="581"/>
      <c r="D5" s="582"/>
      <c r="E5" s="509"/>
      <c r="F5" s="583" t="s">
        <v>155</v>
      </c>
      <c r="G5" s="584"/>
      <c r="H5" s="585"/>
      <c r="I5" s="48"/>
      <c r="J5" s="48"/>
    </row>
    <row r="6" spans="1:11" ht="18.75" customHeight="1" x14ac:dyDescent="0.35">
      <c r="A6" s="90"/>
      <c r="B6" s="88"/>
      <c r="C6" s="144"/>
      <c r="D6" s="209" t="s">
        <v>84</v>
      </c>
      <c r="E6" s="209"/>
      <c r="F6" s="91"/>
      <c r="G6" s="92"/>
      <c r="H6" s="66" t="s">
        <v>84</v>
      </c>
      <c r="I6" s="72"/>
      <c r="J6" s="48"/>
    </row>
    <row r="7" spans="1:11" ht="18.75" customHeight="1" x14ac:dyDescent="0.35">
      <c r="A7" s="94"/>
      <c r="B7" s="69">
        <v>2025</v>
      </c>
      <c r="C7" s="69">
        <v>2026</v>
      </c>
      <c r="D7" s="210" t="s">
        <v>87</v>
      </c>
      <c r="E7" s="209"/>
      <c r="F7" s="69">
        <v>2025</v>
      </c>
      <c r="G7" s="95">
        <v>2026</v>
      </c>
      <c r="H7" s="211" t="s">
        <v>87</v>
      </c>
      <c r="I7" s="72"/>
      <c r="J7" s="48"/>
    </row>
    <row r="8" spans="1:11" ht="18.75" customHeight="1" x14ac:dyDescent="0.35">
      <c r="A8" s="73" t="s">
        <v>156</v>
      </c>
      <c r="B8" s="78">
        <f>SUM(B9:B14)</f>
        <v>192369.67243861995</v>
      </c>
      <c r="C8" s="78">
        <f>SUM(C9:C14)</f>
        <v>161574.36120649986</v>
      </c>
      <c r="D8" s="212">
        <f t="shared" ref="D8:D38" si="0">IF(B8=0, "    ---- ", IF(ABS(ROUND(100/B8*C8-100,1))&lt;999,ROUND(100/B8*C8-100,1),IF(ROUND(100/B8*C8-100,1)&gt;999,999,-999)))</f>
        <v>-16</v>
      </c>
      <c r="E8" s="213"/>
      <c r="F8" s="212">
        <f>SUM(F9:F14)</f>
        <v>100.00000007053086</v>
      </c>
      <c r="G8" s="212">
        <f>SUM(G9:G14)</f>
        <v>100</v>
      </c>
      <c r="H8" s="213">
        <f t="shared" ref="H8:H38" si="1">IF(F8=0, "    ---- ", IF(ABS(ROUND(100/F8*G8-100,1))&lt;999,ROUND(100/F8*G8-100,1),IF(ROUND(100/F8*G8-100,1)&gt;999,999,-999)))</f>
        <v>0</v>
      </c>
      <c r="I8" s="76"/>
      <c r="J8" s="48"/>
    </row>
    <row r="9" spans="1:11" ht="18.75" customHeight="1" x14ac:dyDescent="0.35">
      <c r="A9" s="58" t="s">
        <v>157</v>
      </c>
      <c r="B9" s="76">
        <f>'Tabell 6'!AI21</f>
        <v>5212.1701051600003</v>
      </c>
      <c r="C9" s="76">
        <f>'Tabell 6'!AJ21</f>
        <v>5647.7949923699998</v>
      </c>
      <c r="D9" s="214">
        <f t="shared" si="0"/>
        <v>8.4</v>
      </c>
      <c r="E9" s="214"/>
      <c r="F9" s="214">
        <f>'Tabell 6'!AI21/'Tabell 6'!AI29*100</f>
        <v>2.7094552081743823</v>
      </c>
      <c r="G9" s="214">
        <f>'Tabell 6'!AJ21/'Tabell 6'!AJ29*100</f>
        <v>3.495477221879185</v>
      </c>
      <c r="H9" s="215">
        <f t="shared" si="1"/>
        <v>29</v>
      </c>
      <c r="I9" s="76"/>
      <c r="J9" s="51"/>
    </row>
    <row r="10" spans="1:11" ht="18.75" customHeight="1" x14ac:dyDescent="0.35">
      <c r="A10" s="77" t="s">
        <v>158</v>
      </c>
      <c r="B10" s="75">
        <f>'Tabell 6'!AI17+'Tabell 6'!AI22</f>
        <v>70428.053641350009</v>
      </c>
      <c r="C10" s="75">
        <f>'Tabell 6'!AJ17+'Tabell 6'!AJ22</f>
        <v>65597.517935529992</v>
      </c>
      <c r="D10" s="214">
        <f t="shared" si="0"/>
        <v>-6.9</v>
      </c>
      <c r="E10" s="214"/>
      <c r="F10" s="214">
        <f>('Tabell 6'!AI17+'Tabell 6'!AI22)/'Tabell 6'!AI29*100</f>
        <v>36.6107883837538</v>
      </c>
      <c r="G10" s="214">
        <f>('Tabell 6'!AJ17+'Tabell 6'!AJ22)/'Tabell 6'!AJ29*100</f>
        <v>40.598964740261728</v>
      </c>
      <c r="H10" s="215">
        <f t="shared" si="1"/>
        <v>10.9</v>
      </c>
      <c r="I10" s="76"/>
      <c r="J10" s="48"/>
    </row>
    <row r="11" spans="1:11" ht="18.75" customHeight="1" x14ac:dyDescent="0.35">
      <c r="A11" s="58" t="s">
        <v>159</v>
      </c>
      <c r="B11" s="75">
        <f>'Tabell 6'!AI14</f>
        <v>1347.1865066300002</v>
      </c>
      <c r="C11" s="75">
        <f>'Tabell 6'!AJ14</f>
        <v>1488.3456136300001</v>
      </c>
      <c r="D11" s="214">
        <f t="shared" si="0"/>
        <v>10.5</v>
      </c>
      <c r="E11" s="214"/>
      <c r="F11" s="214">
        <f>'Tabell 6'!AI14/'Tabell 6'!AI29*100</f>
        <v>0.70031127594191522</v>
      </c>
      <c r="G11" s="214">
        <f>'Tabell 6'!AJ14/'Tabell 6'!AJ29*100</f>
        <v>0.92115209524351616</v>
      </c>
      <c r="H11" s="215">
        <f t="shared" si="1"/>
        <v>31.5</v>
      </c>
      <c r="I11" s="76"/>
      <c r="J11" s="48"/>
    </row>
    <row r="12" spans="1:11" ht="18.75" customHeight="1" x14ac:dyDescent="0.35">
      <c r="A12" s="77" t="s">
        <v>160</v>
      </c>
      <c r="B12" s="75">
        <f>'Tabell 6'!AI15</f>
        <v>27552.719292940001</v>
      </c>
      <c r="C12" s="75">
        <f>'Tabell 6'!AJ15</f>
        <v>27971.274272750001</v>
      </c>
      <c r="D12" s="214">
        <f t="shared" si="0"/>
        <v>1.5</v>
      </c>
      <c r="E12" s="214"/>
      <c r="F12" s="214">
        <f>'Tabell 6'!AI15/'Tabell 6'!AI29*100</f>
        <v>14.322797852226167</v>
      </c>
      <c r="G12" s="214">
        <f>'Tabell 6'!AJ15/'Tabell 6'!AJ29*100</f>
        <v>17.311703455848022</v>
      </c>
      <c r="H12" s="215">
        <f t="shared" si="1"/>
        <v>20.9</v>
      </c>
      <c r="I12" s="76"/>
      <c r="J12" s="48"/>
      <c r="K12" s="102"/>
    </row>
    <row r="13" spans="1:11" ht="18.75" customHeight="1" x14ac:dyDescent="0.35">
      <c r="A13" s="58" t="s">
        <v>161</v>
      </c>
      <c r="B13" s="75">
        <f>'Tabell 6'!AI19+'Tabell 6'!AI23</f>
        <v>37728.420968979997</v>
      </c>
      <c r="C13" s="75">
        <f>'Tabell 6'!AJ19+'Tabell 6'!AJ23</f>
        <v>35739.673870219995</v>
      </c>
      <c r="D13" s="214">
        <f t="shared" si="0"/>
        <v>-5.3</v>
      </c>
      <c r="E13" s="214"/>
      <c r="F13" s="214">
        <f>('Tabell 6'!AI19+'Tabell 6'!AI23)/'Tabell 6'!AI29*100</f>
        <v>19.612457887626913</v>
      </c>
      <c r="G13" s="214">
        <f>('Tabell 6'!AJ19+'Tabell 6'!AJ23)/'Tabell 6'!AJ29*100</f>
        <v>22.119644232752353</v>
      </c>
      <c r="H13" s="215">
        <f t="shared" si="1"/>
        <v>12.8</v>
      </c>
      <c r="I13" s="76"/>
      <c r="J13" s="48"/>
    </row>
    <row r="14" spans="1:11" ht="18.75" customHeight="1" x14ac:dyDescent="0.35">
      <c r="A14" s="58" t="s">
        <v>162</v>
      </c>
      <c r="B14" s="133">
        <f>'Tabell 6'!AI24+'Tabell 6'!AI25+'Tabell 6'!AI26+'Tabell 6'!AI28</f>
        <v>50101.121923559964</v>
      </c>
      <c r="C14" s="133">
        <f>'Tabell 6'!AJ24+'Tabell 6'!AJ25+'Tabell 6'!AJ26+'Tabell 6'!AJ28</f>
        <v>25129.754521999846</v>
      </c>
      <c r="D14" s="214">
        <f t="shared" si="0"/>
        <v>-49.8</v>
      </c>
      <c r="E14" s="214"/>
      <c r="F14" s="214">
        <f>('Tabell 6'!AI24+'Tabell 6'!AI25+'Tabell 6'!AI26+'Tabell 6'!AI28)/'Tabell 6'!AI29*100</f>
        <v>26.044189462807683</v>
      </c>
      <c r="G14" s="214">
        <f>('Tabell 6'!AJ24+'Tabell 6'!AJ25+'Tabell 6'!AJ26+'Tabell 6'!AJ28)/'Tabell 6'!AJ29*100</f>
        <v>15.553058254015195</v>
      </c>
      <c r="H14" s="215">
        <f t="shared" si="1"/>
        <v>-40.299999999999997</v>
      </c>
      <c r="I14" s="76"/>
      <c r="J14" s="48"/>
    </row>
    <row r="15" spans="1:11" ht="18.75" customHeight="1" x14ac:dyDescent="0.35">
      <c r="A15" s="77"/>
      <c r="B15" s="75"/>
      <c r="C15" s="133"/>
      <c r="D15" s="215"/>
      <c r="E15" s="215"/>
      <c r="F15" s="215"/>
      <c r="G15" s="214"/>
      <c r="H15" s="215"/>
      <c r="I15" s="76"/>
      <c r="J15" s="48"/>
    </row>
    <row r="16" spans="1:11" s="102" customFormat="1" ht="18.75" customHeight="1" x14ac:dyDescent="0.3">
      <c r="A16" s="73" t="s">
        <v>163</v>
      </c>
      <c r="B16" s="78">
        <f>SUM(B17:B22)</f>
        <v>1460225.5669680904</v>
      </c>
      <c r="C16" s="78">
        <f>SUM(C17:C22)</f>
        <v>1561318.7182038799</v>
      </c>
      <c r="D16" s="212">
        <f t="shared" si="0"/>
        <v>6.9</v>
      </c>
      <c r="E16" s="212"/>
      <c r="F16" s="212">
        <f>SUM(F17:F22)</f>
        <v>100.00000000000001</v>
      </c>
      <c r="G16" s="212">
        <f>SUM(G17:G22)</f>
        <v>100</v>
      </c>
      <c r="H16" s="213">
        <f t="shared" si="1"/>
        <v>0</v>
      </c>
      <c r="I16" s="79"/>
      <c r="J16" s="49"/>
    </row>
    <row r="17" spans="1:10" ht="18.75" customHeight="1" x14ac:dyDescent="0.35">
      <c r="A17" s="58" t="s">
        <v>157</v>
      </c>
      <c r="B17" s="75">
        <f>'Tabell 6'!AI40</f>
        <v>367048.23099268001</v>
      </c>
      <c r="C17" s="75">
        <f>'Tabell 6'!AJ40</f>
        <v>429547.98098882992</v>
      </c>
      <c r="D17" s="214">
        <f t="shared" si="0"/>
        <v>17</v>
      </c>
      <c r="E17" s="214"/>
      <c r="F17" s="214">
        <f>'Tabell 6'!AI40/('Tabell 6'!AI45+'Tabell 6'!AI46)*100</f>
        <v>25.136406271449779</v>
      </c>
      <c r="G17" s="214">
        <f>'Tabell 6'!AJ40/('Tabell 6'!AJ45+'Tabell 6'!AJ46)*100</f>
        <v>27.511870317098108</v>
      </c>
      <c r="H17" s="215">
        <f t="shared" si="1"/>
        <v>9.5</v>
      </c>
      <c r="I17" s="76"/>
      <c r="J17" s="48"/>
    </row>
    <row r="18" spans="1:10" ht="18.75" customHeight="1" x14ac:dyDescent="0.35">
      <c r="A18" s="77" t="s">
        <v>158</v>
      </c>
      <c r="B18" s="75">
        <f>'Tabell 6'!AI36+'Tabell 6'!AI41</f>
        <v>364395.74596237991</v>
      </c>
      <c r="C18" s="75">
        <f>'Tabell 6'!AJ36+'Tabell 6'!AJ41</f>
        <v>385372.61018298008</v>
      </c>
      <c r="D18" s="214">
        <f t="shared" si="0"/>
        <v>5.8</v>
      </c>
      <c r="E18" s="214"/>
      <c r="F18" s="214">
        <f>('Tabell 6'!AI36+'Tabell 6'!AI41)/('Tabell 6'!AI45+'Tabell 6'!AI46)*100</f>
        <v>24.954757278972021</v>
      </c>
      <c r="G18" s="214">
        <f>('Tabell 6'!AJ36+'Tabell 6'!AJ41)/('Tabell 6'!AJ45+'Tabell 6'!AJ46)*100</f>
        <v>24.682507529680269</v>
      </c>
      <c r="H18" s="215">
        <f t="shared" si="1"/>
        <v>-1.1000000000000001</v>
      </c>
      <c r="I18" s="76"/>
      <c r="J18" s="48"/>
    </row>
    <row r="19" spans="1:10" ht="18.75" customHeight="1" x14ac:dyDescent="0.35">
      <c r="A19" s="58" t="s">
        <v>159</v>
      </c>
      <c r="B19" s="75">
        <f>'Tabell 6'!AI33</f>
        <v>14.226000000000001</v>
      </c>
      <c r="C19" s="75">
        <f>'Tabell 6'!AJ33</f>
        <v>14.226000000000001</v>
      </c>
      <c r="D19" s="214">
        <f t="shared" si="0"/>
        <v>0</v>
      </c>
      <c r="E19" s="214"/>
      <c r="F19" s="214">
        <f>'Tabell 6'!AI33/('Tabell 6'!AI45+'Tabell 6'!AI46)*100</f>
        <v>9.7423304466157719E-4</v>
      </c>
      <c r="G19" s="214">
        <f>'Tabell 6'!AJ33/('Tabell 6'!AJ45+'Tabell 6'!AJ46)*100</f>
        <v>9.1115285009619302E-4</v>
      </c>
      <c r="H19" s="215">
        <f t="shared" si="1"/>
        <v>-6.5</v>
      </c>
      <c r="I19" s="76"/>
      <c r="J19" s="48"/>
    </row>
    <row r="20" spans="1:10" ht="18.75" customHeight="1" x14ac:dyDescent="0.35">
      <c r="A20" s="77" t="s">
        <v>160</v>
      </c>
      <c r="B20" s="75">
        <f>'Tabell 6'!AI34</f>
        <v>171108.62270604004</v>
      </c>
      <c r="C20" s="75">
        <f>'Tabell 6'!AJ34</f>
        <v>187253.68166511998</v>
      </c>
      <c r="D20" s="214">
        <f t="shared" si="0"/>
        <v>9.4</v>
      </c>
      <c r="E20" s="214"/>
      <c r="F20" s="214">
        <f>'Tabell 6'!AI34/('Tabell 6'!AI45+'Tabell 6'!AI46)*100</f>
        <v>11.717958278276006</v>
      </c>
      <c r="G20" s="214">
        <f>'Tabell 6'!AJ34/('Tabell 6'!AJ45+'Tabell 6'!AJ46)*100</f>
        <v>11.993302807548103</v>
      </c>
      <c r="H20" s="215">
        <f t="shared" si="1"/>
        <v>2.2999999999999998</v>
      </c>
      <c r="I20" s="76"/>
      <c r="J20" s="48"/>
    </row>
    <row r="21" spans="1:10" ht="18.75" customHeight="1" x14ac:dyDescent="0.35">
      <c r="A21" s="58" t="s">
        <v>161</v>
      </c>
      <c r="B21" s="75">
        <f>'Tabell 6'!AI38+'Tabell 6'!AI42</f>
        <v>539015.93688171019</v>
      </c>
      <c r="C21" s="75">
        <f>'Tabell 6'!AJ38+'Tabell 6'!AJ42</f>
        <v>542425.20704053005</v>
      </c>
      <c r="D21" s="214">
        <f t="shared" si="0"/>
        <v>0.6</v>
      </c>
      <c r="E21" s="214"/>
      <c r="F21" s="214">
        <f>('Tabell 6'!AI38+'Tabell 6'!AI42)/('Tabell 6'!AI45+'Tabell 6'!AI46)*100</f>
        <v>36.913196774172711</v>
      </c>
      <c r="G21" s="214">
        <f>('Tabell 6'!AJ38+'Tabell 6'!AJ42)/('Tabell 6'!AJ45+'Tabell 6'!AJ46)*100</f>
        <v>34.741478515323806</v>
      </c>
      <c r="H21" s="215">
        <f t="shared" si="1"/>
        <v>-5.9</v>
      </c>
      <c r="I21" s="76"/>
      <c r="J21" s="48"/>
    </row>
    <row r="22" spans="1:10" ht="18.75" customHeight="1" x14ac:dyDescent="0.35">
      <c r="A22" s="77" t="s">
        <v>162</v>
      </c>
      <c r="B22" s="133">
        <f>'Tabell 6'!AI43+'Tabell 6'!AI44+'Tabell 6'!AI46</f>
        <v>18642.804425279999</v>
      </c>
      <c r="C22" s="133">
        <f>'Tabell 6'!AJ43+'Tabell 6'!AJ44+'Tabell 6'!AJ46</f>
        <v>16705.012326419896</v>
      </c>
      <c r="D22" s="214">
        <f t="shared" si="0"/>
        <v>-10.4</v>
      </c>
      <c r="E22" s="214"/>
      <c r="F22" s="215">
        <f>('Tabell 6'!AI43+'Tabell 6'!AI44+'Tabell 6'!AI46)/('Tabell 6'!AI45+'Tabell 6'!AI46)*100</f>
        <v>1.2767071640848346</v>
      </c>
      <c r="G22" s="215">
        <f>('Tabell 6'!AJ43+'Tabell 6'!AJ44+'Tabell 6'!AJ46)/('Tabell 6'!AJ45+'Tabell 6'!AJ46)*100</f>
        <v>1.0699296774996152</v>
      </c>
      <c r="H22" s="215">
        <f t="shared" si="1"/>
        <v>-16.2</v>
      </c>
      <c r="I22" s="76"/>
      <c r="J22" s="48"/>
    </row>
    <row r="23" spans="1:10" ht="18.75" customHeight="1" x14ac:dyDescent="0.35">
      <c r="A23" s="58"/>
      <c r="B23" s="133"/>
      <c r="C23" s="133"/>
      <c r="D23" s="215"/>
      <c r="E23" s="214"/>
      <c r="F23" s="214"/>
      <c r="G23" s="215"/>
      <c r="H23" s="215"/>
      <c r="I23" s="136"/>
      <c r="J23" s="48"/>
    </row>
    <row r="24" spans="1:10" ht="18.75" customHeight="1" x14ac:dyDescent="0.35">
      <c r="A24" s="103" t="s">
        <v>164</v>
      </c>
      <c r="B24" s="78">
        <f>SUM(B25:B30)</f>
        <v>789361.91144398984</v>
      </c>
      <c r="C24" s="78">
        <f>SUM(C25:C30)</f>
        <v>936720.94002519024</v>
      </c>
      <c r="D24" s="212">
        <f t="shared" si="0"/>
        <v>18.7</v>
      </c>
      <c r="E24" s="212"/>
      <c r="F24" s="213">
        <f>SUM(F25:F30)</f>
        <v>99.999999999999972</v>
      </c>
      <c r="G24" s="213">
        <f>SUM(G25:G30)</f>
        <v>100</v>
      </c>
      <c r="H24" s="215">
        <f t="shared" si="1"/>
        <v>0</v>
      </c>
      <c r="I24" s="136"/>
      <c r="J24" s="48"/>
    </row>
    <row r="25" spans="1:10" ht="18.75" customHeight="1" x14ac:dyDescent="0.35">
      <c r="A25" s="77" t="s">
        <v>157</v>
      </c>
      <c r="B25" s="75">
        <f>'Tabell 6'!AI55</f>
        <v>519907.74139872997</v>
      </c>
      <c r="C25" s="75">
        <f>'Tabell 6'!AJ55</f>
        <v>644265.28819827037</v>
      </c>
      <c r="D25" s="214">
        <f t="shared" si="0"/>
        <v>23.9</v>
      </c>
      <c r="E25" s="214"/>
      <c r="F25" s="214">
        <f>'Tabell 6'!AI55/('Tabell 6'!AI60+'Tabell 6'!AI61)*100</f>
        <v>65.864305568995078</v>
      </c>
      <c r="G25" s="214">
        <f>'Tabell 6'!AJ55/('Tabell 6'!AJ60+'Tabell 6'!AJ61)*100</f>
        <v>68.778785726829668</v>
      </c>
      <c r="H25" s="215">
        <f t="shared" si="1"/>
        <v>4.4000000000000004</v>
      </c>
      <c r="I25" s="136"/>
      <c r="J25" s="48"/>
    </row>
    <row r="26" spans="1:10" ht="18.75" customHeight="1" x14ac:dyDescent="0.35">
      <c r="A26" s="77" t="s">
        <v>158</v>
      </c>
      <c r="B26" s="75">
        <f>'Tabell 6'!AI51+'Tabell 6'!AI56</f>
        <v>235065.50908497995</v>
      </c>
      <c r="C26" s="75">
        <f>'Tabell 6'!AJ51+'Tabell 6'!AJ56</f>
        <v>257790.91801316998</v>
      </c>
      <c r="D26" s="214">
        <f t="shared" si="0"/>
        <v>9.6999999999999993</v>
      </c>
      <c r="E26" s="214"/>
      <c r="F26" s="214">
        <f>('Tabell 6'!AI51+'Tabell 6'!AI56)/('Tabell 6'!AI60+'Tabell 6'!AI61)*100</f>
        <v>29.77918058586987</v>
      </c>
      <c r="G26" s="214">
        <f>('Tabell 6'!AJ51+'Tabell 6'!AJ56)/('Tabell 6'!AJ60+'Tabell 6'!AJ61)*100</f>
        <v>27.520567438818805</v>
      </c>
      <c r="H26" s="215">
        <f t="shared" si="1"/>
        <v>-7.6</v>
      </c>
      <c r="I26" s="136"/>
      <c r="J26" s="48"/>
    </row>
    <row r="27" spans="1:10" ht="18.75" customHeight="1" x14ac:dyDescent="0.35">
      <c r="A27" s="77" t="s">
        <v>159</v>
      </c>
      <c r="B27" s="75">
        <f>'Tabell 6'!AI48</f>
        <v>0</v>
      </c>
      <c r="C27" s="75">
        <f>'Tabell 6'!AJ48</f>
        <v>0</v>
      </c>
      <c r="D27" s="214" t="str">
        <f t="shared" si="0"/>
        <v xml:space="preserve">    ---- </v>
      </c>
      <c r="E27" s="214"/>
      <c r="F27" s="214">
        <f>'Tabell 6'!AI48/('Tabell 6'!AI60+'Tabell 6'!AI61)*100</f>
        <v>0</v>
      </c>
      <c r="G27" s="214">
        <f>'Tabell 6'!AJ48/('Tabell 6'!AJ60+'Tabell 6'!AJ61)*100</f>
        <v>0</v>
      </c>
      <c r="H27" s="215" t="str">
        <f t="shared" si="1"/>
        <v xml:space="preserve">    ---- </v>
      </c>
      <c r="I27" s="136"/>
      <c r="J27" s="48"/>
    </row>
    <row r="28" spans="1:10" ht="18.75" customHeight="1" x14ac:dyDescent="0.35">
      <c r="A28" s="77" t="s">
        <v>160</v>
      </c>
      <c r="B28" s="75">
        <f>'Tabell 6'!AI49</f>
        <v>21127.973793249999</v>
      </c>
      <c r="C28" s="75">
        <f>'Tabell 6'!AJ49</f>
        <v>25723.43852435</v>
      </c>
      <c r="D28" s="214">
        <f t="shared" si="0"/>
        <v>21.8</v>
      </c>
      <c r="E28" s="214"/>
      <c r="F28" s="214">
        <f>'Tabell 6'!AI49/('Tabell 6'!AI60+'Tabell 6'!AI61)*100</f>
        <v>2.6765889621656971</v>
      </c>
      <c r="G28" s="214">
        <f>'Tabell 6'!AJ49/('Tabell 6'!AJ60+'Tabell 6'!AJ61)*100</f>
        <v>2.7461154571454593</v>
      </c>
      <c r="H28" s="215">
        <f t="shared" si="1"/>
        <v>2.6</v>
      </c>
      <c r="I28" s="136"/>
      <c r="J28" s="48"/>
    </row>
    <row r="29" spans="1:10" ht="18.75" customHeight="1" x14ac:dyDescent="0.35">
      <c r="A29" s="77" t="s">
        <v>161</v>
      </c>
      <c r="B29" s="75">
        <f>'Tabell 6'!AI53+'Tabell 6'!AI57</f>
        <v>5093.0474629200016</v>
      </c>
      <c r="C29" s="75">
        <f>'Tabell 6'!AJ53+'Tabell 6'!AJ57</f>
        <v>5615.8584357100044</v>
      </c>
      <c r="D29" s="214">
        <f t="shared" si="0"/>
        <v>10.3</v>
      </c>
      <c r="E29" s="214"/>
      <c r="F29" s="214">
        <f>('Tabell 6'!AI53+'Tabell 6'!AI57)/('Tabell 6'!AI60+'Tabell 6'!AI61)*100</f>
        <v>0.64521069348319893</v>
      </c>
      <c r="G29" s="214">
        <f>('Tabell 6'!AJ53+'Tabell 6'!AJ57)/('Tabell 6'!AJ60+'Tabell 6'!AJ61)*100</f>
        <v>0.59952310189190205</v>
      </c>
      <c r="H29" s="215">
        <f t="shared" si="1"/>
        <v>-7.1</v>
      </c>
      <c r="I29" s="136"/>
      <c r="J29" s="48"/>
    </row>
    <row r="30" spans="1:10" ht="18.75" customHeight="1" x14ac:dyDescent="0.35">
      <c r="A30" s="58" t="s">
        <v>162</v>
      </c>
      <c r="B30" s="133">
        <f>'Tabell 6'!AI58+'Tabell 6'!AI59+'Tabell 6'!AI61</f>
        <v>8167.6397041100026</v>
      </c>
      <c r="C30" s="133">
        <f>'Tabell 6'!AJ58+'Tabell 6'!AJ59+'Tabell 6'!AJ61</f>
        <v>3325.4368536899938</v>
      </c>
      <c r="D30" s="215">
        <f t="shared" si="0"/>
        <v>-59.3</v>
      </c>
      <c r="E30" s="215"/>
      <c r="F30" s="215">
        <f>('Tabell 6'!AI58+'Tabell 6'!AI59+'Tabell 6'!AI61)/('Tabell 6'!AI60+'Tabell 6'!AI61)*100</f>
        <v>1.0347141894861425</v>
      </c>
      <c r="G30" s="215">
        <f>('Tabell 6'!AJ58+'Tabell 6'!AJ59+'Tabell 6'!AJ61)/('Tabell 6'!AJ60+'Tabell 6'!AJ61)*100</f>
        <v>0.35500827531415768</v>
      </c>
      <c r="H30" s="215">
        <f t="shared" si="1"/>
        <v>-65.7</v>
      </c>
      <c r="I30" s="136"/>
      <c r="J30" s="48"/>
    </row>
    <row r="31" spans="1:10" ht="18.75" customHeight="1" x14ac:dyDescent="0.35">
      <c r="A31" s="77"/>
      <c r="B31" s="133"/>
      <c r="C31" s="133"/>
      <c r="D31" s="214"/>
      <c r="E31" s="214"/>
      <c r="F31" s="214"/>
      <c r="G31" s="215"/>
      <c r="H31" s="215"/>
      <c r="I31" s="136"/>
      <c r="J31" s="48"/>
    </row>
    <row r="32" spans="1:10" ht="18.75" customHeight="1" x14ac:dyDescent="0.35">
      <c r="A32" s="103" t="s">
        <v>120</v>
      </c>
      <c r="B32" s="78">
        <f>SUM(B33:B38)</f>
        <v>2441957.1508507002</v>
      </c>
      <c r="C32" s="78">
        <f>SUM(C33:C38)</f>
        <v>2659614.0194355701</v>
      </c>
      <c r="D32" s="212">
        <f t="shared" si="0"/>
        <v>8.9</v>
      </c>
      <c r="E32" s="212"/>
      <c r="F32" s="212">
        <f>SUM(F33:F38)</f>
        <v>99.999999999999986</v>
      </c>
      <c r="G32" s="212">
        <f>SUM(G33:G38)</f>
        <v>100</v>
      </c>
      <c r="H32" s="213">
        <f t="shared" si="1"/>
        <v>0</v>
      </c>
      <c r="I32" s="136"/>
      <c r="J32" s="48"/>
    </row>
    <row r="33" spans="1:10" ht="18.75" customHeight="1" x14ac:dyDescent="0.35">
      <c r="A33" s="77" t="s">
        <v>157</v>
      </c>
      <c r="B33" s="75">
        <f t="shared" ref="B33:C38" si="2">B9+B17+B25</f>
        <v>892168.14249657001</v>
      </c>
      <c r="C33" s="75">
        <f t="shared" si="2"/>
        <v>1079461.0641794703</v>
      </c>
      <c r="D33" s="214">
        <f t="shared" si="0"/>
        <v>21</v>
      </c>
      <c r="E33" s="214"/>
      <c r="F33" s="214">
        <f>B33/B32*100</f>
        <v>36.534963039206772</v>
      </c>
      <c r="G33" s="214">
        <f>C33/C32*100</f>
        <v>40.587132429410048</v>
      </c>
      <c r="H33" s="215">
        <f t="shared" si="1"/>
        <v>11.1</v>
      </c>
      <c r="I33" s="136"/>
      <c r="J33" s="48"/>
    </row>
    <row r="34" spans="1:10" ht="18.75" customHeight="1" x14ac:dyDescent="0.35">
      <c r="A34" s="77" t="s">
        <v>158</v>
      </c>
      <c r="B34" s="75">
        <f t="shared" si="2"/>
        <v>669889.30868870986</v>
      </c>
      <c r="C34" s="75">
        <f t="shared" si="2"/>
        <v>708761.04613168002</v>
      </c>
      <c r="D34" s="214">
        <f t="shared" si="0"/>
        <v>5.8</v>
      </c>
      <c r="E34" s="214"/>
      <c r="F34" s="214">
        <f>B34/B32*100</f>
        <v>27.432475973435562</v>
      </c>
      <c r="G34" s="214">
        <f>C34/C32*100</f>
        <v>26.649019028787308</v>
      </c>
      <c r="H34" s="215">
        <f t="shared" si="1"/>
        <v>-2.9</v>
      </c>
      <c r="I34" s="136"/>
      <c r="J34" s="48"/>
    </row>
    <row r="35" spans="1:10" ht="18.75" customHeight="1" x14ac:dyDescent="0.35">
      <c r="A35" s="77" t="s">
        <v>159</v>
      </c>
      <c r="B35" s="75">
        <f t="shared" si="2"/>
        <v>1361.4125066300003</v>
      </c>
      <c r="C35" s="75">
        <f t="shared" si="2"/>
        <v>1502.5716136300002</v>
      </c>
      <c r="D35" s="214">
        <f t="shared" si="0"/>
        <v>10.4</v>
      </c>
      <c r="E35" s="214"/>
      <c r="F35" s="214">
        <f>B35/B32*100</f>
        <v>5.5750876142758178E-2</v>
      </c>
      <c r="G35" s="214">
        <f>C35/C32*100</f>
        <v>5.649585250527743E-2</v>
      </c>
      <c r="H35" s="215">
        <f t="shared" si="1"/>
        <v>1.3</v>
      </c>
      <c r="I35" s="136"/>
      <c r="J35" s="48"/>
    </row>
    <row r="36" spans="1:10" ht="18.75" customHeight="1" x14ac:dyDescent="0.35">
      <c r="A36" s="77" t="s">
        <v>160</v>
      </c>
      <c r="B36" s="75">
        <f t="shared" si="2"/>
        <v>219789.31579223002</v>
      </c>
      <c r="C36" s="75">
        <f t="shared" si="2"/>
        <v>240948.39446221996</v>
      </c>
      <c r="D36" s="214">
        <f t="shared" si="0"/>
        <v>9.6</v>
      </c>
      <c r="E36" s="214"/>
      <c r="F36" s="214">
        <f>B36/B32*100</f>
        <v>9.000539412235895</v>
      </c>
      <c r="G36" s="214">
        <f>C36/C32*100</f>
        <v>9.0595249047963211</v>
      </c>
      <c r="H36" s="215">
        <f t="shared" si="1"/>
        <v>0.7</v>
      </c>
      <c r="I36" s="136"/>
      <c r="J36" s="48"/>
    </row>
    <row r="37" spans="1:10" ht="18.75" customHeight="1" x14ac:dyDescent="0.35">
      <c r="A37" s="77" t="s">
        <v>161</v>
      </c>
      <c r="B37" s="75">
        <f t="shared" si="2"/>
        <v>581837.4053136101</v>
      </c>
      <c r="C37" s="75">
        <f t="shared" si="2"/>
        <v>583780.73934645997</v>
      </c>
      <c r="D37" s="214">
        <f t="shared" si="0"/>
        <v>0.3</v>
      </c>
      <c r="E37" s="214"/>
      <c r="F37" s="214">
        <f>B37/B32*100</f>
        <v>23.826683654580773</v>
      </c>
      <c r="G37" s="214">
        <f>C37/C32*100</f>
        <v>21.94982937675864</v>
      </c>
      <c r="H37" s="215">
        <f t="shared" si="1"/>
        <v>-7.9</v>
      </c>
      <c r="I37" s="136"/>
      <c r="J37" s="48"/>
    </row>
    <row r="38" spans="1:10" ht="18.75" customHeight="1" x14ac:dyDescent="0.35">
      <c r="A38" s="216" t="s">
        <v>162</v>
      </c>
      <c r="B38" s="217">
        <f t="shared" si="2"/>
        <v>76911.566052949958</v>
      </c>
      <c r="C38" s="217">
        <f t="shared" si="2"/>
        <v>45160.203702109735</v>
      </c>
      <c r="D38" s="218">
        <f t="shared" si="0"/>
        <v>-41.3</v>
      </c>
      <c r="E38" s="214"/>
      <c r="F38" s="218">
        <f>B38/B32*100</f>
        <v>3.1495870443982366</v>
      </c>
      <c r="G38" s="218">
        <f>C38/C32*100</f>
        <v>1.6979984077424044</v>
      </c>
      <c r="H38" s="219">
        <f t="shared" si="1"/>
        <v>-46.1</v>
      </c>
      <c r="I38" s="136"/>
      <c r="J38" s="48"/>
    </row>
    <row r="39" spans="1:10" ht="18.75" customHeight="1" x14ac:dyDescent="0.35">
      <c r="A39" s="48"/>
      <c r="B39" s="48"/>
      <c r="C39" s="48"/>
      <c r="D39" s="48"/>
      <c r="E39" s="48"/>
      <c r="F39" s="136"/>
      <c r="G39" s="136"/>
      <c r="H39" s="136"/>
      <c r="I39" s="136"/>
      <c r="J39" s="48"/>
    </row>
    <row r="40" spans="1:10" ht="18.75" customHeight="1" x14ac:dyDescent="0.35">
      <c r="A40" s="48" t="s">
        <v>165</v>
      </c>
      <c r="B40" s="48"/>
      <c r="C40" s="48"/>
      <c r="D40" s="48"/>
      <c r="E40" s="48"/>
      <c r="F40" s="136"/>
      <c r="G40" s="136"/>
      <c r="H40" s="136"/>
      <c r="I40" s="136"/>
      <c r="J40" s="48"/>
    </row>
    <row r="41" spans="1:10" ht="18" x14ac:dyDescent="0.35">
      <c r="A41" s="48"/>
      <c r="B41" s="48"/>
      <c r="C41" s="48"/>
      <c r="D41" s="48"/>
      <c r="E41" s="48"/>
      <c r="F41" s="48"/>
      <c r="G41" s="48"/>
      <c r="H41" s="48"/>
      <c r="I41" s="48"/>
      <c r="J41" s="48"/>
    </row>
    <row r="42" spans="1:10" ht="18" x14ac:dyDescent="0.35">
      <c r="A42" s="48"/>
      <c r="B42" s="48"/>
      <c r="C42" s="48"/>
      <c r="D42" s="48"/>
      <c r="E42" s="48"/>
      <c r="G42" s="48"/>
      <c r="H42" s="48"/>
      <c r="I42" s="48"/>
      <c r="J42" s="48"/>
    </row>
    <row r="43" spans="1:10" ht="18" x14ac:dyDescent="0.35">
      <c r="A43" s="48"/>
      <c r="B43" s="48"/>
      <c r="C43" s="48"/>
      <c r="D43" s="48"/>
      <c r="E43" s="48"/>
      <c r="F43" s="48"/>
      <c r="G43" s="48"/>
      <c r="H43" s="48"/>
      <c r="I43" s="48"/>
      <c r="J43" s="48"/>
    </row>
    <row r="44" spans="1:10" ht="18" x14ac:dyDescent="0.35">
      <c r="A44" s="48"/>
      <c r="B44" s="48"/>
      <c r="C44" s="48"/>
      <c r="D44" s="48"/>
      <c r="E44" s="48"/>
      <c r="F44" s="48"/>
      <c r="G44" s="48"/>
      <c r="H44" s="48"/>
      <c r="I44" s="48"/>
      <c r="J44" s="48"/>
    </row>
    <row r="45" spans="1:10" ht="18" x14ac:dyDescent="0.35">
      <c r="A45" s="48"/>
      <c r="B45" s="48"/>
      <c r="C45" s="48"/>
      <c r="D45" s="48"/>
      <c r="E45" s="48"/>
      <c r="F45" s="48"/>
      <c r="G45" s="48"/>
      <c r="H45" s="48"/>
      <c r="I45" s="48"/>
      <c r="J45" s="48"/>
    </row>
    <row r="46" spans="1:10" ht="18" x14ac:dyDescent="0.35">
      <c r="A46" s="48"/>
      <c r="B46" s="48"/>
      <c r="C46" s="48"/>
      <c r="D46" s="48"/>
      <c r="E46" s="48"/>
      <c r="F46" s="48"/>
      <c r="G46" s="48"/>
      <c r="H46" s="48"/>
      <c r="I46" s="48"/>
      <c r="J46" s="48"/>
    </row>
    <row r="47" spans="1:10" ht="18" x14ac:dyDescent="0.35">
      <c r="A47" s="48"/>
      <c r="B47" s="48"/>
      <c r="C47" s="48"/>
      <c r="D47" s="48"/>
      <c r="E47" s="48"/>
      <c r="F47" s="48"/>
      <c r="G47" s="48"/>
      <c r="H47" s="48"/>
      <c r="I47" s="48"/>
      <c r="J47" s="48"/>
    </row>
    <row r="48" spans="1:10" ht="18" x14ac:dyDescent="0.35">
      <c r="A48" s="48"/>
      <c r="B48" s="48"/>
      <c r="C48" s="48"/>
      <c r="D48" s="48"/>
      <c r="E48" s="48"/>
      <c r="F48" s="48"/>
      <c r="G48" s="48"/>
      <c r="H48" s="48"/>
      <c r="I48" s="48"/>
      <c r="J48" s="48"/>
    </row>
    <row r="49" spans="1:10" ht="18" x14ac:dyDescent="0.35">
      <c r="A49" s="48"/>
      <c r="B49" s="48"/>
      <c r="C49" s="48"/>
      <c r="D49" s="48"/>
      <c r="E49" s="48"/>
      <c r="F49" s="48"/>
      <c r="G49" s="48"/>
      <c r="H49" s="48"/>
      <c r="I49" s="48"/>
      <c r="J49" s="48"/>
    </row>
    <row r="50" spans="1:10" ht="18" x14ac:dyDescent="0.35">
      <c r="A50" s="48"/>
      <c r="B50" s="48"/>
      <c r="C50" s="48"/>
      <c r="D50" s="48"/>
      <c r="E50" s="48"/>
      <c r="F50" s="48"/>
      <c r="G50" s="48"/>
      <c r="H50" s="48"/>
      <c r="I50" s="48"/>
      <c r="J50" s="48"/>
    </row>
    <row r="51" spans="1:10" ht="18" x14ac:dyDescent="0.35">
      <c r="A51" s="48"/>
      <c r="B51" s="48"/>
      <c r="C51" s="48"/>
      <c r="D51" s="48"/>
      <c r="E51" s="48"/>
      <c r="F51" s="48"/>
      <c r="G51" s="48"/>
      <c r="H51" s="48"/>
      <c r="I51" s="48"/>
      <c r="J51" s="48"/>
    </row>
    <row r="52" spans="1:10" ht="18" x14ac:dyDescent="0.35">
      <c r="A52" s="48"/>
      <c r="B52" s="48"/>
      <c r="C52" s="48"/>
      <c r="D52" s="48"/>
      <c r="E52" s="48"/>
      <c r="F52" s="48"/>
      <c r="G52" s="48"/>
      <c r="H52" s="48"/>
      <c r="I52" s="48"/>
      <c r="J52" s="48"/>
    </row>
    <row r="53" spans="1:10" ht="18" x14ac:dyDescent="0.35">
      <c r="A53" s="48"/>
      <c r="B53" s="48"/>
      <c r="C53" s="48"/>
      <c r="D53" s="48"/>
      <c r="E53" s="48"/>
      <c r="F53" s="48"/>
      <c r="G53" s="48"/>
      <c r="H53" s="48"/>
      <c r="I53" s="48"/>
      <c r="J53" s="48"/>
    </row>
    <row r="54" spans="1:10" ht="18" x14ac:dyDescent="0.35">
      <c r="A54" s="48"/>
      <c r="B54" s="48"/>
      <c r="C54" s="48"/>
      <c r="D54" s="48"/>
      <c r="E54" s="48"/>
      <c r="F54" s="48"/>
      <c r="G54" s="48"/>
      <c r="H54" s="48"/>
      <c r="I54" s="48"/>
      <c r="J54" s="48"/>
    </row>
    <row r="55" spans="1:10" ht="18" x14ac:dyDescent="0.35">
      <c r="A55" s="48"/>
      <c r="B55" s="48"/>
      <c r="C55" s="48"/>
      <c r="D55" s="48"/>
      <c r="E55" s="48"/>
      <c r="F55" s="48"/>
      <c r="G55" s="48"/>
      <c r="H55" s="48"/>
      <c r="I55" s="48"/>
      <c r="J55" s="48"/>
    </row>
    <row r="56" spans="1:10" ht="18" x14ac:dyDescent="0.35">
      <c r="A56" s="48"/>
      <c r="B56" s="48"/>
      <c r="C56" s="48"/>
      <c r="D56" s="48"/>
      <c r="E56" s="48"/>
      <c r="F56" s="48"/>
      <c r="G56" s="48"/>
      <c r="H56" s="48"/>
      <c r="I56" s="48"/>
      <c r="J56" s="48"/>
    </row>
    <row r="57" spans="1:10" ht="18" x14ac:dyDescent="0.35">
      <c r="A57" s="48"/>
      <c r="B57" s="48"/>
      <c r="C57" s="48"/>
      <c r="D57" s="48"/>
      <c r="E57" s="48"/>
      <c r="F57" s="48"/>
      <c r="G57" s="48"/>
      <c r="H57" s="48"/>
      <c r="I57" s="48"/>
      <c r="J57" s="48"/>
    </row>
    <row r="58" spans="1:10" ht="18" x14ac:dyDescent="0.35">
      <c r="A58" s="48"/>
      <c r="B58" s="48"/>
      <c r="C58" s="48"/>
      <c r="D58" s="48"/>
      <c r="E58" s="48"/>
      <c r="F58" s="48"/>
      <c r="G58" s="48"/>
      <c r="H58" s="48"/>
      <c r="I58" s="48"/>
      <c r="J58" s="48"/>
    </row>
    <row r="59" spans="1:10" ht="18" x14ac:dyDescent="0.35">
      <c r="A59" s="48"/>
      <c r="B59" s="48"/>
      <c r="C59" s="48"/>
      <c r="D59" s="48"/>
      <c r="E59" s="48"/>
      <c r="F59" s="48"/>
      <c r="G59" s="48"/>
      <c r="H59" s="48"/>
      <c r="I59" s="48"/>
      <c r="J59" s="48"/>
    </row>
    <row r="60" spans="1:10" ht="18" x14ac:dyDescent="0.35">
      <c r="A60" s="48"/>
      <c r="B60" s="48"/>
      <c r="C60" s="48"/>
      <c r="D60" s="48"/>
      <c r="E60" s="48"/>
      <c r="F60" s="48"/>
      <c r="G60" s="48"/>
      <c r="H60" s="48"/>
      <c r="I60" s="48"/>
      <c r="J60" s="48"/>
    </row>
    <row r="61" spans="1:10" ht="18" x14ac:dyDescent="0.35">
      <c r="A61" s="48"/>
      <c r="B61" s="48"/>
      <c r="C61" s="48"/>
      <c r="D61" s="48"/>
      <c r="E61" s="48"/>
      <c r="F61" s="48"/>
      <c r="G61" s="48"/>
      <c r="H61" s="48"/>
      <c r="I61" s="48"/>
      <c r="J61" s="48"/>
    </row>
    <row r="62" spans="1:10" ht="18" x14ac:dyDescent="0.35">
      <c r="A62" s="48"/>
      <c r="B62" s="48"/>
      <c r="C62" s="48"/>
      <c r="D62" s="48"/>
      <c r="E62" s="48"/>
      <c r="F62" s="48"/>
      <c r="G62" s="48"/>
      <c r="H62" s="48"/>
      <c r="I62" s="48"/>
      <c r="J62" s="48"/>
    </row>
    <row r="63" spans="1:10" ht="18" x14ac:dyDescent="0.35">
      <c r="A63" s="48"/>
      <c r="B63" s="48"/>
      <c r="C63" s="48"/>
      <c r="D63" s="48"/>
      <c r="E63" s="48"/>
      <c r="F63" s="48"/>
      <c r="G63" s="48"/>
      <c r="H63" s="48"/>
      <c r="I63" s="48"/>
      <c r="J63" s="48"/>
    </row>
    <row r="64" spans="1:10" ht="18" x14ac:dyDescent="0.35">
      <c r="A64" s="48"/>
      <c r="B64" s="48"/>
      <c r="C64" s="48"/>
      <c r="D64" s="48"/>
      <c r="E64" s="48"/>
      <c r="F64" s="48"/>
      <c r="G64" s="48"/>
      <c r="H64" s="48"/>
      <c r="I64" s="48"/>
      <c r="J64" s="48"/>
    </row>
    <row r="65" spans="1:10" ht="18" x14ac:dyDescent="0.35">
      <c r="A65" s="48"/>
      <c r="B65" s="48"/>
      <c r="C65" s="48"/>
      <c r="D65" s="48"/>
      <c r="E65" s="48"/>
      <c r="F65" s="48"/>
      <c r="G65" s="48"/>
      <c r="H65" s="48"/>
      <c r="I65" s="48"/>
      <c r="J65" s="48"/>
    </row>
    <row r="66" spans="1:10" ht="18" x14ac:dyDescent="0.35">
      <c r="A66" s="48"/>
      <c r="B66" s="48"/>
      <c r="C66" s="48"/>
      <c r="D66" s="48"/>
      <c r="E66" s="48"/>
      <c r="F66" s="48"/>
      <c r="G66" s="48"/>
      <c r="H66" s="48"/>
      <c r="I66" s="48"/>
      <c r="J66" s="48"/>
    </row>
    <row r="67" spans="1:10" ht="18" x14ac:dyDescent="0.35">
      <c r="A67" s="48"/>
      <c r="B67" s="48"/>
      <c r="C67" s="48"/>
      <c r="D67" s="48"/>
      <c r="E67" s="48"/>
      <c r="F67" s="48"/>
      <c r="G67" s="48"/>
      <c r="H67" s="48"/>
      <c r="I67" s="48"/>
      <c r="J67" s="48"/>
    </row>
    <row r="68" spans="1:10" ht="18" x14ac:dyDescent="0.35">
      <c r="A68" s="48"/>
      <c r="B68" s="48"/>
      <c r="C68" s="48"/>
      <c r="D68" s="48"/>
      <c r="E68" s="48"/>
      <c r="F68" s="48"/>
      <c r="G68" s="48"/>
      <c r="H68" s="48"/>
      <c r="I68" s="48"/>
      <c r="J68" s="48"/>
    </row>
    <row r="69" spans="1:10" ht="18" x14ac:dyDescent="0.35">
      <c r="A69" s="48"/>
      <c r="B69" s="48"/>
      <c r="C69" s="48"/>
      <c r="D69" s="48"/>
      <c r="E69" s="48"/>
      <c r="F69" s="48"/>
      <c r="G69" s="48"/>
      <c r="H69" s="48"/>
      <c r="I69" s="48"/>
      <c r="J69" s="48"/>
    </row>
    <row r="70" spans="1:10" ht="18" x14ac:dyDescent="0.35">
      <c r="A70" s="48"/>
      <c r="B70" s="48"/>
      <c r="C70" s="48"/>
      <c r="D70" s="48"/>
      <c r="E70" s="48"/>
      <c r="F70" s="48"/>
      <c r="G70" s="48"/>
      <c r="H70" s="48"/>
      <c r="I70" s="48"/>
      <c r="J70" s="48"/>
    </row>
    <row r="71" spans="1:10" ht="18" x14ac:dyDescent="0.35">
      <c r="A71" s="48"/>
      <c r="B71" s="48"/>
      <c r="C71" s="48"/>
      <c r="D71" s="48"/>
      <c r="E71" s="48"/>
      <c r="F71" s="48"/>
      <c r="G71" s="48"/>
      <c r="H71" s="48"/>
      <c r="I71" s="48"/>
      <c r="J71" s="48"/>
    </row>
    <row r="72" spans="1:10" ht="18" x14ac:dyDescent="0.35">
      <c r="A72" s="48"/>
      <c r="B72" s="48"/>
      <c r="C72" s="48"/>
      <c r="D72" s="48"/>
      <c r="E72" s="48"/>
      <c r="F72" s="48"/>
      <c r="G72" s="48"/>
      <c r="H72" s="48"/>
      <c r="I72" s="48"/>
      <c r="J72" s="48"/>
    </row>
    <row r="73" spans="1:10" ht="18" x14ac:dyDescent="0.35">
      <c r="A73" s="48"/>
      <c r="B73" s="48"/>
      <c r="C73" s="48"/>
      <c r="D73" s="48"/>
      <c r="E73" s="48"/>
      <c r="F73" s="48"/>
      <c r="G73" s="48"/>
      <c r="H73" s="48"/>
      <c r="I73" s="48"/>
      <c r="J73" s="48"/>
    </row>
    <row r="74" spans="1:10" ht="18" x14ac:dyDescent="0.35">
      <c r="A74" s="48"/>
      <c r="B74" s="48"/>
      <c r="C74" s="48"/>
      <c r="D74" s="48"/>
      <c r="E74" s="48"/>
      <c r="F74" s="48"/>
      <c r="G74" s="48"/>
      <c r="H74" s="48"/>
      <c r="I74" s="48"/>
      <c r="J74" s="48"/>
    </row>
    <row r="75" spans="1:10" ht="18" x14ac:dyDescent="0.35">
      <c r="A75" s="48"/>
      <c r="B75" s="48"/>
      <c r="C75" s="48"/>
      <c r="D75" s="48"/>
      <c r="E75" s="48"/>
      <c r="F75" s="48"/>
      <c r="G75" s="48"/>
      <c r="H75" s="48"/>
      <c r="I75" s="48"/>
      <c r="J75" s="48"/>
    </row>
    <row r="76" spans="1:10" ht="18" x14ac:dyDescent="0.35">
      <c r="A76" s="48"/>
      <c r="B76" s="48"/>
      <c r="C76" s="48"/>
      <c r="D76" s="48"/>
      <c r="E76" s="48"/>
      <c r="F76" s="48"/>
      <c r="G76" s="48"/>
      <c r="H76" s="48"/>
      <c r="I76" s="48"/>
      <c r="J76" s="48"/>
    </row>
    <row r="77" spans="1:10" ht="18" x14ac:dyDescent="0.35">
      <c r="A77" s="48"/>
      <c r="B77" s="48"/>
      <c r="C77" s="48"/>
      <c r="D77" s="48"/>
      <c r="E77" s="48"/>
      <c r="F77" s="48"/>
      <c r="G77" s="48"/>
      <c r="H77" s="48"/>
      <c r="I77" s="48"/>
      <c r="J77" s="48"/>
    </row>
    <row r="78" spans="1:10" ht="18" x14ac:dyDescent="0.35">
      <c r="A78" s="48"/>
      <c r="B78" s="48"/>
      <c r="C78" s="48"/>
      <c r="D78" s="48"/>
      <c r="E78" s="48"/>
      <c r="F78" s="48"/>
      <c r="G78" s="48"/>
      <c r="H78" s="48"/>
      <c r="I78" s="48"/>
      <c r="J78" s="48"/>
    </row>
    <row r="79" spans="1:10" ht="18" x14ac:dyDescent="0.35">
      <c r="A79" s="48"/>
      <c r="B79" s="48"/>
      <c r="C79" s="48"/>
      <c r="D79" s="48"/>
      <c r="E79" s="48"/>
      <c r="F79" s="48"/>
      <c r="G79" s="48"/>
      <c r="H79" s="48"/>
      <c r="I79" s="48"/>
      <c r="J79" s="48"/>
    </row>
    <row r="80" spans="1:10" ht="18" x14ac:dyDescent="0.35">
      <c r="A80" s="48"/>
      <c r="B80" s="48"/>
      <c r="C80" s="48"/>
      <c r="D80" s="48"/>
      <c r="E80" s="48"/>
      <c r="F80" s="48"/>
      <c r="G80" s="48"/>
      <c r="H80" s="48"/>
      <c r="I80" s="48"/>
      <c r="J80" s="48"/>
    </row>
    <row r="81" spans="1:10" ht="18" x14ac:dyDescent="0.35">
      <c r="A81" s="48"/>
      <c r="B81" s="48"/>
      <c r="C81" s="48"/>
      <c r="D81" s="48"/>
      <c r="E81" s="48"/>
      <c r="F81" s="48"/>
      <c r="G81" s="48"/>
      <c r="H81" s="48"/>
      <c r="I81" s="48"/>
      <c r="J81" s="48"/>
    </row>
    <row r="82" spans="1:10" ht="18" x14ac:dyDescent="0.35">
      <c r="A82" s="48"/>
      <c r="B82" s="48"/>
      <c r="C82" s="48"/>
      <c r="D82" s="48"/>
      <c r="E82" s="48"/>
      <c r="F82" s="48"/>
      <c r="G82" s="48"/>
      <c r="H82" s="48"/>
      <c r="I82" s="48"/>
      <c r="J82" s="48"/>
    </row>
    <row r="83" spans="1:10" ht="18" x14ac:dyDescent="0.35">
      <c r="A83" s="48"/>
      <c r="B83" s="48"/>
      <c r="C83" s="48"/>
      <c r="D83" s="48"/>
      <c r="E83" s="48"/>
      <c r="F83" s="48"/>
      <c r="G83" s="48"/>
      <c r="H83" s="48"/>
      <c r="I83" s="48"/>
      <c r="J83" s="48"/>
    </row>
    <row r="84" spans="1:10" ht="18" x14ac:dyDescent="0.35">
      <c r="A84" s="48"/>
      <c r="B84" s="48"/>
      <c r="C84" s="48"/>
      <c r="D84" s="48"/>
      <c r="E84" s="48"/>
      <c r="F84" s="48"/>
      <c r="G84" s="48"/>
      <c r="H84" s="48"/>
      <c r="I84" s="48"/>
      <c r="J84" s="48"/>
    </row>
    <row r="85" spans="1:10" ht="18" x14ac:dyDescent="0.35">
      <c r="A85" s="48"/>
      <c r="B85" s="48"/>
      <c r="C85" s="48"/>
      <c r="D85" s="48"/>
      <c r="E85" s="48"/>
      <c r="F85" s="48"/>
      <c r="G85" s="48"/>
      <c r="H85" s="48"/>
      <c r="I85" s="48"/>
      <c r="J85" s="48"/>
    </row>
    <row r="86" spans="1:10" ht="18" x14ac:dyDescent="0.35">
      <c r="A86" s="48"/>
      <c r="B86" s="48"/>
      <c r="C86" s="48"/>
      <c r="D86" s="48"/>
      <c r="E86" s="48"/>
      <c r="F86" s="48"/>
      <c r="G86" s="48"/>
      <c r="H86" s="48"/>
      <c r="I86" s="48"/>
      <c r="J86" s="48"/>
    </row>
    <row r="87" spans="1:10" ht="18" x14ac:dyDescent="0.35">
      <c r="A87" s="48"/>
      <c r="B87" s="48"/>
      <c r="C87" s="48"/>
      <c r="D87" s="48"/>
      <c r="E87" s="48"/>
      <c r="F87" s="48"/>
      <c r="G87" s="48"/>
      <c r="H87" s="48"/>
      <c r="I87" s="48"/>
      <c r="J87" s="48"/>
    </row>
    <row r="88" spans="1:10" ht="18" x14ac:dyDescent="0.35">
      <c r="A88" s="48"/>
      <c r="B88" s="48"/>
      <c r="C88" s="48"/>
      <c r="D88" s="48"/>
      <c r="E88" s="48"/>
      <c r="F88" s="48"/>
      <c r="G88" s="48"/>
      <c r="H88" s="48"/>
      <c r="I88" s="48"/>
      <c r="J88" s="48"/>
    </row>
    <row r="89" spans="1:10" ht="18" x14ac:dyDescent="0.35">
      <c r="A89" s="48"/>
      <c r="B89" s="48"/>
      <c r="C89" s="48"/>
      <c r="D89" s="48"/>
      <c r="E89" s="48"/>
      <c r="F89" s="48"/>
      <c r="G89" s="48"/>
      <c r="H89" s="48"/>
      <c r="I89" s="48"/>
      <c r="J89" s="48"/>
    </row>
    <row r="90" spans="1:10" ht="18" x14ac:dyDescent="0.35">
      <c r="A90" s="48"/>
      <c r="B90" s="48"/>
      <c r="C90" s="48"/>
      <c r="D90" s="48"/>
      <c r="E90" s="48"/>
      <c r="F90" s="48"/>
      <c r="G90" s="48"/>
      <c r="H90" s="48"/>
      <c r="I90" s="48"/>
      <c r="J90" s="48"/>
    </row>
    <row r="91" spans="1:10" ht="18" x14ac:dyDescent="0.35">
      <c r="A91" s="48"/>
      <c r="B91" s="48"/>
      <c r="C91" s="48"/>
      <c r="D91" s="48"/>
      <c r="E91" s="48"/>
      <c r="F91" s="48"/>
      <c r="G91" s="48"/>
      <c r="H91" s="48"/>
      <c r="I91" s="48"/>
      <c r="J91" s="48"/>
    </row>
    <row r="92" spans="1:10" ht="18" x14ac:dyDescent="0.35">
      <c r="A92" s="48"/>
      <c r="B92" s="48"/>
      <c r="C92" s="48"/>
      <c r="D92" s="48"/>
      <c r="E92" s="48"/>
      <c r="F92" s="48"/>
      <c r="G92" s="48"/>
      <c r="H92" s="48"/>
      <c r="I92" s="48"/>
      <c r="J92" s="48"/>
    </row>
  </sheetData>
  <mergeCells count="4">
    <mergeCell ref="B4:D4"/>
    <mergeCell ref="F4:H4"/>
    <mergeCell ref="B5:D5"/>
    <mergeCell ref="F5:H5"/>
  </mergeCells>
  <hyperlinks>
    <hyperlink ref="B1" location="Innhold!A1" display="Tilbake" xr:uid="{F3E75261-2AE4-411B-B0FA-C74A0CB898BF}"/>
  </hyperlinks>
  <pageMargins left="0.70866141732283472" right="0.70866141732283472" top="0.74803149606299213" bottom="0.74803149606299213" header="0.31496062992125984" footer="0.31496062992125984"/>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M303"/>
  <sheetViews>
    <sheetView showGridLines="0" showZeros="0" zoomScaleNormal="100" zoomScaleSheetLayoutView="80" workbookViewId="0">
      <pane xSplit="1" ySplit="1" topLeftCell="B2" activePane="bottomRight" state="frozen"/>
      <selection pane="topRight" activeCell="J44" sqref="J44"/>
      <selection pane="bottomLeft" activeCell="J44" sqref="J44"/>
      <selection pane="bottomRight"/>
    </sheetView>
  </sheetViews>
  <sheetFormatPr baseColWidth="10" defaultColWidth="11.44140625" defaultRowHeight="13.2" x14ac:dyDescent="0.25"/>
  <cols>
    <col min="1" max="1" width="55.21875" style="1" customWidth="1"/>
    <col min="2" max="2" width="10.6640625" style="1" customWidth="1"/>
    <col min="3" max="3" width="12.33203125" style="1" bestFit="1" customWidth="1"/>
    <col min="4" max="4" width="8.6640625" style="1" customWidth="1"/>
    <col min="5" max="6" width="10.6640625" style="1" customWidth="1"/>
    <col min="7" max="7" width="8.6640625" style="1" customWidth="1"/>
    <col min="8" max="9" width="12.33203125" style="1" bestFit="1" customWidth="1"/>
    <col min="10" max="10" width="8.6640625" style="1" customWidth="1"/>
    <col min="11" max="16384" width="11.44140625" style="1"/>
  </cols>
  <sheetData>
    <row r="1" spans="1:13" ht="15.75" customHeight="1" x14ac:dyDescent="0.25">
      <c r="A1" s="286">
        <v>4</v>
      </c>
    </row>
    <row r="2" spans="1:13" ht="15.75" customHeight="1" x14ac:dyDescent="0.3">
      <c r="A2" s="110" t="s">
        <v>166</v>
      </c>
      <c r="B2" s="589"/>
      <c r="C2" s="589"/>
      <c r="D2" s="589"/>
      <c r="E2" s="589"/>
      <c r="F2" s="589"/>
      <c r="G2" s="589"/>
      <c r="H2" s="589"/>
      <c r="I2" s="589"/>
      <c r="J2" s="589"/>
    </row>
    <row r="3" spans="1:13" ht="15.75" customHeight="1" x14ac:dyDescent="0.3">
      <c r="A3" s="122"/>
      <c r="B3" s="241"/>
      <c r="C3" s="241"/>
      <c r="D3" s="241"/>
      <c r="E3" s="241"/>
      <c r="F3" s="241"/>
      <c r="G3" s="241"/>
      <c r="H3" s="241"/>
      <c r="I3" s="241"/>
      <c r="J3" s="241"/>
    </row>
    <row r="4" spans="1:13" ht="15.75" customHeight="1" x14ac:dyDescent="0.25">
      <c r="A4" s="108"/>
      <c r="B4" s="586" t="s">
        <v>46</v>
      </c>
      <c r="C4" s="587"/>
      <c r="D4" s="587"/>
      <c r="E4" s="586" t="s">
        <v>69</v>
      </c>
      <c r="F4" s="587"/>
      <c r="G4" s="587"/>
      <c r="H4" s="586" t="s">
        <v>120</v>
      </c>
      <c r="I4" s="587"/>
      <c r="J4" s="588"/>
    </row>
    <row r="5" spans="1:13" ht="15.75" customHeight="1" x14ac:dyDescent="0.25">
      <c r="A5" s="117"/>
      <c r="B5" s="17" t="s">
        <v>418</v>
      </c>
      <c r="C5" s="17" t="s">
        <v>419</v>
      </c>
      <c r="D5" s="198" t="s">
        <v>167</v>
      </c>
      <c r="E5" s="17" t="s">
        <v>418</v>
      </c>
      <c r="F5" s="17" t="s">
        <v>419</v>
      </c>
      <c r="G5" s="198" t="s">
        <v>167</v>
      </c>
      <c r="H5" s="17" t="s">
        <v>418</v>
      </c>
      <c r="I5" s="17" t="s">
        <v>419</v>
      </c>
      <c r="J5" s="198" t="s">
        <v>167</v>
      </c>
    </row>
    <row r="6" spans="1:13" ht="15.75" customHeight="1" x14ac:dyDescent="0.25">
      <c r="A6" s="556"/>
      <c r="B6" s="12"/>
      <c r="C6" s="12"/>
      <c r="D6" s="14" t="s">
        <v>168</v>
      </c>
      <c r="E6" s="13"/>
      <c r="F6" s="13"/>
      <c r="G6" s="12" t="s">
        <v>168</v>
      </c>
      <c r="H6" s="13"/>
      <c r="I6" s="13"/>
      <c r="J6" s="12" t="s">
        <v>168</v>
      </c>
      <c r="M6" s="271"/>
    </row>
    <row r="7" spans="1:13" s="35" customFormat="1" ht="15.75" customHeight="1" x14ac:dyDescent="0.25">
      <c r="A7" s="11" t="s">
        <v>169</v>
      </c>
      <c r="B7" s="183">
        <f>Fremtind!B7+'DNB Livsforsikring'!B7+'Frende Livsforsikring'!B7+'Frende Skadeforsikring'!B7+'Gjensidige Forsikring'!B7+'Gjensidige Pensjon'!B7+'If Skadeforsikring NUF'!B7+KLP!B7+'KLP Skadeforsikring AS'!B7+'Landkreditt Forsikring AS'!B7+'Nordea Liv '!B7+'Oslo Pensjonsforsikring'!B7+'Protector Forsikring'!B7+'Sparebank 1 Fors.'!B7+'Storebrand Livsforsikring'!B7+'Telenor Forsikring'!B7+'Tryg Forsikring'!B7+'WaterCircles F'!B7+'Euro Accident'!B7+'Ly Forsikring'!B7+'Youplus Livsforsikring'!B7+'Oslo Forsikring'!B7+'Knif Trygghet Forsikring'!B7</f>
        <v>2007693.8526482559</v>
      </c>
      <c r="C7" s="183">
        <f>Fremtind!C7+'DNB Livsforsikring'!C7+'Frende Livsforsikring'!C7+'Frende Skadeforsikring'!C7+'Gjensidige Forsikring'!C7+'Gjensidige Pensjon'!C7+'If Skadeforsikring NUF'!C7+KLP!C7+'KLP Skadeforsikring AS'!C7+'Landkreditt Forsikring AS'!C7+'Nordea Liv '!C7+'Oslo Pensjonsforsikring'!C7+'Protector Forsikring'!C7+'Sparebank 1 Fors.'!C7+'Storebrand Livsforsikring'!C7+'Telenor Forsikring'!C7+'Tryg Forsikring'!C7+'WaterCircles F'!C7+'Euro Accident'!C7+'Ly Forsikring'!C7+'Youplus Livsforsikring'!C7+'Oslo Forsikring'!C7+'Knif Trygghet Forsikring'!C7</f>
        <v>2099019.4950461169</v>
      </c>
      <c r="D7" s="119">
        <f t="shared" ref="D7:D12" si="0">IF(B7=0, "    ---- ", IF(ABS(ROUND(100/B7*C7-100,1))&lt;999,ROUND(100/B7*C7-100,1),IF(ROUND(100/B7*C7-100,1)&gt;999,999,-999)))</f>
        <v>4.5</v>
      </c>
      <c r="E7" s="183">
        <f>Fremtind!F7+'DNB Livsforsikring'!F7+'Frende Livsforsikring'!F7+'Frende Skadeforsikring'!F7+'Gjensidige Forsikring'!F7+'Gjensidige Pensjon'!F7+'If Skadeforsikring NUF'!F7+KLP!F7+'KLP Skadeforsikring AS'!F7+'Landkreditt Forsikring AS'!F7+'Nordea Liv '!F7+'Oslo Pensjonsforsikring'!F7+'Protector Forsikring'!F7+'Sparebank 1 Fors.'!F7+'Storebrand Livsforsikring'!F7+'Telenor Forsikring'!F7+'Tryg Forsikring'!F7+'WaterCircles F'!F7+'Euro Accident'!F7+'Ly Forsikring'!F7+'Youplus Livsforsikring'!F7+'Oslo Forsikring'!F7+'Knif Trygghet Forsikring'!F7</f>
        <v>2988485.3559699999</v>
      </c>
      <c r="F7" s="183">
        <f>Fremtind!G7+'DNB Livsforsikring'!G7+'Frende Livsforsikring'!G7+'Frende Skadeforsikring'!G7+'Gjensidige Forsikring'!G7+'Gjensidige Pensjon'!G7+'If Skadeforsikring NUF'!G7+KLP!G7+'KLP Skadeforsikring AS'!G7+'Landkreditt Forsikring AS'!G7+'Nordea Liv '!G7+'Oslo Pensjonsforsikring'!G7+'Protector Forsikring'!G7+'Sparebank 1 Fors.'!G7+'Storebrand Livsforsikring'!G7+'Telenor Forsikring'!G7+'Tryg Forsikring'!G7+'WaterCircles F'!G7+'Euro Accident'!G7+'Ly Forsikring'!G7+'Youplus Livsforsikring'!G7+'Oslo Forsikring'!G7+'Knif Trygghet Forsikring'!G7</f>
        <v>3757879.6639300003</v>
      </c>
      <c r="G7" s="119">
        <f t="shared" ref="G7:G12" si="1">IF(E7=0, "    ---- ", IF(ABS(ROUND(100/E7*F7-100,1))&lt;999,ROUND(100/E7*F7-100,1),IF(ROUND(100/E7*F7-100,1)&gt;999,999,-999)))</f>
        <v>25.7</v>
      </c>
      <c r="H7" s="224">
        <f t="shared" ref="H7:H12" si="2">B7+E7</f>
        <v>4996179.2086182553</v>
      </c>
      <c r="I7" s="225">
        <f t="shared" ref="I7:I12" si="3">C7+F7</f>
        <v>5856899.1589761171</v>
      </c>
      <c r="J7" s="127">
        <f t="shared" ref="J7:J12" si="4">IF(H7=0, "    ---- ", IF(ABS(ROUND(100/H7*I7-100,1))&lt;999,ROUND(100/H7*I7-100,1),IF(ROUND(100/H7*I7-100,1)&gt;999,999,-999)))</f>
        <v>17.2</v>
      </c>
    </row>
    <row r="8" spans="1:13" ht="15.75" customHeight="1" x14ac:dyDescent="0.25">
      <c r="A8" s="18" t="s">
        <v>170</v>
      </c>
      <c r="B8" s="36">
        <f>Fremtind!B8+'DNB Livsforsikring'!B8+'Frende Livsforsikring'!B8+'Frende Skadeforsikring'!B8+'Gjensidige Forsikring'!B8+'Gjensidige Pensjon'!B8+'If Skadeforsikring NUF'!B8+KLP!B8+'KLP Skadeforsikring AS'!B8+'Landkreditt Forsikring AS'!B8+'Nordea Liv '!B8+'Oslo Pensjonsforsikring'!B8+'Protector Forsikring'!B8+'Sparebank 1 Fors.'!B8+'Storebrand Livsforsikring'!B8+'Telenor Forsikring'!B8+'Tryg Forsikring'!B8+'WaterCircles F'!B8+'Euro Accident'!B8+'Ly Forsikring'!B8+'Youplus Livsforsikring'!B8+'Oslo Forsikring'!B8+'Knif Trygghet Forsikring'!B8</f>
        <v>1372619.4870149069</v>
      </c>
      <c r="C8" s="36">
        <f>Fremtind!C8+'DNB Livsforsikring'!C8+'Frende Livsforsikring'!C8+'Frende Skadeforsikring'!C8+'Gjensidige Forsikring'!C8+'Gjensidige Pensjon'!C8+'If Skadeforsikring NUF'!C8+KLP!C8+'KLP Skadeforsikring AS'!C8+'Landkreditt Forsikring AS'!C8+'Nordea Liv '!C8+'Oslo Pensjonsforsikring'!C8+'Protector Forsikring'!C8+'Sparebank 1 Fors.'!C8+'Storebrand Livsforsikring'!C8+'Telenor Forsikring'!C8+'Tryg Forsikring'!C8+'WaterCircles F'!C8+'Euro Accident'!C8+'Ly Forsikring'!C8+'Youplus Livsforsikring'!C8+'Oslo Forsikring'!C8+'Knif Trygghet Forsikring'!C8</f>
        <v>1435961.8633133143</v>
      </c>
      <c r="D8" s="123">
        <f t="shared" si="0"/>
        <v>4.5999999999999996</v>
      </c>
      <c r="E8" s="140"/>
      <c r="F8" s="140"/>
      <c r="G8" s="132"/>
      <c r="H8" s="141">
        <f t="shared" si="2"/>
        <v>1372619.4870149069</v>
      </c>
      <c r="I8" s="142">
        <f t="shared" si="3"/>
        <v>1435961.8633133143</v>
      </c>
      <c r="J8" s="127">
        <f t="shared" si="4"/>
        <v>4.5999999999999996</v>
      </c>
    </row>
    <row r="9" spans="1:13" ht="15.75" customHeight="1" x14ac:dyDescent="0.25">
      <c r="A9" s="18" t="s">
        <v>171</v>
      </c>
      <c r="B9" s="36">
        <f>Fremtind!B9+'DNB Livsforsikring'!B9+'Frende Livsforsikring'!B9+'Frende Skadeforsikring'!B9+'Gjensidige Forsikring'!B9+'Gjensidige Pensjon'!B9+'If Skadeforsikring NUF'!B9+KLP!B9+'KLP Skadeforsikring AS'!B9+'Landkreditt Forsikring AS'!B9+'Nordea Liv '!B9+'Oslo Pensjonsforsikring'!B9+'Protector Forsikring'!B9+'Sparebank 1 Fors.'!B9+'Storebrand Livsforsikring'!B9+'Telenor Forsikring'!B9+'Tryg Forsikring'!B9+'WaterCircles F'!B9+'Euro Accident'!B9+'Ly Forsikring'!B9+'Youplus Livsforsikring'!B9+'Oslo Forsikring'!B9+'Knif Trygghet Forsikring'!B9</f>
        <v>426012.06868028198</v>
      </c>
      <c r="C9" s="36">
        <f>Fremtind!C9+'DNB Livsforsikring'!C9+'Frende Livsforsikring'!C9+'Frende Skadeforsikring'!C9+'Gjensidige Forsikring'!C9+'Gjensidige Pensjon'!C9+'If Skadeforsikring NUF'!C9+KLP!C9+'KLP Skadeforsikring AS'!C9+'Landkreditt Forsikring AS'!C9+'Nordea Liv '!C9+'Oslo Pensjonsforsikring'!C9+'Protector Forsikring'!C9+'Sparebank 1 Fors.'!C9+'Storebrand Livsforsikring'!C9+'Telenor Forsikring'!C9+'Tryg Forsikring'!C9+'WaterCircles F'!C9+'Euro Accident'!C9+'Ly Forsikring'!C9+'Youplus Livsforsikring'!C9+'Oslo Forsikring'!C9+'Knif Trygghet Forsikring'!C9</f>
        <v>427307.67025864316</v>
      </c>
      <c r="D9" s="132">
        <f t="shared" si="0"/>
        <v>0.3</v>
      </c>
      <c r="E9" s="140"/>
      <c r="F9" s="140"/>
      <c r="G9" s="132"/>
      <c r="H9" s="141">
        <f t="shared" si="2"/>
        <v>426012.06868028198</v>
      </c>
      <c r="I9" s="142">
        <f t="shared" si="3"/>
        <v>427307.67025864316</v>
      </c>
      <c r="J9" s="127">
        <f t="shared" si="4"/>
        <v>0.3</v>
      </c>
    </row>
    <row r="10" spans="1:13" s="35" customFormat="1" ht="15.75" customHeight="1" x14ac:dyDescent="0.25">
      <c r="A10" s="10" t="s">
        <v>172</v>
      </c>
      <c r="B10" s="183">
        <f>Fremtind!B10+'DNB Livsforsikring'!B10+'Frende Livsforsikring'!B10+'Frende Skadeforsikring'!B10+'Gjensidige Forsikring'!B10+'Gjensidige Pensjon'!B10+'If Skadeforsikring NUF'!B10+KLP!B10+'KLP Skadeforsikring AS'!B10+'Landkreditt Forsikring AS'!B10+'Nordea Liv '!B10+'Oslo Pensjonsforsikring'!B10+'Protector Forsikring'!B10+'Sparebank 1 Fors.'!B10+'Storebrand Livsforsikring'!B10+'Telenor Forsikring'!B10+'Tryg Forsikring'!B10+'WaterCircles F'!B10+'Euro Accident'!B10+'Ly Forsikring'!B10+'Youplus Livsforsikring'!B10+'Oslo Forsikring'!B10+'Knif Trygghet Forsikring'!B10</f>
        <v>12653191.192621982</v>
      </c>
      <c r="C10" s="183">
        <f>Fremtind!C10+'DNB Livsforsikring'!C10+'Frende Livsforsikring'!C10+'Frende Skadeforsikring'!C10+'Gjensidige Forsikring'!C10+'Gjensidige Pensjon'!C10+'If Skadeforsikring NUF'!C10+KLP!C10+'KLP Skadeforsikring AS'!C10+'Landkreditt Forsikring AS'!C10+'Nordea Liv '!C10+'Oslo Pensjonsforsikring'!C10+'Protector Forsikring'!C10+'Sparebank 1 Fors.'!C10+'Storebrand Livsforsikring'!C10+'Telenor Forsikring'!C10+'Tryg Forsikring'!C10+'WaterCircles F'!C10+'Euro Accident'!C10+'Ly Forsikring'!C10+'Youplus Livsforsikring'!C10+'Oslo Forsikring'!C10+'Knif Trygghet Forsikring'!C10</f>
        <v>12775939.877392391</v>
      </c>
      <c r="D10" s="119">
        <f t="shared" si="0"/>
        <v>1</v>
      </c>
      <c r="E10" s="183">
        <f>Fremtind!F10+'DNB Livsforsikring'!F10+'Frende Livsforsikring'!F10+'Frende Skadeforsikring'!F10+'Gjensidige Forsikring'!F10+'Gjensidige Pensjon'!F10+'If Skadeforsikring NUF'!F10+KLP!F10+'KLP Skadeforsikring AS'!F10+'Landkreditt Forsikring AS'!F10+'Nordea Liv '!F10+'Oslo Pensjonsforsikring'!F10+'Protector Forsikring'!F10+'Sparebank 1 Fors.'!F10+'Storebrand Livsforsikring'!F10+'Telenor Forsikring'!F10+'Tryg Forsikring'!F10+'WaterCircles F'!F10+'Euro Accident'!F10+'Ly Forsikring'!F10+'Youplus Livsforsikring'!F10+'Oslo Forsikring'!F10+'Knif Trygghet Forsikring'!F10</f>
        <v>94510190.04756251</v>
      </c>
      <c r="F10" s="183">
        <f>Fremtind!G10+'DNB Livsforsikring'!G10+'Frende Livsforsikring'!G10+'Frende Skadeforsikring'!G10+'Gjensidige Forsikring'!G10+'Gjensidige Pensjon'!G10+'If Skadeforsikring NUF'!G10+KLP!G10+'KLP Skadeforsikring AS'!G10+'Landkreditt Forsikring AS'!G10+'Nordea Liv '!G10+'Oslo Pensjonsforsikring'!G10+'Protector Forsikring'!G10+'Sparebank 1 Fors.'!G10+'Storebrand Livsforsikring'!G10+'Telenor Forsikring'!G10+'Tryg Forsikring'!G10+'WaterCircles F'!G10+'Euro Accident'!G10+'Ly Forsikring'!G10+'Youplus Livsforsikring'!G10+'Oslo Forsikring'!G10+'Knif Trygghet Forsikring'!G10</f>
        <v>107676074.62078729</v>
      </c>
      <c r="G10" s="119">
        <f t="shared" si="1"/>
        <v>13.9</v>
      </c>
      <c r="H10" s="224">
        <f t="shared" si="2"/>
        <v>107163381.24018449</v>
      </c>
      <c r="I10" s="225">
        <f t="shared" si="3"/>
        <v>120452014.49817969</v>
      </c>
      <c r="J10" s="127">
        <f t="shared" si="4"/>
        <v>12.4</v>
      </c>
    </row>
    <row r="11" spans="1:13" s="35" customFormat="1" ht="15.75" customHeight="1" x14ac:dyDescent="0.25">
      <c r="A11" s="10" t="s">
        <v>173</v>
      </c>
      <c r="B11" s="183"/>
      <c r="C11" s="183"/>
      <c r="D11" s="127"/>
      <c r="E11" s="183">
        <f>Fremtind!F11+'DNB Livsforsikring'!F11+'Frende Livsforsikring'!F11+'Frende Skadeforsikring'!F11+'Gjensidige Forsikring'!F11+'Gjensidige Pensjon'!F11+'If Skadeforsikring NUF'!F11+KLP!F11+'KLP Skadeforsikring AS'!F11+'Landkreditt Forsikring AS'!F11+'Nordea Liv '!F11+'Oslo Pensjonsforsikring'!F11+'Protector Forsikring'!F11+'Sparebank 1 Fors.'!F11+'Storebrand Livsforsikring'!F11+'Telenor Forsikring'!F11+'Tryg Forsikring'!F11+'WaterCircles F'!F11+'Euro Accident'!F11+'Ly Forsikring'!F11+'Youplus Livsforsikring'!F11+'Oslo Forsikring'!F11+'Knif Trygghet Forsikring'!F11</f>
        <v>162532.77116999999</v>
      </c>
      <c r="F11" s="183">
        <f>Fremtind!G11+'DNB Livsforsikring'!G11+'Frende Livsforsikring'!G11+'Frende Skadeforsikring'!G11+'Gjensidige Forsikring'!G11+'Gjensidige Pensjon'!G11+'If Skadeforsikring NUF'!G11+KLP!G11+'KLP Skadeforsikring AS'!G11+'Landkreditt Forsikring AS'!G11+'Nordea Liv '!G11+'Oslo Pensjonsforsikring'!G11+'Protector Forsikring'!G11+'Sparebank 1 Fors.'!G11+'Storebrand Livsforsikring'!G11+'Telenor Forsikring'!G11+'Tryg Forsikring'!G11+'WaterCircles F'!G11+'Euro Accident'!G11+'Ly Forsikring'!G11+'Youplus Livsforsikring'!G11+'Oslo Forsikring'!G11+'Knif Trygghet Forsikring'!G11</f>
        <v>106958.19328999998</v>
      </c>
      <c r="G11" s="127">
        <f t="shared" si="1"/>
        <v>-34.200000000000003</v>
      </c>
      <c r="H11" s="224">
        <f t="shared" si="2"/>
        <v>162532.77116999999</v>
      </c>
      <c r="I11" s="225">
        <f t="shared" si="3"/>
        <v>106958.19328999998</v>
      </c>
      <c r="J11" s="127">
        <f t="shared" si="4"/>
        <v>-34.200000000000003</v>
      </c>
    </row>
    <row r="12" spans="1:13" s="35" customFormat="1" ht="15.75" customHeight="1" x14ac:dyDescent="0.25">
      <c r="A12" s="33" t="s">
        <v>174</v>
      </c>
      <c r="B12" s="223">
        <f>Fremtind!B12+'DNB Livsforsikring'!B12+'Frende Livsforsikring'!B12+'Frende Skadeforsikring'!B12+'Gjensidige Forsikring'!B12+'Gjensidige Pensjon'!B12+'If Skadeforsikring NUF'!B12+KLP!B12+'KLP Skadeforsikring AS'!B12+'Landkreditt Forsikring AS'!B12+'Nordea Liv '!B12+'Oslo Pensjonsforsikring'!B12+'Protector Forsikring'!B12+'Sparebank 1 Fors.'!B12+'Storebrand Livsforsikring'!B12+'Telenor Forsikring'!B12+'Tryg Forsikring'!B12+'WaterCircles F'!B12+'Euro Accident'!B12+'Ly Forsikring'!B12+'Youplus Livsforsikring'!B12+'Oslo Forsikring'!B12+'Knif Trygghet Forsikring'!B12</f>
        <v>0</v>
      </c>
      <c r="C12" s="223">
        <f>Fremtind!C12+'DNB Livsforsikring'!C12+'Frende Livsforsikring'!C12+'Frende Skadeforsikring'!C12+'Gjensidige Forsikring'!C12+'Gjensidige Pensjon'!C12+'If Skadeforsikring NUF'!C12+KLP!C12+'KLP Skadeforsikring AS'!C12+'Landkreditt Forsikring AS'!C12+'Nordea Liv '!C12+'Oslo Pensjonsforsikring'!C12+'Protector Forsikring'!C12+'Sparebank 1 Fors.'!C12+'Storebrand Livsforsikring'!C12+'Telenor Forsikring'!C12+'Tryg Forsikring'!C12+'WaterCircles F'!C12+'Euro Accident'!C12+'Ly Forsikring'!C12+'Youplus Livsforsikring'!C12+'Oslo Forsikring'!C12+'Knif Trygghet Forsikring'!C12</f>
        <v>-16431.795600000001</v>
      </c>
      <c r="D12" s="126" t="str">
        <f t="shared" si="0"/>
        <v xml:space="preserve">    ---- </v>
      </c>
      <c r="E12" s="223">
        <f>Fremtind!F12+'DNB Livsforsikring'!F12+'Frende Livsforsikring'!F12+'Frende Skadeforsikring'!F12+'Gjensidige Forsikring'!F12+'Gjensidige Pensjon'!F12+'If Skadeforsikring NUF'!F12+KLP!F12+'KLP Skadeforsikring AS'!F12+'Landkreditt Forsikring AS'!F12+'Nordea Liv '!F12+'Oslo Pensjonsforsikring'!F12+'Protector Forsikring'!F12+'Sparebank 1 Fors.'!F12+'Storebrand Livsforsikring'!F12+'Telenor Forsikring'!F12+'Tryg Forsikring'!F12+'WaterCircles F'!F12+'Euro Accident'!F12+'Ly Forsikring'!F12+'Youplus Livsforsikring'!F12+'Oslo Forsikring'!F12+'Knif Trygghet Forsikring'!F12</f>
        <v>217906.62864000001</v>
      </c>
      <c r="F12" s="223">
        <f>Fremtind!G12+'DNB Livsforsikring'!G12+'Frende Livsforsikring'!G12+'Frende Skadeforsikring'!G12+'Gjensidige Forsikring'!G12+'Gjensidige Pensjon'!G12+'If Skadeforsikring NUF'!G12+KLP!G12+'KLP Skadeforsikring AS'!G12+'Landkreditt Forsikring AS'!G12+'Nordea Liv '!G12+'Oslo Pensjonsforsikring'!G12+'Protector Forsikring'!G12+'Sparebank 1 Fors.'!G12+'Storebrand Livsforsikring'!G12+'Telenor Forsikring'!G12+'Tryg Forsikring'!G12+'WaterCircles F'!G12+'Euro Accident'!G12+'Ly Forsikring'!G12+'Youplus Livsforsikring'!G12+'Oslo Forsikring'!G12+'Knif Trygghet Forsikring'!G12</f>
        <v>125383.07923</v>
      </c>
      <c r="G12" s="125">
        <f t="shared" si="1"/>
        <v>-42.5</v>
      </c>
      <c r="H12" s="226">
        <f t="shared" si="2"/>
        <v>217906.62864000001</v>
      </c>
      <c r="I12" s="227">
        <f t="shared" si="3"/>
        <v>108951.28363000001</v>
      </c>
      <c r="J12" s="125">
        <f t="shared" si="4"/>
        <v>-50</v>
      </c>
    </row>
    <row r="13" spans="1:13" s="35" customFormat="1" ht="15.75" customHeight="1" x14ac:dyDescent="0.25">
      <c r="A13" s="107"/>
      <c r="B13" s="29"/>
      <c r="C13" s="3"/>
      <c r="D13" s="26"/>
      <c r="E13" s="29"/>
      <c r="F13" s="3"/>
      <c r="G13" s="26"/>
      <c r="H13" s="38"/>
      <c r="I13" s="38"/>
      <c r="J13" s="26"/>
    </row>
    <row r="14" spans="1:13" ht="15.75" customHeight="1" x14ac:dyDescent="0.25">
      <c r="A14" s="114" t="s">
        <v>175</v>
      </c>
    </row>
    <row r="15" spans="1:13" ht="15.75" customHeight="1" x14ac:dyDescent="0.25">
      <c r="A15" s="22"/>
    </row>
    <row r="16" spans="1:13" ht="15.75" customHeight="1" x14ac:dyDescent="0.3">
      <c r="A16" s="115"/>
      <c r="C16" s="24"/>
      <c r="D16" s="24"/>
      <c r="E16" s="24"/>
      <c r="F16" s="24"/>
      <c r="G16" s="24"/>
      <c r="H16" s="24"/>
      <c r="I16" s="24"/>
      <c r="J16" s="24"/>
    </row>
    <row r="17" spans="1:10" ht="15.75" customHeight="1" x14ac:dyDescent="0.3">
      <c r="A17" s="110" t="s">
        <v>176</v>
      </c>
      <c r="B17" s="24"/>
      <c r="C17" s="24"/>
      <c r="D17" s="25"/>
      <c r="E17" s="24"/>
      <c r="F17" s="24"/>
      <c r="G17" s="24"/>
      <c r="H17" s="24"/>
      <c r="I17" s="24"/>
      <c r="J17" s="24"/>
    </row>
    <row r="18" spans="1:10" ht="15.75" customHeight="1" x14ac:dyDescent="0.3">
      <c r="A18" s="22"/>
      <c r="B18" s="589"/>
      <c r="C18" s="589"/>
      <c r="D18" s="589"/>
      <c r="E18" s="589"/>
      <c r="F18" s="589"/>
      <c r="G18" s="589"/>
      <c r="H18" s="589"/>
      <c r="I18" s="589"/>
      <c r="J18" s="589"/>
    </row>
    <row r="19" spans="1:10" ht="15.75" customHeight="1" x14ac:dyDescent="0.25">
      <c r="A19" s="108"/>
      <c r="B19" s="586" t="s">
        <v>46</v>
      </c>
      <c r="C19" s="587"/>
      <c r="D19" s="587"/>
      <c r="E19" s="586" t="s">
        <v>69</v>
      </c>
      <c r="F19" s="587"/>
      <c r="G19" s="588"/>
      <c r="H19" s="587" t="s">
        <v>120</v>
      </c>
      <c r="I19" s="587"/>
      <c r="J19" s="588"/>
    </row>
    <row r="20" spans="1:10" ht="15.75" customHeight="1" x14ac:dyDescent="0.25">
      <c r="A20" s="105" t="s">
        <v>177</v>
      </c>
      <c r="B20" s="17" t="s">
        <v>418</v>
      </c>
      <c r="C20" s="17" t="s">
        <v>419</v>
      </c>
      <c r="D20" s="198" t="s">
        <v>167</v>
      </c>
      <c r="E20" s="17" t="s">
        <v>418</v>
      </c>
      <c r="F20" s="17" t="s">
        <v>419</v>
      </c>
      <c r="G20" s="198" t="s">
        <v>167</v>
      </c>
      <c r="H20" s="17" t="s">
        <v>418</v>
      </c>
      <c r="I20" s="17" t="s">
        <v>419</v>
      </c>
      <c r="J20" s="198" t="s">
        <v>167</v>
      </c>
    </row>
    <row r="21" spans="1:10" ht="15.75" customHeight="1" x14ac:dyDescent="0.25">
      <c r="A21" s="557"/>
      <c r="B21" s="12"/>
      <c r="C21" s="12"/>
      <c r="D21" s="14" t="s">
        <v>168</v>
      </c>
      <c r="E21" s="13"/>
      <c r="F21" s="13"/>
      <c r="G21" s="12" t="s">
        <v>168</v>
      </c>
      <c r="H21" s="13"/>
      <c r="I21" s="13"/>
      <c r="J21" s="12" t="s">
        <v>168</v>
      </c>
    </row>
    <row r="22" spans="1:10" s="35" customFormat="1" ht="15.75" customHeight="1" x14ac:dyDescent="0.25">
      <c r="A22" s="11" t="s">
        <v>169</v>
      </c>
      <c r="B22" s="183">
        <f>Fremtind!B22+'DNB Livsforsikring'!B22+'Frende Livsforsikring'!B22+'Frende Skadeforsikring'!B22+'Gjensidige Forsikring'!B22+'Gjensidige Pensjon'!B22+'If Skadeforsikring NUF'!B22+KLP!B22+'KLP Skadeforsikring AS'!B22+'Landkreditt Forsikring AS'!B22+'Nordea Liv '!B22+'Oslo Pensjonsforsikring'!B22+'Protector Forsikring'!B22+'Sparebank 1 Fors.'!B22+'Storebrand Livsforsikring'!B22+'Telenor Forsikring'!B22+'Tryg Forsikring'!B22+'WaterCircles F'!B22+'Euro Accident'!B22+'Ly Forsikring'!B22+'Youplus Livsforsikring'!B22+'Oslo Forsikring'!B22+'Knif Trygghet Forsikring'!B22</f>
        <v>992677.89621248806</v>
      </c>
      <c r="C22" s="183">
        <f>Fremtind!C22+'DNB Livsforsikring'!C22+'Frende Livsforsikring'!C22+'Frende Skadeforsikring'!C22+'Gjensidige Forsikring'!C22+'Gjensidige Pensjon'!C22+'If Skadeforsikring NUF'!C22+KLP!C22+'KLP Skadeforsikring AS'!C22+'Landkreditt Forsikring AS'!C22+'Nordea Liv '!C22+'Oslo Pensjonsforsikring'!C22+'Protector Forsikring'!C22+'Sparebank 1 Fors.'!C22+'Storebrand Livsforsikring'!C22+'Telenor Forsikring'!C22+'Tryg Forsikring'!C22+'WaterCircles F'!C22+'Euro Accident'!C22+'Ly Forsikring'!C22+'Youplus Livsforsikring'!C22+'Oslo Forsikring'!C22+'Knif Trygghet Forsikring'!C22</f>
        <v>1078054.3328327956</v>
      </c>
      <c r="D22" s="8">
        <f t="shared" ref="D22:D39" si="5">IF(B22=0, "    ---- ", IF(ABS(ROUND(100/B22*C22-100,1))&lt;999,ROUND(100/B22*C22-100,1),IF(ROUND(100/B22*C22-100,1)&gt;999,999,-999)))</f>
        <v>8.6</v>
      </c>
      <c r="E22" s="183">
        <f>Fremtind!F22+'DNB Livsforsikring'!F22+'Frende Livsforsikring'!F22+'Frende Skadeforsikring'!F22+'Gjensidige Forsikring'!F22+'Gjensidige Pensjon'!F22+'If Skadeforsikring NUF'!F22+KLP!F22+'KLP Skadeforsikring AS'!F22+'Landkreditt Forsikring AS'!F22+'Nordea Liv '!F22+'Oslo Pensjonsforsikring'!F22+'Protector Forsikring'!F22+'Sparebank 1 Fors.'!F22+'Storebrand Livsforsikring'!F22+'Telenor Forsikring'!F22+'Tryg Forsikring'!F22+'WaterCircles F'!F22+'Euro Accident'!F22+'Ly Forsikring'!F22+'Youplus Livsforsikring'!F22+'Oslo Forsikring'!F22+'Knif Trygghet Forsikring'!F22</f>
        <v>287527.38150000002</v>
      </c>
      <c r="F22" s="183">
        <f>Fremtind!G22+'DNB Livsforsikring'!G22+'Frende Livsforsikring'!G22+'Frende Skadeforsikring'!G22+'Gjensidige Forsikring'!G22+'Gjensidige Pensjon'!G22+'If Skadeforsikring NUF'!G22+KLP!G22+'KLP Skadeforsikring AS'!G22+'Landkreditt Forsikring AS'!G22+'Nordea Liv '!G22+'Oslo Pensjonsforsikring'!G22+'Protector Forsikring'!G22+'Sparebank 1 Fors.'!G22+'Storebrand Livsforsikring'!G22+'Telenor Forsikring'!G22+'Tryg Forsikring'!G22+'WaterCircles F'!G22+'Euro Accident'!G22+'Ly Forsikring'!G22+'Youplus Livsforsikring'!G22+'Oslo Forsikring'!G22+'Knif Trygghet Forsikring'!G22</f>
        <v>446345.47116999998</v>
      </c>
      <c r="G22" s="285">
        <f t="shared" ref="G22:G35" si="6">IF(E22=0, "    ---- ", IF(ABS(ROUND(100/E22*F22-100,1))&lt;999,ROUND(100/E22*F22-100,1),IF(ROUND(100/E22*F22-100,1)&gt;999,999,-999)))</f>
        <v>55.2</v>
      </c>
      <c r="H22" s="250">
        <f>SUM(B22,E22)</f>
        <v>1280205.2777124881</v>
      </c>
      <c r="I22" s="183">
        <f t="shared" ref="I22:I39" si="7">SUM(C22,F22)</f>
        <v>1524399.8040027956</v>
      </c>
      <c r="J22" s="21">
        <f t="shared" ref="J22:J39" si="8">IF(H22=0, "    ---- ", IF(ABS(ROUND(100/H22*I22-100,1))&lt;999,ROUND(100/H22*I22-100,1),IF(ROUND(100/H22*I22-100,1)&gt;999,999,-999)))</f>
        <v>19.100000000000001</v>
      </c>
    </row>
    <row r="23" spans="1:10" ht="15.75" customHeight="1" x14ac:dyDescent="0.25">
      <c r="A23" s="383" t="s">
        <v>178</v>
      </c>
      <c r="B23" s="36">
        <f>Fremtind!B23+'DNB Livsforsikring'!B23+'Frende Livsforsikring'!B23+'Frende Skadeforsikring'!B23+'Gjensidige Forsikring'!B23+'Gjensidige Pensjon'!B23+'If Skadeforsikring NUF'!B23+KLP!B23+'KLP Skadeforsikring AS'!B23+'Landkreditt Forsikring AS'!B23+'Nordea Liv '!B23+'Oslo Pensjonsforsikring'!B23+'Protector Forsikring'!B23+'Sparebank 1 Fors.'!B23+'Storebrand Livsforsikring'!B23+'Telenor Forsikring'!B23+'Tryg Forsikring'!B23+'WaterCircles F'!B23+'Euro Accident'!B23+'Ly Forsikring'!B23+'Youplus Livsforsikring'!B23+'Oslo Forsikring'!B23+'Knif Trygghet Forsikring'!B23</f>
        <v>729855.98136066901</v>
      </c>
      <c r="C23" s="36">
        <f>Fremtind!C23+'DNB Livsforsikring'!C23+'Frende Livsforsikring'!C23+'Frende Skadeforsikring'!C23+'Gjensidige Forsikring'!C23+'Gjensidige Pensjon'!C23+'If Skadeforsikring NUF'!C23+KLP!C23+'KLP Skadeforsikring AS'!C23+'Landkreditt Forsikring AS'!C23+'Nordea Liv '!C23+'Oslo Pensjonsforsikring'!C23+'Protector Forsikring'!C23+'Sparebank 1 Fors.'!C23+'Storebrand Livsforsikring'!C23+'Telenor Forsikring'!C23+'Tryg Forsikring'!C23+'WaterCircles F'!C23+'Euro Accident'!C23+'Ly Forsikring'!C23+'Youplus Livsforsikring'!C23+'Oslo Forsikring'!C23+'Knif Trygghet Forsikring'!C23</f>
        <v>798013.77482560708</v>
      </c>
      <c r="D23" s="23">
        <f>IF($A$1=4,IF(B23=0, "    ---- ", IF(ABS(ROUND(100/B23*C23-100,1))&lt;999,ROUND(100/B23*C23-100,1),IF(ROUND(100/B23*C23-100,1)&gt;999,999,-999))),"")</f>
        <v>9.3000000000000007</v>
      </c>
      <c r="E23" s="36">
        <f>Fremtind!F23+'DNB Livsforsikring'!F23+'Frende Livsforsikring'!F23+'Frende Skadeforsikring'!F23+'Gjensidige Forsikring'!F23+'Gjensidige Pensjon'!F23+'If Skadeforsikring NUF'!F23+KLP!F23+'KLP Skadeforsikring AS'!F23+'Landkreditt Forsikring AS'!F23+'Nordea Liv '!F23+'Oslo Pensjonsforsikring'!F23+'Protector Forsikring'!F23+'Sparebank 1 Fors.'!F23+'Storebrand Livsforsikring'!F23+'Telenor Forsikring'!F23+'Tryg Forsikring'!F23+'WaterCircles F'!F23+'Euro Accident'!F23+'Ly Forsikring'!F23+'Youplus Livsforsikring'!F23+'Oslo Forsikring'!F23+'Knif Trygghet Forsikring'!F23</f>
        <v>10635.979090000001</v>
      </c>
      <c r="F23" s="36">
        <f>Fremtind!G23+'DNB Livsforsikring'!G23+'Frende Livsforsikring'!G23+'Frende Skadeforsikring'!G23+'Gjensidige Forsikring'!G23+'Gjensidige Pensjon'!G23+'If Skadeforsikring NUF'!G23+KLP!G23+'KLP Skadeforsikring AS'!G23+'Landkreditt Forsikring AS'!G23+'Nordea Liv '!G23+'Oslo Pensjonsforsikring'!G23+'Protector Forsikring'!G23+'Sparebank 1 Fors.'!G23+'Storebrand Livsforsikring'!G23+'Telenor Forsikring'!G23+'Tryg Forsikring'!G23+'WaterCircles F'!G23+'Euro Accident'!G23+'Ly Forsikring'!G23+'Youplus Livsforsikring'!G23+'Oslo Forsikring'!G23+'Knif Trygghet Forsikring'!G23</f>
        <v>8652.5004200000003</v>
      </c>
      <c r="G23" s="123">
        <f>IF($A$1=4,IF(E23=0, "    ---- ", IF(ABS(ROUND(100/E23*F23-100,1))&lt;999,ROUND(100/E23*F23-100,1),IF(ROUND(100/E23*F23-100,1)&gt;999,999,-999))),"")</f>
        <v>-18.600000000000001</v>
      </c>
      <c r="H23" s="181">
        <f t="shared" ref="H23:H39" si="9">SUM(B23,E23)</f>
        <v>740491.96045066905</v>
      </c>
      <c r="I23" s="36">
        <f t="shared" si="7"/>
        <v>806666.27524560713</v>
      </c>
      <c r="J23" s="20">
        <f t="shared" si="8"/>
        <v>8.9</v>
      </c>
    </row>
    <row r="24" spans="1:10" ht="15.75" customHeight="1" x14ac:dyDescent="0.25">
      <c r="A24" s="383" t="s">
        <v>179</v>
      </c>
      <c r="B24" s="36">
        <f>Fremtind!B24+'DNB Livsforsikring'!B24+'Frende Livsforsikring'!B24+'Frende Skadeforsikring'!B24+'Gjensidige Forsikring'!B24+'Gjensidige Pensjon'!B24+'If Skadeforsikring NUF'!B24+KLP!B24+'KLP Skadeforsikring AS'!B24+'Landkreditt Forsikring AS'!B24+'Nordea Liv '!B24+'Oslo Pensjonsforsikring'!B24+'Protector Forsikring'!B24+'Sparebank 1 Fors.'!B24+'Storebrand Livsforsikring'!B24+'Telenor Forsikring'!B24+'Tryg Forsikring'!B24+'WaterCircles F'!B24+'Euro Accident'!B24+'Ly Forsikring'!B24+'Youplus Livsforsikring'!B24+'Oslo Forsikring'!B24+'Knif Trygghet Forsikring'!B24</f>
        <v>4749.9182818187574</v>
      </c>
      <c r="C24" s="36">
        <f>Fremtind!C24+'DNB Livsforsikring'!C24+'Frende Livsforsikring'!C24+'Frende Skadeforsikring'!C24+'Gjensidige Forsikring'!C24+'Gjensidige Pensjon'!C24+'If Skadeforsikring NUF'!C24+KLP!C24+'KLP Skadeforsikring AS'!C24+'Landkreditt Forsikring AS'!C24+'Nordea Liv '!C24+'Oslo Pensjonsforsikring'!C24+'Protector Forsikring'!C24+'Sparebank 1 Fors.'!C24+'Storebrand Livsforsikring'!C24+'Telenor Forsikring'!C24+'Tryg Forsikring'!C24+'WaterCircles F'!C24+'Euro Accident'!C24+'Ly Forsikring'!C24+'Youplus Livsforsikring'!C24+'Oslo Forsikring'!C24+'Knif Trygghet Forsikring'!C24</f>
        <v>3379.790080092369</v>
      </c>
      <c r="D24" s="23">
        <f t="shared" ref="D24:D25" si="10">IF($A$1=4,IF(B24=0, "    ---- ", IF(ABS(ROUND(100/B24*C24-100,1))&lt;999,ROUND(100/B24*C24-100,1),IF(ROUND(100/B24*C24-100,1)&gt;999,999,-999))),"")</f>
        <v>-28.8</v>
      </c>
      <c r="E24" s="36">
        <f>Fremtind!F24+'DNB Livsforsikring'!F24+'Frende Livsforsikring'!F24+'Frende Skadeforsikring'!F24+'Gjensidige Forsikring'!F24+'Gjensidige Pensjon'!F24+'If Skadeforsikring NUF'!F24+KLP!F24+'KLP Skadeforsikring AS'!F24+'Landkreditt Forsikring AS'!F24+'Nordea Liv '!F24+'Oslo Pensjonsforsikring'!F24+'Protector Forsikring'!F24+'Sparebank 1 Fors.'!F24+'Storebrand Livsforsikring'!F24+'Telenor Forsikring'!F24+'Tryg Forsikring'!F24+'WaterCircles F'!F24+'Euro Accident'!F24+'Ly Forsikring'!F24+'Youplus Livsforsikring'!F24+'Oslo Forsikring'!F24+'Knif Trygghet Forsikring'!F24</f>
        <v>6.6549700000000005</v>
      </c>
      <c r="F24" s="36">
        <f>Fremtind!G24+'DNB Livsforsikring'!G24+'Frende Livsforsikring'!G24+'Frende Skadeforsikring'!G24+'Gjensidige Forsikring'!G24+'Gjensidige Pensjon'!G24+'If Skadeforsikring NUF'!G24+KLP!G24+'KLP Skadeforsikring AS'!G24+'Landkreditt Forsikring AS'!G24+'Nordea Liv '!G24+'Oslo Pensjonsforsikring'!G24+'Protector Forsikring'!G24+'Sparebank 1 Fors.'!G24+'Storebrand Livsforsikring'!G24+'Telenor Forsikring'!G24+'Tryg Forsikring'!G24+'WaterCircles F'!G24+'Euro Accident'!G24+'Ly Forsikring'!G24+'Youplus Livsforsikring'!G24+'Oslo Forsikring'!G24+'Knif Trygghet Forsikring'!G24</f>
        <v>65.253500000000003</v>
      </c>
      <c r="G24" s="123">
        <f t="shared" ref="G24:G25" si="11">IF($A$1=4,IF(E24=0, "    ---- ", IF(ABS(ROUND(100/E24*F24-100,1))&lt;999,ROUND(100/E24*F24-100,1),IF(ROUND(100/E24*F24-100,1)&gt;999,999,-999))),"")</f>
        <v>880.5</v>
      </c>
      <c r="H24" s="181">
        <f t="shared" si="9"/>
        <v>4756.5732518187569</v>
      </c>
      <c r="I24" s="36">
        <f t="shared" si="7"/>
        <v>3445.0435800923688</v>
      </c>
      <c r="J24" s="8">
        <f t="shared" si="8"/>
        <v>-27.6</v>
      </c>
    </row>
    <row r="25" spans="1:10" ht="15.75" customHeight="1" x14ac:dyDescent="0.25">
      <c r="A25" s="383" t="s">
        <v>180</v>
      </c>
      <c r="B25" s="36">
        <f>Fremtind!B25+'DNB Livsforsikring'!B25+'Frende Livsforsikring'!B25+'Frende Skadeforsikring'!B25+'Gjensidige Forsikring'!B25+'Gjensidige Pensjon'!B25+'If Skadeforsikring NUF'!B25+KLP!B25+'KLP Skadeforsikring AS'!B25+'Landkreditt Forsikring AS'!B25+'Nordea Liv '!B25+'Oslo Pensjonsforsikring'!B25+'Protector Forsikring'!B25+'Sparebank 1 Fors.'!B25+'Storebrand Livsforsikring'!B25+'Telenor Forsikring'!B25+'Tryg Forsikring'!B25+'WaterCircles F'!B25+'Euro Accident'!B25+'Ly Forsikring'!B25+'Youplus Livsforsikring'!B25+'Oslo Forsikring'!B25+'Knif Trygghet Forsikring'!B25</f>
        <v>5630.85</v>
      </c>
      <c r="C25" s="36">
        <f>Fremtind!C25+'DNB Livsforsikring'!C25+'Frende Livsforsikring'!C25+'Frende Skadeforsikring'!C25+'Gjensidige Forsikring'!C25+'Gjensidige Pensjon'!C25+'If Skadeforsikring NUF'!C25+KLP!C25+'KLP Skadeforsikring AS'!C25+'Landkreditt Forsikring AS'!C25+'Nordea Liv '!C25+'Oslo Pensjonsforsikring'!C25+'Protector Forsikring'!C25+'Sparebank 1 Fors.'!C25+'Storebrand Livsforsikring'!C25+'Telenor Forsikring'!C25+'Tryg Forsikring'!C25+'WaterCircles F'!C25+'Euro Accident'!C25+'Ly Forsikring'!C25+'Youplus Livsforsikring'!C25+'Oslo Forsikring'!C25+'Knif Trygghet Forsikring'!C25</f>
        <v>4335.6052470961204</v>
      </c>
      <c r="D25" s="23">
        <f t="shared" si="10"/>
        <v>-23</v>
      </c>
      <c r="E25" s="36">
        <f>Fremtind!F25+'DNB Livsforsikring'!F25+'Frende Livsforsikring'!F25+'Frende Skadeforsikring'!F25+'Gjensidige Forsikring'!F25+'Gjensidige Pensjon'!F25+'If Skadeforsikring NUF'!F25+KLP!F25+'KLP Skadeforsikring AS'!F25+'Landkreditt Forsikring AS'!F25+'Nordea Liv '!F25+'Oslo Pensjonsforsikring'!F25+'Protector Forsikring'!F25+'Sparebank 1 Fors.'!F25+'Storebrand Livsforsikring'!F25+'Telenor Forsikring'!F25+'Tryg Forsikring'!F25+'WaterCircles F'!F25+'Euro Accident'!F25+'Ly Forsikring'!F25+'Youplus Livsforsikring'!F25+'Oslo Forsikring'!F25+'Knif Trygghet Forsikring'!F25</f>
        <v>3394.6292899999999</v>
      </c>
      <c r="F25" s="36">
        <f>Fremtind!G25+'DNB Livsforsikring'!G25+'Frende Livsforsikring'!G25+'Frende Skadeforsikring'!G25+'Gjensidige Forsikring'!G25+'Gjensidige Pensjon'!G25+'If Skadeforsikring NUF'!G25+KLP!G25+'KLP Skadeforsikring AS'!G25+'Landkreditt Forsikring AS'!G25+'Nordea Liv '!G25+'Oslo Pensjonsforsikring'!G25+'Protector Forsikring'!G25+'Sparebank 1 Fors.'!G25+'Storebrand Livsforsikring'!G25+'Telenor Forsikring'!G25+'Tryg Forsikring'!G25+'WaterCircles F'!G25+'Euro Accident'!G25+'Ly Forsikring'!G25+'Youplus Livsforsikring'!G25+'Oslo Forsikring'!G25+'Knif Trygghet Forsikring'!G25</f>
        <v>7059.0852500000001</v>
      </c>
      <c r="G25" s="123">
        <f t="shared" si="11"/>
        <v>107.9</v>
      </c>
      <c r="H25" s="181">
        <f t="shared" si="9"/>
        <v>9025.4792899999993</v>
      </c>
      <c r="I25" s="36">
        <f t="shared" si="7"/>
        <v>11394.69049709612</v>
      </c>
      <c r="J25" s="23">
        <f t="shared" si="8"/>
        <v>26.3</v>
      </c>
    </row>
    <row r="26" spans="1:10" ht="15.75" customHeight="1" x14ac:dyDescent="0.25">
      <c r="A26" s="383" t="s">
        <v>181</v>
      </c>
      <c r="B26" s="36"/>
      <c r="C26" s="36"/>
      <c r="D26" s="23"/>
      <c r="E26" s="36">
        <f>Fremtind!F26+'DNB Livsforsikring'!F26+'Frende Livsforsikring'!F26+'Frende Skadeforsikring'!F26+'Gjensidige Forsikring'!F26+'Gjensidige Pensjon'!F26+'If Skadeforsikring NUF'!F26+KLP!F26+'KLP Skadeforsikring AS'!F26+'Landkreditt Forsikring AS'!F26+'Nordea Liv '!F26+'Oslo Pensjonsforsikring'!F26+'Protector Forsikring'!F26+'Sparebank 1 Fors.'!F26+'Storebrand Livsforsikring'!F26+'Telenor Forsikring'!F26+'Tryg Forsikring'!F26+'WaterCircles F'!F26+'Euro Accident'!F26+'Ly Forsikring'!F26+'Youplus Livsforsikring'!F26+'Oslo Forsikring'!F26+'Knif Trygghet Forsikring'!F26</f>
        <v>273490.11814999999</v>
      </c>
      <c r="F26" s="36">
        <f>Fremtind!G26+'DNB Livsforsikring'!G26+'Frende Livsforsikring'!G26+'Frende Skadeforsikring'!G26+'Gjensidige Forsikring'!G26+'Gjensidige Pensjon'!G26+'If Skadeforsikring NUF'!G26+KLP!G26+'KLP Skadeforsikring AS'!G26+'Landkreditt Forsikring AS'!G26+'Nordea Liv '!G26+'Oslo Pensjonsforsikring'!G26+'Protector Forsikring'!G26+'Sparebank 1 Fors.'!G26+'Storebrand Livsforsikring'!G26+'Telenor Forsikring'!G26+'Tryg Forsikring'!G26+'WaterCircles F'!G26+'Euro Accident'!G26+'Ly Forsikring'!G26+'Youplus Livsforsikring'!G26+'Oslo Forsikring'!G26+'Knif Trygghet Forsikring'!G26</f>
        <v>430568.63199999998</v>
      </c>
      <c r="G26" s="123">
        <f t="shared" ref="G26" si="12">IF($A$1=4,IF(E26=0, "    ---- ", IF(ABS(ROUND(100/E26*F26-100,1))&lt;999,ROUND(100/E26*F26-100,1),IF(ROUND(100/E26*F26-100,1)&gt;999,999,-999))),"")</f>
        <v>57.4</v>
      </c>
      <c r="H26" s="181">
        <f>SUM(B26,E26)</f>
        <v>273490.11814999999</v>
      </c>
      <c r="I26" s="36">
        <f t="shared" ref="I26" si="13">SUM(C26,F26)</f>
        <v>430568.63199999998</v>
      </c>
      <c r="J26" s="23">
        <f>IF(H26=0, "    ---- ", IF(ABS(ROUND(100/H26*I26-100,1))&lt;999,ROUND(100/H26*I26-100,1),IF(ROUND(100/H26*I26-100,1)&gt;999,999,-999)))</f>
        <v>57.4</v>
      </c>
    </row>
    <row r="27" spans="1:10" ht="15.75" customHeight="1" x14ac:dyDescent="0.25">
      <c r="A27" s="382" t="s">
        <v>182</v>
      </c>
      <c r="B27" s="36"/>
      <c r="C27" s="36"/>
      <c r="D27" s="23"/>
      <c r="E27" s="36"/>
      <c r="F27" s="36"/>
      <c r="G27" s="123"/>
      <c r="H27" s="181"/>
      <c r="I27" s="36"/>
      <c r="J27" s="23"/>
    </row>
    <row r="28" spans="1:10" ht="15.75" customHeight="1" x14ac:dyDescent="0.25">
      <c r="A28" s="39" t="s">
        <v>183</v>
      </c>
      <c r="B28" s="36">
        <f>Fremtind!B28+'DNB Livsforsikring'!B28+'Frende Livsforsikring'!B28+'Frende Skadeforsikring'!B28+'Gjensidige Forsikring'!B28+'Gjensidige Pensjon'!B28+'If Skadeforsikring NUF'!B28+KLP!B28+'KLP Skadeforsikring AS'!B28+'Landkreditt Forsikring AS'!B28+'Nordea Liv '!B28+'Oslo Pensjonsforsikring'!B28+'Protector Forsikring'!B28+'Sparebank 1 Fors.'!B28+'Storebrand Livsforsikring'!B28+'Telenor Forsikring'!B28+'Tryg Forsikring'!B28+'WaterCircles F'!B28+'Euro Accident'!B28+'Ly Forsikring'!B28+'Youplus Livsforsikring'!B28+'Oslo Forsikring'!B28+'Knif Trygghet Forsikring'!B28</f>
        <v>1191160.7944078627</v>
      </c>
      <c r="C28" s="36">
        <f>Fremtind!C28+'DNB Livsforsikring'!C28+'Frende Livsforsikring'!C28+'Frende Skadeforsikring'!C28+'Gjensidige Forsikring'!C28+'Gjensidige Pensjon'!C28+'If Skadeforsikring NUF'!C28+KLP!C28+'KLP Skadeforsikring AS'!C28+'Landkreditt Forsikring AS'!C28+'Nordea Liv '!C28+'Oslo Pensjonsforsikring'!C28+'Protector Forsikring'!C28+'Sparebank 1 Fors.'!C28+'Storebrand Livsforsikring'!C28+'Telenor Forsikring'!C28+'Tryg Forsikring'!C28+'WaterCircles F'!C28+'Euro Accident'!C28+'Ly Forsikring'!C28+'Youplus Livsforsikring'!C28+'Oslo Forsikring'!C28+'Knif Trygghet Forsikring'!C28</f>
        <v>1347885.6132454872</v>
      </c>
      <c r="D28" s="20">
        <f t="shared" si="5"/>
        <v>13.2</v>
      </c>
      <c r="E28" s="140"/>
      <c r="F28" s="140"/>
      <c r="G28" s="123"/>
      <c r="H28" s="181">
        <f t="shared" si="9"/>
        <v>1191160.7944078627</v>
      </c>
      <c r="I28" s="36">
        <f t="shared" si="7"/>
        <v>1347885.6132454872</v>
      </c>
      <c r="J28" s="20">
        <f t="shared" si="8"/>
        <v>13.2</v>
      </c>
    </row>
    <row r="29" spans="1:10" s="35" customFormat="1" ht="15.75" customHeight="1" x14ac:dyDescent="0.25">
      <c r="A29" s="10" t="s">
        <v>184</v>
      </c>
      <c r="B29" s="183">
        <f>Fremtind!B29+'DNB Livsforsikring'!B29+'Frende Livsforsikring'!B29+'Frende Skadeforsikring'!B29+'Gjensidige Forsikring'!B29+'Gjensidige Pensjon'!B29+'If Skadeforsikring NUF'!B29+KLP!B29+'KLP Skadeforsikring AS'!B29+'Landkreditt Forsikring AS'!B29+'Nordea Liv '!B29+'Oslo Pensjonsforsikring'!B29+'Protector Forsikring'!B29+'Sparebank 1 Fors.'!B29+'Storebrand Livsforsikring'!B29+'Telenor Forsikring'!B29+'Tryg Forsikring'!B29+'WaterCircles F'!B29+'Euro Accident'!B29+'Ly Forsikring'!B29+'Youplus Livsforsikring'!B29+'Oslo Forsikring'!B29+'Knif Trygghet Forsikring'!B29</f>
        <v>44006076.134077512</v>
      </c>
      <c r="C29" s="183">
        <f>Fremtind!C29+'DNB Livsforsikring'!C29+'Frende Livsforsikring'!C29+'Frende Skadeforsikring'!C29+'Gjensidige Forsikring'!C29+'Gjensidige Pensjon'!C29+'If Skadeforsikring NUF'!C29+KLP!C29+'KLP Skadeforsikring AS'!C29+'Landkreditt Forsikring AS'!C29+'Nordea Liv '!C29+'Oslo Pensjonsforsikring'!C29+'Protector Forsikring'!C29+'Sparebank 1 Fors.'!C29+'Storebrand Livsforsikring'!C29+'Telenor Forsikring'!C29+'Tryg Forsikring'!C29+'WaterCircles F'!C29+'Euro Accident'!C29+'Ly Forsikring'!C29+'Youplus Livsforsikring'!C29+'Oslo Forsikring'!C29+'Knif Trygghet Forsikring'!C29</f>
        <v>44504845.872325547</v>
      </c>
      <c r="D29" s="21">
        <f t="shared" si="5"/>
        <v>1.1000000000000001</v>
      </c>
      <c r="E29" s="250">
        <f>Fremtind!F29+'DNB Livsforsikring'!F29+'Frende Livsforsikring'!F29+'Frende Skadeforsikring'!F29+'Gjensidige Forsikring'!F29+'Gjensidige Pensjon'!F29+'If Skadeforsikring NUF'!F29+KLP!F29+'KLP Skadeforsikring AS'!F29+'Landkreditt Forsikring AS'!F29+'Nordea Liv '!F29+'Oslo Pensjonsforsikring'!F29+'Protector Forsikring'!F29+'Sparebank 1 Fors.'!F29+'Storebrand Livsforsikring'!F29+'Telenor Forsikring'!F29+'Tryg Forsikring'!F29+'WaterCircles F'!F29+'Euro Accident'!F29+'Ly Forsikring'!F29+'Youplus Livsforsikring'!F29+'Oslo Forsikring'!F29+'Knif Trygghet Forsikring'!F29</f>
        <v>28605602.015649192</v>
      </c>
      <c r="F29" s="250">
        <f>Fremtind!G29+'DNB Livsforsikring'!G29+'Frende Livsforsikring'!G29+'Frende Skadeforsikring'!G29+'Gjensidige Forsikring'!G29+'Gjensidige Pensjon'!G29+'If Skadeforsikring NUF'!G29+KLP!G29+'KLP Skadeforsikring AS'!G29+'Landkreditt Forsikring AS'!G29+'Nordea Liv '!G29+'Oslo Pensjonsforsikring'!G29+'Protector Forsikring'!G29+'Sparebank 1 Fors.'!G29+'Storebrand Livsforsikring'!G29+'Telenor Forsikring'!G29+'Tryg Forsikring'!G29+'WaterCircles F'!G29+'Euro Accident'!G29+'Ly Forsikring'!G29+'Youplus Livsforsikring'!G29+'Oslo Forsikring'!G29+'Knif Trygghet Forsikring'!G29</f>
        <v>31182335.228054419</v>
      </c>
      <c r="G29" s="127">
        <f t="shared" si="6"/>
        <v>9</v>
      </c>
      <c r="H29" s="250">
        <f t="shared" si="9"/>
        <v>72611678.149726704</v>
      </c>
      <c r="I29" s="183">
        <f t="shared" si="7"/>
        <v>75687181.100379974</v>
      </c>
      <c r="J29" s="21">
        <f t="shared" si="8"/>
        <v>4.2</v>
      </c>
    </row>
    <row r="30" spans="1:10" ht="15.75" customHeight="1" x14ac:dyDescent="0.25">
      <c r="A30" s="383" t="s">
        <v>178</v>
      </c>
      <c r="B30" s="36">
        <f>Fremtind!B30+'DNB Livsforsikring'!B30+'Frende Livsforsikring'!B30+'Frende Skadeforsikring'!B30+'Gjensidige Forsikring'!B30+'Gjensidige Pensjon'!B30+'If Skadeforsikring NUF'!B30+KLP!B30+'KLP Skadeforsikring AS'!B30+'Landkreditt Forsikring AS'!B30+'Nordea Liv '!B30+'Oslo Pensjonsforsikring'!B30+'Protector Forsikring'!B30+'Sparebank 1 Fors.'!B30+'Storebrand Livsforsikring'!B30+'Telenor Forsikring'!B30+'Tryg Forsikring'!B30+'WaterCircles F'!B30+'Euro Accident'!B30+'Ly Forsikring'!B30+'Youplus Livsforsikring'!B30+'Oslo Forsikring'!B30+'Knif Trygghet Forsikring'!B30</f>
        <v>18757047.829261642</v>
      </c>
      <c r="C30" s="36">
        <f>Fremtind!C30+'DNB Livsforsikring'!C30+'Frende Livsforsikring'!C30+'Frende Skadeforsikring'!C30+'Gjensidige Forsikring'!C30+'Gjensidige Pensjon'!C30+'If Skadeforsikring NUF'!C30+KLP!C30+'KLP Skadeforsikring AS'!C30+'Landkreditt Forsikring AS'!C30+'Nordea Liv '!C30+'Oslo Pensjonsforsikring'!C30+'Protector Forsikring'!C30+'Sparebank 1 Fors.'!C30+'Storebrand Livsforsikring'!C30+'Telenor Forsikring'!C30+'Tryg Forsikring'!C30+'WaterCircles F'!C30+'Euro Accident'!C30+'Ly Forsikring'!C30+'Youplus Livsforsikring'!C30+'Oslo Forsikring'!C30+'Knif Trygghet Forsikring'!C30</f>
        <v>19898021.044961333</v>
      </c>
      <c r="D30" s="23">
        <f t="shared" ref="D30:D32" si="14">IF($A$1=4,IF(B30=0, "    ---- ", IF(ABS(ROUND(100/B30*C30-100,1))&lt;999,ROUND(100/B30*C30-100,1),IF(ROUND(100/B30*C30-100,1)&gt;999,999,-999))),"")</f>
        <v>6.1</v>
      </c>
      <c r="E30" s="36">
        <f>Fremtind!F30+'DNB Livsforsikring'!F30+'Frende Livsforsikring'!F30+'Frende Skadeforsikring'!F30+'Gjensidige Forsikring'!F30+'Gjensidige Pensjon'!F30+'If Skadeforsikring NUF'!F30+KLP!F30+'KLP Skadeforsikring AS'!F30+'Landkreditt Forsikring AS'!F30+'Nordea Liv '!F30+'Oslo Pensjonsforsikring'!F30+'Protector Forsikring'!F30+'Sparebank 1 Fors.'!F30+'Storebrand Livsforsikring'!F30+'Telenor Forsikring'!F30+'Tryg Forsikring'!F30+'WaterCircles F'!F30+'Euro Accident'!F30+'Ly Forsikring'!F30+'Youplus Livsforsikring'!F30+'Oslo Forsikring'!F30+'Knif Trygghet Forsikring'!F30</f>
        <v>3565011.4280892941</v>
      </c>
      <c r="F30" s="36">
        <f>Fremtind!G30+'DNB Livsforsikring'!G30+'Frende Livsforsikring'!G30+'Frende Skadeforsikring'!G30+'Gjensidige Forsikring'!G30+'Gjensidige Pensjon'!G30+'If Skadeforsikring NUF'!G30+KLP!G30+'KLP Skadeforsikring AS'!G30+'Landkreditt Forsikring AS'!G30+'Nordea Liv '!G30+'Oslo Pensjonsforsikring'!G30+'Protector Forsikring'!G30+'Sparebank 1 Fors.'!G30+'Storebrand Livsforsikring'!G30+'Telenor Forsikring'!G30+'Tryg Forsikring'!G30+'WaterCircles F'!G30+'Euro Accident'!G30+'Ly Forsikring'!G30+'Youplus Livsforsikring'!G30+'Oslo Forsikring'!G30+'Knif Trygghet Forsikring'!G30</f>
        <v>3547309.1142467554</v>
      </c>
      <c r="G30" s="123">
        <f t="shared" ref="G30:G32" si="15">IF($A$1=4,IF(E30=0, "    ---- ", IF(ABS(ROUND(100/E30*F30-100,1))&lt;999,ROUND(100/E30*F30-100,1),IF(ROUND(100/E30*F30-100,1)&gt;999,999,-999))),"")</f>
        <v>-0.5</v>
      </c>
      <c r="H30" s="181">
        <f t="shared" si="9"/>
        <v>22322059.257350937</v>
      </c>
      <c r="I30" s="36">
        <f t="shared" si="7"/>
        <v>23445330.159208089</v>
      </c>
      <c r="J30" s="20">
        <f t="shared" si="8"/>
        <v>5</v>
      </c>
    </row>
    <row r="31" spans="1:10" ht="15.75" customHeight="1" x14ac:dyDescent="0.25">
      <c r="A31" s="383" t="s">
        <v>179</v>
      </c>
      <c r="B31" s="36">
        <f>Fremtind!B31+'DNB Livsforsikring'!B31+'Frende Livsforsikring'!B31+'Frende Skadeforsikring'!B31+'Gjensidige Forsikring'!B31+'Gjensidige Pensjon'!B31+'If Skadeforsikring NUF'!B31+KLP!B31+'KLP Skadeforsikring AS'!B31+'Landkreditt Forsikring AS'!B31+'Nordea Liv '!B31+'Oslo Pensjonsforsikring'!B31+'Protector Forsikring'!B31+'Sparebank 1 Fors.'!B31+'Storebrand Livsforsikring'!B31+'Telenor Forsikring'!B31+'Tryg Forsikring'!B31+'WaterCircles F'!B31+'Euro Accident'!B31+'Ly Forsikring'!B31+'Youplus Livsforsikring'!B31+'Oslo Forsikring'!B31+'Knif Trygghet Forsikring'!B31</f>
        <v>22754346.53195408</v>
      </c>
      <c r="C31" s="36">
        <f>Fremtind!C31+'DNB Livsforsikring'!C31+'Frende Livsforsikring'!C31+'Frende Skadeforsikring'!C31+'Gjensidige Forsikring'!C31+'Gjensidige Pensjon'!C31+'If Skadeforsikring NUF'!C31+KLP!C31+'KLP Skadeforsikring AS'!C31+'Landkreditt Forsikring AS'!C31+'Nordea Liv '!C31+'Oslo Pensjonsforsikring'!C31+'Protector Forsikring'!C31+'Sparebank 1 Fors.'!C31+'Storebrand Livsforsikring'!C31+'Telenor Forsikring'!C31+'Tryg Forsikring'!C31+'WaterCircles F'!C31+'Euro Accident'!C31+'Ly Forsikring'!C31+'Youplus Livsforsikring'!C31+'Oslo Forsikring'!C31+'Knif Trygghet Forsikring'!C31</f>
        <v>21580173.01351583</v>
      </c>
      <c r="D31" s="23">
        <f t="shared" si="14"/>
        <v>-5.2</v>
      </c>
      <c r="E31" s="36">
        <f>Fremtind!F31+'DNB Livsforsikring'!F31+'Frende Livsforsikring'!F31+'Frende Skadeforsikring'!F31+'Gjensidige Forsikring'!F31+'Gjensidige Pensjon'!F31+'If Skadeforsikring NUF'!F31+KLP!F31+'KLP Skadeforsikring AS'!F31+'Landkreditt Forsikring AS'!F31+'Nordea Liv '!F31+'Oslo Pensjonsforsikring'!F31+'Protector Forsikring'!F31+'Sparebank 1 Fors.'!F31+'Storebrand Livsforsikring'!F31+'Telenor Forsikring'!F31+'Tryg Forsikring'!F31+'WaterCircles F'!F31+'Euro Accident'!F31+'Ly Forsikring'!F31+'Youplus Livsforsikring'!F31+'Oslo Forsikring'!F31+'Knif Trygghet Forsikring'!F31</f>
        <v>7119709.8593687583</v>
      </c>
      <c r="F31" s="36">
        <f>Fremtind!G31+'DNB Livsforsikring'!G31+'Frende Livsforsikring'!G31+'Frende Skadeforsikring'!G31+'Gjensidige Forsikring'!G31+'Gjensidige Pensjon'!G31+'If Skadeforsikring NUF'!G31+KLP!G31+'KLP Skadeforsikring AS'!G31+'Landkreditt Forsikring AS'!G31+'Nordea Liv '!G31+'Oslo Pensjonsforsikring'!G31+'Protector Forsikring'!G31+'Sparebank 1 Fors.'!G31+'Storebrand Livsforsikring'!G31+'Telenor Forsikring'!G31+'Tryg Forsikring'!G31+'WaterCircles F'!G31+'Euro Accident'!G31+'Ly Forsikring'!G31+'Youplus Livsforsikring'!G31+'Oslo Forsikring'!G31+'Knif Trygghet Forsikring'!G31</f>
        <v>7003185.2148097418</v>
      </c>
      <c r="G31" s="123">
        <f t="shared" si="15"/>
        <v>-1.6</v>
      </c>
      <c r="H31" s="181">
        <f t="shared" si="9"/>
        <v>29874056.391322836</v>
      </c>
      <c r="I31" s="36">
        <f t="shared" si="7"/>
        <v>28583358.228325572</v>
      </c>
      <c r="J31" s="20">
        <f t="shared" si="8"/>
        <v>-4.3</v>
      </c>
    </row>
    <row r="32" spans="1:10" ht="15.75" customHeight="1" x14ac:dyDescent="0.25">
      <c r="A32" s="383" t="s">
        <v>180</v>
      </c>
      <c r="B32" s="36">
        <f>Fremtind!B32+'DNB Livsforsikring'!B32+'Frende Livsforsikring'!B32+'Frende Skadeforsikring'!B32+'Gjensidige Forsikring'!B32+'Gjensidige Pensjon'!B32+'If Skadeforsikring NUF'!B32+KLP!B32+'KLP Skadeforsikring AS'!B32+'Landkreditt Forsikring AS'!B32+'Nordea Liv '!B32+'Oslo Pensjonsforsikring'!B32+'Protector Forsikring'!B32+'Sparebank 1 Fors.'!B32+'Storebrand Livsforsikring'!B32+'Telenor Forsikring'!B32+'Tryg Forsikring'!B32+'WaterCircles F'!B32+'Euro Accident'!B32+'Ly Forsikring'!B32+'Youplus Livsforsikring'!B32+'Oslo Forsikring'!B32+'Knif Trygghet Forsikring'!B32</f>
        <v>2348242.3398618102</v>
      </c>
      <c r="C32" s="36">
        <f>Fremtind!C32+'DNB Livsforsikring'!C32+'Frende Livsforsikring'!C32+'Frende Skadeforsikring'!C32+'Gjensidige Forsikring'!C32+'Gjensidige Pensjon'!C32+'If Skadeforsikring NUF'!C32+KLP!C32+'KLP Skadeforsikring AS'!C32+'Landkreditt Forsikring AS'!C32+'Nordea Liv '!C32+'Oslo Pensjonsforsikring'!C32+'Protector Forsikring'!C32+'Sparebank 1 Fors.'!C32+'Storebrand Livsforsikring'!C32+'Telenor Forsikring'!C32+'Tryg Forsikring'!C32+'WaterCircles F'!C32+'Euro Accident'!C32+'Ly Forsikring'!C32+'Youplus Livsforsikring'!C32+'Oslo Forsikring'!C32+'Knif Trygghet Forsikring'!C32</f>
        <v>2795621.8438484203</v>
      </c>
      <c r="D32" s="23">
        <f t="shared" si="14"/>
        <v>19.100000000000001</v>
      </c>
      <c r="E32" s="36">
        <f>Fremtind!F32+'DNB Livsforsikring'!F32+'Frende Livsforsikring'!F32+'Frende Skadeforsikring'!F32+'Gjensidige Forsikring'!F32+'Gjensidige Pensjon'!F32+'If Skadeforsikring NUF'!F32+KLP!F32+'KLP Skadeforsikring AS'!F32+'Landkreditt Forsikring AS'!F32+'Nordea Liv '!F32+'Oslo Pensjonsforsikring'!F32+'Protector Forsikring'!F32+'Sparebank 1 Fors.'!F32+'Storebrand Livsforsikring'!F32+'Telenor Forsikring'!F32+'Tryg Forsikring'!F32+'WaterCircles F'!F32+'Euro Accident'!F32+'Ly Forsikring'!F32+'Youplus Livsforsikring'!F32+'Oslo Forsikring'!F32+'Knif Trygghet Forsikring'!F32</f>
        <v>6666628.3887224458</v>
      </c>
      <c r="F32" s="36">
        <f>Fremtind!G32+'DNB Livsforsikring'!G32+'Frende Livsforsikring'!G32+'Frende Skadeforsikring'!G32+'Gjensidige Forsikring'!G32+'Gjensidige Pensjon'!G32+'If Skadeforsikring NUF'!G32+KLP!G32+'KLP Skadeforsikring AS'!G32+'Landkreditt Forsikring AS'!G32+'Nordea Liv '!G32+'Oslo Pensjonsforsikring'!G32+'Protector Forsikring'!G32+'Sparebank 1 Fors.'!G32+'Storebrand Livsforsikring'!G32+'Telenor Forsikring'!G32+'Tryg Forsikring'!G32+'WaterCircles F'!G32+'Euro Accident'!G32+'Ly Forsikring'!G32+'Youplus Livsforsikring'!G32+'Oslo Forsikring'!G32+'Knif Trygghet Forsikring'!G32</f>
        <v>7271742.9346339731</v>
      </c>
      <c r="G32" s="123">
        <f t="shared" si="15"/>
        <v>9.1</v>
      </c>
      <c r="H32" s="181">
        <f t="shared" si="9"/>
        <v>9014870.728584256</v>
      </c>
      <c r="I32" s="36">
        <f t="shared" si="7"/>
        <v>10067364.778482392</v>
      </c>
      <c r="J32" s="21">
        <f t="shared" si="8"/>
        <v>11.7</v>
      </c>
    </row>
    <row r="33" spans="1:10" ht="15.75" customHeight="1" x14ac:dyDescent="0.25">
      <c r="A33" s="383" t="s">
        <v>181</v>
      </c>
      <c r="B33" s="36"/>
      <c r="C33" s="36"/>
      <c r="D33" s="23"/>
      <c r="E33" s="36">
        <f>Fremtind!F33+'DNB Livsforsikring'!F33+'Frende Livsforsikring'!F33+'Frende Skadeforsikring'!F33+'Gjensidige Forsikring'!F33+'Gjensidige Pensjon'!F33+'If Skadeforsikring NUF'!F33+KLP!F33+'KLP Skadeforsikring AS'!F33+'Landkreditt Forsikring AS'!F33+'Nordea Liv '!F33+'Oslo Pensjonsforsikring'!F33+'Protector Forsikring'!F33+'Sparebank 1 Fors.'!F33+'Storebrand Livsforsikring'!F33+'Telenor Forsikring'!F33+'Tryg Forsikring'!F33+'WaterCircles F'!F33+'Euro Accident'!F33+'Ly Forsikring'!F33+'Youplus Livsforsikring'!F33+'Oslo Forsikring'!F33+'Knif Trygghet Forsikring'!F33</f>
        <v>11254252.33946868</v>
      </c>
      <c r="F33" s="36">
        <f>Fremtind!G33+'DNB Livsforsikring'!G33+'Frende Livsforsikring'!G33+'Frende Skadeforsikring'!G33+'Gjensidige Forsikring'!G33+'Gjensidige Pensjon'!G33+'If Skadeforsikring NUF'!G33+KLP!G33+'KLP Skadeforsikring AS'!G33+'Landkreditt Forsikring AS'!G33+'Nordea Liv '!G33+'Oslo Pensjonsforsikring'!G33+'Protector Forsikring'!G33+'Sparebank 1 Fors.'!G33+'Storebrand Livsforsikring'!G33+'Telenor Forsikring'!G33+'Tryg Forsikring'!G33+'WaterCircles F'!G33+'Euro Accident'!G33+'Ly Forsikring'!G33+'Youplus Livsforsikring'!G33+'Oslo Forsikring'!G33+'Knif Trygghet Forsikring'!G33</f>
        <v>13360097.964363951</v>
      </c>
      <c r="G33" s="123">
        <f t="shared" ref="G33" si="16">IF($A$1=4,IF(E33=0, "    ---- ", IF(ABS(ROUND(100/E33*F33-100,1))&lt;999,ROUND(100/E33*F33-100,1),IF(ROUND(100/E33*F33-100,1)&gt;999,999,-999))),"")</f>
        <v>18.7</v>
      </c>
      <c r="H33" s="181">
        <f t="shared" ref="H33" si="17">SUM(B33,E33)</f>
        <v>11254252.33946868</v>
      </c>
      <c r="I33" s="36">
        <f t="shared" ref="I33" si="18">SUM(C33,F33)</f>
        <v>13360097.964363951</v>
      </c>
      <c r="J33" s="21">
        <f t="shared" ref="J33" si="19">IF(H33=0, "    ---- ", IF(ABS(ROUND(100/H33*I33-100,1))&lt;999,ROUND(100/H33*I33-100,1),IF(ROUND(100/H33*I33-100,1)&gt;999,999,-999)))</f>
        <v>18.7</v>
      </c>
    </row>
    <row r="34" spans="1:10" s="35" customFormat="1" ht="15.75" customHeight="1" x14ac:dyDescent="0.25">
      <c r="A34" s="10" t="s">
        <v>173</v>
      </c>
      <c r="B34" s="183">
        <f>Fremtind!B34+'DNB Livsforsikring'!B34+'Frende Livsforsikring'!B34+'Frende Skadeforsikring'!B34+'Gjensidige Forsikring'!B34+'Gjensidige Pensjon'!B34+'If Skadeforsikring NUF'!B34+KLP!B34+'KLP Skadeforsikring AS'!B34+'Landkreditt Forsikring AS'!B34+'Nordea Liv '!B34+'Oslo Pensjonsforsikring'!B34+'Protector Forsikring'!B34+'Sparebank 1 Fors.'!B34+'Storebrand Livsforsikring'!B34+'Telenor Forsikring'!B34+'Tryg Forsikring'!B34+'WaterCircles F'!B34+'Euro Accident'!B34+'Ly Forsikring'!B34+'Youplus Livsforsikring'!B34+'Oslo Forsikring'!B34+'Knif Trygghet Forsikring'!B34</f>
        <v>5797.2493300000006</v>
      </c>
      <c r="C34" s="183">
        <f>Fremtind!C34+'DNB Livsforsikring'!C34+'Frende Livsforsikring'!C34+'Frende Skadeforsikring'!C34+'Gjensidige Forsikring'!C34+'Gjensidige Pensjon'!C34+'If Skadeforsikring NUF'!C34+KLP!C34+'KLP Skadeforsikring AS'!C34+'Landkreditt Forsikring AS'!C34+'Nordea Liv '!C34+'Oslo Pensjonsforsikring'!C34+'Protector Forsikring'!C34+'Sparebank 1 Fors.'!C34+'Storebrand Livsforsikring'!C34+'Telenor Forsikring'!C34+'Tryg Forsikring'!C34+'WaterCircles F'!C34+'Euro Accident'!C34+'Ly Forsikring'!C34+'Youplus Livsforsikring'!C34+'Oslo Forsikring'!C34+'Knif Trygghet Forsikring'!C34</f>
        <v>4326.7759999999998</v>
      </c>
      <c r="D34" s="21">
        <f t="shared" si="5"/>
        <v>-25.4</v>
      </c>
      <c r="E34" s="250">
        <f>Fremtind!F34+'DNB Livsforsikring'!F34+'Frende Livsforsikring'!F34+'Frende Skadeforsikring'!F34+'Gjensidige Forsikring'!F34+'Gjensidige Pensjon'!F34+'If Skadeforsikring NUF'!F34+KLP!F34+'KLP Skadeforsikring AS'!F34+'Landkreditt Forsikring AS'!F34+'Nordea Liv '!F34+'Oslo Pensjonsforsikring'!F34+'Protector Forsikring'!F34+'Sparebank 1 Fors.'!F34+'Storebrand Livsforsikring'!F34+'Telenor Forsikring'!F34+'Tryg Forsikring'!F34+'WaterCircles F'!F34+'Euro Accident'!F34+'Ly Forsikring'!F34+'Youplus Livsforsikring'!F34+'Oslo Forsikring'!F34+'Knif Trygghet Forsikring'!F34</f>
        <v>-104367.89246</v>
      </c>
      <c r="F34" s="250">
        <f>Fremtind!G34+'DNB Livsforsikring'!G34+'Frende Livsforsikring'!G34+'Frende Skadeforsikring'!G34+'Gjensidige Forsikring'!G34+'Gjensidige Pensjon'!G34+'If Skadeforsikring NUF'!G34+KLP!G34+'KLP Skadeforsikring AS'!G34+'Landkreditt Forsikring AS'!G34+'Nordea Liv '!G34+'Oslo Pensjonsforsikring'!G34+'Protector Forsikring'!G34+'Sparebank 1 Fors.'!G34+'Storebrand Livsforsikring'!G34+'Telenor Forsikring'!G34+'Tryg Forsikring'!G34+'WaterCircles F'!G34+'Euro Accident'!G34+'Ly Forsikring'!G34+'Youplus Livsforsikring'!G34+'Oslo Forsikring'!G34+'Knif Trygghet Forsikring'!G34</f>
        <v>78329.192170000009</v>
      </c>
      <c r="G34" s="127">
        <f t="shared" si="6"/>
        <v>-175.1</v>
      </c>
      <c r="H34" s="250">
        <f t="shared" si="9"/>
        <v>-98570.643129999997</v>
      </c>
      <c r="I34" s="183">
        <f t="shared" si="7"/>
        <v>82655.968170000007</v>
      </c>
      <c r="J34" s="21">
        <f t="shared" si="8"/>
        <v>-183.9</v>
      </c>
    </row>
    <row r="35" spans="1:10" s="35" customFormat="1" ht="15.75" customHeight="1" x14ac:dyDescent="0.25">
      <c r="A35" s="10" t="s">
        <v>174</v>
      </c>
      <c r="B35" s="183">
        <f>Fremtind!B35+'DNB Livsforsikring'!B35+'Frende Livsforsikring'!B35+'Frende Skadeforsikring'!B35+'Gjensidige Forsikring'!B35+'Gjensidige Pensjon'!B35+'If Skadeforsikring NUF'!B35+KLP!B35+'KLP Skadeforsikring AS'!B35+'Landkreditt Forsikring AS'!B35+'Nordea Liv '!B35+'Oslo Pensjonsforsikring'!B35+'Protector Forsikring'!B35+'Sparebank 1 Fors.'!B35+'Storebrand Livsforsikring'!B35+'Telenor Forsikring'!B35+'Tryg Forsikring'!B35+'WaterCircles F'!B35+'Euro Accident'!B35+'Ly Forsikring'!B35+'Youplus Livsforsikring'!B35+'Oslo Forsikring'!B35+'Knif Trygghet Forsikring'!B35</f>
        <v>-149053.81912</v>
      </c>
      <c r="C35" s="183">
        <f>Fremtind!C35+'DNB Livsforsikring'!C35+'Frende Livsforsikring'!C35+'Frende Skadeforsikring'!C35+'Gjensidige Forsikring'!C35+'Gjensidige Pensjon'!C35+'If Skadeforsikring NUF'!C35+KLP!C35+'KLP Skadeforsikring AS'!C35+'Landkreditt Forsikring AS'!C35+'Nordea Liv '!C35+'Oslo Pensjonsforsikring'!C35+'Protector Forsikring'!C35+'Sparebank 1 Fors.'!C35+'Storebrand Livsforsikring'!C35+'Telenor Forsikring'!C35+'Tryg Forsikring'!C35+'WaterCircles F'!C35+'Euro Accident'!C35+'Ly Forsikring'!C35+'Youplus Livsforsikring'!C35+'Oslo Forsikring'!C35+'Knif Trygghet Forsikring'!C35</f>
        <v>-1258799.1245100002</v>
      </c>
      <c r="D35" s="21">
        <f t="shared" si="5"/>
        <v>744.5</v>
      </c>
      <c r="E35" s="250">
        <f>Fremtind!F35+'DNB Livsforsikring'!F35+'Frende Livsforsikring'!F35+'Frende Skadeforsikring'!F35+'Gjensidige Forsikring'!F35+'Gjensidige Pensjon'!F35+'If Skadeforsikring NUF'!F35+KLP!F35+'KLP Skadeforsikring AS'!F35+'Landkreditt Forsikring AS'!F35+'Nordea Liv '!F35+'Oslo Pensjonsforsikring'!F35+'Protector Forsikring'!F35+'Sparebank 1 Fors.'!F35+'Storebrand Livsforsikring'!F35+'Telenor Forsikring'!F35+'Tryg Forsikring'!F35+'WaterCircles F'!F35+'Euro Accident'!F35+'Ly Forsikring'!F35+'Youplus Livsforsikring'!F35+'Oslo Forsikring'!F35+'Knif Trygghet Forsikring'!F35</f>
        <v>68852.985529999991</v>
      </c>
      <c r="F35" s="250">
        <f>Fremtind!G35+'DNB Livsforsikring'!G35+'Frende Livsforsikring'!G35+'Frende Skadeforsikring'!G35+'Gjensidige Forsikring'!G35+'Gjensidige Pensjon'!G35+'If Skadeforsikring NUF'!G35+KLP!G35+'KLP Skadeforsikring AS'!G35+'Landkreditt Forsikring AS'!G35+'Nordea Liv '!G35+'Oslo Pensjonsforsikring'!G35+'Protector Forsikring'!G35+'Sparebank 1 Fors.'!G35+'Storebrand Livsforsikring'!G35+'Telenor Forsikring'!G35+'Tryg Forsikring'!G35+'WaterCircles F'!G35+'Euro Accident'!G35+'Ly Forsikring'!G35+'Youplus Livsforsikring'!G35+'Oslo Forsikring'!G35+'Knif Trygghet Forsikring'!G35</f>
        <v>109697.74497</v>
      </c>
      <c r="G35" s="127">
        <f t="shared" si="6"/>
        <v>59.3</v>
      </c>
      <c r="H35" s="250">
        <f t="shared" si="9"/>
        <v>-80200.833590000009</v>
      </c>
      <c r="I35" s="183">
        <f t="shared" si="7"/>
        <v>-1149101.3795400001</v>
      </c>
      <c r="J35" s="21">
        <f t="shared" si="8"/>
        <v>999</v>
      </c>
    </row>
    <row r="36" spans="1:10" s="35" customFormat="1" ht="15.75" customHeight="1" x14ac:dyDescent="0.25">
      <c r="A36" s="9" t="s">
        <v>185</v>
      </c>
      <c r="B36" s="183">
        <f>Fremtind!B36+'DNB Livsforsikring'!B36+'Frende Livsforsikring'!B36+'Frende Skadeforsikring'!B36+'Gjensidige Forsikring'!B36+'Gjensidige Pensjon'!B36+'If Skadeforsikring NUF'!B36+KLP!B36+'KLP Skadeforsikring AS'!B36+'Landkreditt Forsikring AS'!B36+'Nordea Liv '!B36+'Oslo Pensjonsforsikring'!B36+'Protector Forsikring'!B36+'Sparebank 1 Fors.'!B36+'Storebrand Livsforsikring'!B36+'Telenor Forsikring'!B36+'Tryg Forsikring'!B36+'WaterCircles F'!B36+'Euro Accident'!B36+'Ly Forsikring'!B36+'Youplus Livsforsikring'!B36+'Oslo Forsikring'!B36+'Knif Trygghet Forsikring'!B36</f>
        <v>607</v>
      </c>
      <c r="C36" s="183">
        <f>Fremtind!C36+'DNB Livsforsikring'!C36+'Frende Livsforsikring'!C36+'Frende Skadeforsikring'!C36+'Gjensidige Forsikring'!C36+'Gjensidige Pensjon'!C36+'If Skadeforsikring NUF'!C36+KLP!C36+'KLP Skadeforsikring AS'!C36+'Landkreditt Forsikring AS'!C36+'Nordea Liv '!C36+'Oslo Pensjonsforsikring'!C36+'Protector Forsikring'!C36+'Sparebank 1 Fors.'!C36+'Storebrand Livsforsikring'!C36+'Telenor Forsikring'!C36+'Tryg Forsikring'!C36+'WaterCircles F'!C36+'Euro Accident'!C36+'Ly Forsikring'!C36+'Youplus Livsforsikring'!C36+'Oslo Forsikring'!C36+'Knif Trygghet Forsikring'!C36</f>
        <v>437.42599999999999</v>
      </c>
      <c r="D36" s="8">
        <f t="shared" si="5"/>
        <v>-27.9</v>
      </c>
      <c r="E36" s="261"/>
      <c r="F36" s="261"/>
      <c r="G36" s="127"/>
      <c r="H36" s="250">
        <f t="shared" si="9"/>
        <v>607</v>
      </c>
      <c r="I36" s="183">
        <f t="shared" si="7"/>
        <v>437.42599999999999</v>
      </c>
      <c r="J36" s="8">
        <f t="shared" si="8"/>
        <v>-27.9</v>
      </c>
    </row>
    <row r="37" spans="1:10" s="35" customFormat="1" ht="15.75" customHeight="1" x14ac:dyDescent="0.25">
      <c r="A37" s="9" t="s">
        <v>186</v>
      </c>
      <c r="B37" s="183">
        <f>Fremtind!B37+'DNB Livsforsikring'!B37+'Frende Livsforsikring'!B37+'Frende Skadeforsikring'!B37+'Gjensidige Forsikring'!B37+'Gjensidige Pensjon'!B37+'If Skadeforsikring NUF'!B37+KLP!B37+'KLP Skadeforsikring AS'!B37+'Landkreditt Forsikring AS'!B37+'Nordea Liv '!B37+'Oslo Pensjonsforsikring'!B37+'Protector Forsikring'!B37+'Sparebank 1 Fors.'!B37+'Storebrand Livsforsikring'!B37+'Telenor Forsikring'!B37+'Tryg Forsikring'!B37+'WaterCircles F'!B37+'Euro Accident'!B37+'Ly Forsikring'!B37+'Youplus Livsforsikring'!B37+'Oslo Forsikring'!B37+'Knif Trygghet Forsikring'!B37</f>
        <v>2445944.2662300002</v>
      </c>
      <c r="C37" s="183">
        <f>Fremtind!C37+'DNB Livsforsikring'!C37+'Frende Livsforsikring'!C37+'Frende Skadeforsikring'!C37+'Gjensidige Forsikring'!C37+'Gjensidige Pensjon'!C37+'If Skadeforsikring NUF'!C37+KLP!C37+'KLP Skadeforsikring AS'!C37+'Landkreditt Forsikring AS'!C37+'Nordea Liv '!C37+'Oslo Pensjonsforsikring'!C37+'Protector Forsikring'!C37+'Sparebank 1 Fors.'!C37+'Storebrand Livsforsikring'!C37+'Telenor Forsikring'!C37+'Tryg Forsikring'!C37+'WaterCircles F'!C37+'Euro Accident'!C37+'Ly Forsikring'!C37+'Youplus Livsforsikring'!C37+'Oslo Forsikring'!C37+'Knif Trygghet Forsikring'!C37</f>
        <v>2282179.75560768</v>
      </c>
      <c r="D37" s="21">
        <f t="shared" si="5"/>
        <v>-6.7</v>
      </c>
      <c r="E37" s="266"/>
      <c r="F37" s="266"/>
      <c r="G37" s="127"/>
      <c r="H37" s="250">
        <f t="shared" si="9"/>
        <v>2445944.2662300002</v>
      </c>
      <c r="I37" s="183">
        <f t="shared" si="7"/>
        <v>2282179.75560768</v>
      </c>
      <c r="J37" s="21">
        <f t="shared" si="8"/>
        <v>-6.7</v>
      </c>
    </row>
    <row r="38" spans="1:10" s="35" customFormat="1" ht="15.75" customHeight="1" x14ac:dyDescent="0.25">
      <c r="A38" s="9" t="s">
        <v>187</v>
      </c>
      <c r="B38" s="183"/>
      <c r="C38" s="183"/>
      <c r="D38" s="21"/>
      <c r="E38" s="261"/>
      <c r="F38" s="261"/>
      <c r="G38" s="127"/>
      <c r="H38" s="250"/>
      <c r="I38" s="183"/>
      <c r="J38" s="21"/>
    </row>
    <row r="39" spans="1:10" s="35" customFormat="1" ht="15.75" customHeight="1" x14ac:dyDescent="0.25">
      <c r="A39" s="15" t="s">
        <v>188</v>
      </c>
      <c r="B39" s="223">
        <f>Fremtind!B39+'DNB Livsforsikring'!B39+'Frende Livsforsikring'!B39+'Frende Skadeforsikring'!B39+'Gjensidige Forsikring'!B39+'Gjensidige Pensjon'!B39+'If Skadeforsikring NUF'!B39+KLP!B39+'KLP Skadeforsikring AS'!B39+'Landkreditt Forsikring AS'!B39+'Nordea Liv '!B39+'Oslo Pensjonsforsikring'!B39+'Protector Forsikring'!B39+'Sparebank 1 Fors.'!B39+'Storebrand Livsforsikring'!B39+'Telenor Forsikring'!B39+'Tryg Forsikring'!B39+'WaterCircles F'!B39+'Euro Accident'!B39+'Ly Forsikring'!B39+'Youplus Livsforsikring'!B39+'Oslo Forsikring'!B39+'Knif Trygghet Forsikring'!B39</f>
        <v>1</v>
      </c>
      <c r="C39" s="223">
        <f>Fremtind!C39+'DNB Livsforsikring'!C39+'Frende Livsforsikring'!C39+'Frende Skadeforsikring'!C39+'Gjensidige Forsikring'!C39+'Gjensidige Pensjon'!C39+'If Skadeforsikring NUF'!C39+KLP!C39+'KLP Skadeforsikring AS'!C39+'Landkreditt Forsikring AS'!C39+'Nordea Liv '!C39+'Oslo Pensjonsforsikring'!C39+'Protector Forsikring'!C39+'Sparebank 1 Fors.'!C39+'Storebrand Livsforsikring'!C39+'Telenor Forsikring'!C39+'Tryg Forsikring'!C39+'WaterCircles F'!C39+'Euro Accident'!C39+'Ly Forsikring'!C39+'Youplus Livsforsikring'!C39+'Oslo Forsikring'!C39+'Knif Trygghet Forsikring'!C39</f>
        <v>0.47299999999999998</v>
      </c>
      <c r="D39" s="30">
        <f t="shared" si="5"/>
        <v>-52.7</v>
      </c>
      <c r="E39" s="267"/>
      <c r="F39" s="267"/>
      <c r="G39" s="125"/>
      <c r="H39" s="256">
        <f t="shared" si="9"/>
        <v>1</v>
      </c>
      <c r="I39" s="223">
        <f t="shared" si="7"/>
        <v>0.47299999999999998</v>
      </c>
      <c r="J39" s="30">
        <f t="shared" si="8"/>
        <v>-52.7</v>
      </c>
    </row>
    <row r="40" spans="1:10" ht="15.75" customHeight="1" x14ac:dyDescent="0.25">
      <c r="A40" s="35"/>
    </row>
    <row r="41" spans="1:10" ht="15.75" customHeight="1" x14ac:dyDescent="0.25">
      <c r="A41" s="115"/>
    </row>
    <row r="42" spans="1:10" ht="15.75" customHeight="1" x14ac:dyDescent="0.3">
      <c r="A42" s="110" t="s">
        <v>189</v>
      </c>
      <c r="B42" s="589"/>
      <c r="C42" s="589"/>
      <c r="D42" s="589"/>
      <c r="E42" s="589"/>
      <c r="F42" s="589"/>
      <c r="G42" s="589"/>
      <c r="H42" s="589"/>
      <c r="I42" s="589"/>
      <c r="J42" s="589"/>
    </row>
    <row r="43" spans="1:10" ht="15.75" customHeight="1" x14ac:dyDescent="0.3">
      <c r="A43" s="122"/>
      <c r="B43" s="241"/>
      <c r="C43" s="241"/>
      <c r="D43" s="241"/>
      <c r="E43" s="241"/>
      <c r="F43" s="241"/>
      <c r="G43" s="241"/>
      <c r="H43" s="241"/>
      <c r="I43" s="241"/>
      <c r="J43" s="241"/>
    </row>
    <row r="44" spans="1:10" ht="15.75" customHeight="1" x14ac:dyDescent="0.3">
      <c r="A44" s="196"/>
      <c r="B44" s="268" t="s">
        <v>46</v>
      </c>
      <c r="C44" s="269"/>
      <c r="D44" s="204"/>
      <c r="E44" s="34"/>
      <c r="F44" s="34"/>
      <c r="G44" s="32"/>
      <c r="H44" s="34"/>
      <c r="I44" s="34"/>
      <c r="J44" s="32"/>
    </row>
    <row r="45" spans="1:10" ht="15.75" customHeight="1" x14ac:dyDescent="0.25">
      <c r="A45" s="105"/>
      <c r="B45" s="201" t="s">
        <v>418</v>
      </c>
      <c r="C45" s="202" t="s">
        <v>419</v>
      </c>
      <c r="D45" s="199" t="s">
        <v>167</v>
      </c>
      <c r="E45" s="34"/>
      <c r="F45" s="34"/>
      <c r="G45" s="32"/>
      <c r="H45" s="34"/>
      <c r="I45" s="34"/>
      <c r="J45" s="32"/>
    </row>
    <row r="46" spans="1:10" ht="15.75" customHeight="1" x14ac:dyDescent="0.25">
      <c r="A46" s="557"/>
      <c r="B46" s="7"/>
      <c r="C46" s="203"/>
      <c r="D46" s="14" t="s">
        <v>168</v>
      </c>
      <c r="E46" s="32"/>
      <c r="F46" s="32"/>
      <c r="G46" s="32"/>
      <c r="H46" s="32"/>
      <c r="I46" s="32"/>
      <c r="J46" s="32"/>
    </row>
    <row r="47" spans="1:10" s="35" customFormat="1" ht="15.75" customHeight="1" x14ac:dyDescent="0.25">
      <c r="A47" s="11" t="s">
        <v>169</v>
      </c>
      <c r="B47" s="183">
        <f>Fremtind!B47+'DNB Livsforsikring'!B47+'Frende Livsforsikring'!B47+'Frende Skadeforsikring'!B47+'Gjensidige Forsikring'!B47+'Gjensidige Pensjon'!B47+'If Skadeforsikring NUF'!B47+KLP!B47+'KLP Skadeforsikring AS'!B47+'Landkreditt Forsikring AS'!B47+'Nordea Liv '!B47+'Oslo Pensjonsforsikring'!B47+'Protector Forsikring'!B47+'Sparebank 1 Fors.'!B47+'Storebrand Livsforsikring'!B47+'Telenor Forsikring'!B47+'Tryg Forsikring'!B47+'WaterCircles F'!B47+'Euro Accident'!B47+'Ly Forsikring'!B47+'Youplus Livsforsikring'!B47+'Oslo Forsikring'!B47+'Knif Trygghet Forsikring'!B47</f>
        <v>4364076.9310300006</v>
      </c>
      <c r="C47" s="183">
        <f>Fremtind!C47+'DNB Livsforsikring'!C47+'Frende Livsforsikring'!C47+'Frende Skadeforsikring'!C47+'Gjensidige Forsikring'!C47+'Gjensidige Pensjon'!C47+'If Skadeforsikring NUF'!C47+KLP!C47+'KLP Skadeforsikring AS'!C47+'Landkreditt Forsikring AS'!C47+'Nordea Liv '!C47+'Oslo Pensjonsforsikring'!C47+'Protector Forsikring'!C47+'Sparebank 1 Fors.'!C47+'Storebrand Livsforsikring'!C47+'Telenor Forsikring'!C47+'Tryg Forsikring'!C47+'WaterCircles F'!C47+'Euro Accident'!C47+'Ly Forsikring'!C47+'Youplus Livsforsikring'!C47+'Oslo Forsikring'!C47+'Knif Trygghet Forsikring'!C47</f>
        <v>4951974.4911099998</v>
      </c>
      <c r="D47" s="21">
        <f t="shared" ref="D47:D58" si="20">IF(B47=0, "    ---- ", IF(ABS(ROUND(100/B47*C47-100,1))&lt;999,ROUND(100/B47*C47-100,1),IF(ROUND(100/B47*C47-100,1)&gt;999,999,-999)))</f>
        <v>13.5</v>
      </c>
      <c r="E47" s="336"/>
      <c r="F47" s="337"/>
      <c r="G47" s="26"/>
      <c r="H47" s="338"/>
      <c r="I47" s="338"/>
      <c r="J47" s="26"/>
    </row>
    <row r="48" spans="1:10" ht="15.75" customHeight="1" x14ac:dyDescent="0.25">
      <c r="A48" s="18" t="s">
        <v>190</v>
      </c>
      <c r="B48" s="36">
        <f>Fremtind!B48+'DNB Livsforsikring'!B48+'Frende Livsforsikring'!B48+'Frende Skadeforsikring'!B48+'Gjensidige Forsikring'!B48+'Gjensidige Pensjon'!B48+'If Skadeforsikring NUF'!B48+KLP!B48+'KLP Skadeforsikring AS'!B48+'Landkreditt Forsikring AS'!B48+'Nordea Liv '!B48+'Oslo Pensjonsforsikring'!B48+'Protector Forsikring'!B48+'Sparebank 1 Fors.'!B48+'Storebrand Livsforsikring'!B48+'Telenor Forsikring'!B48+'Tryg Forsikring'!B48+'WaterCircles F'!B48+'Euro Accident'!B48+'Ly Forsikring'!B48+'Youplus Livsforsikring'!B48+'Oslo Forsikring'!B48+'Knif Trygghet Forsikring'!B48</f>
        <v>2338480.74633</v>
      </c>
      <c r="C48" s="36">
        <f>Fremtind!C48+'DNB Livsforsikring'!C48+'Frende Livsforsikring'!C48+'Frende Skadeforsikring'!C48+'Gjensidige Forsikring'!C48+'Gjensidige Pensjon'!C48+'If Skadeforsikring NUF'!C48+KLP!C48+'KLP Skadeforsikring AS'!C48+'Landkreditt Forsikring AS'!C48+'Nordea Liv '!C48+'Oslo Pensjonsforsikring'!C48+'Protector Forsikring'!C48+'Sparebank 1 Fors.'!C48+'Storebrand Livsforsikring'!C48+'Telenor Forsikring'!C48+'Tryg Forsikring'!C48+'WaterCircles F'!C48+'Euro Accident'!C48+'Ly Forsikring'!C48+'Youplus Livsforsikring'!C48+'Oslo Forsikring'!C48+'Knif Trygghet Forsikring'!C48</f>
        <v>2403786.82265</v>
      </c>
      <c r="D48" s="21">
        <f t="shared" si="20"/>
        <v>2.8</v>
      </c>
      <c r="E48" s="29"/>
      <c r="F48" s="3"/>
      <c r="G48" s="28"/>
      <c r="H48" s="27"/>
      <c r="I48" s="27"/>
      <c r="J48" s="26"/>
    </row>
    <row r="49" spans="1:10" ht="15.75" customHeight="1" x14ac:dyDescent="0.25">
      <c r="A49" s="18" t="s">
        <v>191</v>
      </c>
      <c r="B49" s="143">
        <f>Fremtind!B49+'DNB Livsforsikring'!B49+'Frende Livsforsikring'!B49+'Frende Skadeforsikring'!B49+'Gjensidige Forsikring'!B49+'Gjensidige Pensjon'!B49+'If Skadeforsikring NUF'!B49+KLP!B49+'KLP Skadeforsikring AS'!B49+'Landkreditt Forsikring AS'!B49+'Nordea Liv '!B49+'Oslo Pensjonsforsikring'!B49+'Protector Forsikring'!B49+'Sparebank 1 Fors.'!B49+'Storebrand Livsforsikring'!B49+'Telenor Forsikring'!B49+'Tryg Forsikring'!B49+'WaterCircles F'!B49+'Euro Accident'!B49+'Ly Forsikring'!B49+'Youplus Livsforsikring'!B49+'Oslo Forsikring'!B49+'Knif Trygghet Forsikring'!B49</f>
        <v>2025596.1847000001</v>
      </c>
      <c r="C49" s="143">
        <f>Fremtind!C49+'DNB Livsforsikring'!C49+'Frende Livsforsikring'!C49+'Frende Skadeforsikring'!C49+'Gjensidige Forsikring'!C49+'Gjensidige Pensjon'!C49+'If Skadeforsikring NUF'!C49+KLP!C49+'KLP Skadeforsikring AS'!C49+'Landkreditt Forsikring AS'!C49+'Nordea Liv '!C49+'Oslo Pensjonsforsikring'!C49+'Protector Forsikring'!C49+'Sparebank 1 Fors.'!C49+'Storebrand Livsforsikring'!C49+'Telenor Forsikring'!C49+'Tryg Forsikring'!C49+'WaterCircles F'!C49+'Euro Accident'!C49+'Ly Forsikring'!C49+'Youplus Livsforsikring'!C49+'Oslo Forsikring'!C49+'Knif Trygghet Forsikring'!C49</f>
        <v>2548187.6684600003</v>
      </c>
      <c r="D49" s="21">
        <f t="shared" si="20"/>
        <v>25.8</v>
      </c>
      <c r="E49" s="29"/>
      <c r="F49" s="3"/>
      <c r="G49" s="28"/>
      <c r="H49" s="31"/>
      <c r="I49" s="31"/>
      <c r="J49" s="26"/>
    </row>
    <row r="50" spans="1:10" ht="15.75" customHeight="1" x14ac:dyDescent="0.25">
      <c r="A50" s="240" t="s">
        <v>192</v>
      </c>
      <c r="B50" s="261"/>
      <c r="C50" s="261"/>
      <c r="D50" s="23"/>
      <c r="E50" s="29"/>
      <c r="F50" s="3"/>
      <c r="G50" s="28"/>
      <c r="H50" s="27"/>
      <c r="I50" s="27"/>
      <c r="J50" s="26"/>
    </row>
    <row r="51" spans="1:10" ht="15.75" customHeight="1" x14ac:dyDescent="0.25">
      <c r="A51" s="240" t="s">
        <v>193</v>
      </c>
      <c r="B51" s="261"/>
      <c r="C51" s="261"/>
      <c r="D51" s="23"/>
      <c r="E51" s="29"/>
      <c r="F51" s="3"/>
      <c r="G51" s="28"/>
      <c r="H51" s="27"/>
      <c r="I51" s="27"/>
      <c r="J51" s="26"/>
    </row>
    <row r="52" spans="1:10" ht="15.75" customHeight="1" x14ac:dyDescent="0.25">
      <c r="A52" s="240" t="s">
        <v>194</v>
      </c>
      <c r="B52" s="261"/>
      <c r="C52" s="261"/>
      <c r="D52" s="23"/>
      <c r="E52" s="29"/>
      <c r="F52" s="3"/>
      <c r="G52" s="28"/>
      <c r="H52" s="27"/>
      <c r="I52" s="27"/>
      <c r="J52" s="26"/>
    </row>
    <row r="53" spans="1:10" s="35" customFormat="1" ht="15.75" customHeight="1" x14ac:dyDescent="0.25">
      <c r="A53" s="10" t="s">
        <v>195</v>
      </c>
      <c r="B53" s="183">
        <f>Fremtind!B53+'DNB Livsforsikring'!B53+'Frende Livsforsikring'!B53+'Frende Skadeforsikring'!B53+'Gjensidige Forsikring'!B53+'Gjensidige Pensjon'!B53+'If Skadeforsikring NUF'!B53+KLP!B53+'KLP Skadeforsikring AS'!B53+'Landkreditt Forsikring AS'!B53+'Nordea Liv '!B53+'Oslo Pensjonsforsikring'!B53+'Protector Forsikring'!B53+'Sparebank 1 Fors.'!B53+'Storebrand Livsforsikring'!B53+'Telenor Forsikring'!B53+'Tryg Forsikring'!B53+'WaterCircles F'!B53+'Euro Accident'!B53+'Ly Forsikring'!B53+'Youplus Livsforsikring'!B53+'Oslo Forsikring'!B53+'Knif Trygghet Forsikring'!B53</f>
        <v>182062.962</v>
      </c>
      <c r="C53" s="183">
        <f>Fremtind!C53+'DNB Livsforsikring'!C53+'Frende Livsforsikring'!C53+'Frende Skadeforsikring'!C53+'Gjensidige Forsikring'!C53+'Gjensidige Pensjon'!C53+'If Skadeforsikring NUF'!C53+KLP!C53+'KLP Skadeforsikring AS'!C53+'Landkreditt Forsikring AS'!C53+'Nordea Liv '!C53+'Oslo Pensjonsforsikring'!C53+'Protector Forsikring'!C53+'Sparebank 1 Fors.'!C53+'Storebrand Livsforsikring'!C53+'Telenor Forsikring'!C53+'Tryg Forsikring'!C53+'WaterCircles F'!C53+'Euro Accident'!C53+'Ly Forsikring'!C53+'Youplus Livsforsikring'!C53+'Oslo Forsikring'!C53+'Knif Trygghet Forsikring'!C53</f>
        <v>130898.106</v>
      </c>
      <c r="D53" s="21">
        <f t="shared" si="20"/>
        <v>-28.1</v>
      </c>
      <c r="E53" s="336"/>
      <c r="F53" s="337"/>
      <c r="G53" s="26"/>
      <c r="H53" s="130"/>
      <c r="I53" s="130"/>
      <c r="J53" s="26"/>
    </row>
    <row r="54" spans="1:10" ht="15.75" customHeight="1" x14ac:dyDescent="0.25">
      <c r="A54" s="18" t="s">
        <v>190</v>
      </c>
      <c r="B54" s="36">
        <f>Fremtind!B54+'DNB Livsforsikring'!B54+'Frende Livsforsikring'!B54+'Frende Skadeforsikring'!B54+'Gjensidige Forsikring'!B54+'Gjensidige Pensjon'!B54+'If Skadeforsikring NUF'!B54+KLP!B54+'KLP Skadeforsikring AS'!B54+'Landkreditt Forsikring AS'!B54+'Nordea Liv '!B54+'Oslo Pensjonsforsikring'!B54+'Protector Forsikring'!B54+'Sparebank 1 Fors.'!B54+'Storebrand Livsforsikring'!B54+'Telenor Forsikring'!B54+'Tryg Forsikring'!B54+'WaterCircles F'!B54+'Euro Accident'!B54+'Ly Forsikring'!B54+'Youplus Livsforsikring'!B54+'Oslo Forsikring'!B54+'Knif Trygghet Forsikring'!B54</f>
        <v>175907.897</v>
      </c>
      <c r="C54" s="36">
        <f>Fremtind!C54+'DNB Livsforsikring'!C54+'Frende Livsforsikring'!C54+'Frende Skadeforsikring'!C54+'Gjensidige Forsikring'!C54+'Gjensidige Pensjon'!C54+'If Skadeforsikring NUF'!C54+KLP!C54+'KLP Skadeforsikring AS'!C54+'Landkreditt Forsikring AS'!C54+'Nordea Liv '!C54+'Oslo Pensjonsforsikring'!C54+'Protector Forsikring'!C54+'Sparebank 1 Fors.'!C54+'Storebrand Livsforsikring'!C54+'Telenor Forsikring'!C54+'Tryg Forsikring'!C54+'WaterCircles F'!C54+'Euro Accident'!C54+'Ly Forsikring'!C54+'Youplus Livsforsikring'!C54+'Oslo Forsikring'!C54+'Knif Trygghet Forsikring'!C54</f>
        <v>130657.33100000001</v>
      </c>
      <c r="D54" s="21">
        <f t="shared" si="20"/>
        <v>-25.7</v>
      </c>
      <c r="E54" s="29"/>
      <c r="F54" s="3"/>
      <c r="G54" s="28"/>
      <c r="H54" s="27"/>
      <c r="I54" s="27"/>
      <c r="J54" s="26"/>
    </row>
    <row r="55" spans="1:10" ht="15.75" customHeight="1" x14ac:dyDescent="0.25">
      <c r="A55" s="18" t="s">
        <v>191</v>
      </c>
      <c r="B55" s="36">
        <f>Fremtind!B55+'DNB Livsforsikring'!B55+'Frende Livsforsikring'!B55+'Frende Skadeforsikring'!B55+'Gjensidige Forsikring'!B55+'Gjensidige Pensjon'!B55+'If Skadeforsikring NUF'!B55+KLP!B55+'KLP Skadeforsikring AS'!B55+'Landkreditt Forsikring AS'!B55+'Nordea Liv '!B55+'Oslo Pensjonsforsikring'!B55+'Protector Forsikring'!B55+'Sparebank 1 Fors.'!B55+'Storebrand Livsforsikring'!B55+'Telenor Forsikring'!B55+'Tryg Forsikring'!B55+'WaterCircles F'!B55+'Euro Accident'!B55+'Ly Forsikring'!B55+'Youplus Livsforsikring'!B55+'Oslo Forsikring'!B55+'Knif Trygghet Forsikring'!B55</f>
        <v>6155.0649999999996</v>
      </c>
      <c r="C55" s="36">
        <f>Fremtind!C55+'DNB Livsforsikring'!C55+'Frende Livsforsikring'!C55+'Frende Skadeforsikring'!C55+'Gjensidige Forsikring'!C55+'Gjensidige Pensjon'!C55+'If Skadeforsikring NUF'!C55+KLP!C55+'KLP Skadeforsikring AS'!C55+'Landkreditt Forsikring AS'!C55+'Nordea Liv '!C55+'Oslo Pensjonsforsikring'!C55+'Protector Forsikring'!C55+'Sparebank 1 Fors.'!C55+'Storebrand Livsforsikring'!C55+'Telenor Forsikring'!C55+'Tryg Forsikring'!C55+'WaterCircles F'!C55+'Euro Accident'!C55+'Ly Forsikring'!C55+'Youplus Livsforsikring'!C55+'Oslo Forsikring'!C55+'Knif Trygghet Forsikring'!C55</f>
        <v>240.77500000000001</v>
      </c>
      <c r="D55" s="21">
        <f t="shared" si="20"/>
        <v>-96.1</v>
      </c>
      <c r="E55" s="29"/>
      <c r="F55" s="3"/>
      <c r="G55" s="28"/>
      <c r="H55" s="27"/>
      <c r="I55" s="27"/>
      <c r="J55" s="26"/>
    </row>
    <row r="56" spans="1:10" s="35" customFormat="1" ht="15.75" customHeight="1" x14ac:dyDescent="0.25">
      <c r="A56" s="10" t="s">
        <v>196</v>
      </c>
      <c r="B56" s="183">
        <f>Fremtind!B56+'DNB Livsforsikring'!B56+'Frende Livsforsikring'!B56+'Frende Skadeforsikring'!B56+'Gjensidige Forsikring'!B56+'Gjensidige Pensjon'!B56+'If Skadeforsikring NUF'!B56+KLP!B56+'KLP Skadeforsikring AS'!B56+'Landkreditt Forsikring AS'!B56+'Nordea Liv '!B56+'Oslo Pensjonsforsikring'!B56+'Protector Forsikring'!B56+'Sparebank 1 Fors.'!B56+'Storebrand Livsforsikring'!B56+'Telenor Forsikring'!B56+'Tryg Forsikring'!B56+'WaterCircles F'!B56+'Euro Accident'!B56+'Ly Forsikring'!B56+'Youplus Livsforsikring'!B56+'Oslo Forsikring'!B56+'Knif Trygghet Forsikring'!B56</f>
        <v>103338.186</v>
      </c>
      <c r="C56" s="183">
        <f>Fremtind!C56+'DNB Livsforsikring'!C56+'Frende Livsforsikring'!C56+'Frende Skadeforsikring'!C56+'Gjensidige Forsikring'!C56+'Gjensidige Pensjon'!C56+'If Skadeforsikring NUF'!C56+KLP!C56+'KLP Skadeforsikring AS'!C56+'Landkreditt Forsikring AS'!C56+'Nordea Liv '!C56+'Oslo Pensjonsforsikring'!C56+'Protector Forsikring'!C56+'Sparebank 1 Fors.'!C56+'Storebrand Livsforsikring'!C56+'Telenor Forsikring'!C56+'Tryg Forsikring'!C56+'WaterCircles F'!C56+'Euro Accident'!C56+'Ly Forsikring'!C56+'Youplus Livsforsikring'!C56+'Oslo Forsikring'!C56+'Knif Trygghet Forsikring'!C56</f>
        <v>110194.011</v>
      </c>
      <c r="D56" s="21">
        <f t="shared" si="20"/>
        <v>6.6</v>
      </c>
      <c r="E56" s="336"/>
      <c r="F56" s="337"/>
      <c r="G56" s="26"/>
      <c r="H56" s="130"/>
      <c r="I56" s="130"/>
      <c r="J56" s="26"/>
    </row>
    <row r="57" spans="1:10" ht="15.75" customHeight="1" x14ac:dyDescent="0.25">
      <c r="A57" s="18" t="s">
        <v>190</v>
      </c>
      <c r="B57" s="36">
        <f>Fremtind!B57+'DNB Livsforsikring'!B57+'Frende Livsforsikring'!B57+'Frende Skadeforsikring'!B57+'Gjensidige Forsikring'!B57+'Gjensidige Pensjon'!B57+'If Skadeforsikring NUF'!B57+KLP!B57+'KLP Skadeforsikring AS'!B57+'Landkreditt Forsikring AS'!B57+'Nordea Liv '!B57+'Oslo Pensjonsforsikring'!B57+'Protector Forsikring'!B57+'Sparebank 1 Fors.'!B57+'Storebrand Livsforsikring'!B57+'Telenor Forsikring'!B57+'Tryg Forsikring'!B57+'WaterCircles F'!B57+'Euro Accident'!B57+'Ly Forsikring'!B57+'Youplus Livsforsikring'!B57+'Oslo Forsikring'!B57+'Knif Trygghet Forsikring'!B57</f>
        <v>45411.186000000002</v>
      </c>
      <c r="C57" s="36">
        <f>Fremtind!C57+'DNB Livsforsikring'!C57+'Frende Livsforsikring'!C57+'Frende Skadeforsikring'!C57+'Gjensidige Forsikring'!C57+'Gjensidige Pensjon'!C57+'If Skadeforsikring NUF'!C57+KLP!C57+'KLP Skadeforsikring AS'!C57+'Landkreditt Forsikring AS'!C57+'Nordea Liv '!C57+'Oslo Pensjonsforsikring'!C57+'Protector Forsikring'!C57+'Sparebank 1 Fors.'!C57+'Storebrand Livsforsikring'!C57+'Telenor Forsikring'!C57+'Tryg Forsikring'!C57+'WaterCircles F'!C57+'Euro Accident'!C57+'Ly Forsikring'!C57+'Youplus Livsforsikring'!C57+'Oslo Forsikring'!C57+'Knif Trygghet Forsikring'!C57</f>
        <v>101608.011</v>
      </c>
      <c r="D57" s="21">
        <f t="shared" si="20"/>
        <v>123.8</v>
      </c>
      <c r="E57" s="29"/>
      <c r="F57" s="3"/>
      <c r="G57" s="28"/>
      <c r="H57" s="27"/>
      <c r="I57" s="27"/>
      <c r="J57" s="26"/>
    </row>
    <row r="58" spans="1:10" ht="15.75" customHeight="1" x14ac:dyDescent="0.25">
      <c r="A58" s="18" t="s">
        <v>191</v>
      </c>
      <c r="B58" s="37">
        <f>Fremtind!B58+'DNB Livsforsikring'!B58+'Frende Livsforsikring'!B58+'Frende Skadeforsikring'!B58+'Gjensidige Forsikring'!B58+'Gjensidige Pensjon'!B58+'If Skadeforsikring NUF'!B58+KLP!B58+'KLP Skadeforsikring AS'!B58+'Landkreditt Forsikring AS'!B58+'Nordea Liv '!B58+'Oslo Pensjonsforsikring'!B58+'Protector Forsikring'!B58+'Sparebank 1 Fors.'!B58+'Storebrand Livsforsikring'!B58+'Telenor Forsikring'!B58+'Tryg Forsikring'!B58+'WaterCircles F'!B58+'Euro Accident'!B58+'Ly Forsikring'!B58+'Youplus Livsforsikring'!B58+'Oslo Forsikring'!B58+'Knif Trygghet Forsikring'!B58</f>
        <v>57927</v>
      </c>
      <c r="C58" s="37">
        <f>Fremtind!C58+'DNB Livsforsikring'!C58+'Frende Livsforsikring'!C58+'Frende Skadeforsikring'!C58+'Gjensidige Forsikring'!C58+'Gjensidige Pensjon'!C58+'If Skadeforsikring NUF'!C58+KLP!C58+'KLP Skadeforsikring AS'!C58+'Landkreditt Forsikring AS'!C58+'Nordea Liv '!C58+'Oslo Pensjonsforsikring'!C58+'Protector Forsikring'!C58+'Sparebank 1 Fors.'!C58+'Storebrand Livsforsikring'!C58+'Telenor Forsikring'!C58+'Tryg Forsikring'!C58+'WaterCircles F'!C58+'Euro Accident'!C58+'Ly Forsikring'!C58+'Youplus Livsforsikring'!C58+'Oslo Forsikring'!C58+'Knif Trygghet Forsikring'!C58</f>
        <v>8586</v>
      </c>
      <c r="D58" s="30">
        <f t="shared" si="20"/>
        <v>-85.2</v>
      </c>
      <c r="E58" s="29"/>
      <c r="F58" s="3"/>
      <c r="G58" s="28"/>
      <c r="H58" s="27"/>
      <c r="I58" s="27"/>
      <c r="J58" s="26"/>
    </row>
    <row r="59" spans="1:10" ht="15.75" customHeight="1" x14ac:dyDescent="0.3">
      <c r="A59" s="115"/>
      <c r="B59" s="24"/>
      <c r="C59" s="24"/>
      <c r="D59" s="24"/>
      <c r="E59" s="24"/>
      <c r="F59" s="24"/>
      <c r="G59" s="24"/>
      <c r="H59" s="24"/>
      <c r="I59" s="24"/>
      <c r="J59" s="24"/>
    </row>
    <row r="60" spans="1:10" ht="15.75" customHeight="1" x14ac:dyDescent="0.25">
      <c r="A60" s="115"/>
    </row>
    <row r="61" spans="1:10" ht="15.75" customHeight="1" x14ac:dyDescent="0.3">
      <c r="A61" s="110" t="s">
        <v>197</v>
      </c>
      <c r="C61" s="22"/>
      <c r="D61" s="4"/>
      <c r="E61" s="22"/>
      <c r="F61" s="22"/>
      <c r="G61" s="4"/>
      <c r="H61" s="22"/>
      <c r="I61" s="22"/>
      <c r="J61" s="4"/>
    </row>
    <row r="62" spans="1:10" ht="20.100000000000001" customHeight="1" x14ac:dyDescent="0.3">
      <c r="A62" s="22"/>
      <c r="B62" s="589"/>
      <c r="C62" s="589"/>
      <c r="D62" s="589"/>
      <c r="E62" s="589"/>
      <c r="F62" s="589"/>
      <c r="G62" s="589"/>
      <c r="H62" s="589"/>
      <c r="I62" s="589"/>
      <c r="J62" s="589"/>
    </row>
    <row r="63" spans="1:10" ht="15.75" customHeight="1" x14ac:dyDescent="0.25">
      <c r="A63" s="108"/>
      <c r="B63" s="586" t="s">
        <v>46</v>
      </c>
      <c r="C63" s="587"/>
      <c r="D63" s="587"/>
      <c r="E63" s="586" t="s">
        <v>69</v>
      </c>
      <c r="F63" s="587"/>
      <c r="G63" s="588"/>
      <c r="H63" s="587" t="s">
        <v>120</v>
      </c>
      <c r="I63" s="587"/>
      <c r="J63" s="588"/>
    </row>
    <row r="64" spans="1:10" ht="15.75" customHeight="1" x14ac:dyDescent="0.25">
      <c r="A64" s="105"/>
      <c r="B64" s="200" t="s">
        <v>418</v>
      </c>
      <c r="C64" s="200" t="s">
        <v>419</v>
      </c>
      <c r="D64" s="16" t="s">
        <v>167</v>
      </c>
      <c r="E64" s="200" t="s">
        <v>418</v>
      </c>
      <c r="F64" s="200" t="s">
        <v>419</v>
      </c>
      <c r="G64" s="16" t="s">
        <v>167</v>
      </c>
      <c r="H64" s="200" t="s">
        <v>418</v>
      </c>
      <c r="I64" s="200" t="s">
        <v>419</v>
      </c>
      <c r="J64" s="16" t="s">
        <v>167</v>
      </c>
    </row>
    <row r="65" spans="1:10" ht="15.75" customHeight="1" x14ac:dyDescent="0.25">
      <c r="A65" s="557"/>
      <c r="B65" s="12"/>
      <c r="C65" s="12"/>
      <c r="D65" s="14" t="s">
        <v>168</v>
      </c>
      <c r="E65" s="13"/>
      <c r="F65" s="13"/>
      <c r="G65" s="12" t="s">
        <v>168</v>
      </c>
      <c r="H65" s="13"/>
      <c r="I65" s="13"/>
      <c r="J65" s="12" t="s">
        <v>168</v>
      </c>
    </row>
    <row r="66" spans="1:10" s="35" customFormat="1" ht="15.75" customHeight="1" x14ac:dyDescent="0.25">
      <c r="A66" s="11" t="s">
        <v>169</v>
      </c>
      <c r="B66" s="270">
        <f>Fremtind!B66+'DNB Livsforsikring'!B66+'Frende Livsforsikring'!B66+'Frende Skadeforsikring'!B66+'Gjensidige Forsikring'!B66+'Gjensidige Pensjon'!B66+'If Skadeforsikring NUF'!B66+KLP!B66+'KLP Skadeforsikring AS'!B66+'Landkreditt Forsikring AS'!B66+'Nordea Liv '!B66+'Oslo Pensjonsforsikring'!B66+'Protector Forsikring'!B66+'Sparebank 1 Fors.'!B66+'Storebrand Livsforsikring'!B66+'Telenor Forsikring'!B66+'Tryg Forsikring'!B66+'WaterCircles F'!B66+'Euro Accident'!B66+'Ly Forsikring'!B66+'Youplus Livsforsikring'!B66+'Oslo Forsikring'!B66+'Knif Trygghet Forsikring'!B66</f>
        <v>2945251.8256099997</v>
      </c>
      <c r="C66" s="270">
        <f>Fremtind!C66+'DNB Livsforsikring'!C66+'Frende Livsforsikring'!C66+'Frende Skadeforsikring'!C66+'Gjensidige Forsikring'!C66+'Gjensidige Pensjon'!C66+'If Skadeforsikring NUF'!C66+KLP!C66+'KLP Skadeforsikring AS'!C66+'Landkreditt Forsikring AS'!C66+'Nordea Liv '!C66+'Oslo Pensjonsforsikring'!C66+'Protector Forsikring'!C66+'Sparebank 1 Fors.'!C66+'Storebrand Livsforsikring'!C66+'Telenor Forsikring'!C66+'Tryg Forsikring'!C66+'WaterCircles F'!C66+'Euro Accident'!C66+'Ly Forsikring'!C66+'Youplus Livsforsikring'!C66+'Oslo Forsikring'!C66+'Knif Trygghet Forsikring'!C66</f>
        <v>3039821.6262999997</v>
      </c>
      <c r="D66" s="21">
        <f t="shared" ref="D66:D111" si="21">IF(B66=0, "    ---- ", IF(ABS(ROUND(100/B66*C66-100,1))&lt;999,ROUND(100/B66*C66-100,1),IF(ROUND(100/B66*C66-100,1)&gt;999,999,-999)))</f>
        <v>3.2</v>
      </c>
      <c r="E66" s="183">
        <f>Fremtind!F66+'DNB Livsforsikring'!F66+'Frende Livsforsikring'!F66+'Frende Skadeforsikring'!F66+'Gjensidige Forsikring'!F66+'Gjensidige Pensjon'!F66+'If Skadeforsikring NUF'!F66+KLP!F66+'KLP Skadeforsikring AS'!F66+'Landkreditt Forsikring AS'!F66+'Nordea Liv '!F66+'Oslo Pensjonsforsikring'!F66+'Protector Forsikring'!F66+'Sparebank 1 Fors.'!F66+'Storebrand Livsforsikring'!F66+'Telenor Forsikring'!F66+'Tryg Forsikring'!F66+'WaterCircles F'!F66+'Euro Accident'!F66+'Ly Forsikring'!F66+'Youplus Livsforsikring'!F66+'Oslo Forsikring'!F66+'Knif Trygghet Forsikring'!F66</f>
        <v>14574699.89064</v>
      </c>
      <c r="F66" s="183">
        <f>Fremtind!G66+'DNB Livsforsikring'!G66+'Frende Livsforsikring'!G66+'Frende Skadeforsikring'!G66+'Gjensidige Forsikring'!G66+'Gjensidige Pensjon'!G66+'If Skadeforsikring NUF'!G66+KLP!G66+'KLP Skadeforsikring AS'!G66+'Landkreditt Forsikring AS'!G66+'Nordea Liv '!G66+'Oslo Pensjonsforsikring'!G66+'Protector Forsikring'!G66+'Sparebank 1 Fors.'!G66+'Storebrand Livsforsikring'!G66+'Telenor Forsikring'!G66+'Tryg Forsikring'!G66+'WaterCircles F'!G66+'Euro Accident'!G66+'Ly Forsikring'!G66+'Youplus Livsforsikring'!G66+'Oslo Forsikring'!G66+'Knif Trygghet Forsikring'!G66</f>
        <v>15220599.516379999</v>
      </c>
      <c r="G66" s="127">
        <f t="shared" ref="G66:G125" si="22">IF(E66=0, "    ---- ", IF(ABS(ROUND(100/E66*F66-100,1))&lt;999,ROUND(100/E66*F66-100,1),IF(ROUND(100/E66*F66-100,1)&gt;999,999,-999)))</f>
        <v>4.4000000000000004</v>
      </c>
      <c r="H66" s="270">
        <f t="shared" ref="H66:H86" si="23">SUM(B66,E66)</f>
        <v>17519951.716249999</v>
      </c>
      <c r="I66" s="270">
        <f t="shared" ref="I66:I86" si="24">SUM(C66,F66)</f>
        <v>18260421.142679997</v>
      </c>
      <c r="J66" s="21">
        <f t="shared" ref="J66:J111" si="25">IF(H66=0, "    ---- ", IF(ABS(ROUND(100/H66*I66-100,1))&lt;999,ROUND(100/H66*I66-100,1),IF(ROUND(100/H66*I66-100,1)&gt;999,999,-999)))</f>
        <v>4.2</v>
      </c>
    </row>
    <row r="67" spans="1:10" ht="15.75" customHeight="1" x14ac:dyDescent="0.3">
      <c r="A67" s="18" t="s">
        <v>198</v>
      </c>
      <c r="B67" s="181">
        <f>Fremtind!B67+'DNB Livsforsikring'!B67+'Frende Livsforsikring'!B67+'Frende Skadeforsikring'!B67+'Gjensidige Forsikring'!B67+'Gjensidige Pensjon'!B67+'If Skadeforsikring NUF'!B67+KLP!B67+'KLP Skadeforsikring AS'!B67+'Landkreditt Forsikring AS'!B67+'Nordea Liv '!B67+'Oslo Pensjonsforsikring'!B67+'Protector Forsikring'!B67+'Sparebank 1 Fors.'!B67+'Storebrand Livsforsikring'!B67+'Telenor Forsikring'!B67+'Tryg Forsikring'!B67+'WaterCircles F'!B67+'Euro Accident'!B67+'Ly Forsikring'!B67+'Youplus Livsforsikring'!B67+'Oslo Forsikring'!B67+'Knif Trygghet Forsikring'!B67</f>
        <v>1830606.8049973622</v>
      </c>
      <c r="C67" s="181">
        <f>Fremtind!C67+'DNB Livsforsikring'!C67+'Frende Livsforsikring'!C67+'Frende Skadeforsikring'!C67+'Gjensidige Forsikring'!C67+'Gjensidige Pensjon'!C67+'If Skadeforsikring NUF'!C67+KLP!C67+'KLP Skadeforsikring AS'!C67+'Landkreditt Forsikring AS'!C67+'Nordea Liv '!C67+'Oslo Pensjonsforsikring'!C67+'Protector Forsikring'!C67+'Sparebank 1 Fors.'!C67+'Storebrand Livsforsikring'!C67+'Telenor Forsikring'!C67+'Tryg Forsikring'!C67+'WaterCircles F'!C67+'Euro Accident'!C67+'Ly Forsikring'!C67+'Youplus Livsforsikring'!C67+'Oslo Forsikring'!C67+'Knif Trygghet Forsikring'!C67</f>
        <v>1706246.0770745748</v>
      </c>
      <c r="D67" s="188">
        <f t="shared" si="21"/>
        <v>-6.8</v>
      </c>
      <c r="E67" s="36"/>
      <c r="F67" s="36"/>
      <c r="G67" s="123"/>
      <c r="H67" s="184">
        <f t="shared" si="23"/>
        <v>1830606.8049973622</v>
      </c>
      <c r="I67" s="184">
        <f t="shared" si="24"/>
        <v>1706246.0770745748</v>
      </c>
      <c r="J67" s="20">
        <f t="shared" si="25"/>
        <v>-6.8</v>
      </c>
    </row>
    <row r="68" spans="1:10" ht="15.75" customHeight="1" x14ac:dyDescent="0.3">
      <c r="A68" s="18" t="s">
        <v>199</v>
      </c>
      <c r="B68" s="181">
        <f>Fremtind!B68+'DNB Livsforsikring'!B68+'Frende Livsforsikring'!B68+'Frende Skadeforsikring'!B68+'Gjensidige Forsikring'!B68+'Gjensidige Pensjon'!B68+'If Skadeforsikring NUF'!B68+KLP!B68+'KLP Skadeforsikring AS'!B68+'Landkreditt Forsikring AS'!B68+'Nordea Liv '!B68+'Oslo Pensjonsforsikring'!B68+'Protector Forsikring'!B68+'Sparebank 1 Fors.'!B68+'Storebrand Livsforsikring'!B68+'Telenor Forsikring'!B68+'Tryg Forsikring'!B68+'WaterCircles F'!B68+'Euro Accident'!B68+'Ly Forsikring'!B68+'Youplus Livsforsikring'!B68+'Oslo Forsikring'!B68+'Knif Trygghet Forsikring'!B68</f>
        <v>8248.00252</v>
      </c>
      <c r="C68" s="181">
        <f>Fremtind!C68+'DNB Livsforsikring'!C68+'Frende Livsforsikring'!C68+'Frende Skadeforsikring'!C68+'Gjensidige Forsikring'!C68+'Gjensidige Pensjon'!C68+'If Skadeforsikring NUF'!C68+KLP!C68+'KLP Skadeforsikring AS'!C68+'Landkreditt Forsikring AS'!C68+'Nordea Liv '!C68+'Oslo Pensjonsforsikring'!C68+'Protector Forsikring'!C68+'Sparebank 1 Fors.'!C68+'Storebrand Livsforsikring'!C68+'Telenor Forsikring'!C68+'Tryg Forsikring'!C68+'WaterCircles F'!C68+'Euro Accident'!C68+'Ly Forsikring'!C68+'Youplus Livsforsikring'!C68+'Oslo Forsikring'!C68+'Knif Trygghet Forsikring'!C68</f>
        <v>4535.4735199999996</v>
      </c>
      <c r="D68" s="188">
        <f t="shared" si="21"/>
        <v>-45</v>
      </c>
      <c r="E68" s="36">
        <f>Fremtind!F68+'DNB Livsforsikring'!F68+'Frende Livsforsikring'!F68+'Frende Skadeforsikring'!F68+'Gjensidige Forsikring'!F68+'Gjensidige Pensjon'!F68+'If Skadeforsikring NUF'!F68+KLP!F68+'KLP Skadeforsikring AS'!F68+'Landkreditt Forsikring AS'!F68+'Nordea Liv '!F68+'Oslo Pensjonsforsikring'!F68+'Protector Forsikring'!F68+'Sparebank 1 Fors.'!F68+'Storebrand Livsforsikring'!F68+'Telenor Forsikring'!F68+'Tryg Forsikring'!F68+'WaterCircles F'!F68+'Euro Accident'!F68+'Ly Forsikring'!F68+'Youplus Livsforsikring'!F68+'Oslo Forsikring'!F68+'Knif Trygghet Forsikring'!F68</f>
        <v>14040757.27189</v>
      </c>
      <c r="F68" s="36">
        <f>Fremtind!G68+'DNB Livsforsikring'!G68+'Frende Livsforsikring'!G68+'Frende Skadeforsikring'!G68+'Gjensidige Forsikring'!G68+'Gjensidige Pensjon'!G68+'If Skadeforsikring NUF'!G68+KLP!G68+'KLP Skadeforsikring AS'!G68+'Landkreditt Forsikring AS'!G68+'Nordea Liv '!G68+'Oslo Pensjonsforsikring'!G68+'Protector Forsikring'!G68+'Sparebank 1 Fors.'!G68+'Storebrand Livsforsikring'!G68+'Telenor Forsikring'!G68+'Tryg Forsikring'!G68+'WaterCircles F'!G68+'Euro Accident'!G68+'Ly Forsikring'!G68+'Youplus Livsforsikring'!G68+'Oslo Forsikring'!G68+'Knif Trygghet Forsikring'!G68</f>
        <v>14665715.196029998</v>
      </c>
      <c r="G68" s="123">
        <f t="shared" si="22"/>
        <v>4.5</v>
      </c>
      <c r="H68" s="184">
        <f t="shared" si="23"/>
        <v>14049005.27441</v>
      </c>
      <c r="I68" s="184">
        <f t="shared" si="24"/>
        <v>14670250.669549998</v>
      </c>
      <c r="J68" s="20">
        <f t="shared" si="25"/>
        <v>4.4000000000000004</v>
      </c>
    </row>
    <row r="69" spans="1:10" ht="15.75" customHeight="1" x14ac:dyDescent="0.25">
      <c r="A69" s="240" t="s">
        <v>200</v>
      </c>
      <c r="B69" s="261"/>
      <c r="C69" s="261"/>
      <c r="D69" s="23"/>
      <c r="E69" s="261"/>
      <c r="F69" s="261"/>
      <c r="G69" s="123"/>
      <c r="H69" s="261"/>
      <c r="I69" s="261"/>
      <c r="J69" s="20"/>
    </row>
    <row r="70" spans="1:10" ht="15.75" customHeight="1" x14ac:dyDescent="0.25">
      <c r="A70" s="240" t="s">
        <v>201</v>
      </c>
      <c r="B70" s="261"/>
      <c r="C70" s="261"/>
      <c r="D70" s="23"/>
      <c r="E70" s="261"/>
      <c r="F70" s="261"/>
      <c r="G70" s="123"/>
      <c r="H70" s="261"/>
      <c r="I70" s="261"/>
      <c r="J70" s="20"/>
    </row>
    <row r="71" spans="1:10" ht="15.75" customHeight="1" x14ac:dyDescent="0.25">
      <c r="A71" s="240" t="s">
        <v>202</v>
      </c>
      <c r="B71" s="261"/>
      <c r="C71" s="261"/>
      <c r="D71" s="23"/>
      <c r="E71" s="261"/>
      <c r="F71" s="261"/>
      <c r="G71" s="123"/>
      <c r="H71" s="261"/>
      <c r="I71" s="261"/>
      <c r="J71" s="20"/>
    </row>
    <row r="72" spans="1:10" ht="15.75" customHeight="1" x14ac:dyDescent="0.25">
      <c r="A72" s="240" t="s">
        <v>203</v>
      </c>
      <c r="B72" s="261"/>
      <c r="C72" s="261"/>
      <c r="D72" s="23"/>
      <c r="E72" s="261"/>
      <c r="F72" s="261"/>
      <c r="G72" s="123"/>
      <c r="H72" s="261"/>
      <c r="I72" s="261"/>
      <c r="J72" s="21"/>
    </row>
    <row r="73" spans="1:10" ht="15.75" customHeight="1" x14ac:dyDescent="0.25">
      <c r="A73" s="240" t="s">
        <v>201</v>
      </c>
      <c r="B73" s="182"/>
      <c r="C73" s="182"/>
      <c r="D73" s="23"/>
      <c r="E73" s="261"/>
      <c r="F73" s="261"/>
      <c r="G73" s="123"/>
      <c r="H73" s="261"/>
      <c r="I73" s="261"/>
      <c r="J73" s="20"/>
    </row>
    <row r="74" spans="1:10" ht="15.75" customHeight="1" x14ac:dyDescent="0.25">
      <c r="A74" s="240" t="s">
        <v>202</v>
      </c>
      <c r="B74" s="182"/>
      <c r="C74" s="182"/>
      <c r="D74" s="23"/>
      <c r="E74" s="261"/>
      <c r="F74" s="261"/>
      <c r="G74" s="123"/>
      <c r="H74" s="261"/>
      <c r="I74" s="261"/>
      <c r="J74" s="20"/>
    </row>
    <row r="75" spans="1:10" ht="15.75" customHeight="1" x14ac:dyDescent="0.25">
      <c r="A75" s="18" t="s">
        <v>204</v>
      </c>
      <c r="B75" s="36">
        <f>Fremtind!B75+'DNB Livsforsikring'!B75+'Frende Livsforsikring'!B75+'Frende Skadeforsikring'!B75+'Gjensidige Forsikring'!B75+'Gjensidige Pensjon'!B75+'If Skadeforsikring NUF'!B75+KLP!B75+'KLP Skadeforsikring AS'!B75+'Landkreditt Forsikring AS'!B75+'Nordea Liv '!B75+'Oslo Pensjonsforsikring'!B75+'Protector Forsikring'!B75+'Sparebank 1 Fors.'!B75+'Storebrand Livsforsikring'!B75+'Telenor Forsikring'!B75+'Tryg Forsikring'!B75+'WaterCircles F'!B75+'Euro Accident'!B75+'Ly Forsikring'!B75+'Youplus Livsforsikring'!B75+'Oslo Forsikring'!B75+'Knif Trygghet Forsikring'!B75</f>
        <v>200046.06127999999</v>
      </c>
      <c r="C75" s="36">
        <f>Fremtind!C75+'DNB Livsforsikring'!C75+'Frende Livsforsikring'!C75+'Frende Skadeforsikring'!C75+'Gjensidige Forsikring'!C75+'Gjensidige Pensjon'!C75+'If Skadeforsikring NUF'!C75+KLP!C75+'KLP Skadeforsikring AS'!C75+'Landkreditt Forsikring AS'!C75+'Nordea Liv '!C75+'Oslo Pensjonsforsikring'!C75+'Protector Forsikring'!C75+'Sparebank 1 Fors.'!C75+'Storebrand Livsforsikring'!C75+'Telenor Forsikring'!C75+'Tryg Forsikring'!C75+'WaterCircles F'!C75+'Euro Accident'!C75+'Ly Forsikring'!C75+'Youplus Livsforsikring'!C75+'Oslo Forsikring'!C75+'Knif Trygghet Forsikring'!C75</f>
        <v>202288.74426000001</v>
      </c>
      <c r="D75" s="20">
        <f t="shared" si="21"/>
        <v>1.1000000000000001</v>
      </c>
      <c r="E75" s="36">
        <f>Fremtind!F75+'DNB Livsforsikring'!F75+'Frende Livsforsikring'!F75+'Frende Skadeforsikring'!F75+'Gjensidige Forsikring'!F75+'Gjensidige Pensjon'!F75+'If Skadeforsikring NUF'!F75+KLP!F75+'KLP Skadeforsikring AS'!F75+'Landkreditt Forsikring AS'!F75+'Nordea Liv '!F75+'Oslo Pensjonsforsikring'!F75+'Protector Forsikring'!F75+'Sparebank 1 Fors.'!F75+'Storebrand Livsforsikring'!F75+'Telenor Forsikring'!F75+'Tryg Forsikring'!F75+'WaterCircles F'!F75+'Euro Accident'!F75+'Ly Forsikring'!F75+'Youplus Livsforsikring'!F75+'Oslo Forsikring'!F75+'Knif Trygghet Forsikring'!F75</f>
        <v>533942.61875000002</v>
      </c>
      <c r="F75" s="36">
        <f>Fremtind!G75+'DNB Livsforsikring'!G75+'Frende Livsforsikring'!G75+'Frende Skadeforsikring'!G75+'Gjensidige Forsikring'!G75+'Gjensidige Pensjon'!G75+'If Skadeforsikring NUF'!G75+KLP!G75+'KLP Skadeforsikring AS'!G75+'Landkreditt Forsikring AS'!G75+'Nordea Liv '!G75+'Oslo Pensjonsforsikring'!G75+'Protector Forsikring'!G75+'Sparebank 1 Fors.'!G75+'Storebrand Livsforsikring'!G75+'Telenor Forsikring'!G75+'Tryg Forsikring'!G75+'WaterCircles F'!G75+'Euro Accident'!G75+'Ly Forsikring'!G75+'Youplus Livsforsikring'!G75+'Oslo Forsikring'!G75+'Knif Trygghet Forsikring'!G75</f>
        <v>554884.32034999994</v>
      </c>
      <c r="G75" s="123">
        <f t="shared" si="22"/>
        <v>3.9</v>
      </c>
      <c r="H75" s="184">
        <f t="shared" si="23"/>
        <v>733988.68003000005</v>
      </c>
      <c r="I75" s="184">
        <f t="shared" si="24"/>
        <v>757173.06461</v>
      </c>
      <c r="J75" s="20">
        <f t="shared" si="25"/>
        <v>3.2</v>
      </c>
    </row>
    <row r="76" spans="1:10" ht="15.75" customHeight="1" x14ac:dyDescent="0.25">
      <c r="A76" s="18" t="s">
        <v>410</v>
      </c>
      <c r="B76" s="36">
        <f>Fremtind!B76+'DNB Livsforsikring'!B76+'Frende Livsforsikring'!B76+'Frende Skadeforsikring'!B76+'Gjensidige Forsikring'!B76+'Gjensidige Pensjon'!B76+'If Skadeforsikring NUF'!B76+KLP!B76+'KLP Skadeforsikring AS'!B76+'Landkreditt Forsikring AS'!B76+'Nordea Liv '!B76+'Oslo Pensjonsforsikring'!B76+'Protector Forsikring'!B76+'Sparebank 1 Fors.'!B76+'Storebrand Livsforsikring'!B76+'Telenor Forsikring'!B76+'Tryg Forsikring'!B76+'WaterCircles F'!B76+'Euro Accident'!B76+'Ly Forsikring'!B76+'Youplus Livsforsikring'!B76+'Oslo Forsikring'!B76+'Knif Trygghet Forsikring'!B76</f>
        <v>906350.95681263809</v>
      </c>
      <c r="C76" s="36">
        <f>Fremtind!C76+'DNB Livsforsikring'!C76+'Frende Livsforsikring'!C76+'Frende Skadeforsikring'!C76+'Gjensidige Forsikring'!C76+'Gjensidige Pensjon'!C76+'If Skadeforsikring NUF'!C76+KLP!C76+'KLP Skadeforsikring AS'!C76+'Landkreditt Forsikring AS'!C76+'Nordea Liv '!C76+'Oslo Pensjonsforsikring'!C76+'Protector Forsikring'!C76+'Sparebank 1 Fors.'!C76+'Storebrand Livsforsikring'!C76+'Telenor Forsikring'!C76+'Tryg Forsikring'!C76+'WaterCircles F'!C76+'Euro Accident'!C76+'Ly Forsikring'!C76+'Youplus Livsforsikring'!C76+'Oslo Forsikring'!C76+'Knif Trygghet Forsikring'!C76</f>
        <v>1126751.3314454248</v>
      </c>
      <c r="D76" s="20">
        <f t="shared" ref="D76" si="26">IF(B76=0, "    ---- ", IF(ABS(ROUND(100/B76*C76-100,1))&lt;999,ROUND(100/B76*C76-100,1),IF(ROUND(100/B76*C76-100,1)&gt;999,999,-999)))</f>
        <v>24.3</v>
      </c>
      <c r="E76" s="36"/>
      <c r="F76" s="36"/>
      <c r="G76" s="123"/>
      <c r="H76" s="184">
        <f t="shared" ref="H76" si="27">SUM(B76,E76)</f>
        <v>906350.95681263809</v>
      </c>
      <c r="I76" s="184">
        <f t="shared" ref="I76" si="28">SUM(C76,F76)</f>
        <v>1126751.3314454248</v>
      </c>
      <c r="J76" s="20">
        <f t="shared" ref="J76" si="29">IF(H76=0, "    ---- ", IF(ABS(ROUND(100/H76*I76-100,1))&lt;999,ROUND(100/H76*I76-100,1),IF(ROUND(100/H76*I76-100,1)&gt;999,999,-999)))</f>
        <v>24.3</v>
      </c>
    </row>
    <row r="77" spans="1:10" ht="15.75" customHeight="1" x14ac:dyDescent="0.25">
      <c r="A77" s="18" t="s">
        <v>206</v>
      </c>
      <c r="B77" s="36">
        <f>Fremtind!B77+'DNB Livsforsikring'!B77+'Frende Livsforsikring'!B77+'Frende Skadeforsikring'!B77+'Gjensidige Forsikring'!B77+'Gjensidige Pensjon'!B77+'If Skadeforsikring NUF'!B77+KLP!B77+'KLP Skadeforsikring AS'!B77+'Landkreditt Forsikring AS'!B77+'Nordea Liv '!B77+'Oslo Pensjonsforsikring'!B77+'Protector Forsikring'!B77+'Sparebank 1 Fors.'!B77+'Storebrand Livsforsikring'!B77+'Telenor Forsikring'!B77+'Tryg Forsikring'!B77+'WaterCircles F'!B77+'Euro Accident'!B77+'Ly Forsikring'!B77+'Youplus Livsforsikring'!B77+'Oslo Forsikring'!B77+'Knif Trygghet Forsikring'!B77</f>
        <v>1764702.1615173619</v>
      </c>
      <c r="C77" s="36">
        <f>Fremtind!C77+'DNB Livsforsikring'!C77+'Frende Livsforsikring'!C77+'Frende Skadeforsikring'!C77+'Gjensidige Forsikring'!C77+'Gjensidige Pensjon'!C77+'If Skadeforsikring NUF'!C77+KLP!C77+'KLP Skadeforsikring AS'!C77+'Landkreditt Forsikring AS'!C77+'Nordea Liv '!C77+'Oslo Pensjonsforsikring'!C77+'Protector Forsikring'!C77+'Sparebank 1 Fors.'!C77+'Storebrand Livsforsikring'!C77+'Telenor Forsikring'!C77+'Tryg Forsikring'!C77+'WaterCircles F'!C77+'Euro Accident'!C77+'Ly Forsikring'!C77+'Youplus Livsforsikring'!C77+'Oslo Forsikring'!C77+'Knif Trygghet Forsikring'!C77</f>
        <v>1635663.9006345749</v>
      </c>
      <c r="D77" s="20">
        <f t="shared" si="21"/>
        <v>-7.3</v>
      </c>
      <c r="E77" s="36">
        <f>Fremtind!F77+'DNB Livsforsikring'!F77+'Frende Livsforsikring'!F77+'Frende Skadeforsikring'!F77+'Gjensidige Forsikring'!F77+'Gjensidige Pensjon'!F77+'If Skadeforsikring NUF'!F77+KLP!F77+'KLP Skadeforsikring AS'!F77+'Landkreditt Forsikring AS'!F77+'Nordea Liv '!F77+'Oslo Pensjonsforsikring'!F77+'Protector Forsikring'!F77+'Sparebank 1 Fors.'!F77+'Storebrand Livsforsikring'!F77+'Telenor Forsikring'!F77+'Tryg Forsikring'!F77+'WaterCircles F'!F77+'Euro Accident'!F77+'Ly Forsikring'!F77+'Youplus Livsforsikring'!F77+'Oslo Forsikring'!F77+'Knif Trygghet Forsikring'!F77</f>
        <v>14037162.651890002</v>
      </c>
      <c r="F77" s="36">
        <f>Fremtind!G77+'DNB Livsforsikring'!G77+'Frende Livsforsikring'!G77+'Frende Skadeforsikring'!G77+'Gjensidige Forsikring'!G77+'Gjensidige Pensjon'!G77+'If Skadeforsikring NUF'!G77+KLP!G77+'KLP Skadeforsikring AS'!G77+'Landkreditt Forsikring AS'!G77+'Nordea Liv '!G77+'Oslo Pensjonsforsikring'!G77+'Protector Forsikring'!G77+'Sparebank 1 Fors.'!G77+'Storebrand Livsforsikring'!G77+'Telenor Forsikring'!G77+'Tryg Forsikring'!G77+'WaterCircles F'!G77+'Euro Accident'!G77+'Ly Forsikring'!G77+'Youplus Livsforsikring'!G77+'Oslo Forsikring'!G77+'Knif Trygghet Forsikring'!G77</f>
        <v>14661194.552030001</v>
      </c>
      <c r="G77" s="123">
        <f t="shared" si="22"/>
        <v>4.4000000000000004</v>
      </c>
      <c r="H77" s="184">
        <f t="shared" si="23"/>
        <v>15801864.813407363</v>
      </c>
      <c r="I77" s="184">
        <f t="shared" si="24"/>
        <v>16296858.452664576</v>
      </c>
      <c r="J77" s="20">
        <f t="shared" si="25"/>
        <v>3.1</v>
      </c>
    </row>
    <row r="78" spans="1:10" ht="15.75" customHeight="1" x14ac:dyDescent="0.25">
      <c r="A78" s="18" t="s">
        <v>198</v>
      </c>
      <c r="B78" s="36">
        <f>Fremtind!B78+'DNB Livsforsikring'!B78+'Frende Livsforsikring'!B78+'Frende Skadeforsikring'!B78+'Gjensidige Forsikring'!B78+'Gjensidige Pensjon'!B78+'If Skadeforsikring NUF'!B78+KLP!B78+'KLP Skadeforsikring AS'!B78+'Landkreditt Forsikring AS'!B78+'Nordea Liv '!B78+'Oslo Pensjonsforsikring'!B78+'Protector Forsikring'!B78+'Sparebank 1 Fors.'!B78+'Storebrand Livsforsikring'!B78+'Telenor Forsikring'!B78+'Tryg Forsikring'!B78+'WaterCircles F'!B78+'Euro Accident'!B78+'Ly Forsikring'!B78+'Youplus Livsforsikring'!B78+'Oslo Forsikring'!B78+'Knif Trygghet Forsikring'!B78</f>
        <v>1756454.1589973618</v>
      </c>
      <c r="C78" s="36">
        <f>Fremtind!C78+'DNB Livsforsikring'!C78+'Frende Livsforsikring'!C78+'Frende Skadeforsikring'!C78+'Gjensidige Forsikring'!C78+'Gjensidige Pensjon'!C78+'If Skadeforsikring NUF'!C78+KLP!C78+'KLP Skadeforsikring AS'!C78+'Landkreditt Forsikring AS'!C78+'Nordea Liv '!C78+'Oslo Pensjonsforsikring'!C78+'Protector Forsikring'!C78+'Sparebank 1 Fors.'!C78+'Storebrand Livsforsikring'!C78+'Telenor Forsikring'!C78+'Tryg Forsikring'!C78+'WaterCircles F'!C78+'Euro Accident'!C78+'Ly Forsikring'!C78+'Youplus Livsforsikring'!C78+'Oslo Forsikring'!C78+'Knif Trygghet Forsikring'!C78</f>
        <v>1631128.4271145749</v>
      </c>
      <c r="D78" s="20">
        <f t="shared" si="21"/>
        <v>-7.1</v>
      </c>
      <c r="E78" s="36"/>
      <c r="F78" s="36"/>
      <c r="G78" s="123"/>
      <c r="H78" s="184">
        <f t="shared" si="23"/>
        <v>1756454.1589973618</v>
      </c>
      <c r="I78" s="184">
        <f t="shared" si="24"/>
        <v>1631128.4271145749</v>
      </c>
      <c r="J78" s="20">
        <f t="shared" si="25"/>
        <v>-7.1</v>
      </c>
    </row>
    <row r="79" spans="1:10" ht="15.75" customHeight="1" x14ac:dyDescent="0.25">
      <c r="A79" s="18" t="s">
        <v>207</v>
      </c>
      <c r="B79" s="36">
        <f>Fremtind!B79+'DNB Livsforsikring'!B79+'Frende Livsforsikring'!B79+'Frende Skadeforsikring'!B79+'Gjensidige Forsikring'!B79+'Gjensidige Pensjon'!B79+'If Skadeforsikring NUF'!B79+KLP!B79+'KLP Skadeforsikring AS'!B79+'Landkreditt Forsikring AS'!B79+'Nordea Liv '!B79+'Oslo Pensjonsforsikring'!B79+'Protector Forsikring'!B79+'Sparebank 1 Fors.'!B79+'Storebrand Livsforsikring'!B79+'Telenor Forsikring'!B79+'Tryg Forsikring'!B79+'WaterCircles F'!B79+'Euro Accident'!B79+'Ly Forsikring'!B79+'Youplus Livsforsikring'!B79+'Oslo Forsikring'!B79+'Knif Trygghet Forsikring'!B79</f>
        <v>8248.00252</v>
      </c>
      <c r="C79" s="36">
        <f>Fremtind!C79+'DNB Livsforsikring'!C79+'Frende Livsforsikring'!C79+'Frende Skadeforsikring'!C79+'Gjensidige Forsikring'!C79+'Gjensidige Pensjon'!C79+'If Skadeforsikring NUF'!C79+KLP!C79+'KLP Skadeforsikring AS'!C79+'Landkreditt Forsikring AS'!C79+'Nordea Liv '!C79+'Oslo Pensjonsforsikring'!C79+'Protector Forsikring'!C79+'Sparebank 1 Fors.'!C79+'Storebrand Livsforsikring'!C79+'Telenor Forsikring'!C79+'Tryg Forsikring'!C79+'WaterCircles F'!C79+'Euro Accident'!C79+'Ly Forsikring'!C79+'Youplus Livsforsikring'!C79+'Oslo Forsikring'!C79+'Knif Trygghet Forsikring'!C79</f>
        <v>4535.4735199999996</v>
      </c>
      <c r="D79" s="20">
        <f t="shared" si="21"/>
        <v>-45</v>
      </c>
      <c r="E79" s="36">
        <f>Fremtind!F79+'DNB Livsforsikring'!F79+'Frende Livsforsikring'!F79+'Frende Skadeforsikring'!F79+'Gjensidige Forsikring'!F79+'Gjensidige Pensjon'!F79+'If Skadeforsikring NUF'!F79+KLP!F79+'KLP Skadeforsikring AS'!F79+'Landkreditt Forsikring AS'!F79+'Nordea Liv '!F79+'Oslo Pensjonsforsikring'!F79+'Protector Forsikring'!F79+'Sparebank 1 Fors.'!F79+'Storebrand Livsforsikring'!F79+'Telenor Forsikring'!F79+'Tryg Forsikring'!F79+'WaterCircles F'!F79+'Euro Accident'!F79+'Ly Forsikring'!F79+'Youplus Livsforsikring'!F79+'Oslo Forsikring'!F79+'Knif Trygghet Forsikring'!F79</f>
        <v>14037162.651890002</v>
      </c>
      <c r="F79" s="36">
        <f>Fremtind!G79+'DNB Livsforsikring'!G79+'Frende Livsforsikring'!G79+'Frende Skadeforsikring'!G79+'Gjensidige Forsikring'!G79+'Gjensidige Pensjon'!G79+'If Skadeforsikring NUF'!G79+KLP!G79+'KLP Skadeforsikring AS'!G79+'Landkreditt Forsikring AS'!G79+'Nordea Liv '!G79+'Oslo Pensjonsforsikring'!G79+'Protector Forsikring'!G79+'Sparebank 1 Fors.'!G79+'Storebrand Livsforsikring'!G79+'Telenor Forsikring'!G79+'Tryg Forsikring'!G79+'WaterCircles F'!G79+'Euro Accident'!G79+'Ly Forsikring'!G79+'Youplus Livsforsikring'!G79+'Oslo Forsikring'!G79+'Knif Trygghet Forsikring'!G79</f>
        <v>14661194.552030001</v>
      </c>
      <c r="G79" s="123">
        <f t="shared" si="22"/>
        <v>4.4000000000000004</v>
      </c>
      <c r="H79" s="184">
        <f t="shared" si="23"/>
        <v>14045410.654410003</v>
      </c>
      <c r="I79" s="184">
        <f t="shared" si="24"/>
        <v>14665730.02555</v>
      </c>
      <c r="J79" s="20">
        <f t="shared" si="25"/>
        <v>4.4000000000000004</v>
      </c>
    </row>
    <row r="80" spans="1:10" ht="15.75" customHeight="1" x14ac:dyDescent="0.25">
      <c r="A80" s="240" t="s">
        <v>200</v>
      </c>
      <c r="B80" s="261"/>
      <c r="C80" s="261"/>
      <c r="D80" s="23"/>
      <c r="E80" s="261"/>
      <c r="F80" s="261"/>
      <c r="G80" s="123"/>
      <c r="H80" s="261"/>
      <c r="I80" s="261"/>
      <c r="J80" s="20"/>
    </row>
    <row r="81" spans="1:13" ht="15.75" customHeight="1" x14ac:dyDescent="0.25">
      <c r="A81" s="240" t="s">
        <v>201</v>
      </c>
      <c r="B81" s="261"/>
      <c r="C81" s="261"/>
      <c r="D81" s="23"/>
      <c r="E81" s="261"/>
      <c r="F81" s="261"/>
      <c r="G81" s="123"/>
      <c r="H81" s="261"/>
      <c r="I81" s="261"/>
      <c r="J81" s="20"/>
    </row>
    <row r="82" spans="1:13" ht="15.75" customHeight="1" x14ac:dyDescent="0.25">
      <c r="A82" s="240" t="s">
        <v>202</v>
      </c>
      <c r="B82" s="261"/>
      <c r="C82" s="261"/>
      <c r="D82" s="23"/>
      <c r="E82" s="261"/>
      <c r="F82" s="261"/>
      <c r="G82" s="123"/>
      <c r="H82" s="261"/>
      <c r="I82" s="261"/>
      <c r="J82" s="20"/>
    </row>
    <row r="83" spans="1:13" ht="15.75" customHeight="1" x14ac:dyDescent="0.25">
      <c r="A83" s="240" t="s">
        <v>203</v>
      </c>
      <c r="B83" s="261"/>
      <c r="C83" s="261"/>
      <c r="D83" s="23"/>
      <c r="E83" s="261"/>
      <c r="F83" s="261"/>
      <c r="G83" s="123"/>
      <c r="H83" s="261"/>
      <c r="I83" s="261"/>
      <c r="J83" s="21"/>
    </row>
    <row r="84" spans="1:13" ht="15.75" customHeight="1" x14ac:dyDescent="0.25">
      <c r="A84" s="240" t="s">
        <v>201</v>
      </c>
      <c r="B84" s="261"/>
      <c r="C84" s="261"/>
      <c r="D84" s="23"/>
      <c r="E84" s="261"/>
      <c r="F84" s="261"/>
      <c r="G84" s="123"/>
      <c r="H84" s="261"/>
      <c r="I84" s="261"/>
      <c r="J84" s="20"/>
    </row>
    <row r="85" spans="1:13" ht="15.75" customHeight="1" x14ac:dyDescent="0.25">
      <c r="A85" s="240" t="s">
        <v>202</v>
      </c>
      <c r="B85" s="261"/>
      <c r="C85" s="261"/>
      <c r="D85" s="23"/>
      <c r="E85" s="261"/>
      <c r="F85" s="261"/>
      <c r="G85" s="123"/>
      <c r="H85" s="261"/>
      <c r="I85" s="261"/>
      <c r="J85" s="20"/>
    </row>
    <row r="86" spans="1:13" ht="15.75" customHeight="1" x14ac:dyDescent="0.25">
      <c r="A86" s="18" t="s">
        <v>208</v>
      </c>
      <c r="B86" s="181">
        <f>Fremtind!B86+'DNB Livsforsikring'!B86+'Frende Livsforsikring'!B86+'Frende Skadeforsikring'!B86+'Gjensidige Forsikring'!B86+'Gjensidige Pensjon'!B86+'If Skadeforsikring NUF'!B86+KLP!B86+'KLP Skadeforsikring AS'!B86+'Landkreditt Forsikring AS'!B86+'Nordea Liv '!B86+'Oslo Pensjonsforsikring'!B86+'Protector Forsikring'!B86+'Sparebank 1 Fors.'!B86+'Storebrand Livsforsikring'!B86+'Telenor Forsikring'!B86+'Tryg Forsikring'!B86+'WaterCircles F'!B86+'Euro Accident'!B86+'Ly Forsikring'!B86+'Youplus Livsforsikring'!B86+'Oslo Forsikring'!B86+'Knif Trygghet Forsikring'!B86</f>
        <v>74152.603999999992</v>
      </c>
      <c r="C86" s="181">
        <f>Fremtind!C86+'DNB Livsforsikring'!C86+'Frende Livsforsikring'!C86+'Frende Skadeforsikring'!C86+'Gjensidige Forsikring'!C86+'Gjensidige Pensjon'!C86+'If Skadeforsikring NUF'!C86+KLP!C86+'KLP Skadeforsikring AS'!C86+'Landkreditt Forsikring AS'!C86+'Nordea Liv '!C86+'Oslo Pensjonsforsikring'!C86+'Protector Forsikring'!C86+'Sparebank 1 Fors.'!C86+'Storebrand Livsforsikring'!C86+'Telenor Forsikring'!C86+'Tryg Forsikring'!C86+'WaterCircles F'!C86+'Euro Accident'!C86+'Ly Forsikring'!C86+'Youplus Livsforsikring'!C86+'Oslo Forsikring'!C86+'Knif Trygghet Forsikring'!C86</f>
        <v>75117.173999999999</v>
      </c>
      <c r="D86" s="20">
        <f t="shared" si="21"/>
        <v>1.3</v>
      </c>
      <c r="E86" s="36">
        <f>Fremtind!F86+'DNB Livsforsikring'!F86+'Frende Livsforsikring'!F86+'Frende Skadeforsikring'!F86+'Gjensidige Forsikring'!F86+'Gjensidige Pensjon'!F86+'If Skadeforsikring NUF'!F86+KLP!F86+'KLP Skadeforsikring AS'!F86+'Landkreditt Forsikring AS'!F86+'Nordea Liv '!F86+'Oslo Pensjonsforsikring'!F86+'Protector Forsikring'!F86+'Sparebank 1 Fors.'!F86+'Storebrand Livsforsikring'!F86+'Telenor Forsikring'!F86+'Tryg Forsikring'!F86+'WaterCircles F'!F86+'Euro Accident'!F86+'Ly Forsikring'!F86+'Youplus Livsforsikring'!F86+'Oslo Forsikring'!F86+'Knif Trygghet Forsikring'!F86</f>
        <v>3594.73</v>
      </c>
      <c r="F86" s="36">
        <f>Fremtind!G86+'DNB Livsforsikring'!G86+'Frende Livsforsikring'!G86+'Frende Skadeforsikring'!G86+'Gjensidige Forsikring'!G86+'Gjensidige Pensjon'!G86+'If Skadeforsikring NUF'!G86+KLP!G86+'KLP Skadeforsikring AS'!G86+'Landkreditt Forsikring AS'!G86+'Nordea Liv '!G86+'Oslo Pensjonsforsikring'!G86+'Protector Forsikring'!G86+'Sparebank 1 Fors.'!G86+'Storebrand Livsforsikring'!G86+'Telenor Forsikring'!G86+'Tryg Forsikring'!G86+'WaterCircles F'!G86+'Euro Accident'!G86+'Ly Forsikring'!G86+'Youplus Livsforsikring'!G86+'Oslo Forsikring'!G86+'Knif Trygghet Forsikring'!G86</f>
        <v>4520.6440000000002</v>
      </c>
      <c r="G86" s="123">
        <f t="shared" si="22"/>
        <v>25.8</v>
      </c>
      <c r="H86" s="184">
        <f t="shared" si="23"/>
        <v>77747.333999999988</v>
      </c>
      <c r="I86" s="184">
        <f t="shared" si="24"/>
        <v>79637.817999999999</v>
      </c>
      <c r="J86" s="20">
        <f t="shared" si="25"/>
        <v>2.4</v>
      </c>
    </row>
    <row r="87" spans="1:13" s="35" customFormat="1" ht="15.75" customHeight="1" x14ac:dyDescent="0.25">
      <c r="A87" s="10" t="s">
        <v>172</v>
      </c>
      <c r="B87" s="250">
        <f>Fremtind!B87+'DNB Livsforsikring'!B87+'Frende Livsforsikring'!B87+'Frende Skadeforsikring'!B87+'Gjensidige Forsikring'!B87+'Gjensidige Pensjon'!B87+'If Skadeforsikring NUF'!B87+KLP!B87+'KLP Skadeforsikring AS'!B87+'Landkreditt Forsikring AS'!B87+'Nordea Liv '!B87+'Oslo Pensjonsforsikring'!B87+'Protector Forsikring'!B87+'Sparebank 1 Fors.'!B87+'Storebrand Livsforsikring'!B87+'Telenor Forsikring'!B87+'Tryg Forsikring'!B87+'WaterCircles F'!B87+'Euro Accident'!B87+'Ly Forsikring'!B87+'Youplus Livsforsikring'!B87+'Oslo Forsikring'!B87+'Knif Trygghet Forsikring'!B87</f>
        <v>406587314.16967237</v>
      </c>
      <c r="C87" s="250">
        <f>Fremtind!C87+'DNB Livsforsikring'!C87+'Frende Livsforsikring'!C87+'Frende Skadeforsikring'!C87+'Gjensidige Forsikring'!C87+'Gjensidige Pensjon'!C87+'If Skadeforsikring NUF'!C87+KLP!C87+'KLP Skadeforsikring AS'!C87+'Landkreditt Forsikring AS'!C87+'Nordea Liv '!C87+'Oslo Pensjonsforsikring'!C87+'Protector Forsikring'!C87+'Sparebank 1 Fors.'!C87+'Storebrand Livsforsikring'!C87+'Telenor Forsikring'!C87+'Tryg Forsikring'!C87+'WaterCircles F'!C87+'Euro Accident'!C87+'Ly Forsikring'!C87+'Youplus Livsforsikring'!C87+'Oslo Forsikring'!C87+'Knif Trygghet Forsikring'!C87</f>
        <v>414599950.62831992</v>
      </c>
      <c r="D87" s="21">
        <f t="shared" si="21"/>
        <v>2</v>
      </c>
      <c r="E87" s="183">
        <f>Fremtind!F87+'DNB Livsforsikring'!F87+'Frende Livsforsikring'!F87+'Frende Skadeforsikring'!F87+'Gjensidige Forsikring'!F87+'Gjensidige Pensjon'!F87+'If Skadeforsikring NUF'!F87+KLP!F87+'KLP Skadeforsikring AS'!F87+'Landkreditt Forsikring AS'!F87+'Nordea Liv '!F87+'Oslo Pensjonsforsikring'!F87+'Protector Forsikring'!F87+'Sparebank 1 Fors.'!F87+'Storebrand Livsforsikring'!F87+'Telenor Forsikring'!F87+'Tryg Forsikring'!F87+'WaterCircles F'!F87+'Euro Accident'!F87+'Ly Forsikring'!F87+'Youplus Livsforsikring'!F87+'Oslo Forsikring'!F87+'Knif Trygghet Forsikring'!F87</f>
        <v>665340565.92370605</v>
      </c>
      <c r="F87" s="183">
        <f>Fremtind!G87+'DNB Livsforsikring'!G87+'Frende Livsforsikring'!G87+'Frende Skadeforsikring'!G87+'Gjensidige Forsikring'!G87+'Gjensidige Pensjon'!G87+'If Skadeforsikring NUF'!G87+KLP!G87+'KLP Skadeforsikring AS'!G87+'Landkreditt Forsikring AS'!G87+'Nordea Liv '!G87+'Oslo Pensjonsforsikring'!G87+'Protector Forsikring'!G87+'Sparebank 1 Fors.'!G87+'Storebrand Livsforsikring'!G87+'Telenor Forsikring'!G87+'Tryg Forsikring'!G87+'WaterCircles F'!G87+'Euro Accident'!G87+'Ly Forsikring'!G87+'Youplus Livsforsikring'!G87+'Oslo Forsikring'!G87+'Knif Trygghet Forsikring'!G87</f>
        <v>794755365.11502802</v>
      </c>
      <c r="G87" s="127">
        <f t="shared" si="22"/>
        <v>19.5</v>
      </c>
      <c r="H87" s="270">
        <f t="shared" ref="H87:H111" si="30">SUM(B87,E87)</f>
        <v>1071927880.0933784</v>
      </c>
      <c r="I87" s="270">
        <f t="shared" ref="I87:I111" si="31">SUM(C87,F87)</f>
        <v>1209355315.7433479</v>
      </c>
      <c r="J87" s="21">
        <f t="shared" si="25"/>
        <v>12.8</v>
      </c>
    </row>
    <row r="88" spans="1:13" ht="15.75" customHeight="1" x14ac:dyDescent="0.25">
      <c r="A88" s="18" t="s">
        <v>198</v>
      </c>
      <c r="B88" s="181">
        <f>Fremtind!B88+'DNB Livsforsikring'!B88+'Frende Livsforsikring'!B88+'Frende Skadeforsikring'!B88+'Gjensidige Forsikring'!B88+'Gjensidige Pensjon'!B88+'If Skadeforsikring NUF'!B88+KLP!B88+'KLP Skadeforsikring AS'!B88+'Landkreditt Forsikring AS'!B88+'Nordea Liv '!B88+'Oslo Pensjonsforsikring'!B88+'Protector Forsikring'!B88+'Sparebank 1 Fors.'!B88+'Storebrand Livsforsikring'!B88+'Telenor Forsikring'!B88+'Tryg Forsikring'!B88+'WaterCircles F'!B88+'Euro Accident'!B88+'Ly Forsikring'!B88+'Youplus Livsforsikring'!B88+'Oslo Forsikring'!B88+'Knif Trygghet Forsikring'!B88</f>
        <v>384247244.00849229</v>
      </c>
      <c r="C88" s="181">
        <f>Fremtind!C88+'DNB Livsforsikring'!C88+'Frende Livsforsikring'!C88+'Frende Skadeforsikring'!C88+'Gjensidige Forsikring'!C88+'Gjensidige Pensjon'!C88+'If Skadeforsikring NUF'!C88+KLP!C88+'KLP Skadeforsikring AS'!C88+'Landkreditt Forsikring AS'!C88+'Nordea Liv '!C88+'Oslo Pensjonsforsikring'!C88+'Protector Forsikring'!C88+'Sparebank 1 Fors.'!C88+'Storebrand Livsforsikring'!C88+'Telenor Forsikring'!C88+'Tryg Forsikring'!C88+'WaterCircles F'!C88+'Euro Accident'!C88+'Ly Forsikring'!C88+'Youplus Livsforsikring'!C88+'Oslo Forsikring'!C88+'Knif Trygghet Forsikring'!C88</f>
        <v>386739169.43989027</v>
      </c>
      <c r="D88" s="20">
        <f t="shared" si="21"/>
        <v>0.6</v>
      </c>
      <c r="E88" s="36"/>
      <c r="F88" s="36"/>
      <c r="G88" s="123"/>
      <c r="H88" s="184">
        <f t="shared" si="30"/>
        <v>384247244.00849229</v>
      </c>
      <c r="I88" s="184">
        <f t="shared" si="31"/>
        <v>386739169.43989027</v>
      </c>
      <c r="J88" s="20">
        <f t="shared" si="25"/>
        <v>0.6</v>
      </c>
      <c r="M88" s="22"/>
    </row>
    <row r="89" spans="1:13" ht="15.75" customHeight="1" x14ac:dyDescent="0.25">
      <c r="A89" s="18" t="s">
        <v>199</v>
      </c>
      <c r="B89" s="181">
        <f>Fremtind!B89+'DNB Livsforsikring'!B89+'Frende Livsforsikring'!B89+'Frende Skadeforsikring'!B89+'Gjensidige Forsikring'!B89+'Gjensidige Pensjon'!B89+'If Skadeforsikring NUF'!B89+KLP!B89+'KLP Skadeforsikring AS'!B89+'Landkreditt Forsikring AS'!B89+'Nordea Liv '!B89+'Oslo Pensjonsforsikring'!B89+'Protector Forsikring'!B89+'Sparebank 1 Fors.'!B89+'Storebrand Livsforsikring'!B89+'Telenor Forsikring'!B89+'Tryg Forsikring'!B89+'WaterCircles F'!B89+'Euro Accident'!B89+'Ly Forsikring'!B89+'Youplus Livsforsikring'!B89+'Oslo Forsikring'!B89+'Knif Trygghet Forsikring'!B89</f>
        <v>2369244.5086599998</v>
      </c>
      <c r="C89" s="181">
        <f>Fremtind!C89+'DNB Livsforsikring'!C89+'Frende Livsforsikring'!C89+'Frende Skadeforsikring'!C89+'Gjensidige Forsikring'!C89+'Gjensidige Pensjon'!C89+'If Skadeforsikring NUF'!C89+KLP!C89+'KLP Skadeforsikring AS'!C89+'Landkreditt Forsikring AS'!C89+'Nordea Liv '!C89+'Oslo Pensjonsforsikring'!C89+'Protector Forsikring'!C89+'Sparebank 1 Fors.'!C89+'Storebrand Livsforsikring'!C89+'Telenor Forsikring'!C89+'Tryg Forsikring'!C89+'WaterCircles F'!C89+'Euro Accident'!C89+'Ly Forsikring'!C89+'Youplus Livsforsikring'!C89+'Oslo Forsikring'!C89+'Knif Trygghet Forsikring'!C89</f>
        <v>4235867.1137095941</v>
      </c>
      <c r="D89" s="20">
        <f t="shared" si="21"/>
        <v>78.8</v>
      </c>
      <c r="E89" s="36">
        <f>Fremtind!F89+'DNB Livsforsikring'!F89+'Frende Livsforsikring'!F89+'Frende Skadeforsikring'!F89+'Gjensidige Forsikring'!F89+'Gjensidige Pensjon'!F89+'If Skadeforsikring NUF'!F89+KLP!F89+'KLP Skadeforsikring AS'!F89+'Landkreditt Forsikring AS'!F89+'Nordea Liv '!F89+'Oslo Pensjonsforsikring'!F89+'Protector Forsikring'!F89+'Sparebank 1 Fors.'!F89+'Storebrand Livsforsikring'!F89+'Telenor Forsikring'!F89+'Tryg Forsikring'!F89+'WaterCircles F'!F89+'Euro Accident'!F89+'Ly Forsikring'!F89+'Youplus Livsforsikring'!F89+'Oslo Forsikring'!F89+'Knif Trygghet Forsikring'!F89</f>
        <v>655108168.52648604</v>
      </c>
      <c r="F89" s="36">
        <f>Fremtind!G89+'DNB Livsforsikring'!G89+'Frende Livsforsikring'!G89+'Frende Skadeforsikring'!G89+'Gjensidige Forsikring'!G89+'Gjensidige Pensjon'!G89+'If Skadeforsikring NUF'!G89+KLP!G89+'KLP Skadeforsikring AS'!G89+'Landkreditt Forsikring AS'!G89+'Nordea Liv '!G89+'Oslo Pensjonsforsikring'!G89+'Protector Forsikring'!G89+'Sparebank 1 Fors.'!G89+'Storebrand Livsforsikring'!G89+'Telenor Forsikring'!G89+'Tryg Forsikring'!G89+'WaterCircles F'!G89+'Euro Accident'!G89+'Ly Forsikring'!G89+'Youplus Livsforsikring'!G89+'Oslo Forsikring'!G89+'Knif Trygghet Forsikring'!G89</f>
        <v>781900269.66406798</v>
      </c>
      <c r="G89" s="123">
        <f t="shared" si="22"/>
        <v>19.399999999999999</v>
      </c>
      <c r="H89" s="184">
        <f t="shared" si="30"/>
        <v>657477413.035146</v>
      </c>
      <c r="I89" s="184">
        <f t="shared" si="31"/>
        <v>786136136.77777755</v>
      </c>
      <c r="J89" s="20">
        <f t="shared" si="25"/>
        <v>19.600000000000001</v>
      </c>
      <c r="M89" s="22"/>
    </row>
    <row r="90" spans="1:13" ht="15.75" customHeight="1" x14ac:dyDescent="0.25">
      <c r="A90" s="240" t="s">
        <v>200</v>
      </c>
      <c r="B90" s="261"/>
      <c r="C90" s="261"/>
      <c r="D90" s="23"/>
      <c r="E90" s="261"/>
      <c r="F90" s="261"/>
      <c r="G90" s="123"/>
      <c r="H90" s="261"/>
      <c r="I90" s="261"/>
      <c r="J90" s="20"/>
    </row>
    <row r="91" spans="1:13" ht="15.75" customHeight="1" x14ac:dyDescent="0.25">
      <c r="A91" s="240" t="s">
        <v>201</v>
      </c>
      <c r="B91" s="261"/>
      <c r="C91" s="261"/>
      <c r="D91" s="23"/>
      <c r="E91" s="261"/>
      <c r="F91" s="261"/>
      <c r="G91" s="123"/>
      <c r="H91" s="261"/>
      <c r="I91" s="261"/>
      <c r="J91" s="20"/>
    </row>
    <row r="92" spans="1:13" ht="15.75" customHeight="1" x14ac:dyDescent="0.25">
      <c r="A92" s="240" t="s">
        <v>202</v>
      </c>
      <c r="B92" s="261"/>
      <c r="C92" s="261"/>
      <c r="D92" s="23"/>
      <c r="E92" s="261"/>
      <c r="F92" s="261"/>
      <c r="G92" s="123"/>
      <c r="H92" s="261"/>
      <c r="I92" s="261"/>
      <c r="J92" s="20"/>
    </row>
    <row r="93" spans="1:13" ht="15.75" customHeight="1" x14ac:dyDescent="0.25">
      <c r="A93" s="240" t="s">
        <v>203</v>
      </c>
      <c r="B93" s="261"/>
      <c r="C93" s="261"/>
      <c r="D93" s="23"/>
      <c r="E93" s="261"/>
      <c r="F93" s="261"/>
      <c r="G93" s="123"/>
      <c r="H93" s="261"/>
      <c r="I93" s="261"/>
      <c r="J93" s="20"/>
    </row>
    <row r="94" spans="1:13" ht="15.75" customHeight="1" x14ac:dyDescent="0.25">
      <c r="A94" s="240" t="s">
        <v>201</v>
      </c>
      <c r="B94" s="182"/>
      <c r="C94" s="182"/>
      <c r="D94" s="23"/>
      <c r="E94" s="261"/>
      <c r="F94" s="261"/>
      <c r="G94" s="123"/>
      <c r="H94" s="261"/>
      <c r="I94" s="261"/>
      <c r="J94" s="20"/>
    </row>
    <row r="95" spans="1:13" ht="15.75" customHeight="1" x14ac:dyDescent="0.25">
      <c r="A95" s="240" t="s">
        <v>202</v>
      </c>
      <c r="B95" s="182"/>
      <c r="C95" s="182"/>
      <c r="D95" s="23"/>
      <c r="E95" s="261"/>
      <c r="F95" s="261"/>
      <c r="G95" s="123"/>
      <c r="H95" s="261"/>
      <c r="I95" s="261"/>
      <c r="J95" s="20"/>
    </row>
    <row r="96" spans="1:13" ht="15.75" customHeight="1" x14ac:dyDescent="0.25">
      <c r="A96" s="18" t="s">
        <v>204</v>
      </c>
      <c r="B96" s="181">
        <f>Fremtind!B96+'DNB Livsforsikring'!B96+'Frende Livsforsikring'!B96+'Frende Skadeforsikring'!B96+'Gjensidige Forsikring'!B96+'Gjensidige Pensjon'!B96+'If Skadeforsikring NUF'!B96+KLP!B96+'KLP Skadeforsikring AS'!B96+'Landkreditt Forsikring AS'!B96+'Nordea Liv '!B96+'Oslo Pensjonsforsikring'!B96+'Protector Forsikring'!B96+'Sparebank 1 Fors.'!B96+'Storebrand Livsforsikring'!B96+'Telenor Forsikring'!B96+'Tryg Forsikring'!B96+'WaterCircles F'!B96+'Euro Accident'!B96+'Ly Forsikring'!B96+'Youplus Livsforsikring'!B96+'Oslo Forsikring'!B96+'Knif Trygghet Forsikring'!B96</f>
        <v>7409666.6989399996</v>
      </c>
      <c r="C96" s="181">
        <f>Fremtind!C96+'DNB Livsforsikring'!C96+'Frende Livsforsikring'!C96+'Frende Skadeforsikring'!C96+'Gjensidige Forsikring'!C96+'Gjensidige Pensjon'!C96+'If Skadeforsikring NUF'!C96+KLP!C96+'KLP Skadeforsikring AS'!C96+'Landkreditt Forsikring AS'!C96+'Nordea Liv '!C96+'Oslo Pensjonsforsikring'!C96+'Protector Forsikring'!C96+'Sparebank 1 Fors.'!C96+'Storebrand Livsforsikring'!C96+'Telenor Forsikring'!C96+'Tryg Forsikring'!C96+'WaterCircles F'!C96+'Euro Accident'!C96+'Ly Forsikring'!C96+'Youplus Livsforsikring'!C96+'Oslo Forsikring'!C96+'Knif Trygghet Forsikring'!C96</f>
        <v>9572857.2185900006</v>
      </c>
      <c r="D96" s="20">
        <f t="shared" si="21"/>
        <v>29.2</v>
      </c>
      <c r="E96" s="36">
        <f>Fremtind!F96+'DNB Livsforsikring'!F96+'Frende Livsforsikring'!F96+'Frende Skadeforsikring'!F96+'Gjensidige Forsikring'!F96+'Gjensidige Pensjon'!F96+'If Skadeforsikring NUF'!F96+KLP!F96+'KLP Skadeforsikring AS'!F96+'Landkreditt Forsikring AS'!F96+'Nordea Liv '!F96+'Oslo Pensjonsforsikring'!F96+'Protector Forsikring'!F96+'Sparebank 1 Fors.'!F96+'Storebrand Livsforsikring'!F96+'Telenor Forsikring'!F96+'Tryg Forsikring'!F96+'WaterCircles F'!F96+'Euro Accident'!F96+'Ly Forsikring'!F96+'Youplus Livsforsikring'!F96+'Oslo Forsikring'!F96+'Knif Trygghet Forsikring'!F96</f>
        <v>10232397.397220001</v>
      </c>
      <c r="F96" s="36">
        <f>Fremtind!G96+'DNB Livsforsikring'!G96+'Frende Livsforsikring'!G96+'Frende Skadeforsikring'!G96+'Gjensidige Forsikring'!G96+'Gjensidige Pensjon'!G96+'If Skadeforsikring NUF'!G96+KLP!G96+'KLP Skadeforsikring AS'!G96+'Landkreditt Forsikring AS'!G96+'Nordea Liv '!G96+'Oslo Pensjonsforsikring'!G96+'Protector Forsikring'!G96+'Sparebank 1 Fors.'!G96+'Storebrand Livsforsikring'!G96+'Telenor Forsikring'!G96+'Tryg Forsikring'!G96+'WaterCircles F'!G96+'Euro Accident'!G96+'Ly Forsikring'!G96+'Youplus Livsforsikring'!G96+'Oslo Forsikring'!G96+'Knif Trygghet Forsikring'!G96</f>
        <v>12855095.450959999</v>
      </c>
      <c r="G96" s="123">
        <f t="shared" si="22"/>
        <v>25.6</v>
      </c>
      <c r="H96" s="184">
        <f t="shared" si="30"/>
        <v>17642064.096160002</v>
      </c>
      <c r="I96" s="184">
        <f t="shared" si="31"/>
        <v>22427952.669550002</v>
      </c>
      <c r="J96" s="20">
        <f t="shared" si="25"/>
        <v>27.1</v>
      </c>
    </row>
    <row r="97" spans="1:13" ht="15.75" customHeight="1" x14ac:dyDescent="0.25">
      <c r="A97" s="18" t="s">
        <v>205</v>
      </c>
      <c r="B97" s="181">
        <f>Fremtind!B97+'DNB Livsforsikring'!B97+'Frende Livsforsikring'!B97+'Frende Skadeforsikring'!B97+'Gjensidige Forsikring'!B97+'Gjensidige Pensjon'!B97+'If Skadeforsikring NUF'!B97+KLP!B97+'KLP Skadeforsikring AS'!B97+'Landkreditt Forsikring AS'!B97+'Nordea Liv '!B97+'Oslo Pensjonsforsikring'!B97+'Protector Forsikring'!B97+'Sparebank 1 Fors.'!B97+'Storebrand Livsforsikring'!B97+'Telenor Forsikring'!B97+'Tryg Forsikring'!B97+'WaterCircles F'!B97+'Euro Accident'!B97+'Ly Forsikring'!B97+'Youplus Livsforsikring'!B97+'Oslo Forsikring'!B97+'Knif Trygghet Forsikring'!B97</f>
        <v>12561158.95358</v>
      </c>
      <c r="C97" s="181">
        <f>Fremtind!C97+'DNB Livsforsikring'!C97+'Frende Livsforsikring'!C97+'Frende Skadeforsikring'!C97+'Gjensidige Forsikring'!C97+'Gjensidige Pensjon'!C97+'If Skadeforsikring NUF'!C97+KLP!C97+'KLP Skadeforsikring AS'!C97+'Landkreditt Forsikring AS'!C97+'Nordea Liv '!C97+'Oslo Pensjonsforsikring'!C97+'Protector Forsikring'!C97+'Sparebank 1 Fors.'!C97+'Storebrand Livsforsikring'!C97+'Telenor Forsikring'!C97+'Tryg Forsikring'!C97+'WaterCircles F'!C97+'Euro Accident'!C97+'Ly Forsikring'!C97+'Youplus Livsforsikring'!C97+'Oslo Forsikring'!C97+'Knif Trygghet Forsikring'!C97</f>
        <v>14052056.85613</v>
      </c>
      <c r="D97" s="20">
        <f t="shared" ref="D97" si="32">IF(B97=0, "    ---- ", IF(ABS(ROUND(100/B97*C97-100,1))&lt;999,ROUND(100/B97*C97-100,1),IF(ROUND(100/B97*C97-100,1)&gt;999,999,-999)))</f>
        <v>11.9</v>
      </c>
      <c r="E97" s="36"/>
      <c r="F97" s="36"/>
      <c r="G97" s="123"/>
      <c r="H97" s="184">
        <f t="shared" ref="H97" si="33">SUM(B97,E97)</f>
        <v>12561158.95358</v>
      </c>
      <c r="I97" s="184">
        <f t="shared" ref="I97" si="34">SUM(C97,F97)</f>
        <v>14052056.85613</v>
      </c>
      <c r="J97" s="20">
        <f t="shared" ref="J97" si="35">IF(H97=0, "    ---- ", IF(ABS(ROUND(100/H97*I97-100,1))&lt;999,ROUND(100/H97*I97-100,1),IF(ROUND(100/H97*I97-100,1)&gt;999,999,-999)))</f>
        <v>11.9</v>
      </c>
    </row>
    <row r="98" spans="1:13" ht="15.75" customHeight="1" x14ac:dyDescent="0.25">
      <c r="A98" s="18" t="s">
        <v>206</v>
      </c>
      <c r="B98" s="181">
        <f>Fremtind!B98+'DNB Livsforsikring'!B98+'Frende Livsforsikring'!B98+'Frende Skadeforsikring'!B98+'Gjensidige Forsikring'!B98+'Gjensidige Pensjon'!B98+'If Skadeforsikring NUF'!B98+KLP!B98+'KLP Skadeforsikring AS'!B98+'Landkreditt Forsikring AS'!B98+'Nordea Liv '!B98+'Oslo Pensjonsforsikring'!B98+'Protector Forsikring'!B98+'Sparebank 1 Fors.'!B98+'Storebrand Livsforsikring'!B98+'Telenor Forsikring'!B98+'Tryg Forsikring'!B98+'WaterCircles F'!B98+'Euro Accident'!B98+'Ly Forsikring'!B98+'Youplus Livsforsikring'!B98+'Oslo Forsikring'!B98+'Knif Trygghet Forsikring'!B98</f>
        <v>382451924.30115235</v>
      </c>
      <c r="C98" s="181">
        <f>Fremtind!C98+'DNB Livsforsikring'!C98+'Frende Livsforsikring'!C98+'Frende Skadeforsikring'!C98+'Gjensidige Forsikring'!C98+'Gjensidige Pensjon'!C98+'If Skadeforsikring NUF'!C98+KLP!C98+'KLP Skadeforsikring AS'!C98+'Landkreditt Forsikring AS'!C98+'Nordea Liv '!C98+'Oslo Pensjonsforsikring'!C98+'Protector Forsikring'!C98+'Sparebank 1 Fors.'!C98+'Storebrand Livsforsikring'!C98+'Telenor Forsikring'!C98+'Tryg Forsikring'!C98+'WaterCircles F'!C98+'Euro Accident'!C98+'Ly Forsikring'!C98+'Youplus Livsforsikring'!C98+'Oslo Forsikring'!C98+'Knif Trygghet Forsikring'!C98</f>
        <v>386645446.22359985</v>
      </c>
      <c r="D98" s="20">
        <f t="shared" si="21"/>
        <v>1.1000000000000001</v>
      </c>
      <c r="E98" s="36">
        <f>Fremtind!F98+'DNB Livsforsikring'!F98+'Frende Livsforsikring'!F98+'Frende Skadeforsikring'!F98+'Gjensidige Forsikring'!F98+'Gjensidige Pensjon'!F98+'If Skadeforsikring NUF'!F98+KLP!F98+'KLP Skadeforsikring AS'!F98+'Landkreditt Forsikring AS'!F98+'Nordea Liv '!F98+'Oslo Pensjonsforsikring'!F98+'Protector Forsikring'!F98+'Sparebank 1 Fors.'!F98+'Storebrand Livsforsikring'!F98+'Telenor Forsikring'!F98+'Tryg Forsikring'!F98+'WaterCircles F'!F98+'Euro Accident'!F98+'Ly Forsikring'!F98+'Youplus Livsforsikring'!F98+'Oslo Forsikring'!F98+'Knif Trygghet Forsikring'!F98</f>
        <v>654713222.16928506</v>
      </c>
      <c r="F98" s="36">
        <f>Fremtind!G98+'DNB Livsforsikring'!G98+'Frende Livsforsikring'!G98+'Frende Skadeforsikring'!G98+'Gjensidige Forsikring'!G98+'Gjensidige Pensjon'!G98+'If Skadeforsikring NUF'!G98+KLP!G98+'KLP Skadeforsikring AS'!G98+'Landkreditt Forsikring AS'!G98+'Nordea Liv '!G98+'Oslo Pensjonsforsikring'!G98+'Protector Forsikring'!G98+'Sparebank 1 Fors.'!G98+'Storebrand Livsforsikring'!G98+'Telenor Forsikring'!G98+'Tryg Forsikring'!G98+'WaterCircles F'!G98+'Euro Accident'!G98+'Ly Forsikring'!G98+'Youplus Livsforsikring'!G98+'Oslo Forsikring'!G98+'Knif Trygghet Forsikring'!G98</f>
        <v>781491279.64756203</v>
      </c>
      <c r="G98" s="123">
        <f t="shared" si="22"/>
        <v>19.399999999999999</v>
      </c>
      <c r="H98" s="184">
        <f t="shared" si="30"/>
        <v>1037165146.4704374</v>
      </c>
      <c r="I98" s="184">
        <f t="shared" si="31"/>
        <v>1168136725.8711619</v>
      </c>
      <c r="J98" s="20">
        <f t="shared" si="25"/>
        <v>12.6</v>
      </c>
    </row>
    <row r="99" spans="1:13" ht="15.75" customHeight="1" x14ac:dyDescent="0.25">
      <c r="A99" s="18" t="s">
        <v>198</v>
      </c>
      <c r="B99" s="181">
        <f>Fremtind!B99+'DNB Livsforsikring'!B99+'Frende Livsforsikring'!B99+'Frende Skadeforsikring'!B99+'Gjensidige Forsikring'!B99+'Gjensidige Pensjon'!B99+'If Skadeforsikring NUF'!B99+KLP!B99+'KLP Skadeforsikring AS'!B99+'Landkreditt Forsikring AS'!B99+'Nordea Liv '!B99+'Oslo Pensjonsforsikring'!B99+'Protector Forsikring'!B99+'Sparebank 1 Fors.'!B99+'Storebrand Livsforsikring'!B99+'Telenor Forsikring'!B99+'Tryg Forsikring'!B99+'WaterCircles F'!B99+'Euro Accident'!B99+'Ly Forsikring'!B99+'Youplus Livsforsikring'!B99+'Oslo Forsikring'!B99+'Knif Trygghet Forsikring'!B99</f>
        <v>380082679.79249227</v>
      </c>
      <c r="C99" s="181">
        <f>Fremtind!C99+'DNB Livsforsikring'!C99+'Frende Livsforsikring'!C99+'Frende Skadeforsikring'!C99+'Gjensidige Forsikring'!C99+'Gjensidige Pensjon'!C99+'If Skadeforsikring NUF'!C99+KLP!C99+'KLP Skadeforsikring AS'!C99+'Landkreditt Forsikring AS'!C99+'Nordea Liv '!C99+'Oslo Pensjonsforsikring'!C99+'Protector Forsikring'!C99+'Sparebank 1 Fors.'!C99+'Storebrand Livsforsikring'!C99+'Telenor Forsikring'!C99+'Tryg Forsikring'!C99+'WaterCircles F'!C99+'Euro Accident'!C99+'Ly Forsikring'!C99+'Youplus Livsforsikring'!C99+'Oslo Forsikring'!C99+'Knif Trygghet Forsikring'!C99</f>
        <v>382409579.10989028</v>
      </c>
      <c r="D99" s="20">
        <f t="shared" si="21"/>
        <v>0.6</v>
      </c>
      <c r="E99" s="36"/>
      <c r="F99" s="36"/>
      <c r="G99" s="123"/>
      <c r="H99" s="184">
        <f t="shared" si="30"/>
        <v>380082679.79249227</v>
      </c>
      <c r="I99" s="184">
        <f t="shared" si="31"/>
        <v>382409579.10989028</v>
      </c>
      <c r="J99" s="20">
        <f t="shared" si="25"/>
        <v>0.6</v>
      </c>
    </row>
    <row r="100" spans="1:13" ht="15.75" customHeight="1" x14ac:dyDescent="0.25">
      <c r="A100" s="18" t="s">
        <v>207</v>
      </c>
      <c r="B100" s="181">
        <f>Fremtind!B100+'DNB Livsforsikring'!B100+'Frende Livsforsikring'!B100+'Frende Skadeforsikring'!B100+'Gjensidige Forsikring'!B100+'Gjensidige Pensjon'!B100+'If Skadeforsikring NUF'!B100+KLP!B100+'KLP Skadeforsikring AS'!B100+'Landkreditt Forsikring AS'!B100+'Nordea Liv '!B100+'Oslo Pensjonsforsikring'!B100+'Protector Forsikring'!B100+'Sparebank 1 Fors.'!B100+'Storebrand Livsforsikring'!B100+'Telenor Forsikring'!B100+'Tryg Forsikring'!B100+'WaterCircles F'!B100+'Euro Accident'!B100+'Ly Forsikring'!B100+'Youplus Livsforsikring'!B100+'Oslo Forsikring'!B100+'Knif Trygghet Forsikring'!B100</f>
        <v>2369244.5086599998</v>
      </c>
      <c r="C100" s="181">
        <f>Fremtind!C100+'DNB Livsforsikring'!C100+'Frende Livsforsikring'!C100+'Frende Skadeforsikring'!C100+'Gjensidige Forsikring'!C100+'Gjensidige Pensjon'!C100+'If Skadeforsikring NUF'!C100+KLP!C100+'KLP Skadeforsikring AS'!C100+'Landkreditt Forsikring AS'!C100+'Nordea Liv '!C100+'Oslo Pensjonsforsikring'!C100+'Protector Forsikring'!C100+'Sparebank 1 Fors.'!C100+'Storebrand Livsforsikring'!C100+'Telenor Forsikring'!C100+'Tryg Forsikring'!C100+'WaterCircles F'!C100+'Euro Accident'!C100+'Ly Forsikring'!C100+'Youplus Livsforsikring'!C100+'Oslo Forsikring'!C100+'Knif Trygghet Forsikring'!C100</f>
        <v>4235867.1137095941</v>
      </c>
      <c r="D100" s="20">
        <f t="shared" si="21"/>
        <v>78.8</v>
      </c>
      <c r="E100" s="36">
        <f>Fremtind!F100+'DNB Livsforsikring'!F100+'Frende Livsforsikring'!F100+'Frende Skadeforsikring'!F100+'Gjensidige Forsikring'!F100+'Gjensidige Pensjon'!F100+'If Skadeforsikring NUF'!F100+KLP!F100+'KLP Skadeforsikring AS'!F100+'Landkreditt Forsikring AS'!F100+'Nordea Liv '!F100+'Oslo Pensjonsforsikring'!F100+'Protector Forsikring'!F100+'Sparebank 1 Fors.'!F100+'Storebrand Livsforsikring'!F100+'Telenor Forsikring'!F100+'Tryg Forsikring'!F100+'WaterCircles F'!F100+'Euro Accident'!F100+'Ly Forsikring'!F100+'Youplus Livsforsikring'!F100+'Oslo Forsikring'!F100+'Knif Trygghet Forsikring'!F100</f>
        <v>654713222.16928506</v>
      </c>
      <c r="F100" s="36">
        <f>Fremtind!G100+'DNB Livsforsikring'!G100+'Frende Livsforsikring'!G100+'Frende Skadeforsikring'!G100+'Gjensidige Forsikring'!G100+'Gjensidige Pensjon'!G100+'If Skadeforsikring NUF'!G100+KLP!G100+'KLP Skadeforsikring AS'!G100+'Landkreditt Forsikring AS'!G100+'Nordea Liv '!G100+'Oslo Pensjonsforsikring'!G100+'Protector Forsikring'!G100+'Sparebank 1 Fors.'!G100+'Storebrand Livsforsikring'!G100+'Telenor Forsikring'!G100+'Tryg Forsikring'!G100+'WaterCircles F'!G100+'Euro Accident'!G100+'Ly Forsikring'!G100+'Youplus Livsforsikring'!G100+'Oslo Forsikring'!G100+'Knif Trygghet Forsikring'!G100</f>
        <v>781491279.64756203</v>
      </c>
      <c r="G100" s="123">
        <f t="shared" si="22"/>
        <v>19.399999999999999</v>
      </c>
      <c r="H100" s="184">
        <f t="shared" si="30"/>
        <v>657082466.67794502</v>
      </c>
      <c r="I100" s="184">
        <f t="shared" si="31"/>
        <v>785727146.7612716</v>
      </c>
      <c r="J100" s="20">
        <f t="shared" si="25"/>
        <v>19.600000000000001</v>
      </c>
    </row>
    <row r="101" spans="1:13" ht="15.75" customHeight="1" x14ac:dyDescent="0.25">
      <c r="A101" s="240" t="s">
        <v>200</v>
      </c>
      <c r="B101" s="261"/>
      <c r="C101" s="261"/>
      <c r="D101" s="23"/>
      <c r="E101" s="261"/>
      <c r="F101" s="261"/>
      <c r="G101" s="123"/>
      <c r="H101" s="261"/>
      <c r="I101" s="261"/>
      <c r="J101" s="20"/>
      <c r="K101" s="553"/>
      <c r="L101" s="554"/>
      <c r="M101" s="554"/>
    </row>
    <row r="102" spans="1:13" ht="15.75" customHeight="1" x14ac:dyDescent="0.25">
      <c r="A102" s="240" t="s">
        <v>201</v>
      </c>
      <c r="B102" s="261"/>
      <c r="C102" s="261"/>
      <c r="D102" s="23"/>
      <c r="E102" s="261"/>
      <c r="F102" s="261"/>
      <c r="G102" s="123"/>
      <c r="H102" s="261"/>
      <c r="I102" s="261"/>
      <c r="J102" s="20"/>
      <c r="K102" s="553"/>
      <c r="L102" s="554"/>
      <c r="M102" s="554"/>
    </row>
    <row r="103" spans="1:13" ht="15.75" customHeight="1" x14ac:dyDescent="0.25">
      <c r="A103" s="240" t="s">
        <v>202</v>
      </c>
      <c r="B103" s="261"/>
      <c r="C103" s="261"/>
      <c r="D103" s="23"/>
      <c r="E103" s="261"/>
      <c r="F103" s="261"/>
      <c r="G103" s="123"/>
      <c r="H103" s="261"/>
      <c r="I103" s="261"/>
      <c r="J103" s="20"/>
      <c r="K103" s="553"/>
      <c r="L103" s="554"/>
      <c r="M103" s="554"/>
    </row>
    <row r="104" spans="1:13" ht="15.75" customHeight="1" x14ac:dyDescent="0.25">
      <c r="A104" s="240" t="s">
        <v>203</v>
      </c>
      <c r="B104" s="261"/>
      <c r="C104" s="261"/>
      <c r="D104" s="23"/>
      <c r="E104" s="261"/>
      <c r="F104" s="261"/>
      <c r="G104" s="123"/>
      <c r="H104" s="261"/>
      <c r="I104" s="261"/>
      <c r="J104" s="20"/>
      <c r="K104" s="553"/>
      <c r="L104" s="554"/>
      <c r="M104" s="554"/>
    </row>
    <row r="105" spans="1:13" ht="15.75" customHeight="1" x14ac:dyDescent="0.25">
      <c r="A105" s="240" t="s">
        <v>201</v>
      </c>
      <c r="B105" s="182"/>
      <c r="C105" s="182"/>
      <c r="D105" s="23"/>
      <c r="E105" s="261"/>
      <c r="F105" s="261"/>
      <c r="G105" s="123"/>
      <c r="H105" s="261"/>
      <c r="I105" s="261"/>
      <c r="J105" s="20"/>
      <c r="K105" s="553"/>
      <c r="L105" s="554"/>
      <c r="M105" s="554"/>
    </row>
    <row r="106" spans="1:13" ht="15.75" customHeight="1" x14ac:dyDescent="0.25">
      <c r="A106" s="240" t="s">
        <v>202</v>
      </c>
      <c r="B106" s="182"/>
      <c r="C106" s="182"/>
      <c r="D106" s="23"/>
      <c r="E106" s="261"/>
      <c r="F106" s="261"/>
      <c r="G106" s="123"/>
      <c r="H106" s="261"/>
      <c r="I106" s="261"/>
      <c r="J106" s="20"/>
      <c r="K106" s="553"/>
      <c r="L106" s="554"/>
      <c r="M106" s="554"/>
    </row>
    <row r="107" spans="1:13" ht="15.75" customHeight="1" x14ac:dyDescent="0.25">
      <c r="A107" s="18" t="s">
        <v>208</v>
      </c>
      <c r="B107" s="181">
        <f>Fremtind!B107+'DNB Livsforsikring'!B107+'Frende Livsforsikring'!B107+'Frende Skadeforsikring'!B107+'Gjensidige Forsikring'!B107+'Gjensidige Pensjon'!B107+'If Skadeforsikring NUF'!B107+KLP!B107+'KLP Skadeforsikring AS'!B107+'Landkreditt Forsikring AS'!B107+'Nordea Liv '!B107+'Oslo Pensjonsforsikring'!B107+'Protector Forsikring'!B107+'Sparebank 1 Fors.'!B107+'Storebrand Livsforsikring'!B107+'Telenor Forsikring'!B107+'Tryg Forsikring'!B107+'WaterCircles F'!B107+'Euro Accident'!B107+'Ly Forsikring'!B107+'Youplus Livsforsikring'!B107+'Oslo Forsikring'!B107+'Knif Trygghet Forsikring'!B107</f>
        <v>4164564.0870000003</v>
      </c>
      <c r="C107" s="181">
        <f>Fremtind!C107+'DNB Livsforsikring'!C107+'Frende Livsforsikring'!C107+'Frende Skadeforsikring'!C107+'Gjensidige Forsikring'!C107+'Gjensidige Pensjon'!C107+'If Skadeforsikring NUF'!C107+KLP!C107+'KLP Skadeforsikring AS'!C107+'Landkreditt Forsikring AS'!C107+'Nordea Liv '!C107+'Oslo Pensjonsforsikring'!C107+'Protector Forsikring'!C107+'Sparebank 1 Fors.'!C107+'Storebrand Livsforsikring'!C107+'Telenor Forsikring'!C107+'Tryg Forsikring'!C107+'WaterCircles F'!C107+'Euro Accident'!C107+'Ly Forsikring'!C107+'Youplus Livsforsikring'!C107+'Oslo Forsikring'!C107+'Knif Trygghet Forsikring'!C107</f>
        <v>4329590.33</v>
      </c>
      <c r="D107" s="20">
        <f t="shared" si="21"/>
        <v>4</v>
      </c>
      <c r="E107" s="36">
        <f>Fremtind!F107+'DNB Livsforsikring'!F107+'Frende Livsforsikring'!F107+'Frende Skadeforsikring'!F107+'Gjensidige Forsikring'!F107+'Gjensidige Pensjon'!F107+'If Skadeforsikring NUF'!F107+KLP!F107+'KLP Skadeforsikring AS'!F107+'Landkreditt Forsikring AS'!F107+'Nordea Liv '!F107+'Oslo Pensjonsforsikring'!F107+'Protector Forsikring'!F107+'Sparebank 1 Fors.'!F107+'Storebrand Livsforsikring'!F107+'Telenor Forsikring'!F107+'Tryg Forsikring'!F107+'WaterCircles F'!F107+'Euro Accident'!F107+'Ly Forsikring'!F107+'Youplus Livsforsikring'!F107+'Oslo Forsikring'!F107+'Knif Trygghet Forsikring'!F107</f>
        <v>394946.35720098694</v>
      </c>
      <c r="F107" s="36">
        <f>Fremtind!G107+'DNB Livsforsikring'!G107+'Frende Livsforsikring'!G107+'Frende Skadeforsikring'!G107+'Gjensidige Forsikring'!G107+'Gjensidige Pensjon'!G107+'If Skadeforsikring NUF'!G107+KLP!G107+'KLP Skadeforsikring AS'!G107+'Landkreditt Forsikring AS'!G107+'Nordea Liv '!G107+'Oslo Pensjonsforsikring'!G107+'Protector Forsikring'!G107+'Sparebank 1 Fors.'!G107+'Storebrand Livsforsikring'!G107+'Telenor Forsikring'!G107+'Tryg Forsikring'!G107+'WaterCircles F'!G107+'Euro Accident'!G107+'Ly Forsikring'!G107+'Youplus Livsforsikring'!G107+'Oslo Forsikring'!G107+'Knif Trygghet Forsikring'!G107</f>
        <v>408990.01650598901</v>
      </c>
      <c r="G107" s="123">
        <f t="shared" si="22"/>
        <v>3.6</v>
      </c>
      <c r="H107" s="184">
        <f t="shared" si="30"/>
        <v>4559510.444200987</v>
      </c>
      <c r="I107" s="184">
        <f t="shared" si="31"/>
        <v>4738580.3465059893</v>
      </c>
      <c r="J107" s="20">
        <f t="shared" si="25"/>
        <v>3.9</v>
      </c>
    </row>
    <row r="108" spans="1:13" ht="15.75" customHeight="1" x14ac:dyDescent="0.25">
      <c r="A108" s="18" t="s">
        <v>209</v>
      </c>
      <c r="B108" s="181">
        <f>Fremtind!B108+'DNB Livsforsikring'!B108+'Frende Livsforsikring'!B108+'Frende Skadeforsikring'!B108+'Gjensidige Forsikring'!B108+'Gjensidige Pensjon'!B108+'If Skadeforsikring NUF'!B108+KLP!B108+'KLP Skadeforsikring AS'!B108+'Landkreditt Forsikring AS'!B108+'Nordea Liv '!B108+'Oslo Pensjonsforsikring'!B108+'Protector Forsikring'!B108+'Sparebank 1 Fors.'!B108+'Storebrand Livsforsikring'!B108+'Telenor Forsikring'!B108+'Tryg Forsikring'!B108+'WaterCircles F'!B108+'Euro Accident'!B108+'Ly Forsikring'!B108+'Youplus Livsforsikring'!B108+'Oslo Forsikring'!B108+'Knif Trygghet Forsikring'!B108</f>
        <v>330457899.48653722</v>
      </c>
      <c r="C108" s="181">
        <f>Fremtind!C108+'DNB Livsforsikring'!C108+'Frende Livsforsikring'!C108+'Frende Skadeforsikring'!C108+'Gjensidige Forsikring'!C108+'Gjensidige Pensjon'!C108+'If Skadeforsikring NUF'!C108+KLP!C108+'KLP Skadeforsikring AS'!C108+'Landkreditt Forsikring AS'!C108+'Nordea Liv '!C108+'Oslo Pensjonsforsikring'!C108+'Protector Forsikring'!C108+'Sparebank 1 Fors.'!C108+'Storebrand Livsforsikring'!C108+'Telenor Forsikring'!C108+'Tryg Forsikring'!C108+'WaterCircles F'!C108+'Euro Accident'!C108+'Ly Forsikring'!C108+'Youplus Livsforsikring'!C108+'Oslo Forsikring'!C108+'Knif Trygghet Forsikring'!C108</f>
        <v>329827672.72600996</v>
      </c>
      <c r="D108" s="20">
        <f t="shared" si="21"/>
        <v>-0.2</v>
      </c>
      <c r="E108" s="36">
        <f>Fremtind!F108+'DNB Livsforsikring'!F108+'Frende Livsforsikring'!F108+'Frende Skadeforsikring'!F108+'Gjensidige Forsikring'!F108+'Gjensidige Pensjon'!F108+'If Skadeforsikring NUF'!F108+KLP!F108+'KLP Skadeforsikring AS'!F108+'Landkreditt Forsikring AS'!F108+'Nordea Liv '!F108+'Oslo Pensjonsforsikring'!F108+'Protector Forsikring'!F108+'Sparebank 1 Fors.'!F108+'Storebrand Livsforsikring'!F108+'Telenor Forsikring'!F108+'Tryg Forsikring'!F108+'WaterCircles F'!F108+'Euro Accident'!F108+'Ly Forsikring'!F108+'Youplus Livsforsikring'!F108+'Oslo Forsikring'!F108+'Knif Trygghet Forsikring'!F108</f>
        <v>23222155.307822309</v>
      </c>
      <c r="F108" s="36">
        <f>Fremtind!G108+'DNB Livsforsikring'!G108+'Frende Livsforsikring'!G108+'Frende Skadeforsikring'!G108+'Gjensidige Forsikring'!G108+'Gjensidige Pensjon'!G108+'If Skadeforsikring NUF'!G108+KLP!G108+'KLP Skadeforsikring AS'!G108+'Landkreditt Forsikring AS'!G108+'Nordea Liv '!G108+'Oslo Pensjonsforsikring'!G108+'Protector Forsikring'!G108+'Sparebank 1 Fors.'!G108+'Storebrand Livsforsikring'!G108+'Telenor Forsikring'!G108+'Tryg Forsikring'!G108+'WaterCircles F'!G108+'Euro Accident'!G108+'Ly Forsikring'!G108+'Youplus Livsforsikring'!G108+'Oslo Forsikring'!G108+'Knif Trygghet Forsikring'!G108</f>
        <v>25915301.51329229</v>
      </c>
      <c r="G108" s="123">
        <f t="shared" si="22"/>
        <v>11.6</v>
      </c>
      <c r="H108" s="184">
        <f t="shared" si="30"/>
        <v>353680054.79435951</v>
      </c>
      <c r="I108" s="184">
        <f t="shared" si="31"/>
        <v>355742974.23930228</v>
      </c>
      <c r="J108" s="20">
        <f t="shared" si="25"/>
        <v>0.6</v>
      </c>
    </row>
    <row r="109" spans="1:13" ht="15.75" customHeight="1" x14ac:dyDescent="0.25">
      <c r="A109" s="18" t="s">
        <v>210</v>
      </c>
      <c r="B109" s="181">
        <f>Fremtind!B109+'DNB Livsforsikring'!B109+'Frende Livsforsikring'!B109+'Frende Skadeforsikring'!B109+'Gjensidige Forsikring'!B109+'Gjensidige Pensjon'!B109+'If Skadeforsikring NUF'!B109+KLP!B109+'KLP Skadeforsikring AS'!B109+'Landkreditt Forsikring AS'!B109+'Nordea Liv '!B109+'Oslo Pensjonsforsikring'!B109+'Protector Forsikring'!B109+'Sparebank 1 Fors.'!B109+'Storebrand Livsforsikring'!B109+'Telenor Forsikring'!B109+'Tryg Forsikring'!B109+'WaterCircles F'!B109+'Euro Accident'!B109+'Ly Forsikring'!B109+'Youplus Livsforsikring'!B109+'Oslo Forsikring'!B109+'Knif Trygghet Forsikring'!B109</f>
        <v>2564583.3651173301</v>
      </c>
      <c r="C109" s="181">
        <f>Fremtind!C109+'DNB Livsforsikring'!C109+'Frende Livsforsikring'!C109+'Frende Skadeforsikring'!C109+'Gjensidige Forsikring'!C109+'Gjensidige Pensjon'!C109+'If Skadeforsikring NUF'!C109+KLP!C109+'KLP Skadeforsikring AS'!C109+'Landkreditt Forsikring AS'!C109+'Nordea Liv '!C109+'Oslo Pensjonsforsikring'!C109+'Protector Forsikring'!C109+'Sparebank 1 Fors.'!C109+'Storebrand Livsforsikring'!C109+'Telenor Forsikring'!C109+'Tryg Forsikring'!C109+'WaterCircles F'!C109+'Euro Accident'!C109+'Ly Forsikring'!C109+'Youplus Livsforsikring'!C109+'Oslo Forsikring'!C109+'Knif Trygghet Forsikring'!C109</f>
        <v>3246980.7611615639</v>
      </c>
      <c r="D109" s="20">
        <f t="shared" si="21"/>
        <v>26.6</v>
      </c>
      <c r="E109" s="36">
        <f>Fremtind!F109+'DNB Livsforsikring'!F109+'Frende Livsforsikring'!F109+'Frende Skadeforsikring'!F109+'Gjensidige Forsikring'!F109+'Gjensidige Pensjon'!F109+'If Skadeforsikring NUF'!F109+KLP!F109+'KLP Skadeforsikring AS'!F109+'Landkreditt Forsikring AS'!F109+'Nordea Liv '!F109+'Oslo Pensjonsforsikring'!F109+'Protector Forsikring'!F109+'Sparebank 1 Fors.'!F109+'Storebrand Livsforsikring'!F109+'Telenor Forsikring'!F109+'Tryg Forsikring'!F109+'WaterCircles F'!F109+'Euro Accident'!F109+'Ly Forsikring'!F109+'Youplus Livsforsikring'!F109+'Oslo Forsikring'!F109+'Knif Trygghet Forsikring'!F109</f>
        <v>258106009.55182999</v>
      </c>
      <c r="F109" s="36">
        <f>Fremtind!G109+'DNB Livsforsikring'!G109+'Frende Livsforsikring'!G109+'Frende Skadeforsikring'!G109+'Gjensidige Forsikring'!G109+'Gjensidige Pensjon'!G109+'If Skadeforsikring NUF'!G109+KLP!G109+'KLP Skadeforsikring AS'!G109+'Landkreditt Forsikring AS'!G109+'Nordea Liv '!G109+'Oslo Pensjonsforsikring'!G109+'Protector Forsikring'!G109+'Sparebank 1 Fors.'!G109+'Storebrand Livsforsikring'!G109+'Telenor Forsikring'!G109+'Tryg Forsikring'!G109+'WaterCircles F'!G109+'Euro Accident'!G109+'Ly Forsikring'!G109+'Youplus Livsforsikring'!G109+'Oslo Forsikring'!G109+'Knif Trygghet Forsikring'!G109</f>
        <v>315806322.49540997</v>
      </c>
      <c r="G109" s="123">
        <f t="shared" si="22"/>
        <v>22.4</v>
      </c>
      <c r="H109" s="184">
        <f t="shared" si="30"/>
        <v>260670592.91694734</v>
      </c>
      <c r="I109" s="184">
        <f t="shared" si="31"/>
        <v>319053303.25657153</v>
      </c>
      <c r="J109" s="20">
        <f t="shared" si="25"/>
        <v>22.4</v>
      </c>
    </row>
    <row r="110" spans="1:13" ht="15.75" customHeight="1" x14ac:dyDescent="0.25">
      <c r="A110" s="18" t="s">
        <v>211</v>
      </c>
      <c r="B110" s="181">
        <f>Fremtind!B110+'DNB Livsforsikring'!B110+'Frende Livsforsikring'!B110+'Frende Skadeforsikring'!B110+'Gjensidige Forsikring'!B110+'Gjensidige Pensjon'!B110+'If Skadeforsikring NUF'!B110+KLP!B110+'KLP Skadeforsikring AS'!B110+'Landkreditt Forsikring AS'!B110+'Nordea Liv '!B110+'Oslo Pensjonsforsikring'!B110+'Protector Forsikring'!B110+'Sparebank 1 Fors.'!B110+'Storebrand Livsforsikring'!B110+'Telenor Forsikring'!B110+'Tryg Forsikring'!B110+'WaterCircles F'!B110+'Euro Accident'!B110+'Ly Forsikring'!B110+'Youplus Livsforsikring'!B110+'Oslo Forsikring'!B110+'Knif Trygghet Forsikring'!B110</f>
        <v>3790071.2579199998</v>
      </c>
      <c r="C110" s="181">
        <f>Fremtind!C110+'DNB Livsforsikring'!C110+'Frende Livsforsikring'!C110+'Frende Skadeforsikring'!C110+'Gjensidige Forsikring'!C110+'Gjensidige Pensjon'!C110+'If Skadeforsikring NUF'!C110+KLP!C110+'KLP Skadeforsikring AS'!C110+'Landkreditt Forsikring AS'!C110+'Nordea Liv '!C110+'Oslo Pensjonsforsikring'!C110+'Protector Forsikring'!C110+'Sparebank 1 Fors.'!C110+'Storebrand Livsforsikring'!C110+'Telenor Forsikring'!C110+'Tryg Forsikring'!C110+'WaterCircles F'!C110+'Euro Accident'!C110+'Ly Forsikring'!C110+'Youplus Livsforsikring'!C110+'Oslo Forsikring'!C110+'Knif Trygghet Forsikring'!C110</f>
        <v>5222134.5877400003</v>
      </c>
      <c r="D110" s="20">
        <f t="shared" si="21"/>
        <v>37.799999999999997</v>
      </c>
      <c r="E110" s="36"/>
      <c r="F110" s="36"/>
      <c r="G110" s="123"/>
      <c r="H110" s="184">
        <f t="shared" si="30"/>
        <v>3790071.2579199998</v>
      </c>
      <c r="I110" s="184">
        <f t="shared" si="31"/>
        <v>5222134.5877400003</v>
      </c>
      <c r="J110" s="20">
        <f t="shared" si="25"/>
        <v>37.799999999999997</v>
      </c>
    </row>
    <row r="111" spans="1:13" s="35" customFormat="1" ht="15.75" customHeight="1" x14ac:dyDescent="0.25">
      <c r="A111" s="10" t="s">
        <v>173</v>
      </c>
      <c r="B111" s="250">
        <f>Fremtind!B111+'DNB Livsforsikring'!B111+'Frende Livsforsikring'!B111+'Frende Skadeforsikring'!B111+'Gjensidige Forsikring'!B111+'Gjensidige Pensjon'!B111+'If Skadeforsikring NUF'!B111+KLP!B111+'KLP Skadeforsikring AS'!B111+'Landkreditt Forsikring AS'!B111+'Nordea Liv '!B111+'Oslo Pensjonsforsikring'!B111+'Protector Forsikring'!B111+'Sparebank 1 Fors.'!B111+'Storebrand Livsforsikring'!B111+'Telenor Forsikring'!B111+'Tryg Forsikring'!B111+'WaterCircles F'!B111+'Euro Accident'!B111+'Ly Forsikring'!B111+'Youplus Livsforsikring'!B111+'Oslo Forsikring'!B111+'Knif Trygghet Forsikring'!B111</f>
        <v>1135493.62424</v>
      </c>
      <c r="C111" s="250">
        <f>Fremtind!C111+'DNB Livsforsikring'!C111+'Frende Livsforsikring'!C111+'Frende Skadeforsikring'!C111+'Gjensidige Forsikring'!C111+'Gjensidige Pensjon'!C111+'If Skadeforsikring NUF'!C111+KLP!C111+'KLP Skadeforsikring AS'!C111+'Landkreditt Forsikring AS'!C111+'Nordea Liv '!C111+'Oslo Pensjonsforsikring'!C111+'Protector Forsikring'!C111+'Sparebank 1 Fors.'!C111+'Storebrand Livsforsikring'!C111+'Telenor Forsikring'!C111+'Tryg Forsikring'!C111+'WaterCircles F'!C111+'Euro Accident'!C111+'Ly Forsikring'!C111+'Youplus Livsforsikring'!C111+'Oslo Forsikring'!C111+'Knif Trygghet Forsikring'!C111</f>
        <v>299574.75540000002</v>
      </c>
      <c r="D111" s="21">
        <f t="shared" si="21"/>
        <v>-73.599999999999994</v>
      </c>
      <c r="E111" s="183">
        <f>Fremtind!F111+'DNB Livsforsikring'!F111+'Frende Livsforsikring'!F111+'Frende Skadeforsikring'!F111+'Gjensidige Forsikring'!F111+'Gjensidige Pensjon'!F111+'If Skadeforsikring NUF'!F111+KLP!F111+'KLP Skadeforsikring AS'!F111+'Landkreditt Forsikring AS'!F111+'Nordea Liv '!F111+'Oslo Pensjonsforsikring'!F111+'Protector Forsikring'!F111+'Sparebank 1 Fors.'!F111+'Storebrand Livsforsikring'!F111+'Telenor Forsikring'!F111+'Tryg Forsikring'!F111+'WaterCircles F'!F111+'Euro Accident'!F111+'Ly Forsikring'!F111+'Youplus Livsforsikring'!F111+'Oslo Forsikring'!F111+'Knif Trygghet Forsikring'!F111</f>
        <v>19977944.200959999</v>
      </c>
      <c r="F111" s="183">
        <f>Fremtind!G111+'DNB Livsforsikring'!G111+'Frende Livsforsikring'!G111+'Frende Skadeforsikring'!G111+'Gjensidige Forsikring'!G111+'Gjensidige Pensjon'!G111+'If Skadeforsikring NUF'!G111+KLP!G111+'KLP Skadeforsikring AS'!G111+'Landkreditt Forsikring AS'!G111+'Nordea Liv '!G111+'Oslo Pensjonsforsikring'!G111+'Protector Forsikring'!G111+'Sparebank 1 Fors.'!G111+'Storebrand Livsforsikring'!G111+'Telenor Forsikring'!G111+'Tryg Forsikring'!G111+'WaterCircles F'!G111+'Euro Accident'!G111+'Ly Forsikring'!G111+'Youplus Livsforsikring'!G111+'Oslo Forsikring'!G111+'Knif Trygghet Forsikring'!G111</f>
        <v>24119223.99368</v>
      </c>
      <c r="G111" s="127">
        <f t="shared" si="22"/>
        <v>20.7</v>
      </c>
      <c r="H111" s="270">
        <f t="shared" si="30"/>
        <v>21113437.825199999</v>
      </c>
      <c r="I111" s="270">
        <f t="shared" si="31"/>
        <v>24418798.749079999</v>
      </c>
      <c r="J111" s="21">
        <f t="shared" si="25"/>
        <v>15.7</v>
      </c>
    </row>
    <row r="112" spans="1:13" ht="15.75" customHeight="1" x14ac:dyDescent="0.25">
      <c r="A112" s="18" t="s">
        <v>198</v>
      </c>
      <c r="B112" s="181">
        <f>Fremtind!B112+'DNB Livsforsikring'!B112+'Frende Livsforsikring'!B112+'Frende Skadeforsikring'!B112+'Gjensidige Forsikring'!B112+'Gjensidige Pensjon'!B112+'If Skadeforsikring NUF'!B112+KLP!B112+'KLP Skadeforsikring AS'!B112+'Landkreditt Forsikring AS'!B112+'Nordea Liv '!B112+'Oslo Pensjonsforsikring'!B112+'Protector Forsikring'!B112+'Sparebank 1 Fors.'!B112+'Storebrand Livsforsikring'!B112+'Telenor Forsikring'!B112+'Tryg Forsikring'!B112+'WaterCircles F'!B112+'Euro Accident'!B112+'Ly Forsikring'!B112+'Youplus Livsforsikring'!B112+'Oslo Forsikring'!B112+'Knif Trygghet Forsikring'!B112</f>
        <v>1057841.1397199999</v>
      </c>
      <c r="C112" s="181">
        <f>Fremtind!C112+'DNB Livsforsikring'!C112+'Frende Livsforsikring'!C112+'Frende Skadeforsikring'!C112+'Gjensidige Forsikring'!C112+'Gjensidige Pensjon'!C112+'If Skadeforsikring NUF'!C112+KLP!C112+'KLP Skadeforsikring AS'!C112+'Landkreditt Forsikring AS'!C112+'Nordea Liv '!C112+'Oslo Pensjonsforsikring'!C112+'Protector Forsikring'!C112+'Sparebank 1 Fors.'!C112+'Storebrand Livsforsikring'!C112+'Telenor Forsikring'!C112+'Tryg Forsikring'!C112+'WaterCircles F'!C112+'Euro Accident'!C112+'Ly Forsikring'!C112+'Youplus Livsforsikring'!C112+'Oslo Forsikring'!C112+'Knif Trygghet Forsikring'!C112</f>
        <v>219733.91652</v>
      </c>
      <c r="D112" s="20">
        <f t="shared" ref="D112:D125" si="36">IF(B112=0, "    ---- ", IF(ABS(ROUND(100/B112*C112-100,1))&lt;999,ROUND(100/B112*C112-100,1),IF(ROUND(100/B112*C112-100,1)&gt;999,999,-999)))</f>
        <v>-79.2</v>
      </c>
      <c r="E112" s="36">
        <f>Fremtind!F112+'DNB Livsforsikring'!F112+'Frende Livsforsikring'!F112+'Frende Skadeforsikring'!F112+'Gjensidige Forsikring'!F112+'Gjensidige Pensjon'!F112+'If Skadeforsikring NUF'!F112+KLP!F112+'KLP Skadeforsikring AS'!F112+'Landkreditt Forsikring AS'!F112+'Nordea Liv '!F112+'Oslo Pensjonsforsikring'!F112+'Protector Forsikring'!F112+'Sparebank 1 Fors.'!F112+'Storebrand Livsforsikring'!F112+'Telenor Forsikring'!F112+'Tryg Forsikring'!F112+'WaterCircles F'!F112+'Euro Accident'!F112+'Ly Forsikring'!F112+'Youplus Livsforsikring'!F112+'Oslo Forsikring'!F112+'Knif Trygghet Forsikring'!F112</f>
        <v>472.80700000000002</v>
      </c>
      <c r="F112" s="36">
        <f>Fremtind!G112+'DNB Livsforsikring'!G112+'Frende Livsforsikring'!G112+'Frende Skadeforsikring'!G112+'Gjensidige Forsikring'!G112+'Gjensidige Pensjon'!G112+'If Skadeforsikring NUF'!G112+KLP!G112+'KLP Skadeforsikring AS'!G112+'Landkreditt Forsikring AS'!G112+'Nordea Liv '!G112+'Oslo Pensjonsforsikring'!G112+'Protector Forsikring'!G112+'Sparebank 1 Fors.'!G112+'Storebrand Livsforsikring'!G112+'Telenor Forsikring'!G112+'Tryg Forsikring'!G112+'WaterCircles F'!G112+'Euro Accident'!G112+'Ly Forsikring'!G112+'Youplus Livsforsikring'!G112+'Oslo Forsikring'!G112+'Knif Trygghet Forsikring'!G112</f>
        <v>2491.8789999999999</v>
      </c>
      <c r="G112" s="123">
        <f t="shared" si="22"/>
        <v>427</v>
      </c>
      <c r="H112" s="184">
        <f t="shared" ref="H112:H125" si="37">SUM(B112,E112)</f>
        <v>1058313.9467199999</v>
      </c>
      <c r="I112" s="184">
        <f t="shared" ref="I112:I125" si="38">SUM(C112,F112)</f>
        <v>222225.79551999999</v>
      </c>
      <c r="J112" s="20">
        <f t="shared" ref="J112:J125" si="39">IF(H112=0, "    ---- ", IF(ABS(ROUND(100/H112*I112-100,1))&lt;999,ROUND(100/H112*I112-100,1),IF(ROUND(100/H112*I112-100,1)&gt;999,999,-999)))</f>
        <v>-79</v>
      </c>
    </row>
    <row r="113" spans="1:10" ht="15.75" customHeight="1" x14ac:dyDescent="0.25">
      <c r="A113" s="18" t="s">
        <v>199</v>
      </c>
      <c r="B113" s="181"/>
      <c r="C113" s="181">
        <f>Fremtind!C113+'DNB Livsforsikring'!C113+'Frende Livsforsikring'!C113+'Frende Skadeforsikring'!C113+'Gjensidige Forsikring'!C113+'Gjensidige Pensjon'!C113+'If Skadeforsikring NUF'!C113+KLP!C113+'KLP Skadeforsikring AS'!C113+'Landkreditt Forsikring AS'!C113+'Nordea Liv '!C113+'Oslo Pensjonsforsikring'!C113+'Protector Forsikring'!C113+'Sparebank 1 Fors.'!C113+'Storebrand Livsforsikring'!C113+'Telenor Forsikring'!C113+'Tryg Forsikring'!C113+'WaterCircles F'!C113+'Euro Accident'!C113+'Ly Forsikring'!C113+'Youplus Livsforsikring'!C113+'Oslo Forsikring'!C113+'Knif Trygghet Forsikring'!C113</f>
        <v>10682.736070000001</v>
      </c>
      <c r="D113" s="20" t="str">
        <f t="shared" si="36"/>
        <v xml:space="preserve">    ---- </v>
      </c>
      <c r="E113" s="36">
        <f>Fremtind!F113+'DNB Livsforsikring'!F113+'Frende Livsforsikring'!F113+'Frende Skadeforsikring'!F113+'Gjensidige Forsikring'!F113+'Gjensidige Pensjon'!F113+'If Skadeforsikring NUF'!F113+KLP!F113+'KLP Skadeforsikring AS'!F113+'Landkreditt Forsikring AS'!F113+'Nordea Liv '!F113+'Oslo Pensjonsforsikring'!F113+'Protector Forsikring'!F113+'Sparebank 1 Fors.'!F113+'Storebrand Livsforsikring'!F113+'Telenor Forsikring'!F113+'Tryg Forsikring'!F113+'WaterCircles F'!F113+'Euro Accident'!F113+'Ly Forsikring'!F113+'Youplus Livsforsikring'!F113+'Oslo Forsikring'!F113+'Knif Trygghet Forsikring'!F113</f>
        <v>19977471.393959999</v>
      </c>
      <c r="F113" s="36">
        <f>Fremtind!G113+'DNB Livsforsikring'!G113+'Frende Livsforsikring'!G113+'Frende Skadeforsikring'!G113+'Gjensidige Forsikring'!G113+'Gjensidige Pensjon'!G113+'If Skadeforsikring NUF'!G113+KLP!G113+'KLP Skadeforsikring AS'!G113+'Landkreditt Forsikring AS'!G113+'Nordea Liv '!G113+'Oslo Pensjonsforsikring'!G113+'Protector Forsikring'!G113+'Sparebank 1 Fors.'!G113+'Storebrand Livsforsikring'!G113+'Telenor Forsikring'!G113+'Tryg Forsikring'!G113+'WaterCircles F'!G113+'Euro Accident'!G113+'Ly Forsikring'!G113+'Youplus Livsforsikring'!G113+'Oslo Forsikring'!G113+'Knif Trygghet Forsikring'!G113</f>
        <v>24113484.853050001</v>
      </c>
      <c r="G113" s="127">
        <f t="shared" si="22"/>
        <v>20.7</v>
      </c>
      <c r="H113" s="184">
        <f t="shared" si="37"/>
        <v>19977471.393959999</v>
      </c>
      <c r="I113" s="184">
        <f t="shared" si="38"/>
        <v>24124167.589120001</v>
      </c>
      <c r="J113" s="21">
        <f t="shared" si="39"/>
        <v>20.8</v>
      </c>
    </row>
    <row r="114" spans="1:10" ht="15.75" customHeight="1" x14ac:dyDescent="0.25">
      <c r="A114" s="18" t="s">
        <v>212</v>
      </c>
      <c r="B114" s="181">
        <f>Fremtind!B114+'DNB Livsforsikring'!B114+'Frende Livsforsikring'!B114+'Frende Skadeforsikring'!B114+'Gjensidige Forsikring'!B114+'Gjensidige Pensjon'!B114+'If Skadeforsikring NUF'!B114+KLP!B114+'KLP Skadeforsikring AS'!B114+'Landkreditt Forsikring AS'!B114+'Nordea Liv '!B114+'Oslo Pensjonsforsikring'!B114+'Protector Forsikring'!B114+'Sparebank 1 Fors.'!B114+'Storebrand Livsforsikring'!B114+'Telenor Forsikring'!B114+'Tryg Forsikring'!B114+'WaterCircles F'!B114+'Euro Accident'!B114+'Ly Forsikring'!B114+'Youplus Livsforsikring'!B114+'Oslo Forsikring'!B114+'Knif Trygghet Forsikring'!B114</f>
        <v>77652.484519999998</v>
      </c>
      <c r="C114" s="181">
        <f>Fremtind!C114+'DNB Livsforsikring'!C114+'Frende Livsforsikring'!C114+'Frende Skadeforsikring'!C114+'Gjensidige Forsikring'!C114+'Gjensidige Pensjon'!C114+'If Skadeforsikring NUF'!C114+KLP!C114+'KLP Skadeforsikring AS'!C114+'Landkreditt Forsikring AS'!C114+'Nordea Liv '!C114+'Oslo Pensjonsforsikring'!C114+'Protector Forsikring'!C114+'Sparebank 1 Fors.'!C114+'Storebrand Livsforsikring'!C114+'Telenor Forsikring'!C114+'Tryg Forsikring'!C114+'WaterCircles F'!C114+'Euro Accident'!C114+'Ly Forsikring'!C114+'Youplus Livsforsikring'!C114+'Oslo Forsikring'!C114+'Knif Trygghet Forsikring'!C114</f>
        <v>69158.102810000011</v>
      </c>
      <c r="D114" s="20">
        <f t="shared" si="36"/>
        <v>-10.9</v>
      </c>
      <c r="E114" s="36"/>
      <c r="F114" s="36">
        <f>Fremtind!G114+'DNB Livsforsikring'!G114+'Frende Livsforsikring'!G114+'Frende Skadeforsikring'!G114+'Gjensidige Forsikring'!G114+'Gjensidige Pensjon'!G114+'If Skadeforsikring NUF'!G114+KLP!G114+'KLP Skadeforsikring AS'!G114+'Landkreditt Forsikring AS'!G114+'Nordea Liv '!G114+'Oslo Pensjonsforsikring'!G114+'Protector Forsikring'!G114+'Sparebank 1 Fors.'!G114+'Storebrand Livsforsikring'!G114+'Telenor Forsikring'!G114+'Tryg Forsikring'!G114+'WaterCircles F'!G114+'Euro Accident'!G114+'Ly Forsikring'!G114+'Youplus Livsforsikring'!G114+'Oslo Forsikring'!G114+'Knif Trygghet Forsikring'!G114</f>
        <v>3247.26163</v>
      </c>
      <c r="G114" s="127" t="str">
        <f t="shared" si="22"/>
        <v xml:space="preserve">    ---- </v>
      </c>
      <c r="H114" s="184">
        <f t="shared" si="37"/>
        <v>77652.484519999998</v>
      </c>
      <c r="I114" s="184">
        <f t="shared" si="38"/>
        <v>72405.364440000005</v>
      </c>
      <c r="J114" s="21">
        <f t="shared" si="39"/>
        <v>-6.8</v>
      </c>
    </row>
    <row r="115" spans="1:10" ht="15.75" customHeight="1" x14ac:dyDescent="0.25">
      <c r="A115" s="555" t="s">
        <v>213</v>
      </c>
      <c r="B115" s="36"/>
      <c r="C115" s="36"/>
      <c r="D115" s="23"/>
      <c r="E115" s="36"/>
      <c r="F115" s="36"/>
      <c r="G115" s="123"/>
      <c r="H115" s="184"/>
      <c r="I115" s="184"/>
      <c r="J115" s="20"/>
    </row>
    <row r="116" spans="1:10" ht="15.75" customHeight="1" x14ac:dyDescent="0.25">
      <c r="A116" s="18" t="s">
        <v>214</v>
      </c>
      <c r="B116" s="181">
        <f>Fremtind!B116+'DNB Livsforsikring'!B116+'Frende Livsforsikring'!B116+'Frende Skadeforsikring'!B116+'Gjensidige Forsikring'!B116+'Gjensidige Pensjon'!B116+'If Skadeforsikring NUF'!B116+KLP!B116+'KLP Skadeforsikring AS'!B116+'Landkreditt Forsikring AS'!B116+'Nordea Liv '!B116+'Oslo Pensjonsforsikring'!B116+'Protector Forsikring'!B116+'Sparebank 1 Fors.'!B116+'Storebrand Livsforsikring'!B116+'Telenor Forsikring'!B116+'Tryg Forsikring'!B116+'WaterCircles F'!B116+'Euro Accident'!B116+'Ly Forsikring'!B116+'Youplus Livsforsikring'!B116+'Oslo Forsikring'!B116+'Knif Trygghet Forsikring'!B116</f>
        <v>915297.67884000007</v>
      </c>
      <c r="C116" s="181">
        <f>Fremtind!C116+'DNB Livsforsikring'!C116+'Frende Livsforsikring'!C116+'Frende Skadeforsikring'!C116+'Gjensidige Forsikring'!C116+'Gjensidige Pensjon'!C116+'If Skadeforsikring NUF'!C116+KLP!C116+'KLP Skadeforsikring AS'!C116+'Landkreditt Forsikring AS'!C116+'Nordea Liv '!C116+'Oslo Pensjonsforsikring'!C116+'Protector Forsikring'!C116+'Sparebank 1 Fors.'!C116+'Storebrand Livsforsikring'!C116+'Telenor Forsikring'!C116+'Tryg Forsikring'!C116+'WaterCircles F'!C116+'Euro Accident'!C116+'Ly Forsikring'!C116+'Youplus Livsforsikring'!C116+'Oslo Forsikring'!C116+'Knif Trygghet Forsikring'!C116</f>
        <v>34025.336749999995</v>
      </c>
      <c r="D116" s="20">
        <f t="shared" si="36"/>
        <v>-96.3</v>
      </c>
      <c r="E116" s="36">
        <f>Fremtind!F116+'DNB Livsforsikring'!F116+'Frende Livsforsikring'!F116+'Frende Skadeforsikring'!F116+'Gjensidige Forsikring'!F116+'Gjensidige Pensjon'!F116+'If Skadeforsikring NUF'!F116+KLP!F116+'KLP Skadeforsikring AS'!F116+'Landkreditt Forsikring AS'!F116+'Nordea Liv '!F116+'Oslo Pensjonsforsikring'!F116+'Protector Forsikring'!F116+'Sparebank 1 Fors.'!F116+'Storebrand Livsforsikring'!F116+'Telenor Forsikring'!F116+'Tryg Forsikring'!F116+'WaterCircles F'!F116+'Euro Accident'!F116+'Ly Forsikring'!F116+'Youplus Livsforsikring'!F116+'Oslo Forsikring'!F116+'Knif Trygghet Forsikring'!F116</f>
        <v>472.80700000000002</v>
      </c>
      <c r="F116" s="36">
        <f>Fremtind!G116+'DNB Livsforsikring'!G116+'Frende Livsforsikring'!G116+'Frende Skadeforsikring'!G116+'Gjensidige Forsikring'!G116+'Gjensidige Pensjon'!G116+'If Skadeforsikring NUF'!G116+KLP!G116+'KLP Skadeforsikring AS'!G116+'Landkreditt Forsikring AS'!G116+'Nordea Liv '!G116+'Oslo Pensjonsforsikring'!G116+'Protector Forsikring'!G116+'Sparebank 1 Fors.'!G116+'Storebrand Livsforsikring'!G116+'Telenor Forsikring'!G116+'Tryg Forsikring'!G116+'WaterCircles F'!G116+'Euro Accident'!G116+'Ly Forsikring'!G116+'Youplus Livsforsikring'!G116+'Oslo Forsikring'!G116+'Knif Trygghet Forsikring'!G116</f>
        <v>2491.8789999999999</v>
      </c>
      <c r="G116" s="123">
        <f t="shared" si="22"/>
        <v>427</v>
      </c>
      <c r="H116" s="184">
        <f t="shared" si="37"/>
        <v>915770.4858400001</v>
      </c>
      <c r="I116" s="184">
        <f t="shared" si="38"/>
        <v>36517.215749999996</v>
      </c>
      <c r="J116" s="20">
        <f t="shared" si="39"/>
        <v>-96</v>
      </c>
    </row>
    <row r="117" spans="1:10" ht="15.75" customHeight="1" x14ac:dyDescent="0.25">
      <c r="A117" s="18" t="s">
        <v>210</v>
      </c>
      <c r="B117" s="181"/>
      <c r="C117" s="181"/>
      <c r="D117" s="20"/>
      <c r="E117" s="36">
        <f>Fremtind!F117+'DNB Livsforsikring'!F117+'Frende Livsforsikring'!F117+'Frende Skadeforsikring'!F117+'Gjensidige Forsikring'!F117+'Gjensidige Pensjon'!F117+'If Skadeforsikring NUF'!F117+KLP!F117+'KLP Skadeforsikring AS'!F117+'Landkreditt Forsikring AS'!F117+'Nordea Liv '!F117+'Oslo Pensjonsforsikring'!F117+'Protector Forsikring'!F117+'Sparebank 1 Fors.'!F117+'Storebrand Livsforsikring'!F117+'Telenor Forsikring'!F117+'Tryg Forsikring'!F117+'WaterCircles F'!F117+'Euro Accident'!F117+'Ly Forsikring'!F117+'Youplus Livsforsikring'!F117+'Oslo Forsikring'!F117+'Knif Trygghet Forsikring'!F117</f>
        <v>11197390.0682</v>
      </c>
      <c r="F117" s="36">
        <f>Fremtind!G117+'DNB Livsforsikring'!G117+'Frende Livsforsikring'!G117+'Frende Skadeforsikring'!G117+'Gjensidige Forsikring'!G117+'Gjensidige Pensjon'!G117+'If Skadeforsikring NUF'!G117+KLP!G117+'KLP Skadeforsikring AS'!G117+'Landkreditt Forsikring AS'!G117+'Nordea Liv '!G117+'Oslo Pensjonsforsikring'!G117+'Protector Forsikring'!G117+'Sparebank 1 Fors.'!G117+'Storebrand Livsforsikring'!G117+'Telenor Forsikring'!G117+'Tryg Forsikring'!G117+'WaterCircles F'!G117+'Euro Accident'!G117+'Ly Forsikring'!G117+'Youplus Livsforsikring'!G117+'Oslo Forsikring'!G117+'Knif Trygghet Forsikring'!G117</f>
        <v>13531594.28882</v>
      </c>
      <c r="G117" s="123">
        <f t="shared" si="22"/>
        <v>20.8</v>
      </c>
      <c r="H117" s="184">
        <f t="shared" si="37"/>
        <v>11197390.0682</v>
      </c>
      <c r="I117" s="184">
        <f t="shared" si="38"/>
        <v>13531594.28882</v>
      </c>
      <c r="J117" s="20">
        <f t="shared" si="39"/>
        <v>20.8</v>
      </c>
    </row>
    <row r="118" spans="1:10" ht="15.75" customHeight="1" x14ac:dyDescent="0.25">
      <c r="A118" s="18" t="s">
        <v>211</v>
      </c>
      <c r="B118" s="181"/>
      <c r="C118" s="181">
        <f>Fremtind!C118+'DNB Livsforsikring'!C118+'Frende Livsforsikring'!C118+'Frende Skadeforsikring'!C118+'Gjensidige Forsikring'!C118+'Gjensidige Pensjon'!C118+'If Skadeforsikring NUF'!C118+KLP!C118+'KLP Skadeforsikring AS'!C118+'Landkreditt Forsikring AS'!C118+'Nordea Liv '!C118+'Oslo Pensjonsforsikring'!C118+'Protector Forsikring'!C118+'Sparebank 1 Fors.'!C118+'Storebrand Livsforsikring'!C118+'Telenor Forsikring'!C118+'Tryg Forsikring'!C118+'WaterCircles F'!C118+'Euro Accident'!C118+'Ly Forsikring'!C118+'Youplus Livsforsikring'!C118+'Oslo Forsikring'!C118+'Knif Trygghet Forsikring'!C118</f>
        <v>165.32499999999999</v>
      </c>
      <c r="D118" s="20" t="str">
        <f t="shared" si="36"/>
        <v xml:space="preserve">    ---- </v>
      </c>
      <c r="E118" s="36"/>
      <c r="F118" s="36"/>
      <c r="G118" s="123"/>
      <c r="H118" s="184"/>
      <c r="I118" s="184">
        <f t="shared" si="38"/>
        <v>165.32499999999999</v>
      </c>
      <c r="J118" s="20" t="str">
        <f t="shared" si="39"/>
        <v xml:space="preserve">    ---- </v>
      </c>
    </row>
    <row r="119" spans="1:10" s="35" customFormat="1" ht="15.75" customHeight="1" x14ac:dyDescent="0.25">
      <c r="A119" s="10" t="s">
        <v>174</v>
      </c>
      <c r="B119" s="270">
        <f>Fremtind!B119+'DNB Livsforsikring'!B119+'Frende Livsforsikring'!B119+'Frende Skadeforsikring'!B119+'Gjensidige Forsikring'!B119+'Gjensidige Pensjon'!B119+'If Skadeforsikring NUF'!B119+KLP!B119+'KLP Skadeforsikring AS'!B119+'Landkreditt Forsikring AS'!B119+'Nordea Liv '!B119+'Oslo Pensjonsforsikring'!B119+'Protector Forsikring'!B119+'Sparebank 1 Fors.'!B119+'Storebrand Livsforsikring'!B119+'Telenor Forsikring'!B119+'Tryg Forsikring'!B119+'WaterCircles F'!B119+'Euro Accident'!B119+'Ly Forsikring'!B119+'Youplus Livsforsikring'!B119+'Oslo Forsikring'!B119+'Knif Trygghet Forsikring'!B119</f>
        <v>215315.51566</v>
      </c>
      <c r="C119" s="270">
        <f>Fremtind!C119+'DNB Livsforsikring'!C119+'Frende Livsforsikring'!C119+'Frende Skadeforsikring'!C119+'Gjensidige Forsikring'!C119+'Gjensidige Pensjon'!C119+'If Skadeforsikring NUF'!C119+KLP!C119+'KLP Skadeforsikring AS'!C119+'Landkreditt Forsikring AS'!C119+'Nordea Liv '!C119+'Oslo Pensjonsforsikring'!C119+'Protector Forsikring'!C119+'Sparebank 1 Fors.'!C119+'Storebrand Livsforsikring'!C119+'Telenor Forsikring'!C119+'Tryg Forsikring'!C119+'WaterCircles F'!C119+'Euro Accident'!C119+'Ly Forsikring'!C119+'Youplus Livsforsikring'!C119+'Oslo Forsikring'!C119+'Knif Trygghet Forsikring'!C119</f>
        <v>343318.17107999994</v>
      </c>
      <c r="D119" s="21">
        <f t="shared" si="36"/>
        <v>59.4</v>
      </c>
      <c r="E119" s="183">
        <f>Fremtind!F119+'DNB Livsforsikring'!F119+'Frende Livsforsikring'!F119+'Frende Skadeforsikring'!F119+'Gjensidige Forsikring'!F119+'Gjensidige Pensjon'!F119+'If Skadeforsikring NUF'!F119+KLP!F119+'KLP Skadeforsikring AS'!F119+'Landkreditt Forsikring AS'!F119+'Nordea Liv '!F119+'Oslo Pensjonsforsikring'!F119+'Protector Forsikring'!F119+'Sparebank 1 Fors.'!F119+'Storebrand Livsforsikring'!F119+'Telenor Forsikring'!F119+'Tryg Forsikring'!F119+'WaterCircles F'!F119+'Euro Accident'!F119+'Ly Forsikring'!F119+'Youplus Livsforsikring'!F119+'Oslo Forsikring'!F119+'Knif Trygghet Forsikring'!F119</f>
        <v>21023794.571490001</v>
      </c>
      <c r="F119" s="183">
        <f>Fremtind!G119+'DNB Livsforsikring'!G119+'Frende Livsforsikring'!G119+'Frende Skadeforsikring'!G119+'Gjensidige Forsikring'!G119+'Gjensidige Pensjon'!G119+'If Skadeforsikring NUF'!G119+KLP!G119+'KLP Skadeforsikring AS'!G119+'Landkreditt Forsikring AS'!G119+'Nordea Liv '!G119+'Oslo Pensjonsforsikring'!G119+'Protector Forsikring'!G119+'Sparebank 1 Fors.'!G119+'Storebrand Livsforsikring'!G119+'Telenor Forsikring'!G119+'Tryg Forsikring'!G119+'WaterCircles F'!G119+'Euro Accident'!G119+'Ly Forsikring'!G119+'Youplus Livsforsikring'!G119+'Oslo Forsikring'!G119+'Knif Trygghet Forsikring'!G119</f>
        <v>24959799.818119999</v>
      </c>
      <c r="G119" s="127">
        <f t="shared" si="22"/>
        <v>18.7</v>
      </c>
      <c r="H119" s="270">
        <f t="shared" si="37"/>
        <v>21239110.08715</v>
      </c>
      <c r="I119" s="270">
        <f t="shared" si="38"/>
        <v>25303117.9892</v>
      </c>
      <c r="J119" s="21">
        <f t="shared" si="39"/>
        <v>19.100000000000001</v>
      </c>
    </row>
    <row r="120" spans="1:10" ht="15.75" customHeight="1" x14ac:dyDescent="0.25">
      <c r="A120" s="18" t="s">
        <v>198</v>
      </c>
      <c r="B120" s="184">
        <f>Fremtind!B120+'DNB Livsforsikring'!B120+'Frende Livsforsikring'!B120+'Frende Skadeforsikring'!B120+'Gjensidige Forsikring'!B120+'Gjensidige Pensjon'!B120+'If Skadeforsikring NUF'!B120+KLP!B120+'KLP Skadeforsikring AS'!B120+'Landkreditt Forsikring AS'!B120+'Nordea Liv '!B120+'Oslo Pensjonsforsikring'!B120+'Protector Forsikring'!B120+'Sparebank 1 Fors.'!B120+'Storebrand Livsforsikring'!B120+'Telenor Forsikring'!B120+'Tryg Forsikring'!B120+'WaterCircles F'!B120+'Euro Accident'!B120+'Ly Forsikring'!B120+'Youplus Livsforsikring'!B120+'Oslo Forsikring'!B120+'Knif Trygghet Forsikring'!B120</f>
        <v>58174.167110000002</v>
      </c>
      <c r="C120" s="184">
        <f>Fremtind!C120+'DNB Livsforsikring'!C120+'Frende Livsforsikring'!C120+'Frende Skadeforsikring'!C120+'Gjensidige Forsikring'!C120+'Gjensidige Pensjon'!C120+'If Skadeforsikring NUF'!C120+KLP!C120+'KLP Skadeforsikring AS'!C120+'Landkreditt Forsikring AS'!C120+'Nordea Liv '!C120+'Oslo Pensjonsforsikring'!C120+'Protector Forsikring'!C120+'Sparebank 1 Fors.'!C120+'Storebrand Livsforsikring'!C120+'Telenor Forsikring'!C120+'Tryg Forsikring'!C120+'WaterCircles F'!C120+'Euro Accident'!C120+'Ly Forsikring'!C120+'Youplus Livsforsikring'!C120+'Oslo Forsikring'!C120+'Knif Trygghet Forsikring'!C120</f>
        <v>58652.946729999967</v>
      </c>
      <c r="D120" s="20">
        <f t="shared" si="36"/>
        <v>0.8</v>
      </c>
      <c r="E120" s="36"/>
      <c r="F120" s="36"/>
      <c r="G120" s="123"/>
      <c r="H120" s="184">
        <f t="shared" si="37"/>
        <v>58174.167110000002</v>
      </c>
      <c r="I120" s="184">
        <f t="shared" si="38"/>
        <v>58652.946729999967</v>
      </c>
      <c r="J120" s="20">
        <f t="shared" si="39"/>
        <v>0.8</v>
      </c>
    </row>
    <row r="121" spans="1:10" ht="15.75" customHeight="1" x14ac:dyDescent="0.25">
      <c r="A121" s="18" t="s">
        <v>199</v>
      </c>
      <c r="B121" s="184">
        <f>Fremtind!B121+'DNB Livsforsikring'!B121+'Frende Livsforsikring'!B121+'Frende Skadeforsikring'!B121+'Gjensidige Forsikring'!B121+'Gjensidige Pensjon'!B121+'If Skadeforsikring NUF'!B121+KLP!B121+'KLP Skadeforsikring AS'!B121+'Landkreditt Forsikring AS'!B121+'Nordea Liv '!B121+'Oslo Pensjonsforsikring'!B121+'Protector Forsikring'!B121+'Sparebank 1 Fors.'!B121+'Storebrand Livsforsikring'!B121+'Telenor Forsikring'!B121+'Tryg Forsikring'!B121+'WaterCircles F'!B121+'Euro Accident'!B121+'Ly Forsikring'!B121+'Youplus Livsforsikring'!B121+'Oslo Forsikring'!B121+'Knif Trygghet Forsikring'!B121</f>
        <v>3892.3750700000001</v>
      </c>
      <c r="C121" s="184">
        <f>Fremtind!C121+'DNB Livsforsikring'!C121+'Frende Livsforsikring'!C121+'Frende Skadeforsikring'!C121+'Gjensidige Forsikring'!C121+'Gjensidige Pensjon'!C121+'If Skadeforsikring NUF'!C121+KLP!C121+'KLP Skadeforsikring AS'!C121+'Landkreditt Forsikring AS'!C121+'Nordea Liv '!C121+'Oslo Pensjonsforsikring'!C121+'Protector Forsikring'!C121+'Sparebank 1 Fors.'!C121+'Storebrand Livsforsikring'!C121+'Telenor Forsikring'!C121+'Tryg Forsikring'!C121+'WaterCircles F'!C121+'Euro Accident'!C121+'Ly Forsikring'!C121+'Youplus Livsforsikring'!C121+'Oslo Forsikring'!C121+'Knif Trygghet Forsikring'!C121</f>
        <v>37338.012439999999</v>
      </c>
      <c r="D121" s="20">
        <f t="shared" si="36"/>
        <v>859.3</v>
      </c>
      <c r="E121" s="36">
        <f>Fremtind!F121+'DNB Livsforsikring'!F121+'Frende Livsforsikring'!F121+'Frende Skadeforsikring'!F121+'Gjensidige Forsikring'!F121+'Gjensidige Pensjon'!F121+'If Skadeforsikring NUF'!F121+KLP!F121+'KLP Skadeforsikring AS'!F121+'Landkreditt Forsikring AS'!F121+'Nordea Liv '!F121+'Oslo Pensjonsforsikring'!F121+'Protector Forsikring'!F121+'Sparebank 1 Fors.'!F121+'Storebrand Livsforsikring'!F121+'Telenor Forsikring'!F121+'Tryg Forsikring'!F121+'WaterCircles F'!F121+'Euro Accident'!F121+'Ly Forsikring'!F121+'Youplus Livsforsikring'!F121+'Oslo Forsikring'!F121+'Knif Trygghet Forsikring'!F121</f>
        <v>21023794.571490001</v>
      </c>
      <c r="F121" s="36">
        <f>Fremtind!G121+'DNB Livsforsikring'!G121+'Frende Livsforsikring'!G121+'Frende Skadeforsikring'!G121+'Gjensidige Forsikring'!G121+'Gjensidige Pensjon'!G121+'If Skadeforsikring NUF'!G121+KLP!G121+'KLP Skadeforsikring AS'!G121+'Landkreditt Forsikring AS'!G121+'Nordea Liv '!G121+'Oslo Pensjonsforsikring'!G121+'Protector Forsikring'!G121+'Sparebank 1 Fors.'!G121+'Storebrand Livsforsikring'!G121+'Telenor Forsikring'!G121+'Tryg Forsikring'!G121+'WaterCircles F'!G121+'Euro Accident'!G121+'Ly Forsikring'!G121+'Youplus Livsforsikring'!G121+'Oslo Forsikring'!G121+'Knif Trygghet Forsikring'!G121</f>
        <v>24959799.818119999</v>
      </c>
      <c r="G121" s="123">
        <f t="shared" si="22"/>
        <v>18.7</v>
      </c>
      <c r="H121" s="184">
        <f t="shared" si="37"/>
        <v>21027686.946559999</v>
      </c>
      <c r="I121" s="184">
        <f t="shared" si="38"/>
        <v>24997137.830559999</v>
      </c>
      <c r="J121" s="20">
        <f t="shared" si="39"/>
        <v>18.899999999999999</v>
      </c>
    </row>
    <row r="122" spans="1:10" ht="15.75" customHeight="1" x14ac:dyDescent="0.25">
      <c r="A122" s="18" t="s">
        <v>212</v>
      </c>
      <c r="B122" s="184">
        <f>Fremtind!B122+'DNB Livsforsikring'!B122+'Frende Livsforsikring'!B122+'Frende Skadeforsikring'!B122+'Gjensidige Forsikring'!B122+'Gjensidige Pensjon'!B122+'If Skadeforsikring NUF'!B122+KLP!B122+'KLP Skadeforsikring AS'!B122+'Landkreditt Forsikring AS'!B122+'Nordea Liv '!B122+'Oslo Pensjonsforsikring'!B122+'Protector Forsikring'!B122+'Sparebank 1 Fors.'!B122+'Storebrand Livsforsikring'!B122+'Telenor Forsikring'!B122+'Tryg Forsikring'!B122+'WaterCircles F'!B122+'Euro Accident'!B122+'Ly Forsikring'!B122+'Youplus Livsforsikring'!B122+'Oslo Forsikring'!B122+'Knif Trygghet Forsikring'!B122</f>
        <v>153248.97348000002</v>
      </c>
      <c r="C122" s="184">
        <f>Fremtind!C122+'DNB Livsforsikring'!C122+'Frende Livsforsikring'!C122+'Frende Skadeforsikring'!C122+'Gjensidige Forsikring'!C122+'Gjensidige Pensjon'!C122+'If Skadeforsikring NUF'!C122+KLP!C122+'KLP Skadeforsikring AS'!C122+'Landkreditt Forsikring AS'!C122+'Nordea Liv '!C122+'Oslo Pensjonsforsikring'!C122+'Protector Forsikring'!C122+'Sparebank 1 Fors.'!C122+'Storebrand Livsforsikring'!C122+'Telenor Forsikring'!C122+'Tryg Forsikring'!C122+'WaterCircles F'!C122+'Euro Accident'!C122+'Ly Forsikring'!C122+'Youplus Livsforsikring'!C122+'Oslo Forsikring'!C122+'Knif Trygghet Forsikring'!C122</f>
        <v>247327.21191000001</v>
      </c>
      <c r="D122" s="20">
        <f t="shared" si="36"/>
        <v>61.4</v>
      </c>
      <c r="E122" s="36"/>
      <c r="F122" s="36"/>
      <c r="G122" s="123"/>
      <c r="H122" s="184">
        <f t="shared" si="37"/>
        <v>153248.97348000002</v>
      </c>
      <c r="I122" s="184">
        <f t="shared" si="38"/>
        <v>247327.21191000001</v>
      </c>
      <c r="J122" s="20">
        <f t="shared" si="39"/>
        <v>61.4</v>
      </c>
    </row>
    <row r="123" spans="1:10" ht="15.75" customHeight="1" x14ac:dyDescent="0.25">
      <c r="A123" s="555" t="s">
        <v>215</v>
      </c>
      <c r="B123" s="36"/>
      <c r="C123" s="36"/>
      <c r="D123" s="23"/>
      <c r="E123" s="36"/>
      <c r="F123" s="36"/>
      <c r="G123" s="123"/>
      <c r="H123" s="184"/>
      <c r="I123" s="184"/>
      <c r="J123" s="20"/>
    </row>
    <row r="124" spans="1:10" ht="15.75" customHeight="1" x14ac:dyDescent="0.25">
      <c r="A124" s="18" t="s">
        <v>209</v>
      </c>
      <c r="B124" s="184">
        <f>Fremtind!B124+'DNB Livsforsikring'!B124+'Frende Livsforsikring'!B124+'Frende Skadeforsikring'!B124+'Gjensidige Forsikring'!B124+'Gjensidige Pensjon'!B124+'If Skadeforsikring NUF'!B124+KLP!B124+'KLP Skadeforsikring AS'!B124+'Landkreditt Forsikring AS'!B124+'Nordea Liv '!B124+'Oslo Pensjonsforsikring'!B124+'Protector Forsikring'!B124+'Sparebank 1 Fors.'!B124+'Storebrand Livsforsikring'!B124+'Telenor Forsikring'!B124+'Tryg Forsikring'!B124+'WaterCircles F'!B124+'Euro Accident'!B124+'Ly Forsikring'!B124+'Youplus Livsforsikring'!B124+'Oslo Forsikring'!B124+'Knif Trygghet Forsikring'!B124</f>
        <v>14051.918</v>
      </c>
      <c r="C124" s="184">
        <f>Fremtind!C124+'DNB Livsforsikring'!C124+'Frende Livsforsikring'!C124+'Frende Skadeforsikring'!C124+'Gjensidige Forsikring'!C124+'Gjensidige Pensjon'!C124+'If Skadeforsikring NUF'!C124+KLP!C124+'KLP Skadeforsikring AS'!C124+'Landkreditt Forsikring AS'!C124+'Nordea Liv '!C124+'Oslo Pensjonsforsikring'!C124+'Protector Forsikring'!C124+'Sparebank 1 Fors.'!C124+'Storebrand Livsforsikring'!C124+'Telenor Forsikring'!C124+'Tryg Forsikring'!C124+'WaterCircles F'!C124+'Euro Accident'!C124+'Ly Forsikring'!C124+'Youplus Livsforsikring'!C124+'Oslo Forsikring'!C124+'Knif Trygghet Forsikring'!C124</f>
        <v>3423.9009999999998</v>
      </c>
      <c r="D124" s="20">
        <f t="shared" si="36"/>
        <v>-75.599999999999994</v>
      </c>
      <c r="E124" s="36">
        <f>Fremtind!F124+'DNB Livsforsikring'!F124+'Frende Livsforsikring'!F124+'Frende Skadeforsikring'!F124+'Gjensidige Forsikring'!F124+'Gjensidige Pensjon'!F124+'If Skadeforsikring NUF'!F124+KLP!F124+'KLP Skadeforsikring AS'!F124+'Landkreditt Forsikring AS'!F124+'Nordea Liv '!F124+'Oslo Pensjonsforsikring'!F124+'Protector Forsikring'!F124+'Sparebank 1 Fors.'!F124+'Storebrand Livsforsikring'!F124+'Telenor Forsikring'!F124+'Tryg Forsikring'!F124+'WaterCircles F'!F124+'Euro Accident'!F124+'Ly Forsikring'!F124+'Youplus Livsforsikring'!F124+'Oslo Forsikring'!F124+'Knif Trygghet Forsikring'!F124</f>
        <v>17578.107</v>
      </c>
      <c r="F124" s="36">
        <f>Fremtind!G124+'DNB Livsforsikring'!G124+'Frende Livsforsikring'!G124+'Frende Skadeforsikring'!G124+'Gjensidige Forsikring'!G124+'Gjensidige Pensjon'!G124+'If Skadeforsikring NUF'!G124+KLP!G124+'KLP Skadeforsikring AS'!G124+'Landkreditt Forsikring AS'!G124+'Nordea Liv '!G124+'Oslo Pensjonsforsikring'!G124+'Protector Forsikring'!G124+'Sparebank 1 Fors.'!G124+'Storebrand Livsforsikring'!G124+'Telenor Forsikring'!G124+'Tryg Forsikring'!G124+'WaterCircles F'!G124+'Euro Accident'!G124+'Ly Forsikring'!G124+'Youplus Livsforsikring'!G124+'Oslo Forsikring'!G124+'Knif Trygghet Forsikring'!G124</f>
        <v>17250.649000000001</v>
      </c>
      <c r="G124" s="123">
        <f t="shared" si="22"/>
        <v>-1.9</v>
      </c>
      <c r="H124" s="184">
        <f t="shared" si="37"/>
        <v>31630.025000000001</v>
      </c>
      <c r="I124" s="184">
        <f t="shared" si="38"/>
        <v>20674.550000000003</v>
      </c>
      <c r="J124" s="20">
        <f t="shared" si="39"/>
        <v>-34.6</v>
      </c>
    </row>
    <row r="125" spans="1:10" ht="15.75" customHeight="1" x14ac:dyDescent="0.25">
      <c r="A125" s="18" t="s">
        <v>210</v>
      </c>
      <c r="B125" s="184">
        <f>Fremtind!B125+'DNB Livsforsikring'!B125+'Frende Livsforsikring'!B125+'Frende Skadeforsikring'!B125+'Gjensidige Forsikring'!B125+'Gjensidige Pensjon'!B125+'If Skadeforsikring NUF'!B125+KLP!B125+'KLP Skadeforsikring AS'!B125+'Landkreditt Forsikring AS'!B125+'Nordea Liv '!B125+'Oslo Pensjonsforsikring'!B125+'Protector Forsikring'!B125+'Sparebank 1 Fors.'!B125+'Storebrand Livsforsikring'!B125+'Telenor Forsikring'!B125+'Tryg Forsikring'!B125+'WaterCircles F'!B125+'Euro Accident'!B125+'Ly Forsikring'!B125+'Youplus Livsforsikring'!B125+'Oslo Forsikring'!B125+'Knif Trygghet Forsikring'!B125</f>
        <v>948.16627000000005</v>
      </c>
      <c r="C125" s="184">
        <f>Fremtind!C125+'DNB Livsforsikring'!C125+'Frende Livsforsikring'!C125+'Frende Skadeforsikring'!C125+'Gjensidige Forsikring'!C125+'Gjensidige Pensjon'!C125+'If Skadeforsikring NUF'!C125+KLP!C125+'KLP Skadeforsikring AS'!C125+'Landkreditt Forsikring AS'!C125+'Nordea Liv '!C125+'Oslo Pensjonsforsikring'!C125+'Protector Forsikring'!C125+'Sparebank 1 Fors.'!C125+'Storebrand Livsforsikring'!C125+'Telenor Forsikring'!C125+'Tryg Forsikring'!C125+'WaterCircles F'!C125+'Euro Accident'!C125+'Ly Forsikring'!C125+'Youplus Livsforsikring'!C125+'Oslo Forsikring'!C125+'Knif Trygghet Forsikring'!C125</f>
        <v>333.36658</v>
      </c>
      <c r="D125" s="20">
        <f t="shared" si="36"/>
        <v>-64.8</v>
      </c>
      <c r="E125" s="36">
        <f>Fremtind!F125+'DNB Livsforsikring'!F125+'Frende Livsforsikring'!F125+'Frende Skadeforsikring'!F125+'Gjensidige Forsikring'!F125+'Gjensidige Pensjon'!F125+'If Skadeforsikring NUF'!F125+KLP!F125+'KLP Skadeforsikring AS'!F125+'Landkreditt Forsikring AS'!F125+'Nordea Liv '!F125+'Oslo Pensjonsforsikring'!F125+'Protector Forsikring'!F125+'Sparebank 1 Fors.'!F125+'Storebrand Livsforsikring'!F125+'Telenor Forsikring'!F125+'Tryg Forsikring'!F125+'WaterCircles F'!F125+'Euro Accident'!F125+'Ly Forsikring'!F125+'Youplus Livsforsikring'!F125+'Oslo Forsikring'!F125+'Knif Trygghet Forsikring'!F125</f>
        <v>11185465.604189999</v>
      </c>
      <c r="F125" s="36">
        <f>Fremtind!G125+'DNB Livsforsikring'!G125+'Frende Livsforsikring'!G125+'Frende Skadeforsikring'!G125+'Gjensidige Forsikring'!G125+'Gjensidige Pensjon'!G125+'If Skadeforsikring NUF'!G125+KLP!G125+'KLP Skadeforsikring AS'!G125+'Landkreditt Forsikring AS'!G125+'Nordea Liv '!G125+'Oslo Pensjonsforsikring'!G125+'Protector Forsikring'!G125+'Sparebank 1 Fors.'!G125+'Storebrand Livsforsikring'!G125+'Telenor Forsikring'!G125+'Tryg Forsikring'!G125+'WaterCircles F'!G125+'Euro Accident'!G125+'Ly Forsikring'!G125+'Youplus Livsforsikring'!G125+'Oslo Forsikring'!G125+'Knif Trygghet Forsikring'!G125</f>
        <v>12032861.37679</v>
      </c>
      <c r="G125" s="123">
        <f t="shared" si="22"/>
        <v>7.6</v>
      </c>
      <c r="H125" s="184">
        <f t="shared" si="37"/>
        <v>11186413.77046</v>
      </c>
      <c r="I125" s="184">
        <f t="shared" si="38"/>
        <v>12033194.74337</v>
      </c>
      <c r="J125" s="20">
        <f t="shared" si="39"/>
        <v>7.6</v>
      </c>
    </row>
    <row r="126" spans="1:10" ht="15.75" customHeight="1" x14ac:dyDescent="0.25">
      <c r="A126" s="7" t="s">
        <v>211</v>
      </c>
      <c r="B126" s="185"/>
      <c r="C126" s="185"/>
      <c r="D126" s="19"/>
      <c r="E126" s="37"/>
      <c r="F126" s="37"/>
      <c r="G126" s="124"/>
      <c r="H126" s="185"/>
      <c r="I126" s="186"/>
      <c r="J126" s="19"/>
    </row>
    <row r="127" spans="1:10" ht="15.75" customHeight="1" x14ac:dyDescent="0.25">
      <c r="A127" s="115"/>
    </row>
    <row r="128" spans="1:10" ht="15.75" customHeight="1" x14ac:dyDescent="0.25">
      <c r="A128" s="22"/>
    </row>
    <row r="129" spans="1:10" ht="15.75" customHeight="1" x14ac:dyDescent="0.3">
      <c r="A129" s="110" t="s">
        <v>216</v>
      </c>
    </row>
    <row r="130" spans="1:10" ht="15.75" customHeight="1" x14ac:dyDescent="0.3">
      <c r="A130" s="22"/>
      <c r="B130" s="589"/>
      <c r="C130" s="589"/>
      <c r="D130" s="589"/>
      <c r="E130" s="589"/>
      <c r="F130" s="589"/>
      <c r="G130" s="589"/>
      <c r="H130" s="589"/>
      <c r="I130" s="589"/>
      <c r="J130" s="589"/>
    </row>
    <row r="131" spans="1:10" ht="20.100000000000001" customHeight="1" x14ac:dyDescent="0.25">
      <c r="A131" s="108"/>
      <c r="B131" s="586" t="s">
        <v>46</v>
      </c>
      <c r="C131" s="587"/>
      <c r="D131" s="588"/>
      <c r="E131" s="587" t="s">
        <v>69</v>
      </c>
      <c r="F131" s="587"/>
      <c r="G131" s="587"/>
      <c r="H131" s="586" t="s">
        <v>120</v>
      </c>
      <c r="I131" s="587"/>
      <c r="J131" s="588"/>
    </row>
    <row r="132" spans="1:10" ht="15.75" customHeight="1" x14ac:dyDescent="0.25">
      <c r="A132" s="105"/>
      <c r="B132" s="200" t="s">
        <v>418</v>
      </c>
      <c r="C132" s="200" t="s">
        <v>419</v>
      </c>
      <c r="D132" s="16" t="s">
        <v>167</v>
      </c>
      <c r="E132" s="200" t="s">
        <v>418</v>
      </c>
      <c r="F132" s="200" t="s">
        <v>419</v>
      </c>
      <c r="G132" s="16" t="s">
        <v>167</v>
      </c>
      <c r="H132" s="200" t="s">
        <v>418</v>
      </c>
      <c r="I132" s="200" t="s">
        <v>419</v>
      </c>
      <c r="J132" s="16" t="s">
        <v>167</v>
      </c>
    </row>
    <row r="133" spans="1:10" ht="15.75" customHeight="1" x14ac:dyDescent="0.25">
      <c r="A133" s="557"/>
      <c r="B133" s="12"/>
      <c r="C133" s="12"/>
      <c r="D133" s="14" t="s">
        <v>168</v>
      </c>
      <c r="E133" s="13"/>
      <c r="F133" s="13"/>
      <c r="G133" s="12" t="s">
        <v>168</v>
      </c>
      <c r="H133" s="13"/>
      <c r="I133" s="13"/>
      <c r="J133" s="12" t="s">
        <v>168</v>
      </c>
    </row>
    <row r="134" spans="1:10" s="35" customFormat="1" ht="15.75" customHeight="1" x14ac:dyDescent="0.25">
      <c r="A134" s="11" t="s">
        <v>217</v>
      </c>
      <c r="B134" s="183">
        <f>Fremtind!B134+'DNB Livsforsikring'!B134+'Frende Livsforsikring'!B134+'Frende Skadeforsikring'!B134+'Gjensidige Forsikring'!B134+'Gjensidige Pensjon'!B134+'If Skadeforsikring NUF'!B134+KLP!B134+'KLP Skadeforsikring AS'!B134+'Landkreditt Forsikring AS'!B134+'Nordea Liv '!B134+'Oslo Pensjonsforsikring'!B134+'Protector Forsikring'!B134+'Sparebank 1 Fors.'!B134+'Storebrand Livsforsikring'!B134+'Telenor Forsikring'!B134+'Tryg Forsikring'!B134+'WaterCircles F'!B134+'Euro Accident'!B134+'Ly Forsikring'!B134+'Youplus Livsforsikring'!B134+'Oslo Forsikring'!B134+'Knif Trygghet Forsikring'!B134</f>
        <v>9379924.6689600013</v>
      </c>
      <c r="C134" s="183">
        <f>Fremtind!C134+'DNB Livsforsikring'!C134+'Frende Livsforsikring'!C134+'Frende Skadeforsikring'!C134+'Gjensidige Forsikring'!C134+'Gjensidige Pensjon'!C134+'If Skadeforsikring NUF'!C134+KLP!C134+'KLP Skadeforsikring AS'!C134+'Landkreditt Forsikring AS'!C134+'Nordea Liv '!C134+'Oslo Pensjonsforsikring'!C134+'Protector Forsikring'!C134+'Sparebank 1 Fors.'!C134+'Storebrand Livsforsikring'!C134+'Telenor Forsikring'!C134+'Tryg Forsikring'!C134+'WaterCircles F'!C134+'Euro Accident'!C134+'Ly Forsikring'!C134+'Youplus Livsforsikring'!C134+'Oslo Forsikring'!C134+'Knif Trygghet Forsikring'!C134</f>
        <v>9894732.5936399996</v>
      </c>
      <c r="D134" s="8">
        <f t="shared" ref="D134:D137" si="40">IF(B134=0, "    ---- ", IF(ABS(ROUND(100/B134*C134-100,1))&lt;999,ROUND(100/B134*C134-100,1),IF(ROUND(100/B134*C134-100,1)&gt;999,999,-999)))</f>
        <v>5.5</v>
      </c>
      <c r="E134" s="183">
        <f>Fremtind!F134+'DNB Livsforsikring'!F134+'Frende Livsforsikring'!F134+'Frende Skadeforsikring'!F134+'Gjensidige Forsikring'!F134+'Gjensidige Pensjon'!F134+'If Skadeforsikring NUF'!F134+KLP!F134+'KLP Skadeforsikring AS'!F134+'Landkreditt Forsikring AS'!F134+'Nordea Liv '!F134+'Oslo Pensjonsforsikring'!F134+'Protector Forsikring'!F134+'Sparebank 1 Fors.'!F134+'Storebrand Livsforsikring'!F134+'Telenor Forsikring'!F134+'Tryg Forsikring'!F134+'WaterCircles F'!F134+'Euro Accident'!F134+'Ly Forsikring'!F134+'Youplus Livsforsikring'!F134+'Oslo Forsikring'!F134+'Knif Trygghet Forsikring'!F134</f>
        <v>20929.275000000001</v>
      </c>
      <c r="F134" s="183">
        <f>Fremtind!G134+'DNB Livsforsikring'!G134+'Frende Livsforsikring'!G134+'Frende Skadeforsikring'!G134+'Gjensidige Forsikring'!G134+'Gjensidige Pensjon'!G134+'If Skadeforsikring NUF'!G134+KLP!G134+'KLP Skadeforsikring AS'!G134+'Landkreditt Forsikring AS'!G134+'Nordea Liv '!G134+'Oslo Pensjonsforsikring'!G134+'Protector Forsikring'!G134+'Sparebank 1 Fors.'!G134+'Storebrand Livsforsikring'!G134+'Telenor Forsikring'!G134+'Tryg Forsikring'!G134+'WaterCircles F'!G134+'Euro Accident'!G134+'Ly Forsikring'!G134+'Youplus Livsforsikring'!G134+'Oslo Forsikring'!G134+'Knif Trygghet Forsikring'!G134</f>
        <v>30212.771000000001</v>
      </c>
      <c r="G134" s="8">
        <f t="shared" ref="G134:G136" si="41">IF(E134=0, "    ---- ", IF(ABS(ROUND(100/E134*F134-100,1))&lt;999,ROUND(100/E134*F134-100,1),IF(ROUND(100/E134*F134-100,1)&gt;999,999,-999)))</f>
        <v>44.4</v>
      </c>
      <c r="H134" s="183">
        <f t="shared" ref="H134:I137" si="42">SUM(B134,E134)</f>
        <v>9400853.9439600017</v>
      </c>
      <c r="I134" s="183">
        <f t="shared" si="42"/>
        <v>9924945.3646399993</v>
      </c>
      <c r="J134" s="8">
        <f t="shared" ref="J134:J137" si="43">IF(H134=0, "    ---- ", IF(ABS(ROUND(100/H134*I134-100,1))&lt;999,ROUND(100/H134*I134-100,1),IF(ROUND(100/H134*I134-100,1)&gt;999,999,-999)))</f>
        <v>5.6</v>
      </c>
    </row>
    <row r="135" spans="1:10" s="35" customFormat="1" ht="15.75" customHeight="1" x14ac:dyDescent="0.25">
      <c r="A135" s="10" t="s">
        <v>218</v>
      </c>
      <c r="B135" s="183">
        <f>Fremtind!B135+'DNB Livsforsikring'!B135+'Frende Livsforsikring'!B135+'Frende Skadeforsikring'!B135+'Gjensidige Forsikring'!B135+'Gjensidige Pensjon'!B135+'If Skadeforsikring NUF'!B135+KLP!B135+'KLP Skadeforsikring AS'!B135+'Landkreditt Forsikring AS'!B135+'Nordea Liv '!B135+'Oslo Pensjonsforsikring'!B135+'Protector Forsikring'!B135+'Sparebank 1 Fors.'!B135+'Storebrand Livsforsikring'!B135+'Telenor Forsikring'!B135+'Tryg Forsikring'!B135+'WaterCircles F'!B135+'Euro Accident'!B135+'Ly Forsikring'!B135+'Youplus Livsforsikring'!B135+'Oslo Forsikring'!B135+'Knif Trygghet Forsikring'!B135</f>
        <v>920369575.27947998</v>
      </c>
      <c r="C135" s="183">
        <f>Fremtind!C135+'DNB Livsforsikring'!C135+'Frende Livsforsikring'!C135+'Frende Skadeforsikring'!C135+'Gjensidige Forsikring'!C135+'Gjensidige Pensjon'!C135+'If Skadeforsikring NUF'!C135+KLP!C135+'KLP Skadeforsikring AS'!C135+'Landkreditt Forsikring AS'!C135+'Nordea Liv '!C135+'Oslo Pensjonsforsikring'!C135+'Protector Forsikring'!C135+'Sparebank 1 Fors.'!C135+'Storebrand Livsforsikring'!C135+'Telenor Forsikring'!C135+'Tryg Forsikring'!C135+'WaterCircles F'!C135+'Euro Accident'!C135+'Ly Forsikring'!C135+'Youplus Livsforsikring'!C135+'Oslo Forsikring'!C135+'Knif Trygghet Forsikring'!C135</f>
        <v>1011167882.8414201</v>
      </c>
      <c r="D135" s="8">
        <f t="shared" si="40"/>
        <v>9.9</v>
      </c>
      <c r="E135" s="183">
        <f>Fremtind!F135+'DNB Livsforsikring'!F135+'Frende Livsforsikring'!F135+'Frende Skadeforsikring'!F135+'Gjensidige Forsikring'!F135+'Gjensidige Pensjon'!F135+'If Skadeforsikring NUF'!F135+KLP!F135+'KLP Skadeforsikring AS'!F135+'Landkreditt Forsikring AS'!F135+'Nordea Liv '!F135+'Oslo Pensjonsforsikring'!F135+'Protector Forsikring'!F135+'Sparebank 1 Fors.'!F135+'Storebrand Livsforsikring'!F135+'Telenor Forsikring'!F135+'Tryg Forsikring'!F135+'WaterCircles F'!F135+'Euro Accident'!F135+'Ly Forsikring'!F135+'Youplus Livsforsikring'!F135+'Oslo Forsikring'!F135+'Knif Trygghet Forsikring'!F135</f>
        <v>2888738.0707899998</v>
      </c>
      <c r="F135" s="183">
        <f>Fremtind!G135+'DNB Livsforsikring'!G135+'Frende Livsforsikring'!G135+'Frende Skadeforsikring'!G135+'Gjensidige Forsikring'!G135+'Gjensidige Pensjon'!G135+'If Skadeforsikring NUF'!G135+KLP!G135+'KLP Skadeforsikring AS'!G135+'Landkreditt Forsikring AS'!G135+'Nordea Liv '!G135+'Oslo Pensjonsforsikring'!G135+'Protector Forsikring'!G135+'Sparebank 1 Fors.'!G135+'Storebrand Livsforsikring'!G135+'Telenor Forsikring'!G135+'Tryg Forsikring'!G135+'WaterCircles F'!G135+'Euro Accident'!G135+'Ly Forsikring'!G135+'Youplus Livsforsikring'!G135+'Oslo Forsikring'!G135+'Knif Trygghet Forsikring'!G135</f>
        <v>2410575.5415099999</v>
      </c>
      <c r="G135" s="8">
        <f t="shared" si="41"/>
        <v>-16.600000000000001</v>
      </c>
      <c r="H135" s="183">
        <f t="shared" si="42"/>
        <v>923258313.35027003</v>
      </c>
      <c r="I135" s="183">
        <f t="shared" si="42"/>
        <v>1013578458.38293</v>
      </c>
      <c r="J135" s="8">
        <f t="shared" si="43"/>
        <v>9.8000000000000007</v>
      </c>
    </row>
    <row r="136" spans="1:10" s="35" customFormat="1" ht="15.75" customHeight="1" x14ac:dyDescent="0.25">
      <c r="A136" s="10" t="s">
        <v>219</v>
      </c>
      <c r="B136" s="183">
        <f>Fremtind!B136+'DNB Livsforsikring'!B136+'Frende Livsforsikring'!B136+'Frende Skadeforsikring'!B136+'Gjensidige Forsikring'!B136+'Gjensidige Pensjon'!B136+'If Skadeforsikring NUF'!B136+KLP!B136+'KLP Skadeforsikring AS'!B136+'Landkreditt Forsikring AS'!B136+'Nordea Liv '!B136+'Oslo Pensjonsforsikring'!B136+'Protector Forsikring'!B136+'Sparebank 1 Fors.'!B136+'Storebrand Livsforsikring'!B136+'Telenor Forsikring'!B136+'Tryg Forsikring'!B136+'WaterCircles F'!B136+'Euro Accident'!B136+'Ly Forsikring'!B136+'Youplus Livsforsikring'!B136+'Oslo Forsikring'!B136+'Knif Trygghet Forsikring'!B136</f>
        <v>3241225.6810000003</v>
      </c>
      <c r="C136" s="183">
        <f>Fremtind!C136+'DNB Livsforsikring'!C136+'Frende Livsforsikring'!C136+'Frende Skadeforsikring'!C136+'Gjensidige Forsikring'!C136+'Gjensidige Pensjon'!C136+'If Skadeforsikring NUF'!C136+KLP!C136+'KLP Skadeforsikring AS'!C136+'Landkreditt Forsikring AS'!C136+'Nordea Liv '!C136+'Oslo Pensjonsforsikring'!C136+'Protector Forsikring'!C136+'Sparebank 1 Fors.'!C136+'Storebrand Livsforsikring'!C136+'Telenor Forsikring'!C136+'Tryg Forsikring'!C136+'WaterCircles F'!C136+'Euro Accident'!C136+'Ly Forsikring'!C136+'Youplus Livsforsikring'!C136+'Oslo Forsikring'!C136+'Knif Trygghet Forsikring'!C136</f>
        <v>3412565.5005900003</v>
      </c>
      <c r="D136" s="8">
        <f t="shared" si="40"/>
        <v>5.3</v>
      </c>
      <c r="E136" s="183"/>
      <c r="F136" s="183">
        <f>Fremtind!G136+'DNB Livsforsikring'!G136+'Frende Livsforsikring'!G136+'Frende Skadeforsikring'!G136+'Gjensidige Forsikring'!G136+'Gjensidige Pensjon'!G136+'If Skadeforsikring NUF'!G136+KLP!G136+'KLP Skadeforsikring AS'!G136+'Landkreditt Forsikring AS'!G136+'Nordea Liv '!G136+'Oslo Pensjonsforsikring'!G136+'Protector Forsikring'!G136+'Sparebank 1 Fors.'!G136+'Storebrand Livsforsikring'!G136+'Telenor Forsikring'!G136+'Tryg Forsikring'!G136+'WaterCircles F'!G136+'Euro Accident'!G136+'Ly Forsikring'!G136+'Youplus Livsforsikring'!G136+'Oslo Forsikring'!G136+'Knif Trygghet Forsikring'!G136</f>
        <v>-516456.22738</v>
      </c>
      <c r="G136" s="8" t="str">
        <f t="shared" si="41"/>
        <v xml:space="preserve">    ---- </v>
      </c>
      <c r="H136" s="183">
        <f t="shared" si="42"/>
        <v>3241225.6810000003</v>
      </c>
      <c r="I136" s="183">
        <f t="shared" si="42"/>
        <v>2896109.2732100002</v>
      </c>
      <c r="J136" s="8">
        <f t="shared" si="43"/>
        <v>-10.6</v>
      </c>
    </row>
    <row r="137" spans="1:10" s="35" customFormat="1" ht="15.75" customHeight="1" x14ac:dyDescent="0.25">
      <c r="A137" s="33" t="s">
        <v>220</v>
      </c>
      <c r="B137" s="223">
        <f>Fremtind!B137+'DNB Livsforsikring'!B137+'Frende Livsforsikring'!B137+'Frende Skadeforsikring'!B137+'Gjensidige Forsikring'!B137+'Gjensidige Pensjon'!B137+'If Skadeforsikring NUF'!B137+KLP!B137+'KLP Skadeforsikring AS'!B137+'Landkreditt Forsikring AS'!B137+'Nordea Liv '!B137+'Oslo Pensjonsforsikring'!B137+'Protector Forsikring'!B137+'Sparebank 1 Fors.'!B137+'Storebrand Livsforsikring'!B137+'Telenor Forsikring'!B137+'Tryg Forsikring'!B137+'WaterCircles F'!B137+'Euro Accident'!B137+'Ly Forsikring'!B137+'Youplus Livsforsikring'!B137+'Oslo Forsikring'!B137+'Knif Trygghet Forsikring'!B137</f>
        <v>4289073.5640000002</v>
      </c>
      <c r="C137" s="223">
        <f>Fremtind!C137+'DNB Livsforsikring'!C137+'Frende Livsforsikring'!C137+'Frende Skadeforsikring'!C137+'Gjensidige Forsikring'!C137+'Gjensidige Pensjon'!C137+'If Skadeforsikring NUF'!C137+KLP!C137+'KLP Skadeforsikring AS'!C137+'Landkreditt Forsikring AS'!C137+'Nordea Liv '!C137+'Oslo Pensjonsforsikring'!C137+'Protector Forsikring'!C137+'Sparebank 1 Fors.'!C137+'Storebrand Livsforsikring'!C137+'Telenor Forsikring'!C137+'Tryg Forsikring'!C137+'WaterCircles F'!C137+'Euro Accident'!C137+'Ly Forsikring'!C137+'Youplus Livsforsikring'!C137+'Oslo Forsikring'!C137+'Knif Trygghet Forsikring'!C137</f>
        <v>891012.81200000003</v>
      </c>
      <c r="D137" s="6">
        <f t="shared" si="40"/>
        <v>-79.2</v>
      </c>
      <c r="E137" s="223"/>
      <c r="F137" s="223"/>
      <c r="G137" s="6"/>
      <c r="H137" s="223">
        <f t="shared" si="42"/>
        <v>4289073.5640000002</v>
      </c>
      <c r="I137" s="223">
        <f t="shared" si="42"/>
        <v>891012.81200000003</v>
      </c>
      <c r="J137" s="6">
        <f t="shared" si="43"/>
        <v>-79.2</v>
      </c>
    </row>
    <row r="138" spans="1:10" ht="15.75" customHeight="1" x14ac:dyDescent="0.25">
      <c r="A138" s="5"/>
      <c r="G138" s="4"/>
      <c r="J138" s="4"/>
    </row>
    <row r="139" spans="1:10" ht="15.75" customHeight="1" x14ac:dyDescent="0.25"/>
    <row r="140" spans="1:10" ht="15.75" customHeight="1" x14ac:dyDescent="0.25"/>
    <row r="141" spans="1:10" ht="15.75" customHeight="1" x14ac:dyDescent="0.25"/>
    <row r="142" spans="1:10" ht="15.75" customHeight="1" x14ac:dyDescent="0.25"/>
    <row r="143" spans="1:10" ht="15.75" customHeight="1" x14ac:dyDescent="0.25"/>
    <row r="144" spans="1:10"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sheetData>
  <mergeCells count="27">
    <mergeCell ref="B63:D63"/>
    <mergeCell ref="E63:G63"/>
    <mergeCell ref="H63:J63"/>
    <mergeCell ref="B19:D19"/>
    <mergeCell ref="E19:G19"/>
    <mergeCell ref="H19:J19"/>
    <mergeCell ref="B62:D62"/>
    <mergeCell ref="E62:G62"/>
    <mergeCell ref="H62:J62"/>
    <mergeCell ref="B42:D42"/>
    <mergeCell ref="E42:G42"/>
    <mergeCell ref="H42:J42"/>
    <mergeCell ref="B18:D18"/>
    <mergeCell ref="E18:G18"/>
    <mergeCell ref="H18:J18"/>
    <mergeCell ref="B2:D2"/>
    <mergeCell ref="E2:G2"/>
    <mergeCell ref="H2:J2"/>
    <mergeCell ref="B4:D4"/>
    <mergeCell ref="E4:G4"/>
    <mergeCell ref="H4:J4"/>
    <mergeCell ref="B131:D131"/>
    <mergeCell ref="E131:G131"/>
    <mergeCell ref="H131:J131"/>
    <mergeCell ref="B130:D130"/>
    <mergeCell ref="E130:G130"/>
    <mergeCell ref="H130:J130"/>
  </mergeCells>
  <conditionalFormatting sqref="A50:A52">
    <cfRule type="expression" dxfId="488" priority="64">
      <formula>kvartal &lt; 4</formula>
    </cfRule>
  </conditionalFormatting>
  <conditionalFormatting sqref="A69:A74">
    <cfRule type="expression" dxfId="487" priority="62">
      <formula>kvartal &lt; 4</formula>
    </cfRule>
  </conditionalFormatting>
  <conditionalFormatting sqref="A80:A85">
    <cfRule type="expression" dxfId="486" priority="61">
      <formula>kvartal &lt; 4</formula>
    </cfRule>
  </conditionalFormatting>
  <conditionalFormatting sqref="A90:A95">
    <cfRule type="expression" dxfId="485" priority="58">
      <formula>kvartal &lt; 4</formula>
    </cfRule>
  </conditionalFormatting>
  <conditionalFormatting sqref="A101:A106">
    <cfRule type="expression" dxfId="484" priority="57">
      <formula>kvartal &lt; 4</formula>
    </cfRule>
  </conditionalFormatting>
  <conditionalFormatting sqref="A115">
    <cfRule type="expression" dxfId="483" priority="56">
      <formula>kvartal &lt; 4</formula>
    </cfRule>
  </conditionalFormatting>
  <conditionalFormatting sqref="A123">
    <cfRule type="expression" dxfId="482" priority="55">
      <formula>kvartal &lt; 4</formula>
    </cfRule>
  </conditionalFormatting>
  <conditionalFormatting sqref="B115:C115">
    <cfRule type="expression" dxfId="481" priority="34">
      <formula>kvartal&lt;4</formula>
    </cfRule>
  </conditionalFormatting>
  <conditionalFormatting sqref="B123:C123">
    <cfRule type="expression" dxfId="480" priority="33">
      <formula>kvartal&lt;4</formula>
    </cfRule>
  </conditionalFormatting>
  <conditionalFormatting sqref="E115:F115">
    <cfRule type="expression" dxfId="479" priority="26">
      <formula>kvartal&lt;4</formula>
    </cfRule>
  </conditionalFormatting>
  <conditionalFormatting sqref="E123:F123">
    <cfRule type="expression" dxfId="478" priority="25">
      <formula>kvartal&lt;4</formula>
    </cfRule>
  </conditionalFormatting>
  <conditionalFormatting sqref="H115:I115">
    <cfRule type="expression" dxfId="477" priority="69">
      <formula>kvartal&lt;4</formula>
    </cfRule>
  </conditionalFormatting>
  <conditionalFormatting sqref="H123:I123">
    <cfRule type="expression" dxfId="476" priority="68">
      <formula>kvartal&lt;4</formula>
    </cfRule>
  </conditionalFormatting>
  <pageMargins left="0.23622047244094491" right="0.23622047244094491" top="0.62992125984251968" bottom="0.59055118110236227" header="0.51181102362204722" footer="0.51181102362204722"/>
  <pageSetup paperSize="9" scale="55" fitToHeight="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Q144"/>
  <sheetViews>
    <sheetView showGridLines="0" zoomScaleNormal="10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7" x14ac:dyDescent="0.25">
      <c r="A1" s="128" t="s">
        <v>221</v>
      </c>
      <c r="B1" s="558"/>
      <c r="C1" s="197" t="s">
        <v>399</v>
      </c>
    </row>
    <row r="2" spans="1:17" ht="15.6" x14ac:dyDescent="0.3">
      <c r="A2" s="110" t="s">
        <v>166</v>
      </c>
      <c r="B2" s="594"/>
      <c r="C2" s="594"/>
      <c r="D2" s="594"/>
      <c r="E2" s="242"/>
      <c r="F2" s="594"/>
      <c r="G2" s="594"/>
      <c r="H2" s="594"/>
      <c r="I2" s="242"/>
      <c r="J2" s="594"/>
      <c r="K2" s="594"/>
      <c r="L2" s="594"/>
      <c r="M2" s="242"/>
    </row>
    <row r="3" spans="1:17" ht="15.6" x14ac:dyDescent="0.3">
      <c r="A3" s="122"/>
      <c r="B3" s="242"/>
      <c r="C3" s="242"/>
      <c r="D3" s="242"/>
      <c r="E3" s="242"/>
      <c r="F3" s="242"/>
      <c r="G3" s="242"/>
      <c r="H3" s="242"/>
      <c r="I3" s="242"/>
      <c r="J3" s="242"/>
      <c r="K3" s="242"/>
      <c r="L3" s="242"/>
      <c r="M3" s="242"/>
    </row>
    <row r="4" spans="1:17" x14ac:dyDescent="0.25">
      <c r="A4" s="108"/>
      <c r="B4" s="590" t="s">
        <v>46</v>
      </c>
      <c r="C4" s="591"/>
      <c r="D4" s="591"/>
      <c r="E4" s="244"/>
      <c r="F4" s="590" t="s">
        <v>69</v>
      </c>
      <c r="G4" s="591"/>
      <c r="H4" s="591"/>
      <c r="I4" s="246"/>
      <c r="J4" s="590" t="s">
        <v>120</v>
      </c>
      <c r="K4" s="591"/>
      <c r="L4" s="591"/>
      <c r="M4" s="246"/>
    </row>
    <row r="5" spans="1:17"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7" x14ac:dyDescent="0.25">
      <c r="A6" s="556"/>
      <c r="B6" s="116"/>
      <c r="C6" s="116"/>
      <c r="D6" s="195" t="s">
        <v>168</v>
      </c>
      <c r="E6" s="116" t="s">
        <v>88</v>
      </c>
      <c r="F6" s="120"/>
      <c r="G6" s="120"/>
      <c r="H6" s="193" t="s">
        <v>168</v>
      </c>
      <c r="I6" s="116" t="s">
        <v>88</v>
      </c>
      <c r="J6" s="120"/>
      <c r="K6" s="120"/>
      <c r="L6" s="193" t="s">
        <v>168</v>
      </c>
      <c r="M6" s="116" t="s">
        <v>88</v>
      </c>
    </row>
    <row r="7" spans="1:17" ht="15.6" x14ac:dyDescent="0.25">
      <c r="A7" s="11" t="s">
        <v>169</v>
      </c>
      <c r="B7" s="248">
        <v>32493</v>
      </c>
      <c r="C7" s="249">
        <v>33466</v>
      </c>
      <c r="D7" s="285">
        <f>IF(B7=0, "    ---- ", IF(ABS(ROUND(100/B7*C7-100,1))&lt;999,ROUND(100/B7*C7-100,1),IF(ROUND(100/B7*C7-100,1)&gt;999,999,-999)))</f>
        <v>3</v>
      </c>
      <c r="E7" s="8">
        <f>IFERROR(100/'Skjema total MA'!C7*C7,0)</f>
        <v>1.5943634672752161</v>
      </c>
      <c r="F7" s="248">
        <v>135391.18</v>
      </c>
      <c r="G7" s="249">
        <v>124608.98349</v>
      </c>
      <c r="H7" s="285">
        <f>IF(F7=0, "    ---- ", IF(ABS(ROUND(100/F7*G7-100,1))&lt;999,ROUND(100/F7*G7-100,1),IF(ROUND(100/F7*G7-100,1)&gt;999,999,-999)))</f>
        <v>-8</v>
      </c>
      <c r="I7" s="119">
        <f>IFERROR(100/'Skjema total MA'!F7*G7,0)</f>
        <v>3.315938631192985</v>
      </c>
      <c r="J7" s="250">
        <f t="shared" ref="J7:K12" si="0">SUM(B7,F7)</f>
        <v>167884.18</v>
      </c>
      <c r="K7" s="251">
        <f t="shared" si="0"/>
        <v>158074.98349000001</v>
      </c>
      <c r="L7" s="341">
        <f>IF(J7=0, "    ---- ", IF(ABS(ROUND(100/J7*K7-100,1))&lt;999,ROUND(100/J7*K7-100,1),IF(ROUND(100/J7*K7-100,1)&gt;999,999,-999)))</f>
        <v>-5.8</v>
      </c>
      <c r="M7" s="8">
        <f>IFERROR(100/'Skjema total MA'!I7*K7,0)</f>
        <v>2.6989534769049044</v>
      </c>
    </row>
    <row r="8" spans="1:17" ht="15.6" x14ac:dyDescent="0.25">
      <c r="A8" s="18" t="s">
        <v>170</v>
      </c>
      <c r="B8" s="228">
        <v>5998.6130000000003</v>
      </c>
      <c r="C8" s="229">
        <v>5736.9229999999998</v>
      </c>
      <c r="D8" s="123">
        <f t="shared" ref="D8:D12" si="1">IF(B8=0, "    ---- ", IF(ABS(ROUND(100/B8*C8-100,1))&lt;999,ROUND(100/B8*C8-100,1),IF(ROUND(100/B8*C8-100,1)&gt;999,999,-999)))</f>
        <v>-4.4000000000000004</v>
      </c>
      <c r="E8" s="23">
        <f>IFERROR(100/'Skjema total MA'!C8*C8,0)</f>
        <v>0.39951778292793372</v>
      </c>
      <c r="F8" s="232"/>
      <c r="G8" s="233"/>
      <c r="H8" s="123"/>
      <c r="I8" s="132"/>
      <c r="J8" s="181">
        <f t="shared" si="0"/>
        <v>5998.6130000000003</v>
      </c>
      <c r="K8" s="234">
        <f t="shared" si="0"/>
        <v>5736.9229999999998</v>
      </c>
      <c r="L8" s="123">
        <f t="shared" ref="L8:L9" si="2">IF(J8=0, "    ---- ", IF(ABS(ROUND(100/J8*K8-100,1))&lt;999,ROUND(100/J8*K8-100,1),IF(ROUND(100/J8*K8-100,1)&gt;999,999,-999)))</f>
        <v>-4.4000000000000004</v>
      </c>
      <c r="M8" s="23">
        <f>IFERROR(100/'Skjema total MA'!I8*K8,0)</f>
        <v>0.39951778292793372</v>
      </c>
    </row>
    <row r="9" spans="1:17" ht="15.6" x14ac:dyDescent="0.25">
      <c r="A9" s="18" t="s">
        <v>171</v>
      </c>
      <c r="B9" s="228">
        <v>4280.5330000000004</v>
      </c>
      <c r="C9" s="229">
        <v>4011.0709999999999</v>
      </c>
      <c r="D9" s="123">
        <f t="shared" si="1"/>
        <v>-6.3</v>
      </c>
      <c r="E9" s="23">
        <f>IFERROR(100/'Skjema total MA'!C9*C9,0)</f>
        <v>0.93868453088430559</v>
      </c>
      <c r="F9" s="232"/>
      <c r="G9" s="233"/>
      <c r="H9" s="123"/>
      <c r="I9" s="132"/>
      <c r="J9" s="181">
        <f t="shared" si="0"/>
        <v>4280.5330000000004</v>
      </c>
      <c r="K9" s="234">
        <f t="shared" si="0"/>
        <v>4011.0709999999999</v>
      </c>
      <c r="L9" s="123">
        <f t="shared" si="2"/>
        <v>-6.3</v>
      </c>
      <c r="M9" s="23">
        <f>IFERROR(100/'Skjema total MA'!I9*K9,0)</f>
        <v>0.93868453088430559</v>
      </c>
    </row>
    <row r="10" spans="1:17" ht="15.6" x14ac:dyDescent="0.25">
      <c r="A10" s="10" t="s">
        <v>172</v>
      </c>
      <c r="B10" s="252">
        <v>5412840.6699999999</v>
      </c>
      <c r="C10" s="253">
        <v>4912382.83268179</v>
      </c>
      <c r="D10" s="127">
        <f t="shared" si="1"/>
        <v>-9.1999999999999993</v>
      </c>
      <c r="E10" s="8">
        <f>IFERROR(100/'Skjema total MA'!C10*C10,0)</f>
        <v>38.450265732499858</v>
      </c>
      <c r="F10" s="252">
        <v>8925133.6711575203</v>
      </c>
      <c r="G10" s="253">
        <v>10041244.736657299</v>
      </c>
      <c r="H10" s="127">
        <f t="shared" ref="H10:H12" si="3">IF(F10=0, "    ---- ", IF(ABS(ROUND(100/F10*G10-100,1))&lt;999,ROUND(100/F10*G10-100,1),IF(ROUND(100/F10*G10-100,1)&gt;999,999,-999)))</f>
        <v>12.5</v>
      </c>
      <c r="I10" s="119">
        <f>IFERROR(100/'Skjema total MA'!F10*G10,0)</f>
        <v>9.3254186429255252</v>
      </c>
      <c r="J10" s="250">
        <f t="shared" si="0"/>
        <v>14337974.34115752</v>
      </c>
      <c r="K10" s="251">
        <f t="shared" si="0"/>
        <v>14953627.569339089</v>
      </c>
      <c r="L10" s="342">
        <f t="shared" ref="L10:L12" si="4">IF(J10=0, "    ---- ", IF(ABS(ROUND(100/J10*K10-100,1))&lt;999,ROUND(100/J10*K10-100,1),IF(ROUND(100/J10*K10-100,1)&gt;999,999,-999)))</f>
        <v>4.3</v>
      </c>
      <c r="M10" s="8">
        <f>IFERROR(100/'Skjema total MA'!I10*K10,0)</f>
        <v>12.414593173587042</v>
      </c>
      <c r="Q10" s="22"/>
    </row>
    <row r="11" spans="1:17" s="35" customFormat="1" ht="15.6" x14ac:dyDescent="0.25">
      <c r="A11" s="10" t="s">
        <v>173</v>
      </c>
      <c r="B11" s="252"/>
      <c r="C11" s="253"/>
      <c r="D11" s="127"/>
      <c r="E11" s="8"/>
      <c r="F11" s="252">
        <v>15643</v>
      </c>
      <c r="G11" s="253">
        <v>10522.68597</v>
      </c>
      <c r="H11" s="127">
        <f t="shared" si="3"/>
        <v>-32.700000000000003</v>
      </c>
      <c r="I11" s="119">
        <f>IFERROR(100/'Skjema total MA'!F11*G11,0)</f>
        <v>9.8381298770346888</v>
      </c>
      <c r="J11" s="250">
        <f t="shared" si="0"/>
        <v>15643</v>
      </c>
      <c r="K11" s="251">
        <f t="shared" si="0"/>
        <v>10522.68597</v>
      </c>
      <c r="L11" s="342">
        <f t="shared" si="4"/>
        <v>-32.700000000000003</v>
      </c>
      <c r="M11" s="8">
        <f>IFERROR(100/'Skjema total MA'!I11*K11,0)</f>
        <v>9.8381298770346888</v>
      </c>
      <c r="N11" s="107"/>
    </row>
    <row r="12" spans="1:17" s="35" customFormat="1" ht="15.6" x14ac:dyDescent="0.25">
      <c r="A12" s="33" t="s">
        <v>174</v>
      </c>
      <c r="B12" s="254"/>
      <c r="C12" s="255">
        <v>-16431.795600000001</v>
      </c>
      <c r="D12" s="125" t="str">
        <f t="shared" si="1"/>
        <v xml:space="preserve">    ---- </v>
      </c>
      <c r="E12" s="30">
        <f>IFERROR(100/'Skjema total MA'!C12*C12,0)</f>
        <v>100</v>
      </c>
      <c r="F12" s="254">
        <v>14238</v>
      </c>
      <c r="G12" s="255">
        <v>14114.58034</v>
      </c>
      <c r="H12" s="125">
        <f t="shared" si="3"/>
        <v>-0.9</v>
      </c>
      <c r="I12" s="125">
        <f>IFERROR(100/'Skjema total MA'!F12*G12,0)</f>
        <v>11.257165182638817</v>
      </c>
      <c r="J12" s="256">
        <f t="shared" si="0"/>
        <v>14238</v>
      </c>
      <c r="K12" s="257">
        <f t="shared" si="0"/>
        <v>-2317.2152600000009</v>
      </c>
      <c r="L12" s="343">
        <f t="shared" si="4"/>
        <v>-116.3</v>
      </c>
      <c r="M12" s="30">
        <f>IFERROR(100/'Skjema total MA'!I12*K12,0)</f>
        <v>-2.1268361260150859</v>
      </c>
      <c r="N12" s="107"/>
      <c r="Q12" s="107"/>
    </row>
    <row r="13" spans="1:17" s="35" customFormat="1" x14ac:dyDescent="0.25">
      <c r="A13" s="107"/>
      <c r="B13" s="109"/>
      <c r="C13" s="27"/>
      <c r="D13" s="118"/>
      <c r="E13" s="118"/>
      <c r="F13" s="109"/>
      <c r="G13" s="27"/>
      <c r="H13" s="118"/>
      <c r="I13" s="118"/>
      <c r="J13" s="38"/>
      <c r="K13" s="38"/>
      <c r="L13" s="118"/>
      <c r="M13" s="118"/>
      <c r="N13" s="107"/>
    </row>
    <row r="14" spans="1:17" x14ac:dyDescent="0.25">
      <c r="A14" s="114" t="s">
        <v>175</v>
      </c>
    </row>
    <row r="16" spans="1:17"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116" t="s">
        <v>88</v>
      </c>
      <c r="F21" s="120"/>
      <c r="G21" s="120"/>
      <c r="H21" s="193" t="s">
        <v>168</v>
      </c>
      <c r="I21" s="116" t="s">
        <v>88</v>
      </c>
      <c r="J21" s="120"/>
      <c r="K21" s="120"/>
      <c r="L21" s="116" t="s">
        <v>168</v>
      </c>
      <c r="M21" s="116" t="s">
        <v>88</v>
      </c>
    </row>
    <row r="22" spans="1:13" ht="15.6" x14ac:dyDescent="0.25">
      <c r="A22" s="11" t="s">
        <v>169</v>
      </c>
      <c r="B22" s="252">
        <v>65939</v>
      </c>
      <c r="C22" s="252">
        <v>52736</v>
      </c>
      <c r="D22" s="285">
        <f t="shared" ref="D22:D39" si="5">IF(B22=0, "    ---- ", IF(ABS(ROUND(100/B22*C22-100,1))&lt;999,ROUND(100/B22*C22-100,1),IF(ROUND(100/B22*C22-100,1)&gt;999,999,-999)))</f>
        <v>-20</v>
      </c>
      <c r="E22" s="8">
        <f>IFERROR(100/'Skjema total MA'!C22*C22,0)</f>
        <v>4.8917757105456827</v>
      </c>
      <c r="F22" s="260">
        <v>4752.7240000000002</v>
      </c>
      <c r="G22" s="260">
        <v>4431.0780000000004</v>
      </c>
      <c r="H22" s="285">
        <f t="shared" ref="H22:H35" si="6">IF(F22=0, "    ---- ", IF(ABS(ROUND(100/F22*G22-100,1))&lt;999,ROUND(100/F22*G22-100,1),IF(ROUND(100/F22*G22-100,1)&gt;999,999,-999)))</f>
        <v>-6.8</v>
      </c>
      <c r="I22" s="8">
        <f>IFERROR(100/'Skjema total MA'!F22*G22,0)</f>
        <v>0.99274626633599961</v>
      </c>
      <c r="J22" s="258">
        <f t="shared" ref="J22:K35" si="7">SUM(B22,F22)</f>
        <v>70691.724000000002</v>
      </c>
      <c r="K22" s="258">
        <f t="shared" si="7"/>
        <v>57167.078000000001</v>
      </c>
      <c r="L22" s="341">
        <f t="shared" ref="L22:L35" si="8">IF(J22=0, "    ---- ", IF(ABS(ROUND(100/J22*K22-100,1))&lt;999,ROUND(100/J22*K22-100,1),IF(ROUND(100/J22*K22-100,1)&gt;999,999,-999)))</f>
        <v>-19.100000000000001</v>
      </c>
      <c r="M22" s="21">
        <f>IFERROR(100/'Skjema total MA'!I22*K22,0)</f>
        <v>3.7501367980952036</v>
      </c>
    </row>
    <row r="23" spans="1:13" ht="15.6" x14ac:dyDescent="0.25">
      <c r="A23" s="382" t="s">
        <v>178</v>
      </c>
      <c r="B23" s="228">
        <v>56444</v>
      </c>
      <c r="C23" s="228">
        <v>45703.702528266098</v>
      </c>
      <c r="D23" s="123">
        <f t="shared" si="5"/>
        <v>-19</v>
      </c>
      <c r="E23" s="8">
        <f>IFERROR(100/'Skjema total MA'!C23*C23,0)</f>
        <v>5.7271821577583548</v>
      </c>
      <c r="F23" s="236">
        <v>3160.8910000000001</v>
      </c>
      <c r="G23" s="236">
        <v>2908.3510000000001</v>
      </c>
      <c r="H23" s="123">
        <f t="shared" si="6"/>
        <v>-8</v>
      </c>
      <c r="I23" s="335">
        <f>IFERROR(100/'Skjema total MA'!F23*G23,0)</f>
        <v>33.612838587992812</v>
      </c>
      <c r="J23" s="236">
        <f t="shared" ref="J23:J25" si="9">SUM(B23,F23)</f>
        <v>59604.891000000003</v>
      </c>
      <c r="K23" s="236">
        <f t="shared" ref="K23:K25" si="10">SUM(C23,G23)</f>
        <v>48612.0535282661</v>
      </c>
      <c r="L23" s="123">
        <f t="shared" si="8"/>
        <v>-18.399999999999999</v>
      </c>
      <c r="M23" s="20">
        <f>IFERROR(100/'Skjema total MA'!I23*K23,0)</f>
        <v>6.0262905516243501</v>
      </c>
    </row>
    <row r="24" spans="1:13" ht="15.6" x14ac:dyDescent="0.25">
      <c r="A24" s="382" t="s">
        <v>179</v>
      </c>
      <c r="B24" s="228">
        <v>3864.15</v>
      </c>
      <c r="C24" s="228">
        <v>2696.6922246377499</v>
      </c>
      <c r="D24" s="123">
        <f t="shared" si="5"/>
        <v>-30.2</v>
      </c>
      <c r="E24" s="8">
        <f>IFERROR(100/'Skjema total MA'!C24*C24,0)</f>
        <v>79.788749026804936</v>
      </c>
      <c r="F24" s="236">
        <v>2</v>
      </c>
      <c r="G24" s="236">
        <v>2.9</v>
      </c>
      <c r="H24" s="123">
        <f t="shared" si="6"/>
        <v>45</v>
      </c>
      <c r="I24" s="335">
        <f>IFERROR(100/'Skjema total MA'!F24*G24,0)</f>
        <v>4.4442060579126021</v>
      </c>
      <c r="J24" s="236">
        <f t="shared" si="9"/>
        <v>3866.15</v>
      </c>
      <c r="K24" s="236">
        <f t="shared" si="10"/>
        <v>2699.59222463775</v>
      </c>
      <c r="L24" s="123">
        <f t="shared" si="8"/>
        <v>-30.2</v>
      </c>
      <c r="M24" s="20">
        <f>IFERROR(100/'Skjema total MA'!I24*K24,0)</f>
        <v>78.361627708795723</v>
      </c>
    </row>
    <row r="25" spans="1:13" ht="15.6" x14ac:dyDescent="0.25">
      <c r="A25" s="382" t="s">
        <v>180</v>
      </c>
      <c r="B25" s="228">
        <v>5630.85</v>
      </c>
      <c r="C25" s="228">
        <v>4335.6052470961204</v>
      </c>
      <c r="D25" s="123">
        <f t="shared" si="5"/>
        <v>-23</v>
      </c>
      <c r="E25" s="8">
        <f>IFERROR(100/'Skjema total MA'!C25*C25,0)</f>
        <v>100</v>
      </c>
      <c r="F25" s="236">
        <v>1589.8330000000001</v>
      </c>
      <c r="G25" s="236">
        <v>1519.827</v>
      </c>
      <c r="H25" s="123">
        <f t="shared" si="6"/>
        <v>-4.4000000000000004</v>
      </c>
      <c r="I25" s="335">
        <f>IFERROR(100/'Skjema total MA'!F25*G25,0)</f>
        <v>21.530084227272933</v>
      </c>
      <c r="J25" s="236">
        <f t="shared" si="9"/>
        <v>7220.6830000000009</v>
      </c>
      <c r="K25" s="236">
        <f t="shared" si="10"/>
        <v>5855.4322470961206</v>
      </c>
      <c r="L25" s="123">
        <f t="shared" si="8"/>
        <v>-18.899999999999999</v>
      </c>
      <c r="M25" s="20">
        <f>IFERROR(100/'Skjema total MA'!I25*K25,0)</f>
        <v>51.3873742212511</v>
      </c>
    </row>
    <row r="26" spans="1:13" ht="15.6" x14ac:dyDescent="0.25">
      <c r="A26" s="382" t="s">
        <v>181</v>
      </c>
      <c r="B26" s="228"/>
      <c r="C26" s="228"/>
      <c r="D26" s="123"/>
      <c r="E26" s="8"/>
      <c r="F26" s="236"/>
      <c r="G26" s="236"/>
      <c r="H26" s="123"/>
      <c r="I26" s="335"/>
      <c r="J26" s="236"/>
      <c r="K26" s="236"/>
      <c r="L26" s="123"/>
      <c r="M26" s="20"/>
    </row>
    <row r="27" spans="1:13" x14ac:dyDescent="0.25">
      <c r="A27" s="382" t="s">
        <v>182</v>
      </c>
      <c r="B27" s="228"/>
      <c r="C27" s="228"/>
      <c r="D27" s="123"/>
      <c r="E27" s="8"/>
      <c r="F27" s="236"/>
      <c r="G27" s="236"/>
      <c r="H27" s="123"/>
      <c r="I27" s="335"/>
      <c r="J27" s="236"/>
      <c r="K27" s="236"/>
      <c r="L27" s="123"/>
      <c r="M27" s="20"/>
    </row>
    <row r="28" spans="1:13" ht="15.6" x14ac:dyDescent="0.25">
      <c r="A28" s="39" t="s">
        <v>183</v>
      </c>
      <c r="B28" s="36">
        <v>24887.668000000001</v>
      </c>
      <c r="C28" s="234">
        <v>24204.05</v>
      </c>
      <c r="D28" s="123">
        <f t="shared" si="5"/>
        <v>-2.7</v>
      </c>
      <c r="E28" s="8">
        <f>IFERROR(100/'Skjema total MA'!C28*C28,0)</f>
        <v>1.7957050481250127</v>
      </c>
      <c r="F28" s="181"/>
      <c r="G28" s="234"/>
      <c r="H28" s="123"/>
      <c r="I28" s="23"/>
      <c r="J28" s="36">
        <f t="shared" si="7"/>
        <v>24887.668000000001</v>
      </c>
      <c r="K28" s="36">
        <f t="shared" si="7"/>
        <v>24204.05</v>
      </c>
      <c r="L28" s="206">
        <f t="shared" si="8"/>
        <v>-2.7</v>
      </c>
      <c r="M28" s="20">
        <f>IFERROR(100/'Skjema total MA'!I28*K28,0)</f>
        <v>1.7957050481250127</v>
      </c>
    </row>
    <row r="29" spans="1:13" ht="15.6" x14ac:dyDescent="0.25">
      <c r="A29" s="10" t="s">
        <v>172</v>
      </c>
      <c r="B29" s="183">
        <v>18905890.760000002</v>
      </c>
      <c r="C29" s="183">
        <v>18165330.614677701</v>
      </c>
      <c r="D29" s="127">
        <f t="shared" si="5"/>
        <v>-3.9</v>
      </c>
      <c r="E29" s="8">
        <f>IFERROR(100/'Skjema total MA'!C29*C29,0)</f>
        <v>40.816522917054861</v>
      </c>
      <c r="F29" s="250">
        <v>4668992.0689591896</v>
      </c>
      <c r="G29" s="250">
        <v>4696425.1937544197</v>
      </c>
      <c r="H29" s="127">
        <f t="shared" si="6"/>
        <v>0.6</v>
      </c>
      <c r="I29" s="8">
        <f>IFERROR(100/'Skjema total MA'!F29*G29,0)</f>
        <v>15.061172164966964</v>
      </c>
      <c r="J29" s="183">
        <f t="shared" si="7"/>
        <v>23574882.828959189</v>
      </c>
      <c r="K29" s="183">
        <f t="shared" si="7"/>
        <v>22861755.808432121</v>
      </c>
      <c r="L29" s="342">
        <f t="shared" si="8"/>
        <v>-3</v>
      </c>
      <c r="M29" s="21">
        <f>IFERROR(100/'Skjema total MA'!I29*K29,0)</f>
        <v>30.205584982893953</v>
      </c>
    </row>
    <row r="30" spans="1:13" ht="15.6" x14ac:dyDescent="0.25">
      <c r="A30" s="382" t="s">
        <v>178</v>
      </c>
      <c r="B30" s="228">
        <v>3667549.8430428701</v>
      </c>
      <c r="C30" s="228">
        <v>3401630.6888735802</v>
      </c>
      <c r="D30" s="123">
        <f t="shared" si="5"/>
        <v>-7.3</v>
      </c>
      <c r="E30" s="8">
        <f>IFERROR(100/'Skjema total MA'!C30*C30,0)</f>
        <v>17.095321595988345</v>
      </c>
      <c r="F30" s="236">
        <v>1539758.67753617</v>
      </c>
      <c r="G30" s="236">
        <v>1538468.2122531701</v>
      </c>
      <c r="H30" s="123">
        <f t="shared" si="6"/>
        <v>-0.1</v>
      </c>
      <c r="I30" s="335">
        <f>IFERROR(100/'Skjema total MA'!F30*G30,0)</f>
        <v>43.370007030804032</v>
      </c>
      <c r="J30" s="236">
        <f t="shared" ref="J30:J32" si="11">SUM(B30,F30)</f>
        <v>5207308.5205790401</v>
      </c>
      <c r="K30" s="236">
        <f t="shared" ref="K30:K32" si="12">SUM(C30,G30)</f>
        <v>4940098.9011267498</v>
      </c>
      <c r="L30" s="123">
        <f t="shared" si="8"/>
        <v>-5.0999999999999996</v>
      </c>
      <c r="M30" s="20">
        <f>IFERROR(100/'Skjema total MA'!I30*K30,0)</f>
        <v>21.070715863587612</v>
      </c>
    </row>
    <row r="31" spans="1:13" ht="15.6" x14ac:dyDescent="0.25">
      <c r="A31" s="382" t="s">
        <v>179</v>
      </c>
      <c r="B31" s="228">
        <v>13888882.2613052</v>
      </c>
      <c r="C31" s="228">
        <v>13181507.0000354</v>
      </c>
      <c r="D31" s="123">
        <f t="shared" si="5"/>
        <v>-5.0999999999999996</v>
      </c>
      <c r="E31" s="8">
        <f>IFERROR(100/'Skjema total MA'!C31*C31,0)</f>
        <v>61.081563117124773</v>
      </c>
      <c r="F31" s="236">
        <v>2542082.6961687501</v>
      </c>
      <c r="G31" s="236">
        <v>2502036.70888568</v>
      </c>
      <c r="H31" s="123">
        <f t="shared" si="6"/>
        <v>-1.6</v>
      </c>
      <c r="I31" s="335">
        <f>IFERROR(100/'Skjema total MA'!F31*G31,0)</f>
        <v>35.727124617446712</v>
      </c>
      <c r="J31" s="236">
        <f t="shared" si="11"/>
        <v>16430964.95747395</v>
      </c>
      <c r="K31" s="236">
        <f t="shared" si="12"/>
        <v>15683543.708921079</v>
      </c>
      <c r="L31" s="123">
        <f t="shared" si="8"/>
        <v>-4.5</v>
      </c>
      <c r="M31" s="20">
        <f>IFERROR(100/'Skjema total MA'!I31*K31,0)</f>
        <v>54.869492883376388</v>
      </c>
    </row>
    <row r="32" spans="1:13" ht="15.6" x14ac:dyDescent="0.25">
      <c r="A32" s="382" t="s">
        <v>180</v>
      </c>
      <c r="B32" s="228">
        <v>1349458.89565195</v>
      </c>
      <c r="C32" s="228">
        <v>1582192.92576876</v>
      </c>
      <c r="D32" s="123">
        <f t="shared" si="5"/>
        <v>17.2</v>
      </c>
      <c r="E32" s="8">
        <f>IFERROR(100/'Skjema total MA'!C32*C32,0)</f>
        <v>56.595384288124315</v>
      </c>
      <c r="F32" s="236">
        <v>587150.69525426696</v>
      </c>
      <c r="G32" s="236">
        <v>655920.27261557302</v>
      </c>
      <c r="H32" s="123">
        <f t="shared" si="6"/>
        <v>11.7</v>
      </c>
      <c r="I32" s="335">
        <f>IFERROR(100/'Skjema total MA'!F32*G32,0)</f>
        <v>9.0201245906472511</v>
      </c>
      <c r="J32" s="236">
        <f t="shared" si="11"/>
        <v>1936609.590906217</v>
      </c>
      <c r="K32" s="236">
        <f t="shared" si="12"/>
        <v>2238113.1983843329</v>
      </c>
      <c r="L32" s="123">
        <f t="shared" si="8"/>
        <v>15.6</v>
      </c>
      <c r="M32" s="20">
        <f>IFERROR(100/'Skjema total MA'!I32*K32,0)</f>
        <v>22.231370846599219</v>
      </c>
    </row>
    <row r="33" spans="1:13" ht="15.6" x14ac:dyDescent="0.25">
      <c r="A33" s="382" t="s">
        <v>181</v>
      </c>
      <c r="B33" s="228"/>
      <c r="C33" s="228"/>
      <c r="D33" s="123"/>
      <c r="E33" s="8"/>
      <c r="F33" s="236"/>
      <c r="G33" s="236"/>
      <c r="H33" s="123"/>
      <c r="I33" s="335"/>
      <c r="J33" s="236"/>
      <c r="K33" s="236"/>
      <c r="L33" s="123"/>
      <c r="M33" s="20"/>
    </row>
    <row r="34" spans="1:13" ht="15.6" x14ac:dyDescent="0.25">
      <c r="A34" s="10" t="s">
        <v>173</v>
      </c>
      <c r="B34" s="183">
        <v>806</v>
      </c>
      <c r="C34" s="251">
        <v>-136</v>
      </c>
      <c r="D34" s="127">
        <f t="shared" si="5"/>
        <v>-116.9</v>
      </c>
      <c r="E34" s="8">
        <f>IFERROR(100/'Skjema total MA'!C34*C34,0)</f>
        <v>-3.143217952581784</v>
      </c>
      <c r="F34" s="250">
        <v>-152356</v>
      </c>
      <c r="G34" s="251">
        <v>4264.2340000000004</v>
      </c>
      <c r="H34" s="127">
        <f t="shared" si="6"/>
        <v>-102.8</v>
      </c>
      <c r="I34" s="8">
        <f>IFERROR(100/'Skjema total MA'!F34*G34,0)</f>
        <v>5.4439907802766756</v>
      </c>
      <c r="J34" s="183">
        <f t="shared" si="7"/>
        <v>-151550</v>
      </c>
      <c r="K34" s="183">
        <f t="shared" si="7"/>
        <v>4128.2340000000004</v>
      </c>
      <c r="L34" s="342">
        <f t="shared" si="8"/>
        <v>-102.7</v>
      </c>
      <c r="M34" s="21">
        <f>IFERROR(100/'Skjema total MA'!I34*K34,0)</f>
        <v>4.9944778234396674</v>
      </c>
    </row>
    <row r="35" spans="1:13" ht="15.6" x14ac:dyDescent="0.25">
      <c r="A35" s="10" t="s">
        <v>174</v>
      </c>
      <c r="B35" s="183">
        <v>-149296</v>
      </c>
      <c r="C35" s="251">
        <v>-1260103.6873000001</v>
      </c>
      <c r="D35" s="127">
        <f t="shared" si="5"/>
        <v>744</v>
      </c>
      <c r="E35" s="8">
        <f>IFERROR(100/'Skjema total MA'!C35*C35,0)</f>
        <v>100.10363550185244</v>
      </c>
      <c r="F35" s="250">
        <v>-1225</v>
      </c>
      <c r="G35" s="251">
        <v>10408</v>
      </c>
      <c r="H35" s="127">
        <f t="shared" si="6"/>
        <v>-949.6</v>
      </c>
      <c r="I35" s="8">
        <f>IFERROR(100/'Skjema total MA'!F35*G35,0)</f>
        <v>9.4878887463423851</v>
      </c>
      <c r="J35" s="183">
        <f t="shared" si="7"/>
        <v>-150521</v>
      </c>
      <c r="K35" s="183">
        <f t="shared" si="7"/>
        <v>-1249695.6873000001</v>
      </c>
      <c r="L35" s="342">
        <f t="shared" si="8"/>
        <v>730.2</v>
      </c>
      <c r="M35" s="21">
        <f>IFERROR(100/'Skjema total MA'!I35*K35,0)</f>
        <v>108.75417169895567</v>
      </c>
    </row>
    <row r="36" spans="1:13" ht="15.6" x14ac:dyDescent="0.25">
      <c r="A36" s="9" t="s">
        <v>185</v>
      </c>
      <c r="B36" s="183">
        <v>607</v>
      </c>
      <c r="C36" s="251">
        <v>233.42599999999999</v>
      </c>
      <c r="D36" s="127">
        <f t="shared" si="5"/>
        <v>-61.5</v>
      </c>
      <c r="E36" s="8">
        <f>IFERROR(100/'Skjema total MA'!C36*C36,0)</f>
        <v>53.363540347395904</v>
      </c>
      <c r="F36" s="261"/>
      <c r="G36" s="262"/>
      <c r="H36" s="127"/>
      <c r="I36" s="348"/>
      <c r="J36" s="183">
        <f t="shared" ref="J36:J39" si="13">SUM(B36,F36)</f>
        <v>607</v>
      </c>
      <c r="K36" s="183">
        <f t="shared" ref="K36:K39" si="14">SUM(C36,G36)</f>
        <v>233.42599999999999</v>
      </c>
      <c r="L36" s="342"/>
      <c r="M36" s="21">
        <f>IFERROR(100/'Skjema total MA'!I36*K36,0)</f>
        <v>53.363540347395904</v>
      </c>
    </row>
    <row r="37" spans="1:13" ht="15.6" x14ac:dyDescent="0.25">
      <c r="A37" s="9" t="s">
        <v>186</v>
      </c>
      <c r="B37" s="183">
        <v>2063057.1094500001</v>
      </c>
      <c r="C37" s="251">
        <v>1896024.51206768</v>
      </c>
      <c r="D37" s="127">
        <f t="shared" si="5"/>
        <v>-8.1</v>
      </c>
      <c r="E37" s="8">
        <f>IFERROR(100/'Skjema total MA'!C37*C37,0)</f>
        <v>83.079543029371152</v>
      </c>
      <c r="F37" s="261"/>
      <c r="G37" s="263"/>
      <c r="H37" s="127"/>
      <c r="I37" s="348"/>
      <c r="J37" s="183">
        <f t="shared" si="13"/>
        <v>2063057.1094500001</v>
      </c>
      <c r="K37" s="183">
        <f t="shared" si="14"/>
        <v>1896024.51206768</v>
      </c>
      <c r="L37" s="342"/>
      <c r="M37" s="21">
        <f>IFERROR(100/'Skjema total MA'!I37*K37,0)</f>
        <v>83.079543029371152</v>
      </c>
    </row>
    <row r="38" spans="1:13" ht="15.6" x14ac:dyDescent="0.25">
      <c r="A38" s="9" t="s">
        <v>187</v>
      </c>
      <c r="B38" s="183"/>
      <c r="C38" s="251"/>
      <c r="D38" s="127"/>
      <c r="E38" s="21"/>
      <c r="F38" s="261"/>
      <c r="G38" s="262"/>
      <c r="H38" s="127"/>
      <c r="I38" s="348"/>
      <c r="J38" s="183"/>
      <c r="K38" s="183"/>
      <c r="L38" s="342"/>
      <c r="M38" s="21"/>
    </row>
    <row r="39" spans="1:13" ht="15.6" x14ac:dyDescent="0.25">
      <c r="A39" s="15" t="s">
        <v>188</v>
      </c>
      <c r="B39" s="223">
        <v>1</v>
      </c>
      <c r="C39" s="257">
        <v>0.47299999999999998</v>
      </c>
      <c r="D39" s="125">
        <f t="shared" si="5"/>
        <v>-52.7</v>
      </c>
      <c r="E39" s="30">
        <f>IFERROR(100/'Skjema total MA'!C38*C39,0)</f>
        <v>0</v>
      </c>
      <c r="F39" s="264"/>
      <c r="G39" s="265"/>
      <c r="H39" s="125"/>
      <c r="I39" s="30"/>
      <c r="J39" s="183">
        <f t="shared" si="13"/>
        <v>1</v>
      </c>
      <c r="K39" s="183">
        <f t="shared" si="14"/>
        <v>0.47299999999999998</v>
      </c>
      <c r="L39" s="343"/>
      <c r="M39" s="30">
        <f>IFERROR(100/'Skjema total MA'!I39*K39,0)</f>
        <v>100</v>
      </c>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331071</v>
      </c>
      <c r="C47" s="253">
        <v>360233</v>
      </c>
      <c r="D47" s="341">
        <f t="shared" ref="D47:D57" si="15">IF(B47=0, "    ---- ", IF(ABS(ROUND(100/B47*C47-100,1))&lt;999,ROUND(100/B47*C47-100,1),IF(ROUND(100/B47*C47-100,1)&gt;999,999,-999)))</f>
        <v>8.8000000000000007</v>
      </c>
      <c r="E47" s="8">
        <f>IFERROR(100/'Skjema total MA'!C47*C47,0)</f>
        <v>7.2745326262626344</v>
      </c>
      <c r="F47" s="109"/>
      <c r="G47" s="27"/>
      <c r="H47" s="118"/>
      <c r="I47" s="118"/>
      <c r="J47" s="31"/>
      <c r="K47" s="31"/>
      <c r="L47" s="118"/>
      <c r="M47" s="118"/>
    </row>
    <row r="48" spans="1:13" ht="15.6" x14ac:dyDescent="0.25">
      <c r="A48" s="18" t="s">
        <v>190</v>
      </c>
      <c r="B48" s="228">
        <v>331071</v>
      </c>
      <c r="C48" s="229">
        <v>360233</v>
      </c>
      <c r="D48" s="206">
        <f t="shared" si="15"/>
        <v>8.8000000000000007</v>
      </c>
      <c r="E48" s="23">
        <f>IFERROR(100/'Skjema total MA'!C48*C48,0)</f>
        <v>14.986062682666235</v>
      </c>
      <c r="F48" s="109"/>
      <c r="G48" s="27"/>
      <c r="H48" s="109"/>
      <c r="I48" s="109"/>
      <c r="J48" s="27"/>
      <c r="K48" s="27"/>
      <c r="L48" s="118"/>
      <c r="M48" s="118"/>
    </row>
    <row r="49" spans="1:13" ht="15.6" x14ac:dyDescent="0.25">
      <c r="A49" s="18" t="s">
        <v>191</v>
      </c>
      <c r="B49" s="36"/>
      <c r="C49" s="234"/>
      <c r="D49" s="206"/>
      <c r="E49" s="23"/>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v>10898.752</v>
      </c>
      <c r="C53" s="253">
        <v>26681.505000000001</v>
      </c>
      <c r="D53" s="342">
        <f t="shared" si="15"/>
        <v>144.80000000000001</v>
      </c>
      <c r="E53" s="8">
        <f>IFERROR(100/'Skjema total MA'!C53*C53,0)</f>
        <v>20.383415631697531</v>
      </c>
      <c r="F53" s="109"/>
      <c r="G53" s="27"/>
      <c r="H53" s="109"/>
      <c r="I53" s="109"/>
      <c r="J53" s="27"/>
      <c r="K53" s="27"/>
      <c r="L53" s="118"/>
      <c r="M53" s="118"/>
    </row>
    <row r="54" spans="1:13" ht="15.6" x14ac:dyDescent="0.25">
      <c r="A54" s="18" t="s">
        <v>190</v>
      </c>
      <c r="B54" s="228">
        <v>10898.752</v>
      </c>
      <c r="C54" s="229">
        <v>26681.505000000001</v>
      </c>
      <c r="D54" s="206">
        <f t="shared" si="15"/>
        <v>144.80000000000001</v>
      </c>
      <c r="E54" s="23">
        <f>IFERROR(100/'Skjema total MA'!C54*C54,0)</f>
        <v>20.420978138609001</v>
      </c>
      <c r="F54" s="109"/>
      <c r="G54" s="27"/>
      <c r="H54" s="109"/>
      <c r="I54" s="109"/>
      <c r="J54" s="27"/>
      <c r="K54" s="27"/>
      <c r="L54" s="118"/>
      <c r="M54" s="118"/>
    </row>
    <row r="55" spans="1:13" ht="15.6" x14ac:dyDescent="0.25">
      <c r="A55" s="18" t="s">
        <v>191</v>
      </c>
      <c r="B55" s="228"/>
      <c r="C55" s="229"/>
      <c r="D55" s="206"/>
      <c r="E55" s="23"/>
      <c r="F55" s="109"/>
      <c r="G55" s="27"/>
      <c r="H55" s="109"/>
      <c r="I55" s="109"/>
      <c r="J55" s="27"/>
      <c r="K55" s="27"/>
      <c r="L55" s="118"/>
      <c r="M55" s="118"/>
    </row>
    <row r="56" spans="1:13" ht="15.6" x14ac:dyDescent="0.25">
      <c r="A56" s="10" t="s">
        <v>196</v>
      </c>
      <c r="B56" s="252">
        <v>5871.3450000000003</v>
      </c>
      <c r="C56" s="253">
        <v>9771.2350000000006</v>
      </c>
      <c r="D56" s="342">
        <f t="shared" si="15"/>
        <v>66.400000000000006</v>
      </c>
      <c r="E56" s="8">
        <f>IFERROR(100/'Skjema total MA'!C56*C56,0)</f>
        <v>8.8673013272926422</v>
      </c>
      <c r="F56" s="109"/>
      <c r="G56" s="27"/>
      <c r="H56" s="109"/>
      <c r="I56" s="109"/>
      <c r="J56" s="27"/>
      <c r="K56" s="27"/>
      <c r="L56" s="118"/>
      <c r="M56" s="118"/>
    </row>
    <row r="57" spans="1:13" ht="15.6" x14ac:dyDescent="0.25">
      <c r="A57" s="18" t="s">
        <v>190</v>
      </c>
      <c r="B57" s="228">
        <v>5871.3450000000003</v>
      </c>
      <c r="C57" s="229">
        <v>9771.2350000000006</v>
      </c>
      <c r="D57" s="206">
        <f t="shared" si="15"/>
        <v>66.400000000000006</v>
      </c>
      <c r="E57" s="23">
        <f>IFERROR(100/'Skjema total MA'!C57*C57,0)</f>
        <v>9.616599029775319</v>
      </c>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v>819578</v>
      </c>
      <c r="C66" s="288">
        <v>804365.81195999996</v>
      </c>
      <c r="D66" s="285">
        <f t="shared" ref="D66:D111" si="16">IF(B66=0, "    ---- ", IF(ABS(ROUND(100/B66*C66-100,1))&lt;999,ROUND(100/B66*C66-100,1),IF(ROUND(100/B66*C66-100,1)&gt;999,999,-999)))</f>
        <v>-1.9</v>
      </c>
      <c r="E66" s="559">
        <f>IFERROR(100/'Skjema total MA'!C66*C66,0)</f>
        <v>26.46095432050253</v>
      </c>
      <c r="F66" s="560">
        <v>4276067</v>
      </c>
      <c r="G66" s="287">
        <v>4466145.0928499997</v>
      </c>
      <c r="H66" s="285">
        <f t="shared" ref="H66:H111" si="17">IF(F66=0, "    ---- ", IF(ABS(ROUND(100/F66*G66-100,1))&lt;999,ROUND(100/F66*G66-100,1),IF(ROUND(100/F66*G66-100,1)&gt;999,999,-999)))</f>
        <v>4.4000000000000004</v>
      </c>
      <c r="I66" s="559">
        <f>IFERROR(100/'Skjema total MA'!F66*G66,0)</f>
        <v>29.342767267765336</v>
      </c>
      <c r="J66" s="258">
        <f t="shared" ref="J66:K86" si="18">SUM(B66,F66)</f>
        <v>5095645</v>
      </c>
      <c r="K66" s="258">
        <f t="shared" si="18"/>
        <v>5270510.9048099993</v>
      </c>
      <c r="L66" s="342">
        <f t="shared" ref="L66:L111" si="19">IF(J66=0, "    ---- ", IF(ABS(ROUND(100/J66*K66-100,1))&lt;999,ROUND(100/J66*K66-100,1),IF(ROUND(100/J66*K66-100,1)&gt;999,999,-999)))</f>
        <v>3.4</v>
      </c>
      <c r="M66" s="8">
        <f>IFERROR(100/'Skjema total MA'!I66*K66,0)</f>
        <v>28.86303039578457</v>
      </c>
    </row>
    <row r="67" spans="1:13" x14ac:dyDescent="0.25">
      <c r="A67" s="18" t="s">
        <v>198</v>
      </c>
      <c r="B67" s="36">
        <v>675915.69400000002</v>
      </c>
      <c r="C67" s="109">
        <v>501747.31095999997</v>
      </c>
      <c r="D67" s="123">
        <f t="shared" si="16"/>
        <v>-25.8</v>
      </c>
      <c r="E67" s="20">
        <f>IFERROR(100/'Skjema total MA'!C67*C67,0)</f>
        <v>29.406503417154532</v>
      </c>
      <c r="F67" s="36"/>
      <c r="G67" s="109"/>
      <c r="H67" s="123"/>
      <c r="I67" s="20"/>
      <c r="J67" s="36">
        <f t="shared" si="18"/>
        <v>675915.69400000002</v>
      </c>
      <c r="K67" s="36">
        <f t="shared" si="18"/>
        <v>501747.31095999997</v>
      </c>
      <c r="L67" s="206">
        <f t="shared" si="19"/>
        <v>-25.8</v>
      </c>
      <c r="M67" s="23">
        <f>IFERROR(100/'Skjema total MA'!I67*K67,0)</f>
        <v>29.406503417154532</v>
      </c>
    </row>
    <row r="68" spans="1:13" x14ac:dyDescent="0.25">
      <c r="A68" s="18" t="s">
        <v>199</v>
      </c>
      <c r="B68" s="237"/>
      <c r="C68" s="238"/>
      <c r="D68" s="123"/>
      <c r="E68" s="20"/>
      <c r="F68" s="142">
        <v>4276067</v>
      </c>
      <c r="G68" s="238">
        <v>4466145.0928499997</v>
      </c>
      <c r="H68" s="123">
        <f t="shared" si="17"/>
        <v>4.4000000000000004</v>
      </c>
      <c r="I68" s="20">
        <f>IFERROR(100/'Skjema total MA'!F68*G68,0)</f>
        <v>30.45296484455789</v>
      </c>
      <c r="J68" s="36">
        <f t="shared" si="18"/>
        <v>4276067</v>
      </c>
      <c r="K68" s="36">
        <f t="shared" si="18"/>
        <v>4466145.0928499997</v>
      </c>
      <c r="L68" s="206">
        <f t="shared" si="19"/>
        <v>4.4000000000000004</v>
      </c>
      <c r="M68" s="23">
        <f>IFERROR(100/'Skjema total MA'!I68*K68,0)</f>
        <v>30.443549966873174</v>
      </c>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v>143662.30600000001</v>
      </c>
      <c r="C76" s="109">
        <v>302618.50099999999</v>
      </c>
      <c r="D76" s="123">
        <f t="shared" ref="D76" si="20">IF(B76=0, "    ---- ", IF(ABS(ROUND(100/B76*C76-100,1))&lt;999,ROUND(100/B76*C76-100,1),IF(ROUND(100/B76*C76-100,1)&gt;999,999,-999)))</f>
        <v>110.6</v>
      </c>
      <c r="E76" s="20">
        <f>IFERROR(100/'Skjema total MA'!C76*C76,0)</f>
        <v>26.857612017355539</v>
      </c>
      <c r="F76" s="36"/>
      <c r="G76" s="109"/>
      <c r="H76" s="123"/>
      <c r="I76" s="20"/>
      <c r="J76" s="36">
        <f t="shared" ref="J76" si="21">SUM(B76,F76)</f>
        <v>143662.30600000001</v>
      </c>
      <c r="K76" s="36">
        <f t="shared" ref="K76" si="22">SUM(C76,G76)</f>
        <v>302618.50099999999</v>
      </c>
      <c r="L76" s="206">
        <f t="shared" ref="L76" si="23">IF(J76=0, "    ---- ", IF(ABS(ROUND(100/J76*K76-100,1))&lt;999,ROUND(100/J76*K76-100,1),IF(ROUND(100/J76*K76-100,1)&gt;999,999,-999)))</f>
        <v>110.6</v>
      </c>
      <c r="M76" s="23">
        <f>IFERROR(100/'Skjema total MA'!I76*K76,0)</f>
        <v>26.857612017355539</v>
      </c>
    </row>
    <row r="77" spans="1:13" ht="15.6" x14ac:dyDescent="0.25">
      <c r="A77" s="18" t="s">
        <v>206</v>
      </c>
      <c r="B77" s="181">
        <v>651230.69400000002</v>
      </c>
      <c r="C77" s="181">
        <v>477626.31099999999</v>
      </c>
      <c r="D77" s="123">
        <f t="shared" si="16"/>
        <v>-26.7</v>
      </c>
      <c r="E77" s="20">
        <f>IFERROR(100/'Skjema total MA'!C77*C77,0)</f>
        <v>29.200761281990712</v>
      </c>
      <c r="F77" s="36">
        <v>4276067.1100000003</v>
      </c>
      <c r="G77" s="109">
        <v>4466145.0928499997</v>
      </c>
      <c r="H77" s="123">
        <f t="shared" si="17"/>
        <v>4.4000000000000004</v>
      </c>
      <c r="I77" s="20">
        <f>IFERROR(100/'Skjema total MA'!F77*G77,0)</f>
        <v>30.462354735150921</v>
      </c>
      <c r="J77" s="36">
        <f t="shared" si="18"/>
        <v>4927297.8040000005</v>
      </c>
      <c r="K77" s="36">
        <f t="shared" si="18"/>
        <v>4943771.4038499994</v>
      </c>
      <c r="L77" s="206">
        <f t="shared" si="19"/>
        <v>0.3</v>
      </c>
      <c r="M77" s="23">
        <f>IFERROR(100/'Skjema total MA'!I77*K77,0)</f>
        <v>30.335732608892364</v>
      </c>
    </row>
    <row r="78" spans="1:13" x14ac:dyDescent="0.25">
      <c r="A78" s="18" t="s">
        <v>198</v>
      </c>
      <c r="B78" s="181">
        <v>651230.69400000002</v>
      </c>
      <c r="C78" s="109">
        <v>477626.31099999999</v>
      </c>
      <c r="D78" s="123">
        <f t="shared" si="16"/>
        <v>-26.7</v>
      </c>
      <c r="E78" s="20">
        <f>IFERROR(100/'Skjema total MA'!C78*C78,0)</f>
        <v>29.281956163617899</v>
      </c>
      <c r="F78" s="36"/>
      <c r="G78" s="109"/>
      <c r="H78" s="123"/>
      <c r="I78" s="20"/>
      <c r="J78" s="36">
        <f t="shared" si="18"/>
        <v>651230.69400000002</v>
      </c>
      <c r="K78" s="36">
        <f t="shared" si="18"/>
        <v>477626.31099999999</v>
      </c>
      <c r="L78" s="206">
        <f t="shared" si="19"/>
        <v>-26.7</v>
      </c>
      <c r="M78" s="23">
        <f>IFERROR(100/'Skjema total MA'!I78*K78,0)</f>
        <v>29.281956163617899</v>
      </c>
    </row>
    <row r="79" spans="1:13" x14ac:dyDescent="0.25">
      <c r="A79" s="18" t="s">
        <v>207</v>
      </c>
      <c r="B79" s="237"/>
      <c r="C79" s="238"/>
      <c r="D79" s="123"/>
      <c r="E79" s="20"/>
      <c r="F79" s="142">
        <v>4276067.1100000003</v>
      </c>
      <c r="G79" s="238">
        <v>4466145.0928499997</v>
      </c>
      <c r="H79" s="123">
        <f t="shared" si="17"/>
        <v>4.4000000000000004</v>
      </c>
      <c r="I79" s="20">
        <f>IFERROR(100/'Skjema total MA'!F79*G79,0)</f>
        <v>30.462354735150921</v>
      </c>
      <c r="J79" s="36">
        <f t="shared" si="18"/>
        <v>4276067.1100000003</v>
      </c>
      <c r="K79" s="36">
        <f t="shared" si="18"/>
        <v>4466145.0928499997</v>
      </c>
      <c r="L79" s="206">
        <f t="shared" si="19"/>
        <v>4.4000000000000004</v>
      </c>
      <c r="M79" s="23">
        <f>IFERROR(100/'Skjema total MA'!I79*K79,0)</f>
        <v>30.45293405148789</v>
      </c>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v>24684.957999999999</v>
      </c>
      <c r="C86" s="109">
        <v>24120.524000000001</v>
      </c>
      <c r="D86" s="123">
        <f t="shared" si="16"/>
        <v>-2.2999999999999998</v>
      </c>
      <c r="E86" s="20">
        <f>IFERROR(100/'Skjema total MA'!C86*C86,0)</f>
        <v>32.110531740717512</v>
      </c>
      <c r="F86" s="36"/>
      <c r="G86" s="109"/>
      <c r="H86" s="123"/>
      <c r="I86" s="20"/>
      <c r="J86" s="36">
        <f t="shared" si="18"/>
        <v>24684.957999999999</v>
      </c>
      <c r="K86" s="36">
        <f t="shared" si="18"/>
        <v>24120.524000000001</v>
      </c>
      <c r="L86" s="206">
        <f t="shared" si="19"/>
        <v>-2.2999999999999998</v>
      </c>
      <c r="M86" s="23">
        <f>IFERROR(100/'Skjema total MA'!I86*K86,0)</f>
        <v>30.287776091504668</v>
      </c>
    </row>
    <row r="87" spans="1:13" ht="15.6" x14ac:dyDescent="0.25">
      <c r="A87" s="10" t="s">
        <v>172</v>
      </c>
      <c r="B87" s="288">
        <v>153302614.183</v>
      </c>
      <c r="C87" s="288">
        <v>153544015.49748757</v>
      </c>
      <c r="D87" s="127">
        <f t="shared" si="16"/>
        <v>0.2</v>
      </c>
      <c r="E87" s="21">
        <f>IFERROR(100/'Skjema total MA'!C87*C87,0)</f>
        <v>37.034258027477804</v>
      </c>
      <c r="F87" s="225">
        <v>189974574.17172101</v>
      </c>
      <c r="G87" s="287">
        <v>231219979.02774799</v>
      </c>
      <c r="H87" s="127">
        <f t="shared" si="17"/>
        <v>21.7</v>
      </c>
      <c r="I87" s="21">
        <f>IFERROR(100/'Skjema total MA'!F87*G87,0)</f>
        <v>29.093226567181794</v>
      </c>
      <c r="J87" s="183">
        <f t="shared" ref="J87:K111" si="24">SUM(B87,F87)</f>
        <v>343277188.35472101</v>
      </c>
      <c r="K87" s="183">
        <f t="shared" si="24"/>
        <v>384763994.52523553</v>
      </c>
      <c r="L87" s="342">
        <f t="shared" si="19"/>
        <v>12.1</v>
      </c>
      <c r="M87" s="8">
        <f>IFERROR(100/'Skjema total MA'!I87*K87,0)</f>
        <v>31.815628501929123</v>
      </c>
    </row>
    <row r="88" spans="1:13" x14ac:dyDescent="0.25">
      <c r="A88" s="18" t="s">
        <v>198</v>
      </c>
      <c r="B88" s="181">
        <v>153162961</v>
      </c>
      <c r="C88" s="109">
        <v>153427418.05491799</v>
      </c>
      <c r="D88" s="123">
        <f t="shared" si="16"/>
        <v>0.2</v>
      </c>
      <c r="E88" s="20">
        <f>IFERROR(100/'Skjema total MA'!C88*C88,0)</f>
        <v>39.672065872491032</v>
      </c>
      <c r="F88" s="36"/>
      <c r="G88" s="109"/>
      <c r="H88" s="123"/>
      <c r="I88" s="20"/>
      <c r="J88" s="36">
        <f t="shared" si="24"/>
        <v>153162961</v>
      </c>
      <c r="K88" s="36">
        <f t="shared" si="24"/>
        <v>153427418.05491799</v>
      </c>
      <c r="L88" s="206">
        <f t="shared" si="19"/>
        <v>0.2</v>
      </c>
      <c r="M88" s="23">
        <f>IFERROR(100/'Skjema total MA'!I88*K88,0)</f>
        <v>39.672065872491032</v>
      </c>
    </row>
    <row r="89" spans="1:13" x14ac:dyDescent="0.25">
      <c r="A89" s="18" t="s">
        <v>199</v>
      </c>
      <c r="B89" s="181">
        <v>84639.837239999993</v>
      </c>
      <c r="C89" s="109">
        <v>79317.786609594099</v>
      </c>
      <c r="D89" s="123">
        <f t="shared" si="16"/>
        <v>-6.3</v>
      </c>
      <c r="E89" s="20">
        <f>IFERROR(100/'Skjema total MA'!C89*C89,0)</f>
        <v>1.8725277370689497</v>
      </c>
      <c r="F89" s="36">
        <v>189974574.17172101</v>
      </c>
      <c r="G89" s="109">
        <v>231219979.02774799</v>
      </c>
      <c r="H89" s="123">
        <f t="shared" si="17"/>
        <v>21.7</v>
      </c>
      <c r="I89" s="20">
        <f>IFERROR(100/'Skjema total MA'!F89*G89,0)</f>
        <v>29.571543584079883</v>
      </c>
      <c r="J89" s="36">
        <f t="shared" si="24"/>
        <v>190059214.00896102</v>
      </c>
      <c r="K89" s="36">
        <f t="shared" si="24"/>
        <v>231299296.81435758</v>
      </c>
      <c r="L89" s="206">
        <f t="shared" si="19"/>
        <v>21.7</v>
      </c>
      <c r="M89" s="23">
        <f>IFERROR(100/'Skjema total MA'!I89*K89,0)</f>
        <v>29.42229545157527</v>
      </c>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v>55013.345759999997</v>
      </c>
      <c r="C97" s="109">
        <v>37279.655959999996</v>
      </c>
      <c r="D97" s="123">
        <f t="shared" ref="D97" si="25">IF(B97=0, "    ---- ", IF(ABS(ROUND(100/B97*C97-100,1))&lt;999,ROUND(100/B97*C97-100,1),IF(ROUND(100/B97*C97-100,1)&gt;999,999,-999)))</f>
        <v>-32.200000000000003</v>
      </c>
      <c r="E97" s="20">
        <f>IFERROR(100/'Skjema total MA'!C98*C97,0)</f>
        <v>9.6418194819345941E-3</v>
      </c>
      <c r="F97" s="36"/>
      <c r="G97" s="109"/>
      <c r="H97" s="123"/>
      <c r="I97" s="20"/>
      <c r="J97" s="36">
        <f t="shared" ref="J97" si="26">SUM(B97,F97)</f>
        <v>55013.345759999997</v>
      </c>
      <c r="K97" s="36">
        <f t="shared" ref="K97" si="27">SUM(C97,G97)</f>
        <v>37279.655959999996</v>
      </c>
      <c r="L97" s="206">
        <f t="shared" ref="L97" si="28">IF(J97=0, "    ---- ", IF(ABS(ROUND(100/J97*K97-100,1))&lt;999,ROUND(100/J97*K97-100,1),IF(ROUND(100/J97*K97-100,1)&gt;999,999,-999)))</f>
        <v>-32.200000000000003</v>
      </c>
      <c r="M97" s="23">
        <f>IFERROR(100/'Skjema total MA'!I98*K97,0)</f>
        <v>3.1913777843255399E-3</v>
      </c>
    </row>
    <row r="98" spans="1:13" ht="15.6" x14ac:dyDescent="0.25">
      <c r="A98" s="18" t="s">
        <v>206</v>
      </c>
      <c r="B98" s="181">
        <v>152143957.83724001</v>
      </c>
      <c r="C98" s="181">
        <v>152419239.79952759</v>
      </c>
      <c r="D98" s="123">
        <f t="shared" si="16"/>
        <v>0.2</v>
      </c>
      <c r="E98" s="20">
        <f>IFERROR(100/'Skjema total MA'!C98*C98,0)</f>
        <v>39.42093235242254</v>
      </c>
      <c r="F98" s="142">
        <v>189681719.73363999</v>
      </c>
      <c r="G98" s="237">
        <v>230923136.65089199</v>
      </c>
      <c r="H98" s="123">
        <f t="shared" si="17"/>
        <v>21.7</v>
      </c>
      <c r="I98" s="20">
        <f>IFERROR(100/'Skjema total MA'!F98*G98,0)</f>
        <v>29.54903562775953</v>
      </c>
      <c r="J98" s="36">
        <f t="shared" si="24"/>
        <v>341825677.57088</v>
      </c>
      <c r="K98" s="36">
        <f t="shared" si="24"/>
        <v>383342376.45041955</v>
      </c>
      <c r="L98" s="206">
        <f t="shared" si="19"/>
        <v>12.1</v>
      </c>
      <c r="M98" s="23">
        <f>IFERROR(100/'Skjema total MA'!I98*K98,0)</f>
        <v>32.816567441155833</v>
      </c>
    </row>
    <row r="99" spans="1:13" x14ac:dyDescent="0.25">
      <c r="A99" s="18" t="s">
        <v>198</v>
      </c>
      <c r="B99" s="237">
        <v>152059318</v>
      </c>
      <c r="C99" s="238">
        <v>152339922.012918</v>
      </c>
      <c r="D99" s="123">
        <f t="shared" si="16"/>
        <v>0.2</v>
      </c>
      <c r="E99" s="20">
        <f>IFERROR(100/'Skjema total MA'!C99*C99,0)</f>
        <v>39.83684780269094</v>
      </c>
      <c r="F99" s="36"/>
      <c r="G99" s="109"/>
      <c r="H99" s="123"/>
      <c r="I99" s="20"/>
      <c r="J99" s="36">
        <f t="shared" si="24"/>
        <v>152059318</v>
      </c>
      <c r="K99" s="36">
        <f t="shared" si="24"/>
        <v>152339922.012918</v>
      </c>
      <c r="L99" s="206">
        <f t="shared" si="19"/>
        <v>0.2</v>
      </c>
      <c r="M99" s="23">
        <f>IFERROR(100/'Skjema total MA'!I99*K99,0)</f>
        <v>39.83684780269094</v>
      </c>
    </row>
    <row r="100" spans="1:13" x14ac:dyDescent="0.25">
      <c r="A100" s="18" t="s">
        <v>207</v>
      </c>
      <c r="B100" s="237">
        <v>84639.837239999993</v>
      </c>
      <c r="C100" s="238">
        <v>79317.786609594099</v>
      </c>
      <c r="D100" s="123">
        <f t="shared" si="16"/>
        <v>-6.3</v>
      </c>
      <c r="E100" s="20">
        <f>IFERROR(100/'Skjema total MA'!C100*C100,0)</f>
        <v>1.8725277370689497</v>
      </c>
      <c r="F100" s="36">
        <v>189681719.73363999</v>
      </c>
      <c r="G100" s="181">
        <v>230923136.65089199</v>
      </c>
      <c r="H100" s="123">
        <f t="shared" si="17"/>
        <v>21.7</v>
      </c>
      <c r="I100" s="20">
        <f>IFERROR(100/'Skjema total MA'!F100*G100,0)</f>
        <v>29.54903562775953</v>
      </c>
      <c r="J100" s="36">
        <f t="shared" si="24"/>
        <v>189766359.57088</v>
      </c>
      <c r="K100" s="36">
        <f t="shared" si="24"/>
        <v>231002454.43750158</v>
      </c>
      <c r="L100" s="206">
        <f t="shared" si="19"/>
        <v>21.7</v>
      </c>
      <c r="M100" s="23">
        <f>IFERROR(100/'Skjema total MA'!I100*K100,0)</f>
        <v>29.399831148724115</v>
      </c>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v>1103642.871</v>
      </c>
      <c r="C107" s="109">
        <v>1087496.0419999999</v>
      </c>
      <c r="D107" s="123">
        <f t="shared" si="16"/>
        <v>-1.5</v>
      </c>
      <c r="E107" s="20">
        <f>IFERROR(100/'Skjema total MA'!C107*C107,0)</f>
        <v>25.117758473929332</v>
      </c>
      <c r="F107" s="36">
        <v>292854.43808098702</v>
      </c>
      <c r="G107" s="109">
        <v>296842.37685598899</v>
      </c>
      <c r="H107" s="123">
        <f t="shared" si="17"/>
        <v>1.4</v>
      </c>
      <c r="I107" s="20">
        <f>IFERROR(100/'Skjema total MA'!F107*G107,0)</f>
        <v>72.579369880937477</v>
      </c>
      <c r="J107" s="36">
        <f t="shared" si="24"/>
        <v>1396497.309080987</v>
      </c>
      <c r="K107" s="36">
        <f t="shared" si="24"/>
        <v>1384338.4188559889</v>
      </c>
      <c r="L107" s="206">
        <f t="shared" si="19"/>
        <v>-0.9</v>
      </c>
      <c r="M107" s="23">
        <f>IFERROR(100/'Skjema total MA'!I107*K107,0)</f>
        <v>29.214201672801355</v>
      </c>
    </row>
    <row r="108" spans="1:13" ht="15.6" x14ac:dyDescent="0.25">
      <c r="A108" s="18" t="s">
        <v>209</v>
      </c>
      <c r="B108" s="181">
        <v>132714229.199452</v>
      </c>
      <c r="C108" s="181">
        <v>132022247.07799999</v>
      </c>
      <c r="D108" s="123">
        <f t="shared" si="16"/>
        <v>-0.5</v>
      </c>
      <c r="E108" s="20">
        <f>IFERROR(100/'Skjema total MA'!C108*C108,0)</f>
        <v>40.027644129081843</v>
      </c>
      <c r="F108" s="36">
        <v>2192421.1937123099</v>
      </c>
      <c r="G108" s="181">
        <v>2969279.70834229</v>
      </c>
      <c r="H108" s="123">
        <f t="shared" si="17"/>
        <v>35.4</v>
      </c>
      <c r="I108" s="20">
        <f>IFERROR(100/'Skjema total MA'!F108*G108,0)</f>
        <v>11.457631341156915</v>
      </c>
      <c r="J108" s="36">
        <f t="shared" si="24"/>
        <v>134906650.39316431</v>
      </c>
      <c r="K108" s="36">
        <f t="shared" si="24"/>
        <v>134991526.78634229</v>
      </c>
      <c r="L108" s="206">
        <f t="shared" si="19"/>
        <v>0.1</v>
      </c>
      <c r="M108" s="23">
        <f>IFERROR(100/'Skjema total MA'!I108*K108,0)</f>
        <v>37.946364808749749</v>
      </c>
    </row>
    <row r="109" spans="1:13" ht="15.6" x14ac:dyDescent="0.25">
      <c r="A109" s="18" t="s">
        <v>210</v>
      </c>
      <c r="B109" s="181">
        <v>84639.837239999993</v>
      </c>
      <c r="C109" s="181">
        <v>79317.786609594099</v>
      </c>
      <c r="D109" s="123">
        <f t="shared" si="16"/>
        <v>-6.3</v>
      </c>
      <c r="E109" s="20">
        <f>IFERROR(100/'Skjema total MA'!C109*C109,0)</f>
        <v>2.4428166485722946</v>
      </c>
      <c r="F109" s="36">
        <v>75442626</v>
      </c>
      <c r="G109" s="181">
        <v>92908713</v>
      </c>
      <c r="H109" s="123">
        <f t="shared" si="17"/>
        <v>23.2</v>
      </c>
      <c r="I109" s="20">
        <f>IFERROR(100/'Skjema total MA'!F109*G109,0)</f>
        <v>29.419522784047604</v>
      </c>
      <c r="J109" s="36">
        <f t="shared" si="24"/>
        <v>75527265.837239996</v>
      </c>
      <c r="K109" s="36">
        <f t="shared" si="24"/>
        <v>92988030.78660959</v>
      </c>
      <c r="L109" s="206">
        <f t="shared" si="19"/>
        <v>23.1</v>
      </c>
      <c r="M109" s="23">
        <f>IFERROR(100/'Skjema total MA'!I109*K109,0)</f>
        <v>29.144982934664011</v>
      </c>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v>38129</v>
      </c>
      <c r="C111" s="118">
        <v>84418.495790000001</v>
      </c>
      <c r="D111" s="127">
        <f t="shared" si="16"/>
        <v>121.4</v>
      </c>
      <c r="E111" s="21">
        <f>IFERROR(100/'Skjema total MA'!C111*C111,0)</f>
        <v>28.179442449108311</v>
      </c>
      <c r="F111" s="183">
        <v>6006855.1211299999</v>
      </c>
      <c r="G111" s="118">
        <v>6558943.0739099998</v>
      </c>
      <c r="H111" s="127">
        <f t="shared" si="17"/>
        <v>9.1999999999999993</v>
      </c>
      <c r="I111" s="21">
        <f>IFERROR(100/'Skjema total MA'!F111*G111,0)</f>
        <v>27.193839551507338</v>
      </c>
      <c r="J111" s="183">
        <f t="shared" si="24"/>
        <v>6044984.1211299999</v>
      </c>
      <c r="K111" s="183">
        <f t="shared" si="24"/>
        <v>6643361.5696999999</v>
      </c>
      <c r="L111" s="342">
        <f t="shared" si="19"/>
        <v>9.9</v>
      </c>
      <c r="M111" s="8">
        <f>IFERROR(100/'Skjema total MA'!I111*K111,0)</f>
        <v>27.205931126936765</v>
      </c>
    </row>
    <row r="112" spans="1:13" x14ac:dyDescent="0.25">
      <c r="A112" s="18" t="s">
        <v>198</v>
      </c>
      <c r="B112" s="181">
        <v>38129</v>
      </c>
      <c r="C112" s="109">
        <v>84418.495790000001</v>
      </c>
      <c r="D112" s="123">
        <f t="shared" ref="D112:D124" si="29">IF(B112=0, "    ---- ", IF(ABS(ROUND(100/B112*C112-100,1))&lt;999,ROUND(100/B112*C112-100,1),IF(ROUND(100/B112*C112-100,1)&gt;999,999,-999)))</f>
        <v>121.4</v>
      </c>
      <c r="E112" s="20">
        <f>IFERROR(100/'Skjema total MA'!C112*C112,0)</f>
        <v>38.41850958967288</v>
      </c>
      <c r="F112" s="36"/>
      <c r="G112" s="109"/>
      <c r="H112" s="123"/>
      <c r="I112" s="20"/>
      <c r="J112" s="36">
        <f t="shared" ref="J112:K125" si="30">SUM(B112,F112)</f>
        <v>38129</v>
      </c>
      <c r="K112" s="36">
        <f t="shared" si="30"/>
        <v>84418.495790000001</v>
      </c>
      <c r="L112" s="206">
        <f t="shared" ref="L112:L125" si="31">IF(J112=0, "    ---- ", IF(ABS(ROUND(100/J112*K112-100,1))&lt;999,ROUND(100/J112*K112-100,1),IF(ROUND(100/J112*K112-100,1)&gt;999,999,-999)))</f>
        <v>121.4</v>
      </c>
      <c r="M112" s="23">
        <f>IFERROR(100/'Skjema total MA'!I112*K112,0)</f>
        <v>37.987712269164746</v>
      </c>
    </row>
    <row r="113" spans="1:13" x14ac:dyDescent="0.25">
      <c r="A113" s="18" t="s">
        <v>199</v>
      </c>
      <c r="B113" s="181"/>
      <c r="C113" s="109"/>
      <c r="D113" s="123"/>
      <c r="E113" s="20"/>
      <c r="F113" s="36">
        <v>6006855.1211299999</v>
      </c>
      <c r="G113" s="109">
        <v>6558943.0739099998</v>
      </c>
      <c r="H113" s="123">
        <f t="shared" ref="H113:H125" si="32">IF(F113=0, "    ---- ", IF(ABS(ROUND(100/F113*G113-100,1))&lt;999,ROUND(100/F113*G113-100,1),IF(ROUND(100/F113*G113-100,1)&gt;999,999,-999)))</f>
        <v>9.1999999999999993</v>
      </c>
      <c r="I113" s="20">
        <f>IFERROR(100/'Skjema total MA'!F113*G113,0)</f>
        <v>27.200311833320061</v>
      </c>
      <c r="J113" s="36">
        <f t="shared" si="30"/>
        <v>6006855.1211299999</v>
      </c>
      <c r="K113" s="36">
        <f t="shared" si="30"/>
        <v>6558943.0739099998</v>
      </c>
      <c r="L113" s="206">
        <f t="shared" si="31"/>
        <v>9.1999999999999993</v>
      </c>
      <c r="M113" s="23">
        <f>IFERROR(100/'Skjema total MA'!I113*K113,0)</f>
        <v>27.188266909852189</v>
      </c>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v>19597</v>
      </c>
      <c r="C116" s="181">
        <v>33791.545749999997</v>
      </c>
      <c r="D116" s="123">
        <f t="shared" si="29"/>
        <v>72.400000000000006</v>
      </c>
      <c r="E116" s="20">
        <f>IFERROR(100/'Skjema total MA'!C116*C116,0)</f>
        <v>99.312891444050152</v>
      </c>
      <c r="F116" s="36"/>
      <c r="G116" s="181"/>
      <c r="H116" s="123"/>
      <c r="I116" s="20"/>
      <c r="J116" s="36">
        <f t="shared" si="30"/>
        <v>19597</v>
      </c>
      <c r="K116" s="36">
        <f t="shared" si="30"/>
        <v>33791.545749999997</v>
      </c>
      <c r="L116" s="206">
        <f t="shared" si="31"/>
        <v>72.400000000000006</v>
      </c>
      <c r="M116" s="23">
        <f>IFERROR(100/'Skjema total MA'!I116*K116,0)</f>
        <v>92.535931494174775</v>
      </c>
    </row>
    <row r="117" spans="1:13" ht="15.6" x14ac:dyDescent="0.25">
      <c r="A117" s="18" t="s">
        <v>210</v>
      </c>
      <c r="B117" s="181"/>
      <c r="C117" s="181"/>
      <c r="D117" s="123"/>
      <c r="E117" s="20"/>
      <c r="F117" s="36">
        <v>4188562.2442800002</v>
      </c>
      <c r="G117" s="181">
        <v>4923616.3174599996</v>
      </c>
      <c r="H117" s="123">
        <f t="shared" si="32"/>
        <v>17.5</v>
      </c>
      <c r="I117" s="20">
        <f>IFERROR(100/'Skjema total MA'!F117*G117,0)</f>
        <v>36.386077001495401</v>
      </c>
      <c r="J117" s="36">
        <f t="shared" si="30"/>
        <v>4188562.2442800002</v>
      </c>
      <c r="K117" s="36">
        <f t="shared" si="30"/>
        <v>4923616.3174599996</v>
      </c>
      <c r="L117" s="206">
        <f t="shared" si="31"/>
        <v>17.5</v>
      </c>
      <c r="M117" s="23">
        <f>IFERROR(100/'Skjema total MA'!I117*K117,0)</f>
        <v>36.386077001495401</v>
      </c>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v>41154</v>
      </c>
      <c r="C119" s="118">
        <v>-53565.909</v>
      </c>
      <c r="D119" s="127">
        <f t="shared" si="29"/>
        <v>-230.2</v>
      </c>
      <c r="E119" s="21">
        <f>IFERROR(100/'Skjema total MA'!C119*C119,0)</f>
        <v>-15.602410100081212</v>
      </c>
      <c r="F119" s="183">
        <v>5665441</v>
      </c>
      <c r="G119" s="118">
        <v>8042406</v>
      </c>
      <c r="H119" s="127">
        <f t="shared" si="32"/>
        <v>42</v>
      </c>
      <c r="I119" s="21">
        <f>IFERROR(100/'Skjema total MA'!F119*G119,0)</f>
        <v>32.221436303994217</v>
      </c>
      <c r="J119" s="183">
        <f t="shared" si="30"/>
        <v>5706595</v>
      </c>
      <c r="K119" s="183">
        <f t="shared" si="30"/>
        <v>7988840.091</v>
      </c>
      <c r="L119" s="342">
        <f t="shared" si="31"/>
        <v>40</v>
      </c>
      <c r="M119" s="8">
        <f>IFERROR(100/'Skjema total MA'!I119*K119,0)</f>
        <v>31.572552024654968</v>
      </c>
    </row>
    <row r="120" spans="1:13" x14ac:dyDescent="0.25">
      <c r="A120" s="18" t="s">
        <v>198</v>
      </c>
      <c r="B120" s="181">
        <v>41154</v>
      </c>
      <c r="C120" s="109">
        <v>-53565.909</v>
      </c>
      <c r="D120" s="123">
        <f t="shared" si="29"/>
        <v>-230.2</v>
      </c>
      <c r="E120" s="20">
        <f>IFERROR(100/'Skjema total MA'!C120*C120,0)</f>
        <v>-91.32688464329442</v>
      </c>
      <c r="F120" s="36"/>
      <c r="G120" s="109"/>
      <c r="H120" s="123"/>
      <c r="I120" s="20"/>
      <c r="J120" s="36">
        <f t="shared" si="30"/>
        <v>41154</v>
      </c>
      <c r="K120" s="36">
        <f t="shared" si="30"/>
        <v>-53565.909</v>
      </c>
      <c r="L120" s="206">
        <f t="shared" si="31"/>
        <v>-230.2</v>
      </c>
      <c r="M120" s="23">
        <f>IFERROR(100/'Skjema total MA'!I120*K120,0)</f>
        <v>-91.32688464329442</v>
      </c>
    </row>
    <row r="121" spans="1:13" x14ac:dyDescent="0.25">
      <c r="A121" s="18" t="s">
        <v>199</v>
      </c>
      <c r="B121" s="181"/>
      <c r="C121" s="109"/>
      <c r="D121" s="123"/>
      <c r="E121" s="20"/>
      <c r="F121" s="36">
        <v>5665441</v>
      </c>
      <c r="G121" s="109">
        <v>8042406</v>
      </c>
      <c r="H121" s="123">
        <f t="shared" si="32"/>
        <v>42</v>
      </c>
      <c r="I121" s="20">
        <f>IFERROR(100/'Skjema total MA'!F121*G121,0)</f>
        <v>32.221436303994217</v>
      </c>
      <c r="J121" s="36">
        <f t="shared" si="30"/>
        <v>5665441</v>
      </c>
      <c r="K121" s="36">
        <f t="shared" si="30"/>
        <v>8042406</v>
      </c>
      <c r="L121" s="206">
        <f t="shared" si="31"/>
        <v>42</v>
      </c>
      <c r="M121" s="23">
        <f>IFERROR(100/'Skjema total MA'!I121*K121,0)</f>
        <v>32.17330741829106</v>
      </c>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v>11965</v>
      </c>
      <c r="C124" s="181">
        <v>698.50900000000001</v>
      </c>
      <c r="D124" s="123">
        <f t="shared" si="29"/>
        <v>-94.2</v>
      </c>
      <c r="E124" s="20">
        <f>IFERROR(100/'Skjema total MA'!C124*C124,0)</f>
        <v>20.400969537378565</v>
      </c>
      <c r="F124" s="36"/>
      <c r="G124" s="181"/>
      <c r="H124" s="123"/>
      <c r="I124" s="20"/>
      <c r="J124" s="36">
        <f t="shared" si="30"/>
        <v>11965</v>
      </c>
      <c r="K124" s="36">
        <f t="shared" si="30"/>
        <v>698.50900000000001</v>
      </c>
      <c r="L124" s="206">
        <f t="shared" si="31"/>
        <v>-94.2</v>
      </c>
      <c r="M124" s="23">
        <f>IFERROR(100/'Skjema total MA'!I124*K124,0)</f>
        <v>3.3785934881291242</v>
      </c>
    </row>
    <row r="125" spans="1:13" ht="15.6" x14ac:dyDescent="0.25">
      <c r="A125" s="18" t="s">
        <v>210</v>
      </c>
      <c r="B125" s="181"/>
      <c r="C125" s="181"/>
      <c r="D125" s="123"/>
      <c r="E125" s="20"/>
      <c r="F125" s="36">
        <v>3851408.9146199999</v>
      </c>
      <c r="G125" s="181">
        <v>4463133.5684900004</v>
      </c>
      <c r="H125" s="123">
        <f t="shared" si="32"/>
        <v>15.9</v>
      </c>
      <c r="I125" s="20">
        <f>IFERROR(100/'Skjema total MA'!F125*G125,0)</f>
        <v>37.091207392273873</v>
      </c>
      <c r="J125" s="36">
        <f t="shared" si="30"/>
        <v>3851408.9146199999</v>
      </c>
      <c r="K125" s="36">
        <f t="shared" si="30"/>
        <v>4463133.5684900004</v>
      </c>
      <c r="L125" s="206">
        <f t="shared" si="31"/>
        <v>15.9</v>
      </c>
      <c r="M125" s="23">
        <f>IFERROR(100/'Skjema total MA'!I125*K125,0)</f>
        <v>37.090179820692086</v>
      </c>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8:D18"/>
    <mergeCell ref="F18:H18"/>
    <mergeCell ref="J18:L18"/>
    <mergeCell ref="B44:D44"/>
    <mergeCell ref="B2:D2"/>
    <mergeCell ref="F2:H2"/>
    <mergeCell ref="J2:L2"/>
    <mergeCell ref="B4:D4"/>
    <mergeCell ref="F4:H4"/>
    <mergeCell ref="J4:L4"/>
    <mergeCell ref="B19:D19"/>
    <mergeCell ref="F19:H19"/>
    <mergeCell ref="J19:L19"/>
    <mergeCell ref="D40:F40"/>
    <mergeCell ref="G40:I40"/>
    <mergeCell ref="J40:L40"/>
    <mergeCell ref="B62:D62"/>
    <mergeCell ref="F62:H62"/>
    <mergeCell ref="J62:L62"/>
    <mergeCell ref="B42:D42"/>
    <mergeCell ref="F42:H42"/>
    <mergeCell ref="J42:L42"/>
    <mergeCell ref="B131:D131"/>
    <mergeCell ref="F131:H131"/>
    <mergeCell ref="J131:L131"/>
    <mergeCell ref="B63:D63"/>
    <mergeCell ref="F63:H63"/>
    <mergeCell ref="J63:L63"/>
    <mergeCell ref="B130:D130"/>
    <mergeCell ref="F130:H130"/>
    <mergeCell ref="J130:L130"/>
  </mergeCells>
  <conditionalFormatting sqref="A50:A52">
    <cfRule type="expression" dxfId="475" priority="12">
      <formula>kvartal &lt; 4</formula>
    </cfRule>
  </conditionalFormatting>
  <conditionalFormatting sqref="A69:A74">
    <cfRule type="expression" dxfId="474" priority="10">
      <formula>kvartal &lt; 4</formula>
    </cfRule>
  </conditionalFormatting>
  <conditionalFormatting sqref="A80:A85">
    <cfRule type="expression" dxfId="473" priority="9">
      <formula>kvartal &lt; 4</formula>
    </cfRule>
  </conditionalFormatting>
  <conditionalFormatting sqref="A90:A95">
    <cfRule type="expression" dxfId="472" priority="6">
      <formula>kvartal &lt; 4</formula>
    </cfRule>
  </conditionalFormatting>
  <conditionalFormatting sqref="A101:A106">
    <cfRule type="expression" dxfId="471" priority="5">
      <formula>kvartal &lt; 4</formula>
    </cfRule>
  </conditionalFormatting>
  <conditionalFormatting sqref="A115:C115">
    <cfRule type="expression" dxfId="470" priority="4">
      <formula>kvartal &lt; 4</formula>
    </cfRule>
  </conditionalFormatting>
  <conditionalFormatting sqref="A123:C123">
    <cfRule type="expression" dxfId="469" priority="3">
      <formula>kvartal &lt; 4</formula>
    </cfRule>
  </conditionalFormatting>
  <conditionalFormatting sqref="B69:C69">
    <cfRule type="expression" dxfId="468" priority="99">
      <formula>kvartal &lt; 4</formula>
    </cfRule>
  </conditionalFormatting>
  <conditionalFormatting sqref="B72:C72">
    <cfRule type="expression" dxfId="467" priority="97">
      <formula>kvartal &lt; 4</formula>
    </cfRule>
  </conditionalFormatting>
  <conditionalFormatting sqref="F115:G115">
    <cfRule type="expression" dxfId="466" priority="57">
      <formula>kvartal &lt; 4</formula>
    </cfRule>
  </conditionalFormatting>
  <conditionalFormatting sqref="F123:G123">
    <cfRule type="expression" dxfId="465" priority="56">
      <formula>kvartal &lt; 4</formula>
    </cfRule>
  </conditionalFormatting>
  <conditionalFormatting sqref="J115:K115">
    <cfRule type="expression" dxfId="464" priority="32">
      <formula>kvartal &lt; 4</formula>
    </cfRule>
  </conditionalFormatting>
  <conditionalFormatting sqref="J123:K123">
    <cfRule type="expression" dxfId="463" priority="31">
      <formula>kvartal &lt; 4</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1DA9-89CE-4218-BAD2-ABC9A5D34523}">
  <sheetPr codeName="Ark8"/>
  <dimension ref="A1:N144"/>
  <sheetViews>
    <sheetView showGridLines="0" workbookViewId="0"/>
  </sheetViews>
  <sheetFormatPr baseColWidth="10" defaultColWidth="11.44140625" defaultRowHeight="13.2" x14ac:dyDescent="0.25"/>
  <cols>
    <col min="1" max="1" width="54.5546875" style="22" customWidth="1"/>
    <col min="2" max="2" width="10.6640625" style="22" customWidth="1"/>
    <col min="3" max="3" width="11" style="22" customWidth="1"/>
    <col min="4" max="5" width="8.6640625" style="22" customWidth="1"/>
    <col min="6" max="7" width="10.6640625" style="22" customWidth="1"/>
    <col min="8" max="9" width="8.6640625" style="22" customWidth="1"/>
    <col min="10" max="11" width="10.6640625" style="22" customWidth="1"/>
    <col min="12" max="13" width="8.6640625" style="22" customWidth="1"/>
    <col min="14" max="14" width="11.44140625" style="22"/>
    <col min="15" max="16384" width="11.44140625" style="1"/>
  </cols>
  <sheetData>
    <row r="1" spans="1:14" x14ac:dyDescent="0.25">
      <c r="A1" s="128" t="s">
        <v>221</v>
      </c>
      <c r="B1" s="558"/>
      <c r="C1" s="197" t="s">
        <v>48</v>
      </c>
    </row>
    <row r="2" spans="1:14" ht="15.6" x14ac:dyDescent="0.3">
      <c r="A2" s="110" t="s">
        <v>166</v>
      </c>
      <c r="B2" s="594"/>
      <c r="C2" s="594"/>
      <c r="D2" s="594"/>
      <c r="E2" s="242"/>
      <c r="F2" s="594"/>
      <c r="G2" s="594"/>
      <c r="H2" s="594"/>
      <c r="I2" s="242"/>
      <c r="J2" s="594"/>
      <c r="K2" s="594"/>
      <c r="L2" s="594"/>
      <c r="M2" s="242"/>
    </row>
    <row r="3" spans="1:14" ht="15.6" x14ac:dyDescent="0.3">
      <c r="A3" s="122"/>
      <c r="B3" s="242"/>
      <c r="C3" s="242"/>
      <c r="D3" s="242"/>
      <c r="E3" s="242"/>
      <c r="F3" s="242"/>
      <c r="G3" s="242"/>
      <c r="H3" s="242"/>
      <c r="I3" s="242"/>
      <c r="J3" s="242"/>
      <c r="K3" s="242"/>
      <c r="L3" s="242"/>
      <c r="M3" s="242"/>
    </row>
    <row r="4" spans="1:14" x14ac:dyDescent="0.25">
      <c r="A4" s="108"/>
      <c r="B4" s="590" t="s">
        <v>46</v>
      </c>
      <c r="C4" s="591"/>
      <c r="D4" s="591"/>
      <c r="E4" s="244"/>
      <c r="F4" s="590" t="s">
        <v>69</v>
      </c>
      <c r="G4" s="591"/>
      <c r="H4" s="591"/>
      <c r="I4" s="246"/>
      <c r="J4" s="590" t="s">
        <v>120</v>
      </c>
      <c r="K4" s="591"/>
      <c r="L4" s="591"/>
      <c r="M4" s="246"/>
    </row>
    <row r="5" spans="1:14" x14ac:dyDescent="0.25">
      <c r="A5" s="117"/>
      <c r="B5" s="113" t="s">
        <v>418</v>
      </c>
      <c r="C5" s="113" t="s">
        <v>419</v>
      </c>
      <c r="D5" s="193" t="s">
        <v>167</v>
      </c>
      <c r="E5" s="247" t="s">
        <v>85</v>
      </c>
      <c r="F5" s="113" t="s">
        <v>418</v>
      </c>
      <c r="G5" s="113" t="s">
        <v>419</v>
      </c>
      <c r="H5" s="193" t="s">
        <v>167</v>
      </c>
      <c r="I5" s="121" t="s">
        <v>85</v>
      </c>
      <c r="J5" s="113" t="s">
        <v>418</v>
      </c>
      <c r="K5" s="113" t="s">
        <v>419</v>
      </c>
      <c r="L5" s="193" t="s">
        <v>167</v>
      </c>
      <c r="M5" s="121" t="s">
        <v>85</v>
      </c>
    </row>
    <row r="6" spans="1:14" x14ac:dyDescent="0.25">
      <c r="A6" s="556"/>
      <c r="B6" s="116"/>
      <c r="C6" s="116"/>
      <c r="D6" s="195" t="s">
        <v>168</v>
      </c>
      <c r="E6" s="116" t="s">
        <v>88</v>
      </c>
      <c r="F6" s="120"/>
      <c r="G6" s="120"/>
      <c r="H6" s="193" t="s">
        <v>168</v>
      </c>
      <c r="I6" s="116" t="s">
        <v>88</v>
      </c>
      <c r="J6" s="120"/>
      <c r="K6" s="120"/>
      <c r="L6" s="193" t="s">
        <v>168</v>
      </c>
      <c r="M6" s="116" t="s">
        <v>88</v>
      </c>
    </row>
    <row r="7" spans="1:14" ht="15.6" x14ac:dyDescent="0.25">
      <c r="A7" s="11" t="s">
        <v>169</v>
      </c>
      <c r="B7" s="248"/>
      <c r="C7" s="249"/>
      <c r="D7" s="285"/>
      <c r="E7" s="8"/>
      <c r="F7" s="248"/>
      <c r="G7" s="249"/>
      <c r="H7" s="285"/>
      <c r="I7" s="119"/>
      <c r="J7" s="250"/>
      <c r="K7" s="251"/>
      <c r="L7" s="341"/>
      <c r="M7" s="8"/>
    </row>
    <row r="8" spans="1:14" ht="15.6" x14ac:dyDescent="0.25">
      <c r="A8" s="18" t="s">
        <v>170</v>
      </c>
      <c r="B8" s="228"/>
      <c r="C8" s="229"/>
      <c r="D8" s="123"/>
      <c r="E8" s="23"/>
      <c r="F8" s="232"/>
      <c r="G8" s="233"/>
      <c r="H8" s="123"/>
      <c r="I8" s="132"/>
      <c r="J8" s="181"/>
      <c r="K8" s="234"/>
      <c r="L8" s="123"/>
      <c r="M8" s="23"/>
    </row>
    <row r="9" spans="1:14" ht="15.6" x14ac:dyDescent="0.25">
      <c r="A9" s="18" t="s">
        <v>171</v>
      </c>
      <c r="B9" s="228"/>
      <c r="C9" s="229"/>
      <c r="D9" s="123"/>
      <c r="E9" s="23"/>
      <c r="F9" s="232"/>
      <c r="G9" s="233"/>
      <c r="H9" s="123"/>
      <c r="I9" s="132"/>
      <c r="J9" s="181"/>
      <c r="K9" s="234"/>
      <c r="L9" s="123"/>
      <c r="M9" s="23"/>
    </row>
    <row r="10" spans="1:14" ht="15.6" x14ac:dyDescent="0.25">
      <c r="A10" s="10" t="s">
        <v>172</v>
      </c>
      <c r="B10" s="252"/>
      <c r="C10" s="253"/>
      <c r="D10" s="127"/>
      <c r="E10" s="8"/>
      <c r="F10" s="252"/>
      <c r="G10" s="253"/>
      <c r="H10" s="127"/>
      <c r="I10" s="119"/>
      <c r="J10" s="250"/>
      <c r="K10" s="251"/>
      <c r="L10" s="342"/>
      <c r="M10" s="8"/>
    </row>
    <row r="11" spans="1:14" s="35" customFormat="1" ht="15.6" x14ac:dyDescent="0.25">
      <c r="A11" s="10" t="s">
        <v>173</v>
      </c>
      <c r="B11" s="252"/>
      <c r="C11" s="253"/>
      <c r="D11" s="127"/>
      <c r="E11" s="8"/>
      <c r="F11" s="252"/>
      <c r="G11" s="253"/>
      <c r="H11" s="127"/>
      <c r="I11" s="119"/>
      <c r="J11" s="250"/>
      <c r="K11" s="251"/>
      <c r="L11" s="342"/>
      <c r="M11" s="8"/>
      <c r="N11" s="107"/>
    </row>
    <row r="12" spans="1:14" s="35" customFormat="1" ht="15.6" x14ac:dyDescent="0.25">
      <c r="A12" s="33" t="s">
        <v>174</v>
      </c>
      <c r="B12" s="254"/>
      <c r="C12" s="255"/>
      <c r="D12" s="125"/>
      <c r="E12" s="30"/>
      <c r="F12" s="254"/>
      <c r="G12" s="255"/>
      <c r="H12" s="125"/>
      <c r="I12" s="125"/>
      <c r="J12" s="256"/>
      <c r="K12" s="257"/>
      <c r="L12" s="343"/>
      <c r="M12" s="30"/>
      <c r="N12" s="107"/>
    </row>
    <row r="13" spans="1:14" s="35" customFormat="1" x14ac:dyDescent="0.25">
      <c r="A13" s="107"/>
      <c r="B13" s="109"/>
      <c r="C13" s="27"/>
      <c r="D13" s="118"/>
      <c r="E13" s="118"/>
      <c r="F13" s="109"/>
      <c r="G13" s="27"/>
      <c r="H13" s="118"/>
      <c r="I13" s="118"/>
      <c r="J13" s="38"/>
      <c r="K13" s="38"/>
      <c r="L13" s="118"/>
      <c r="M13" s="118"/>
      <c r="N13" s="107"/>
    </row>
    <row r="14" spans="1:14" x14ac:dyDescent="0.25">
      <c r="A14" s="114" t="s">
        <v>175</v>
      </c>
    </row>
    <row r="16" spans="1:14" ht="15.6" x14ac:dyDescent="0.3">
      <c r="A16" s="115"/>
      <c r="C16" s="106"/>
      <c r="D16" s="106"/>
      <c r="E16" s="106"/>
      <c r="F16" s="106"/>
      <c r="G16" s="106"/>
      <c r="H16" s="106"/>
      <c r="I16" s="106"/>
      <c r="J16" s="106"/>
      <c r="K16" s="106"/>
      <c r="L16" s="106"/>
      <c r="M16" s="106"/>
    </row>
    <row r="17" spans="1:13" ht="15.6" x14ac:dyDescent="0.3">
      <c r="A17" s="110" t="s">
        <v>176</v>
      </c>
      <c r="B17" s="106"/>
      <c r="C17" s="106"/>
      <c r="D17" s="112"/>
      <c r="E17" s="112"/>
      <c r="F17" s="106"/>
      <c r="G17" s="106"/>
      <c r="H17" s="106"/>
      <c r="I17" s="106"/>
      <c r="J17" s="106"/>
      <c r="K17" s="106"/>
      <c r="L17" s="106"/>
      <c r="M17" s="106"/>
    </row>
    <row r="18" spans="1:13" ht="15.6" x14ac:dyDescent="0.3">
      <c r="B18" s="593"/>
      <c r="C18" s="593"/>
      <c r="D18" s="593"/>
      <c r="E18" s="242"/>
      <c r="F18" s="593"/>
      <c r="G18" s="593"/>
      <c r="H18" s="593"/>
      <c r="I18" s="242"/>
      <c r="J18" s="593"/>
      <c r="K18" s="593"/>
      <c r="L18" s="593"/>
      <c r="M18" s="242"/>
    </row>
    <row r="19" spans="1:13" x14ac:dyDescent="0.25">
      <c r="A19" s="108"/>
      <c r="B19" s="590" t="s">
        <v>46</v>
      </c>
      <c r="C19" s="591"/>
      <c r="D19" s="591"/>
      <c r="E19" s="244"/>
      <c r="F19" s="590" t="s">
        <v>69</v>
      </c>
      <c r="G19" s="591"/>
      <c r="H19" s="591"/>
      <c r="I19" s="246"/>
      <c r="J19" s="590" t="s">
        <v>120</v>
      </c>
      <c r="K19" s="591"/>
      <c r="L19" s="591"/>
      <c r="M19" s="246"/>
    </row>
    <row r="20" spans="1:13" x14ac:dyDescent="0.25">
      <c r="A20" s="105" t="s">
        <v>177</v>
      </c>
      <c r="B20" s="190" t="s">
        <v>418</v>
      </c>
      <c r="C20" s="190" t="s">
        <v>419</v>
      </c>
      <c r="D20" s="121" t="s">
        <v>167</v>
      </c>
      <c r="E20" s="247" t="s">
        <v>85</v>
      </c>
      <c r="F20" s="190" t="s">
        <v>418</v>
      </c>
      <c r="G20" s="190" t="s">
        <v>419</v>
      </c>
      <c r="H20" s="121" t="s">
        <v>167</v>
      </c>
      <c r="I20" s="121" t="s">
        <v>85</v>
      </c>
      <c r="J20" s="190" t="s">
        <v>418</v>
      </c>
      <c r="K20" s="190" t="s">
        <v>419</v>
      </c>
      <c r="L20" s="121" t="s">
        <v>167</v>
      </c>
      <c r="M20" s="121" t="s">
        <v>85</v>
      </c>
    </row>
    <row r="21" spans="1:13" x14ac:dyDescent="0.25">
      <c r="A21" s="557"/>
      <c r="B21" s="116"/>
      <c r="C21" s="116"/>
      <c r="D21" s="195" t="s">
        <v>168</v>
      </c>
      <c r="E21" s="334" t="s">
        <v>88</v>
      </c>
      <c r="F21" s="120"/>
      <c r="G21" s="120"/>
      <c r="H21" s="193" t="s">
        <v>168</v>
      </c>
      <c r="I21" s="116" t="s">
        <v>88</v>
      </c>
      <c r="J21" s="120"/>
      <c r="K21" s="120"/>
      <c r="L21" s="116" t="s">
        <v>168</v>
      </c>
      <c r="M21" s="116" t="s">
        <v>88</v>
      </c>
    </row>
    <row r="22" spans="1:13" ht="15.6" x14ac:dyDescent="0.25">
      <c r="A22" s="11" t="s">
        <v>169</v>
      </c>
      <c r="B22" s="252"/>
      <c r="C22" s="252"/>
      <c r="D22" s="285"/>
      <c r="E22" s="8"/>
      <c r="F22" s="260"/>
      <c r="G22" s="260"/>
      <c r="H22" s="285"/>
      <c r="I22" s="119"/>
      <c r="J22" s="258"/>
      <c r="K22" s="258"/>
      <c r="L22" s="341"/>
      <c r="M22" s="21"/>
    </row>
    <row r="23" spans="1:13" ht="15.6" x14ac:dyDescent="0.25">
      <c r="A23" s="382" t="s">
        <v>178</v>
      </c>
      <c r="B23" s="228"/>
      <c r="C23" s="228"/>
      <c r="D23" s="123"/>
      <c r="E23" s="8"/>
      <c r="F23" s="236"/>
      <c r="G23" s="236"/>
      <c r="H23" s="123"/>
      <c r="I23" s="187"/>
      <c r="J23" s="236"/>
      <c r="K23" s="236"/>
      <c r="L23" s="123"/>
      <c r="M23" s="20"/>
    </row>
    <row r="24" spans="1:13" ht="15.6" x14ac:dyDescent="0.25">
      <c r="A24" s="382" t="s">
        <v>179</v>
      </c>
      <c r="B24" s="228"/>
      <c r="C24" s="228"/>
      <c r="D24" s="123"/>
      <c r="E24" s="8"/>
      <c r="F24" s="236"/>
      <c r="G24" s="236"/>
      <c r="H24" s="123"/>
      <c r="I24" s="187"/>
      <c r="J24" s="236"/>
      <c r="K24" s="236"/>
      <c r="L24" s="123"/>
      <c r="M24" s="20"/>
    </row>
    <row r="25" spans="1:13" ht="15.6" x14ac:dyDescent="0.25">
      <c r="A25" s="382" t="s">
        <v>180</v>
      </c>
      <c r="B25" s="228"/>
      <c r="C25" s="228"/>
      <c r="D25" s="123"/>
      <c r="E25" s="8"/>
      <c r="F25" s="236"/>
      <c r="G25" s="236"/>
      <c r="H25" s="123"/>
      <c r="I25" s="187"/>
      <c r="J25" s="236"/>
      <c r="K25" s="236"/>
      <c r="L25" s="123"/>
      <c r="M25" s="20"/>
    </row>
    <row r="26" spans="1:13" ht="15.6" x14ac:dyDescent="0.25">
      <c r="A26" s="382" t="s">
        <v>181</v>
      </c>
      <c r="B26" s="228"/>
      <c r="C26" s="228"/>
      <c r="D26" s="123"/>
      <c r="E26" s="8"/>
      <c r="F26" s="236"/>
      <c r="G26" s="236"/>
      <c r="H26" s="123"/>
      <c r="I26" s="187"/>
      <c r="J26" s="236"/>
      <c r="K26" s="236"/>
      <c r="L26" s="123"/>
      <c r="M26" s="20"/>
    </row>
    <row r="27" spans="1:13" x14ac:dyDescent="0.25">
      <c r="A27" s="382" t="s">
        <v>182</v>
      </c>
      <c r="B27" s="228"/>
      <c r="C27" s="228"/>
      <c r="D27" s="123"/>
      <c r="E27" s="8"/>
      <c r="F27" s="236"/>
      <c r="G27" s="236"/>
      <c r="H27" s="123"/>
      <c r="I27" s="187"/>
      <c r="J27" s="236"/>
      <c r="K27" s="236"/>
      <c r="L27" s="123"/>
      <c r="M27" s="20"/>
    </row>
    <row r="28" spans="1:13" ht="15.6" x14ac:dyDescent="0.25">
      <c r="A28" s="39" t="s">
        <v>183</v>
      </c>
      <c r="B28" s="36"/>
      <c r="C28" s="234"/>
      <c r="D28" s="123"/>
      <c r="E28" s="8"/>
      <c r="F28" s="181"/>
      <c r="G28" s="234"/>
      <c r="H28" s="123"/>
      <c r="I28" s="132"/>
      <c r="J28" s="36"/>
      <c r="K28" s="36"/>
      <c r="L28" s="206"/>
      <c r="M28" s="20"/>
    </row>
    <row r="29" spans="1:13" ht="15.6" x14ac:dyDescent="0.25">
      <c r="A29" s="10" t="s">
        <v>172</v>
      </c>
      <c r="B29" s="183"/>
      <c r="C29" s="183"/>
      <c r="D29" s="127"/>
      <c r="E29" s="8"/>
      <c r="F29" s="250"/>
      <c r="G29" s="250"/>
      <c r="H29" s="127"/>
      <c r="I29" s="119"/>
      <c r="J29" s="183"/>
      <c r="K29" s="183"/>
      <c r="L29" s="342"/>
      <c r="M29" s="21"/>
    </row>
    <row r="30" spans="1:13" ht="15.6" x14ac:dyDescent="0.25">
      <c r="A30" s="382" t="s">
        <v>178</v>
      </c>
      <c r="B30" s="228"/>
      <c r="C30" s="228"/>
      <c r="D30" s="123"/>
      <c r="E30" s="8"/>
      <c r="F30" s="236"/>
      <c r="G30" s="236"/>
      <c r="H30" s="123"/>
      <c r="I30" s="187"/>
      <c r="J30" s="236"/>
      <c r="K30" s="236"/>
      <c r="L30" s="123"/>
      <c r="M30" s="20"/>
    </row>
    <row r="31" spans="1:13" ht="15.6" x14ac:dyDescent="0.25">
      <c r="A31" s="382" t="s">
        <v>179</v>
      </c>
      <c r="B31" s="228"/>
      <c r="C31" s="228"/>
      <c r="D31" s="123"/>
      <c r="E31" s="8"/>
      <c r="F31" s="236"/>
      <c r="G31" s="236"/>
      <c r="H31" s="123"/>
      <c r="I31" s="187"/>
      <c r="J31" s="236"/>
      <c r="K31" s="236"/>
      <c r="L31" s="123"/>
      <c r="M31" s="20"/>
    </row>
    <row r="32" spans="1:13" ht="15.6" x14ac:dyDescent="0.25">
      <c r="A32" s="382" t="s">
        <v>180</v>
      </c>
      <c r="B32" s="228"/>
      <c r="C32" s="228"/>
      <c r="D32" s="123"/>
      <c r="E32" s="8"/>
      <c r="F32" s="236"/>
      <c r="G32" s="236"/>
      <c r="H32" s="123"/>
      <c r="I32" s="187"/>
      <c r="J32" s="236"/>
      <c r="K32" s="236"/>
      <c r="L32" s="123"/>
      <c r="M32" s="20"/>
    </row>
    <row r="33" spans="1:13" ht="15.6" x14ac:dyDescent="0.25">
      <c r="A33" s="382" t="s">
        <v>181</v>
      </c>
      <c r="B33" s="228"/>
      <c r="C33" s="228"/>
      <c r="D33" s="123"/>
      <c r="E33" s="8"/>
      <c r="F33" s="236"/>
      <c r="G33" s="236"/>
      <c r="H33" s="123"/>
      <c r="I33" s="187"/>
      <c r="J33" s="236"/>
      <c r="K33" s="236"/>
      <c r="L33" s="123"/>
      <c r="M33" s="20"/>
    </row>
    <row r="34" spans="1:13" ht="15.6" x14ac:dyDescent="0.25">
      <c r="A34" s="10" t="s">
        <v>173</v>
      </c>
      <c r="B34" s="183"/>
      <c r="C34" s="251"/>
      <c r="D34" s="127"/>
      <c r="E34" s="8"/>
      <c r="F34" s="250"/>
      <c r="G34" s="251"/>
      <c r="H34" s="127"/>
      <c r="I34" s="119"/>
      <c r="J34" s="183"/>
      <c r="K34" s="183"/>
      <c r="L34" s="342"/>
      <c r="M34" s="21"/>
    </row>
    <row r="35" spans="1:13" ht="15.6" x14ac:dyDescent="0.25">
      <c r="A35" s="10" t="s">
        <v>174</v>
      </c>
      <c r="B35" s="183"/>
      <c r="C35" s="251"/>
      <c r="D35" s="127"/>
      <c r="E35" s="8"/>
      <c r="F35" s="250"/>
      <c r="G35" s="251"/>
      <c r="H35" s="127"/>
      <c r="I35" s="119"/>
      <c r="J35" s="183"/>
      <c r="K35" s="183"/>
      <c r="L35" s="342"/>
      <c r="M35" s="21"/>
    </row>
    <row r="36" spans="1:13" ht="15.6" x14ac:dyDescent="0.25">
      <c r="A36" s="9" t="s">
        <v>185</v>
      </c>
      <c r="B36" s="183"/>
      <c r="C36" s="251"/>
      <c r="D36" s="127"/>
      <c r="E36" s="8"/>
      <c r="F36" s="261"/>
      <c r="G36" s="262"/>
      <c r="H36" s="127"/>
      <c r="I36" s="344"/>
      <c r="J36" s="183"/>
      <c r="K36" s="183"/>
      <c r="L36" s="342"/>
      <c r="M36" s="21"/>
    </row>
    <row r="37" spans="1:13" ht="15.6" x14ac:dyDescent="0.25">
      <c r="A37" s="9" t="s">
        <v>186</v>
      </c>
      <c r="B37" s="183"/>
      <c r="C37" s="251"/>
      <c r="D37" s="127"/>
      <c r="E37" s="8"/>
      <c r="F37" s="261"/>
      <c r="G37" s="263"/>
      <c r="H37" s="127"/>
      <c r="I37" s="344"/>
      <c r="J37" s="183"/>
      <c r="K37" s="183"/>
      <c r="L37" s="342"/>
      <c r="M37" s="21"/>
    </row>
    <row r="38" spans="1:13" ht="15.6" x14ac:dyDescent="0.25">
      <c r="A38" s="9" t="s">
        <v>187</v>
      </c>
      <c r="B38" s="183"/>
      <c r="C38" s="251"/>
      <c r="D38" s="127"/>
      <c r="E38" s="21"/>
      <c r="F38" s="261"/>
      <c r="G38" s="262"/>
      <c r="H38" s="127"/>
      <c r="I38" s="344"/>
      <c r="J38" s="183"/>
      <c r="K38" s="183"/>
      <c r="L38" s="342"/>
      <c r="M38" s="21"/>
    </row>
    <row r="39" spans="1:13" ht="15.6" x14ac:dyDescent="0.25">
      <c r="A39" s="15" t="s">
        <v>188</v>
      </c>
      <c r="B39" s="223"/>
      <c r="C39" s="257"/>
      <c r="D39" s="125"/>
      <c r="E39" s="30"/>
      <c r="F39" s="264"/>
      <c r="G39" s="265"/>
      <c r="H39" s="125"/>
      <c r="I39" s="125"/>
      <c r="J39" s="183"/>
      <c r="K39" s="183"/>
      <c r="L39" s="343"/>
      <c r="M39" s="30"/>
    </row>
    <row r="40" spans="1:13" ht="15.6" x14ac:dyDescent="0.3">
      <c r="A40" s="35"/>
      <c r="B40" s="205"/>
      <c r="C40" s="205"/>
      <c r="D40" s="595"/>
      <c r="E40" s="595"/>
      <c r="F40" s="595"/>
      <c r="G40" s="595"/>
      <c r="H40" s="595"/>
      <c r="I40" s="595"/>
      <c r="J40" s="595"/>
      <c r="K40" s="595"/>
      <c r="L40" s="595"/>
      <c r="M40" s="242"/>
    </row>
    <row r="41" spans="1:13" x14ac:dyDescent="0.25">
      <c r="A41" s="115"/>
    </row>
    <row r="42" spans="1:13" ht="15.6" x14ac:dyDescent="0.3">
      <c r="A42" s="110" t="s">
        <v>189</v>
      </c>
      <c r="B42" s="594"/>
      <c r="C42" s="594"/>
      <c r="D42" s="594"/>
      <c r="E42" s="242"/>
      <c r="F42" s="594"/>
      <c r="G42" s="594"/>
      <c r="H42" s="594"/>
      <c r="I42" s="242"/>
      <c r="J42" s="594"/>
      <c r="K42" s="594"/>
      <c r="L42" s="594"/>
      <c r="M42" s="242"/>
    </row>
    <row r="43" spans="1:13" ht="15.6" x14ac:dyDescent="0.3">
      <c r="A43" s="122"/>
      <c r="B43" s="245"/>
      <c r="C43" s="245"/>
      <c r="D43" s="245"/>
      <c r="E43" s="245"/>
      <c r="F43" s="242"/>
      <c r="G43" s="242"/>
      <c r="H43" s="242"/>
      <c r="I43" s="242"/>
      <c r="J43" s="242"/>
      <c r="K43" s="242"/>
      <c r="L43" s="242"/>
      <c r="M43" s="242"/>
    </row>
    <row r="44" spans="1:13" ht="15.6" x14ac:dyDescent="0.3">
      <c r="A44" s="196"/>
      <c r="B44" s="590" t="s">
        <v>46</v>
      </c>
      <c r="C44" s="591"/>
      <c r="D44" s="591"/>
      <c r="E44" s="191"/>
      <c r="F44" s="242"/>
      <c r="G44" s="242"/>
      <c r="H44" s="242"/>
      <c r="I44" s="242"/>
      <c r="J44" s="242"/>
      <c r="K44" s="242"/>
      <c r="L44" s="242"/>
      <c r="M44" s="242"/>
    </row>
    <row r="45" spans="1:13" x14ac:dyDescent="0.25">
      <c r="A45" s="105"/>
      <c r="B45" s="129" t="s">
        <v>418</v>
      </c>
      <c r="C45" s="129" t="s">
        <v>419</v>
      </c>
      <c r="D45" s="121" t="s">
        <v>167</v>
      </c>
      <c r="E45" s="121" t="s">
        <v>85</v>
      </c>
      <c r="F45" s="131"/>
      <c r="G45" s="131"/>
      <c r="H45" s="130"/>
      <c r="I45" s="130"/>
      <c r="J45" s="131"/>
      <c r="K45" s="131"/>
      <c r="L45" s="130"/>
      <c r="M45" s="130"/>
    </row>
    <row r="46" spans="1:13" x14ac:dyDescent="0.25">
      <c r="A46" s="557"/>
      <c r="B46" s="192"/>
      <c r="C46" s="192"/>
      <c r="D46" s="193" t="s">
        <v>168</v>
      </c>
      <c r="E46" s="116" t="s">
        <v>88</v>
      </c>
      <c r="F46" s="130"/>
      <c r="G46" s="130"/>
      <c r="H46" s="130"/>
      <c r="I46" s="130"/>
      <c r="J46" s="130"/>
      <c r="K46" s="130"/>
      <c r="L46" s="130"/>
      <c r="M46" s="130"/>
    </row>
    <row r="47" spans="1:13" ht="15.6" x14ac:dyDescent="0.25">
      <c r="A47" s="11" t="s">
        <v>169</v>
      </c>
      <c r="B47" s="252">
        <v>30761</v>
      </c>
      <c r="C47" s="253">
        <v>46204</v>
      </c>
      <c r="D47" s="341">
        <f t="shared" ref="D47:D55" si="0">IF(B47=0, "    ---- ", IF(ABS(ROUND(100/B47*C47-100,1))&lt;999,ROUND(100/B47*C47-100,1),IF(ROUND(100/B47*C47-100,1)&gt;999,999,-999)))</f>
        <v>50.2</v>
      </c>
      <c r="E47" s="8">
        <f>IFERROR(100/'Skjema total MA'!C47*C47,0)</f>
        <v>0.93304196301793219</v>
      </c>
      <c r="F47" s="109"/>
      <c r="G47" s="27"/>
      <c r="H47" s="118"/>
      <c r="I47" s="118"/>
      <c r="J47" s="31"/>
      <c r="K47" s="31"/>
      <c r="L47" s="118"/>
      <c r="M47" s="118"/>
    </row>
    <row r="48" spans="1:13" ht="15.6" x14ac:dyDescent="0.25">
      <c r="A48" s="18" t="s">
        <v>190</v>
      </c>
      <c r="B48" s="228">
        <v>30495</v>
      </c>
      <c r="C48" s="229">
        <v>45965</v>
      </c>
      <c r="D48" s="206">
        <f t="shared" si="0"/>
        <v>50.7</v>
      </c>
      <c r="E48" s="23">
        <f>IFERROR(100/'Skjema total MA'!C48*C48,0)</f>
        <v>1.9121911962778353</v>
      </c>
      <c r="F48" s="109"/>
      <c r="G48" s="27"/>
      <c r="H48" s="109"/>
      <c r="I48" s="109"/>
      <c r="J48" s="27"/>
      <c r="K48" s="27"/>
      <c r="L48" s="118"/>
      <c r="M48" s="118"/>
    </row>
    <row r="49" spans="1:13" ht="15.6" x14ac:dyDescent="0.25">
      <c r="A49" s="18" t="s">
        <v>191</v>
      </c>
      <c r="B49" s="36">
        <v>266</v>
      </c>
      <c r="C49" s="234">
        <v>239</v>
      </c>
      <c r="D49" s="206">
        <f>IF(B49=0, "    ---- ", IF(ABS(ROUND(100/B49*C49-100,1))&lt;999,ROUND(100/B49*C49-100,1),IF(ROUND(100/B49*C49-100,1)&gt;999,999,-999)))</f>
        <v>-10.199999999999999</v>
      </c>
      <c r="E49" s="23">
        <f>IFERROR(100/'Skjema total MA'!C49*C49,0)</f>
        <v>9.379214998887421E-3</v>
      </c>
      <c r="F49" s="109"/>
      <c r="G49" s="27"/>
      <c r="H49" s="109"/>
      <c r="I49" s="109"/>
      <c r="J49" s="31"/>
      <c r="K49" s="31"/>
      <c r="L49" s="118"/>
      <c r="M49" s="118"/>
    </row>
    <row r="50" spans="1:13" x14ac:dyDescent="0.25">
      <c r="A50" s="240" t="s">
        <v>192</v>
      </c>
      <c r="B50" s="239"/>
      <c r="C50" s="239"/>
      <c r="D50" s="206"/>
      <c r="E50" s="20"/>
      <c r="F50" s="109"/>
      <c r="G50" s="27"/>
      <c r="H50" s="109"/>
      <c r="I50" s="109"/>
      <c r="J50" s="27"/>
      <c r="K50" s="27"/>
      <c r="L50" s="118"/>
      <c r="M50" s="118"/>
    </row>
    <row r="51" spans="1:13" x14ac:dyDescent="0.25">
      <c r="A51" s="240" t="s">
        <v>193</v>
      </c>
      <c r="B51" s="239"/>
      <c r="C51" s="239"/>
      <c r="D51" s="206"/>
      <c r="E51" s="20"/>
      <c r="F51" s="109"/>
      <c r="G51" s="27"/>
      <c r="H51" s="109"/>
      <c r="I51" s="109"/>
      <c r="J51" s="27"/>
      <c r="K51" s="27"/>
      <c r="L51" s="118"/>
      <c r="M51" s="118"/>
    </row>
    <row r="52" spans="1:13" x14ac:dyDescent="0.25">
      <c r="A52" s="240" t="s">
        <v>194</v>
      </c>
      <c r="B52" s="239"/>
      <c r="C52" s="239"/>
      <c r="D52" s="206"/>
      <c r="E52" s="20"/>
      <c r="F52" s="109"/>
      <c r="G52" s="27"/>
      <c r="H52" s="109"/>
      <c r="I52" s="109"/>
      <c r="J52" s="27"/>
      <c r="K52" s="27"/>
      <c r="L52" s="118"/>
      <c r="M52" s="118"/>
    </row>
    <row r="53" spans="1:13" ht="15.6" x14ac:dyDescent="0.25">
      <c r="A53" s="10" t="s">
        <v>195</v>
      </c>
      <c r="B53" s="252">
        <v>30761</v>
      </c>
      <c r="C53" s="253">
        <v>46204</v>
      </c>
      <c r="D53" s="342">
        <f t="shared" si="0"/>
        <v>50.2</v>
      </c>
      <c r="E53" s="8">
        <f>IFERROR(100/'Skjema total MA'!C53*C53,0)</f>
        <v>35.297684139142547</v>
      </c>
      <c r="F53" s="109"/>
      <c r="G53" s="27"/>
      <c r="H53" s="109"/>
      <c r="I53" s="109"/>
      <c r="J53" s="27"/>
      <c r="K53" s="27"/>
      <c r="L53" s="118"/>
      <c r="M53" s="118"/>
    </row>
    <row r="54" spans="1:13" ht="15.6" x14ac:dyDescent="0.25">
      <c r="A54" s="18" t="s">
        <v>190</v>
      </c>
      <c r="B54" s="228">
        <v>30495</v>
      </c>
      <c r="C54" s="229">
        <v>45965</v>
      </c>
      <c r="D54" s="206">
        <f t="shared" si="0"/>
        <v>50.7</v>
      </c>
      <c r="E54" s="23">
        <f>IFERROR(100/'Skjema total MA'!C54*C54,0)</f>
        <v>35.179809390106094</v>
      </c>
      <c r="F54" s="109"/>
      <c r="G54" s="27"/>
      <c r="H54" s="109"/>
      <c r="I54" s="109"/>
      <c r="J54" s="27"/>
      <c r="K54" s="27"/>
      <c r="L54" s="118"/>
      <c r="M54" s="118"/>
    </row>
    <row r="55" spans="1:13" ht="15.6" x14ac:dyDescent="0.25">
      <c r="A55" s="18" t="s">
        <v>191</v>
      </c>
      <c r="B55" s="228">
        <v>266</v>
      </c>
      <c r="C55" s="229">
        <v>239</v>
      </c>
      <c r="D55" s="206">
        <f t="shared" si="0"/>
        <v>-10.199999999999999</v>
      </c>
      <c r="E55" s="23">
        <f>IFERROR(100/'Skjema total MA'!C55*C55,0)</f>
        <v>99.262797217319076</v>
      </c>
      <c r="F55" s="109"/>
      <c r="G55" s="27"/>
      <c r="H55" s="109"/>
      <c r="I55" s="109"/>
      <c r="J55" s="27"/>
      <c r="K55" s="27"/>
      <c r="L55" s="118"/>
      <c r="M55" s="118"/>
    </row>
    <row r="56" spans="1:13" ht="15.6" x14ac:dyDescent="0.25">
      <c r="A56" s="10" t="s">
        <v>196</v>
      </c>
      <c r="B56" s="252"/>
      <c r="C56" s="253"/>
      <c r="D56" s="342"/>
      <c r="E56" s="8"/>
      <c r="F56" s="109"/>
      <c r="G56" s="27"/>
      <c r="H56" s="109"/>
      <c r="I56" s="109"/>
      <c r="J56" s="27"/>
      <c r="K56" s="27"/>
      <c r="L56" s="118"/>
      <c r="M56" s="118"/>
    </row>
    <row r="57" spans="1:13" ht="15.6" x14ac:dyDescent="0.25">
      <c r="A57" s="18" t="s">
        <v>190</v>
      </c>
      <c r="B57" s="228"/>
      <c r="C57" s="229"/>
      <c r="D57" s="206"/>
      <c r="E57" s="23"/>
      <c r="F57" s="109"/>
      <c r="G57" s="27"/>
      <c r="H57" s="109"/>
      <c r="I57" s="109"/>
      <c r="J57" s="27"/>
      <c r="K57" s="27"/>
      <c r="L57" s="118"/>
      <c r="M57" s="118"/>
    </row>
    <row r="58" spans="1:13" ht="15.6" x14ac:dyDescent="0.25">
      <c r="A58" s="7" t="s">
        <v>191</v>
      </c>
      <c r="B58" s="230"/>
      <c r="C58" s="231"/>
      <c r="D58" s="207"/>
      <c r="E58" s="19"/>
      <c r="F58" s="109"/>
      <c r="G58" s="27"/>
      <c r="H58" s="109"/>
      <c r="I58" s="109"/>
      <c r="J58" s="27"/>
      <c r="K58" s="27"/>
      <c r="L58" s="118"/>
      <c r="M58" s="118"/>
    </row>
    <row r="59" spans="1:13" ht="15.6" x14ac:dyDescent="0.3">
      <c r="A59" s="115"/>
      <c r="B59" s="106"/>
      <c r="C59" s="106"/>
      <c r="D59" s="106"/>
      <c r="E59" s="106"/>
      <c r="F59" s="106"/>
      <c r="G59" s="106"/>
      <c r="H59" s="106"/>
      <c r="I59" s="106"/>
      <c r="J59" s="106"/>
      <c r="K59" s="106"/>
      <c r="L59" s="106"/>
      <c r="M59" s="106"/>
    </row>
    <row r="60" spans="1:13" x14ac:dyDescent="0.25">
      <c r="A60" s="115"/>
    </row>
    <row r="61" spans="1:13" ht="15.6" x14ac:dyDescent="0.3">
      <c r="A61" s="110" t="s">
        <v>197</v>
      </c>
    </row>
    <row r="62" spans="1:13" ht="15.6" x14ac:dyDescent="0.3">
      <c r="B62" s="593"/>
      <c r="C62" s="593"/>
      <c r="D62" s="593"/>
      <c r="E62" s="242"/>
      <c r="F62" s="593"/>
      <c r="G62" s="593"/>
      <c r="H62" s="593"/>
      <c r="I62" s="242"/>
      <c r="J62" s="593"/>
      <c r="K62" s="593"/>
      <c r="L62" s="593"/>
      <c r="M62" s="242"/>
    </row>
    <row r="63" spans="1:13" x14ac:dyDescent="0.25">
      <c r="A63" s="108"/>
      <c r="B63" s="590" t="s">
        <v>46</v>
      </c>
      <c r="C63" s="591"/>
      <c r="D63" s="592"/>
      <c r="E63" s="243"/>
      <c r="F63" s="591" t="s">
        <v>69</v>
      </c>
      <c r="G63" s="591"/>
      <c r="H63" s="591"/>
      <c r="I63" s="246"/>
      <c r="J63" s="590" t="s">
        <v>120</v>
      </c>
      <c r="K63" s="591"/>
      <c r="L63" s="591"/>
      <c r="M63" s="246"/>
    </row>
    <row r="64" spans="1:13" x14ac:dyDescent="0.25">
      <c r="A64" s="105"/>
      <c r="B64" s="113" t="s">
        <v>418</v>
      </c>
      <c r="C64" s="113" t="s">
        <v>419</v>
      </c>
      <c r="D64" s="193" t="s">
        <v>167</v>
      </c>
      <c r="E64" s="247" t="s">
        <v>85</v>
      </c>
      <c r="F64" s="113" t="s">
        <v>418</v>
      </c>
      <c r="G64" s="113" t="s">
        <v>419</v>
      </c>
      <c r="H64" s="193" t="s">
        <v>167</v>
      </c>
      <c r="I64" s="247" t="s">
        <v>85</v>
      </c>
      <c r="J64" s="113" t="s">
        <v>418</v>
      </c>
      <c r="K64" s="113" t="s">
        <v>419</v>
      </c>
      <c r="L64" s="193" t="s">
        <v>167</v>
      </c>
      <c r="M64" s="121" t="s">
        <v>85</v>
      </c>
    </row>
    <row r="65" spans="1:13" x14ac:dyDescent="0.25">
      <c r="A65" s="557"/>
      <c r="B65" s="116"/>
      <c r="C65" s="116"/>
      <c r="D65" s="195" t="s">
        <v>168</v>
      </c>
      <c r="E65" s="116" t="s">
        <v>88</v>
      </c>
      <c r="F65" s="120"/>
      <c r="G65" s="120"/>
      <c r="H65" s="193" t="s">
        <v>168</v>
      </c>
      <c r="I65" s="116" t="s">
        <v>88</v>
      </c>
      <c r="J65" s="120"/>
      <c r="K65" s="157"/>
      <c r="L65" s="116" t="s">
        <v>168</v>
      </c>
      <c r="M65" s="116" t="s">
        <v>88</v>
      </c>
    </row>
    <row r="66" spans="1:13" ht="15.6" x14ac:dyDescent="0.25">
      <c r="A66" s="11" t="s">
        <v>169</v>
      </c>
      <c r="B66" s="288"/>
      <c r="C66" s="288"/>
      <c r="D66" s="285"/>
      <c r="E66" s="559"/>
      <c r="F66" s="560"/>
      <c r="G66" s="287"/>
      <c r="H66" s="285"/>
      <c r="I66" s="559"/>
      <c r="J66" s="258"/>
      <c r="K66" s="258"/>
      <c r="L66" s="342"/>
      <c r="M66" s="8"/>
    </row>
    <row r="67" spans="1:13" x14ac:dyDescent="0.25">
      <c r="A67" s="18" t="s">
        <v>198</v>
      </c>
      <c r="B67" s="36"/>
      <c r="C67" s="109"/>
      <c r="D67" s="123"/>
      <c r="E67" s="20"/>
      <c r="F67" s="36"/>
      <c r="G67" s="109"/>
      <c r="H67" s="123"/>
      <c r="I67" s="20"/>
      <c r="J67" s="36"/>
      <c r="K67" s="36"/>
      <c r="L67" s="206"/>
      <c r="M67" s="23"/>
    </row>
    <row r="68" spans="1:13" x14ac:dyDescent="0.25">
      <c r="A68" s="18" t="s">
        <v>199</v>
      </c>
      <c r="B68" s="237"/>
      <c r="C68" s="238"/>
      <c r="D68" s="123"/>
      <c r="E68" s="20"/>
      <c r="F68" s="142"/>
      <c r="G68" s="238"/>
      <c r="H68" s="123"/>
      <c r="I68" s="20"/>
      <c r="J68" s="36"/>
      <c r="K68" s="36"/>
      <c r="L68" s="206"/>
      <c r="M68" s="23"/>
    </row>
    <row r="69" spans="1:13" ht="15.6" x14ac:dyDescent="0.25">
      <c r="A69" s="240" t="s">
        <v>200</v>
      </c>
      <c r="B69" s="239"/>
      <c r="C69" s="239"/>
      <c r="D69" s="123"/>
      <c r="E69" s="20"/>
      <c r="F69" s="561"/>
      <c r="G69" s="239"/>
      <c r="H69" s="123"/>
      <c r="I69" s="20"/>
      <c r="J69" s="561"/>
      <c r="K69" s="239"/>
      <c r="L69" s="123"/>
      <c r="M69" s="20"/>
    </row>
    <row r="70" spans="1:13" x14ac:dyDescent="0.25">
      <c r="A70" s="240" t="s">
        <v>201</v>
      </c>
      <c r="B70" s="239"/>
      <c r="C70" s="239"/>
      <c r="D70" s="123"/>
      <c r="E70" s="20"/>
      <c r="F70" s="561"/>
      <c r="G70" s="239"/>
      <c r="H70" s="123"/>
      <c r="I70" s="20"/>
      <c r="J70" s="561"/>
      <c r="K70" s="239"/>
      <c r="L70" s="123"/>
      <c r="M70" s="20"/>
    </row>
    <row r="71" spans="1:13" x14ac:dyDescent="0.25">
      <c r="A71" s="240" t="s">
        <v>202</v>
      </c>
      <c r="B71" s="239"/>
      <c r="C71" s="239"/>
      <c r="D71" s="123"/>
      <c r="E71" s="20"/>
      <c r="F71" s="561"/>
      <c r="G71" s="239"/>
      <c r="H71" s="123"/>
      <c r="I71" s="20"/>
      <c r="J71" s="561"/>
      <c r="K71" s="239"/>
      <c r="L71" s="123"/>
      <c r="M71" s="20"/>
    </row>
    <row r="72" spans="1:13" ht="15.6" x14ac:dyDescent="0.25">
      <c r="A72" s="240" t="s">
        <v>203</v>
      </c>
      <c r="B72" s="239"/>
      <c r="C72" s="239"/>
      <c r="D72" s="123"/>
      <c r="E72" s="20"/>
      <c r="F72" s="561"/>
      <c r="G72" s="239"/>
      <c r="H72" s="123"/>
      <c r="I72" s="20"/>
      <c r="J72" s="561"/>
      <c r="K72" s="239"/>
      <c r="L72" s="123"/>
      <c r="M72" s="20"/>
    </row>
    <row r="73" spans="1:13" x14ac:dyDescent="0.25">
      <c r="A73" s="240" t="s">
        <v>201</v>
      </c>
      <c r="B73" s="182"/>
      <c r="C73" s="235"/>
      <c r="D73" s="123"/>
      <c r="E73" s="20"/>
      <c r="F73" s="561"/>
      <c r="G73" s="239"/>
      <c r="H73" s="123"/>
      <c r="I73" s="20"/>
      <c r="J73" s="561"/>
      <c r="K73" s="239"/>
      <c r="L73" s="123"/>
      <c r="M73" s="20"/>
    </row>
    <row r="74" spans="1:13" x14ac:dyDescent="0.25">
      <c r="A74" s="240" t="s">
        <v>202</v>
      </c>
      <c r="B74" s="182"/>
      <c r="C74" s="235"/>
      <c r="D74" s="123"/>
      <c r="E74" s="20"/>
      <c r="F74" s="561"/>
      <c r="G74" s="239"/>
      <c r="H74" s="123"/>
      <c r="I74" s="20"/>
      <c r="J74" s="561"/>
      <c r="K74" s="239"/>
      <c r="L74" s="123"/>
      <c r="M74" s="20"/>
    </row>
    <row r="75" spans="1:13" x14ac:dyDescent="0.25">
      <c r="A75" s="18" t="s">
        <v>204</v>
      </c>
      <c r="B75" s="181"/>
      <c r="C75" s="109"/>
      <c r="D75" s="123"/>
      <c r="E75" s="20"/>
      <c r="F75" s="36"/>
      <c r="G75" s="109"/>
      <c r="H75" s="123"/>
      <c r="I75" s="20"/>
      <c r="J75" s="36"/>
      <c r="K75" s="36"/>
      <c r="L75" s="206"/>
      <c r="M75" s="23"/>
    </row>
    <row r="76" spans="1:13" ht="15.6" x14ac:dyDescent="0.25">
      <c r="A76" s="18" t="s">
        <v>410</v>
      </c>
      <c r="B76" s="181"/>
      <c r="C76" s="109"/>
      <c r="D76" s="123"/>
      <c r="E76" s="20"/>
      <c r="F76" s="36"/>
      <c r="G76" s="109"/>
      <c r="H76" s="123"/>
      <c r="I76" s="20"/>
      <c r="J76" s="36"/>
      <c r="K76" s="36"/>
      <c r="L76" s="206"/>
      <c r="M76" s="23"/>
    </row>
    <row r="77" spans="1:13" ht="15.6" x14ac:dyDescent="0.25">
      <c r="A77" s="18" t="s">
        <v>206</v>
      </c>
      <c r="B77" s="181"/>
      <c r="C77" s="181"/>
      <c r="D77" s="123"/>
      <c r="E77" s="20"/>
      <c r="F77" s="36"/>
      <c r="G77" s="109"/>
      <c r="H77" s="123"/>
      <c r="I77" s="20"/>
      <c r="J77" s="36"/>
      <c r="K77" s="36"/>
      <c r="L77" s="206"/>
      <c r="M77" s="23"/>
    </row>
    <row r="78" spans="1:13" x14ac:dyDescent="0.25">
      <c r="A78" s="18" t="s">
        <v>198</v>
      </c>
      <c r="B78" s="181"/>
      <c r="C78" s="109"/>
      <c r="D78" s="123"/>
      <c r="E78" s="20"/>
      <c r="F78" s="36"/>
      <c r="G78" s="109"/>
      <c r="H78" s="123"/>
      <c r="I78" s="20"/>
      <c r="J78" s="36"/>
      <c r="K78" s="36"/>
      <c r="L78" s="206"/>
      <c r="M78" s="23"/>
    </row>
    <row r="79" spans="1:13" x14ac:dyDescent="0.25">
      <c r="A79" s="18" t="s">
        <v>207</v>
      </c>
      <c r="B79" s="237"/>
      <c r="C79" s="238"/>
      <c r="D79" s="123"/>
      <c r="E79" s="20"/>
      <c r="F79" s="142"/>
      <c r="G79" s="238"/>
      <c r="H79" s="123"/>
      <c r="I79" s="20"/>
      <c r="J79" s="36"/>
      <c r="K79" s="36"/>
      <c r="L79" s="206"/>
      <c r="M79" s="23"/>
    </row>
    <row r="80" spans="1:13" ht="15.6" x14ac:dyDescent="0.25">
      <c r="A80" s="240" t="s">
        <v>200</v>
      </c>
      <c r="B80" s="239"/>
      <c r="C80" s="239"/>
      <c r="D80" s="123"/>
      <c r="E80" s="20"/>
      <c r="F80" s="561"/>
      <c r="G80" s="239"/>
      <c r="H80" s="123"/>
      <c r="I80" s="20"/>
      <c r="J80" s="561"/>
      <c r="K80" s="239"/>
      <c r="L80" s="123"/>
      <c r="M80" s="20"/>
    </row>
    <row r="81" spans="1:13" x14ac:dyDescent="0.25">
      <c r="A81" s="240" t="s">
        <v>201</v>
      </c>
      <c r="B81" s="239"/>
      <c r="C81" s="239"/>
      <c r="D81" s="123"/>
      <c r="E81" s="20"/>
      <c r="F81" s="561"/>
      <c r="G81" s="239"/>
      <c r="H81" s="123"/>
      <c r="I81" s="20"/>
      <c r="J81" s="561"/>
      <c r="K81" s="239"/>
      <c r="L81" s="123"/>
      <c r="M81" s="20"/>
    </row>
    <row r="82" spans="1:13" x14ac:dyDescent="0.25">
      <c r="A82" s="240" t="s">
        <v>202</v>
      </c>
      <c r="B82" s="239"/>
      <c r="C82" s="239"/>
      <c r="D82" s="123"/>
      <c r="E82" s="20"/>
      <c r="F82" s="561"/>
      <c r="G82" s="239"/>
      <c r="H82" s="123"/>
      <c r="I82" s="20"/>
      <c r="J82" s="561"/>
      <c r="K82" s="239"/>
      <c r="L82" s="123"/>
      <c r="M82" s="20"/>
    </row>
    <row r="83" spans="1:13" ht="15.6" x14ac:dyDescent="0.25">
      <c r="A83" s="240" t="s">
        <v>203</v>
      </c>
      <c r="B83" s="239"/>
      <c r="C83" s="239"/>
      <c r="D83" s="123"/>
      <c r="E83" s="20"/>
      <c r="F83" s="561"/>
      <c r="G83" s="239"/>
      <c r="H83" s="123"/>
      <c r="I83" s="20"/>
      <c r="J83" s="561"/>
      <c r="K83" s="239"/>
      <c r="L83" s="123"/>
      <c r="M83" s="20"/>
    </row>
    <row r="84" spans="1:13" x14ac:dyDescent="0.25">
      <c r="A84" s="240" t="s">
        <v>201</v>
      </c>
      <c r="B84" s="182"/>
      <c r="C84" s="235"/>
      <c r="D84" s="123"/>
      <c r="E84" s="20"/>
      <c r="F84" s="561"/>
      <c r="G84" s="239"/>
      <c r="H84" s="123"/>
      <c r="I84" s="20"/>
      <c r="J84" s="561"/>
      <c r="K84" s="239"/>
      <c r="L84" s="123"/>
      <c r="M84" s="20"/>
    </row>
    <row r="85" spans="1:13" x14ac:dyDescent="0.25">
      <c r="A85" s="240" t="s">
        <v>202</v>
      </c>
      <c r="B85" s="182"/>
      <c r="C85" s="235"/>
      <c r="D85" s="123"/>
      <c r="E85" s="20"/>
      <c r="F85" s="561"/>
      <c r="G85" s="239"/>
      <c r="H85" s="123"/>
      <c r="I85" s="20"/>
      <c r="J85" s="561"/>
      <c r="K85" s="239"/>
      <c r="L85" s="123"/>
      <c r="M85" s="20"/>
    </row>
    <row r="86" spans="1:13" ht="15.6" x14ac:dyDescent="0.25">
      <c r="A86" s="18" t="s">
        <v>208</v>
      </c>
      <c r="B86" s="181"/>
      <c r="C86" s="109"/>
      <c r="D86" s="123"/>
      <c r="E86" s="20"/>
      <c r="F86" s="36"/>
      <c r="G86" s="109"/>
      <c r="H86" s="123"/>
      <c r="I86" s="20"/>
      <c r="J86" s="36"/>
      <c r="K86" s="36"/>
      <c r="L86" s="206"/>
      <c r="M86" s="23"/>
    </row>
    <row r="87" spans="1:13" ht="15.6" x14ac:dyDescent="0.25">
      <c r="A87" s="10" t="s">
        <v>172</v>
      </c>
      <c r="B87" s="288"/>
      <c r="C87" s="288"/>
      <c r="D87" s="127"/>
      <c r="E87" s="21"/>
      <c r="F87" s="225"/>
      <c r="G87" s="287"/>
      <c r="H87" s="127"/>
      <c r="I87" s="21"/>
      <c r="J87" s="183"/>
      <c r="K87" s="183"/>
      <c r="L87" s="342"/>
      <c r="M87" s="8"/>
    </row>
    <row r="88" spans="1:13" x14ac:dyDescent="0.25">
      <c r="A88" s="18" t="s">
        <v>198</v>
      </c>
      <c r="B88" s="181"/>
      <c r="C88" s="109"/>
      <c r="D88" s="123"/>
      <c r="E88" s="20"/>
      <c r="F88" s="36"/>
      <c r="G88" s="109"/>
      <c r="H88" s="123"/>
      <c r="I88" s="20"/>
      <c r="J88" s="36"/>
      <c r="K88" s="36"/>
      <c r="L88" s="206"/>
      <c r="M88" s="23"/>
    </row>
    <row r="89" spans="1:13" x14ac:dyDescent="0.25">
      <c r="A89" s="18" t="s">
        <v>199</v>
      </c>
      <c r="B89" s="181"/>
      <c r="C89" s="109"/>
      <c r="D89" s="123"/>
      <c r="E89" s="20"/>
      <c r="F89" s="36"/>
      <c r="G89" s="109"/>
      <c r="H89" s="123"/>
      <c r="I89" s="20"/>
      <c r="J89" s="36"/>
      <c r="K89" s="36"/>
      <c r="L89" s="206"/>
      <c r="M89" s="23"/>
    </row>
    <row r="90" spans="1:13" ht="15.6" x14ac:dyDescent="0.25">
      <c r="A90" s="240" t="s">
        <v>200</v>
      </c>
      <c r="B90" s="239"/>
      <c r="C90" s="239"/>
      <c r="D90" s="123"/>
      <c r="E90" s="20"/>
      <c r="F90" s="561"/>
      <c r="G90" s="239"/>
      <c r="H90" s="123"/>
      <c r="I90" s="20"/>
      <c r="J90" s="561"/>
      <c r="K90" s="239"/>
      <c r="L90" s="123"/>
      <c r="M90" s="20"/>
    </row>
    <row r="91" spans="1:13" x14ac:dyDescent="0.25">
      <c r="A91" s="240" t="s">
        <v>201</v>
      </c>
      <c r="B91" s="239"/>
      <c r="C91" s="239"/>
      <c r="D91" s="123"/>
      <c r="E91" s="20"/>
      <c r="F91" s="561"/>
      <c r="G91" s="239"/>
      <c r="H91" s="123"/>
      <c r="I91" s="20"/>
      <c r="J91" s="561"/>
      <c r="K91" s="239"/>
      <c r="L91" s="123"/>
      <c r="M91" s="20"/>
    </row>
    <row r="92" spans="1:13" x14ac:dyDescent="0.25">
      <c r="A92" s="240" t="s">
        <v>202</v>
      </c>
      <c r="B92" s="239"/>
      <c r="C92" s="239"/>
      <c r="D92" s="123"/>
      <c r="E92" s="20"/>
      <c r="F92" s="561"/>
      <c r="G92" s="239"/>
      <c r="H92" s="123"/>
      <c r="I92" s="20"/>
      <c r="J92" s="561"/>
      <c r="K92" s="239"/>
      <c r="L92" s="123"/>
      <c r="M92" s="20"/>
    </row>
    <row r="93" spans="1:13" ht="15.6" x14ac:dyDescent="0.25">
      <c r="A93" s="240" t="s">
        <v>203</v>
      </c>
      <c r="B93" s="239"/>
      <c r="C93" s="239"/>
      <c r="D93" s="123"/>
      <c r="E93" s="20"/>
      <c r="F93" s="561"/>
      <c r="G93" s="239"/>
      <c r="H93" s="123"/>
      <c r="I93" s="20"/>
      <c r="J93" s="561"/>
      <c r="K93" s="239"/>
      <c r="L93" s="123"/>
      <c r="M93" s="20"/>
    </row>
    <row r="94" spans="1:13" x14ac:dyDescent="0.25">
      <c r="A94" s="240" t="s">
        <v>201</v>
      </c>
      <c r="B94" s="239"/>
      <c r="C94" s="239"/>
      <c r="D94" s="123"/>
      <c r="E94" s="20"/>
      <c r="F94" s="561"/>
      <c r="G94" s="239"/>
      <c r="H94" s="123"/>
      <c r="I94" s="20"/>
      <c r="J94" s="561"/>
      <c r="K94" s="239"/>
      <c r="L94" s="123"/>
      <c r="M94" s="20"/>
    </row>
    <row r="95" spans="1:13" x14ac:dyDescent="0.25">
      <c r="A95" s="240" t="s">
        <v>202</v>
      </c>
      <c r="B95" s="239"/>
      <c r="C95" s="239"/>
      <c r="D95" s="123"/>
      <c r="E95" s="20"/>
      <c r="F95" s="561"/>
      <c r="G95" s="239"/>
      <c r="H95" s="123"/>
      <c r="I95" s="20"/>
      <c r="J95" s="561"/>
      <c r="K95" s="239"/>
      <c r="L95" s="123"/>
      <c r="M95" s="20"/>
    </row>
    <row r="96" spans="1:13" x14ac:dyDescent="0.25">
      <c r="A96" s="18" t="s">
        <v>222</v>
      </c>
      <c r="B96" s="181"/>
      <c r="C96" s="109"/>
      <c r="D96" s="123"/>
      <c r="E96" s="20"/>
      <c r="F96" s="36"/>
      <c r="G96" s="109"/>
      <c r="H96" s="123"/>
      <c r="I96" s="20"/>
      <c r="J96" s="36"/>
      <c r="K96" s="36"/>
      <c r="L96" s="206"/>
      <c r="M96" s="23"/>
    </row>
    <row r="97" spans="1:13" x14ac:dyDescent="0.25">
      <c r="A97" s="18" t="s">
        <v>223</v>
      </c>
      <c r="B97" s="181"/>
      <c r="C97" s="109"/>
      <c r="D97" s="123"/>
      <c r="E97" s="20"/>
      <c r="F97" s="36"/>
      <c r="G97" s="109"/>
      <c r="H97" s="123"/>
      <c r="I97" s="20"/>
      <c r="J97" s="36"/>
      <c r="K97" s="36"/>
      <c r="L97" s="206"/>
      <c r="M97" s="23"/>
    </row>
    <row r="98" spans="1:13" ht="15.6" x14ac:dyDescent="0.25">
      <c r="A98" s="18" t="s">
        <v>206</v>
      </c>
      <c r="B98" s="181"/>
      <c r="C98" s="181"/>
      <c r="D98" s="123"/>
      <c r="E98" s="20"/>
      <c r="F98" s="142"/>
      <c r="G98" s="237"/>
      <c r="H98" s="123"/>
      <c r="I98" s="20"/>
      <c r="J98" s="36"/>
      <c r="K98" s="36"/>
      <c r="L98" s="206"/>
      <c r="M98" s="23"/>
    </row>
    <row r="99" spans="1:13" x14ac:dyDescent="0.25">
      <c r="A99" s="18" t="s">
        <v>198</v>
      </c>
      <c r="B99" s="237"/>
      <c r="C99" s="238"/>
      <c r="D99" s="123"/>
      <c r="E99" s="20"/>
      <c r="F99" s="36"/>
      <c r="G99" s="109"/>
      <c r="H99" s="123"/>
      <c r="I99" s="20"/>
      <c r="J99" s="36"/>
      <c r="K99" s="36"/>
      <c r="L99" s="206"/>
      <c r="M99" s="23"/>
    </row>
    <row r="100" spans="1:13" x14ac:dyDescent="0.25">
      <c r="A100" s="18" t="s">
        <v>207</v>
      </c>
      <c r="B100" s="237"/>
      <c r="C100" s="238"/>
      <c r="D100" s="123"/>
      <c r="E100" s="20"/>
      <c r="F100" s="36"/>
      <c r="G100" s="181"/>
      <c r="H100" s="123"/>
      <c r="I100" s="20"/>
      <c r="J100" s="36"/>
      <c r="K100" s="36"/>
      <c r="L100" s="206"/>
      <c r="M100" s="23"/>
    </row>
    <row r="101" spans="1:13" ht="15.6" x14ac:dyDescent="0.25">
      <c r="A101" s="240" t="s">
        <v>200</v>
      </c>
      <c r="B101" s="239"/>
      <c r="C101" s="239"/>
      <c r="D101" s="123"/>
      <c r="E101" s="20"/>
      <c r="F101" s="561"/>
      <c r="G101" s="239"/>
      <c r="H101" s="123"/>
      <c r="I101" s="20"/>
      <c r="J101" s="561"/>
      <c r="K101" s="239"/>
      <c r="L101" s="123"/>
      <c r="M101" s="20"/>
    </row>
    <row r="102" spans="1:13" x14ac:dyDescent="0.25">
      <c r="A102" s="240" t="s">
        <v>201</v>
      </c>
      <c r="B102" s="239"/>
      <c r="C102" s="239"/>
      <c r="D102" s="123"/>
      <c r="E102" s="20"/>
      <c r="F102" s="561"/>
      <c r="G102" s="239"/>
      <c r="H102" s="123"/>
      <c r="I102" s="20"/>
      <c r="J102" s="561"/>
      <c r="K102" s="239"/>
      <c r="L102" s="123"/>
      <c r="M102" s="20"/>
    </row>
    <row r="103" spans="1:13" x14ac:dyDescent="0.25">
      <c r="A103" s="240" t="s">
        <v>202</v>
      </c>
      <c r="B103" s="239"/>
      <c r="C103" s="239"/>
      <c r="D103" s="123"/>
      <c r="E103" s="20"/>
      <c r="F103" s="561"/>
      <c r="G103" s="239"/>
      <c r="H103" s="123"/>
      <c r="I103" s="20"/>
      <c r="J103" s="561"/>
      <c r="K103" s="239"/>
      <c r="L103" s="123"/>
      <c r="M103" s="20"/>
    </row>
    <row r="104" spans="1:13" ht="15.6" x14ac:dyDescent="0.25">
      <c r="A104" s="240" t="s">
        <v>203</v>
      </c>
      <c r="B104" s="239"/>
      <c r="C104" s="239"/>
      <c r="D104" s="123"/>
      <c r="E104" s="20"/>
      <c r="F104" s="561"/>
      <c r="G104" s="239"/>
      <c r="H104" s="123"/>
      <c r="I104" s="20"/>
      <c r="J104" s="561"/>
      <c r="K104" s="239"/>
      <c r="L104" s="123"/>
      <c r="M104" s="20"/>
    </row>
    <row r="105" spans="1:13" x14ac:dyDescent="0.25">
      <c r="A105" s="240" t="s">
        <v>201</v>
      </c>
      <c r="B105" s="182"/>
      <c r="C105" s="235"/>
      <c r="D105" s="123"/>
      <c r="E105" s="20"/>
      <c r="F105" s="561"/>
      <c r="G105" s="239"/>
      <c r="H105" s="123"/>
      <c r="I105" s="20"/>
      <c r="J105" s="561"/>
      <c r="K105" s="239"/>
      <c r="L105" s="123"/>
      <c r="M105" s="20"/>
    </row>
    <row r="106" spans="1:13" x14ac:dyDescent="0.25">
      <c r="A106" s="240" t="s">
        <v>202</v>
      </c>
      <c r="B106" s="182"/>
      <c r="C106" s="235"/>
      <c r="D106" s="123"/>
      <c r="E106" s="20"/>
      <c r="F106" s="561"/>
      <c r="G106" s="239"/>
      <c r="H106" s="123"/>
      <c r="I106" s="20"/>
      <c r="J106" s="561"/>
      <c r="K106" s="239"/>
      <c r="L106" s="123"/>
      <c r="M106" s="20"/>
    </row>
    <row r="107" spans="1:13" ht="15.6" x14ac:dyDescent="0.25">
      <c r="A107" s="18" t="s">
        <v>208</v>
      </c>
      <c r="B107" s="181"/>
      <c r="C107" s="109"/>
      <c r="D107" s="123"/>
      <c r="E107" s="20"/>
      <c r="F107" s="36"/>
      <c r="G107" s="109"/>
      <c r="H107" s="123"/>
      <c r="I107" s="20"/>
      <c r="J107" s="36"/>
      <c r="K107" s="36"/>
      <c r="L107" s="206"/>
      <c r="M107" s="23"/>
    </row>
    <row r="108" spans="1:13" ht="15.6" x14ac:dyDescent="0.25">
      <c r="A108" s="18" t="s">
        <v>209</v>
      </c>
      <c r="B108" s="181"/>
      <c r="C108" s="181"/>
      <c r="D108" s="123"/>
      <c r="E108" s="20"/>
      <c r="F108" s="36"/>
      <c r="G108" s="181"/>
      <c r="H108" s="123"/>
      <c r="I108" s="20"/>
      <c r="J108" s="36"/>
      <c r="K108" s="36"/>
      <c r="L108" s="206"/>
      <c r="M108" s="23"/>
    </row>
    <row r="109" spans="1:13" ht="15.6" x14ac:dyDescent="0.25">
      <c r="A109" s="18" t="s">
        <v>210</v>
      </c>
      <c r="B109" s="181"/>
      <c r="C109" s="181"/>
      <c r="D109" s="123"/>
      <c r="E109" s="20"/>
      <c r="F109" s="36"/>
      <c r="G109" s="181"/>
      <c r="H109" s="123"/>
      <c r="I109" s="20"/>
      <c r="J109" s="36"/>
      <c r="K109" s="36"/>
      <c r="L109" s="206"/>
      <c r="M109" s="23"/>
    </row>
    <row r="110" spans="1:13" ht="15.6" x14ac:dyDescent="0.25">
      <c r="A110" s="18" t="s">
        <v>211</v>
      </c>
      <c r="B110" s="181"/>
      <c r="C110" s="181"/>
      <c r="D110" s="123"/>
      <c r="E110" s="20"/>
      <c r="F110" s="36"/>
      <c r="G110" s="181"/>
      <c r="H110" s="123"/>
      <c r="I110" s="20"/>
      <c r="J110" s="36"/>
      <c r="K110" s="36"/>
      <c r="L110" s="206"/>
      <c r="M110" s="23"/>
    </row>
    <row r="111" spans="1:13" ht="15.6" x14ac:dyDescent="0.25">
      <c r="A111" s="10" t="s">
        <v>173</v>
      </c>
      <c r="B111" s="250"/>
      <c r="C111" s="118"/>
      <c r="D111" s="127"/>
      <c r="E111" s="21"/>
      <c r="F111" s="183"/>
      <c r="G111" s="118"/>
      <c r="H111" s="127"/>
      <c r="I111" s="21"/>
      <c r="J111" s="183"/>
      <c r="K111" s="183"/>
      <c r="L111" s="342"/>
      <c r="M111" s="8"/>
    </row>
    <row r="112" spans="1:13" x14ac:dyDescent="0.25">
      <c r="A112" s="18" t="s">
        <v>198</v>
      </c>
      <c r="B112" s="181"/>
      <c r="C112" s="109"/>
      <c r="D112" s="123"/>
      <c r="E112" s="20"/>
      <c r="F112" s="36"/>
      <c r="G112" s="109"/>
      <c r="H112" s="123"/>
      <c r="I112" s="20"/>
      <c r="J112" s="36"/>
      <c r="K112" s="36"/>
      <c r="L112" s="206"/>
      <c r="M112" s="23"/>
    </row>
    <row r="113" spans="1:13" x14ac:dyDescent="0.25">
      <c r="A113" s="18" t="s">
        <v>199</v>
      </c>
      <c r="B113" s="181"/>
      <c r="C113" s="109"/>
      <c r="D113" s="123"/>
      <c r="E113" s="20"/>
      <c r="F113" s="36"/>
      <c r="G113" s="109"/>
      <c r="H113" s="123"/>
      <c r="I113" s="20"/>
      <c r="J113" s="36"/>
      <c r="K113" s="36"/>
      <c r="L113" s="206"/>
      <c r="M113" s="23"/>
    </row>
    <row r="114" spans="1:13" x14ac:dyDescent="0.25">
      <c r="A114" s="18" t="s">
        <v>212</v>
      </c>
      <c r="B114" s="181"/>
      <c r="C114" s="109"/>
      <c r="D114" s="123"/>
      <c r="E114" s="20"/>
      <c r="F114" s="36"/>
      <c r="G114" s="109"/>
      <c r="H114" s="123"/>
      <c r="I114" s="20"/>
      <c r="J114" s="36"/>
      <c r="K114" s="36"/>
      <c r="L114" s="206"/>
      <c r="M114" s="23"/>
    </row>
    <row r="115" spans="1:13" x14ac:dyDescent="0.25">
      <c r="A115" s="555" t="s">
        <v>213</v>
      </c>
      <c r="B115" s="228"/>
      <c r="C115" s="228"/>
      <c r="D115" s="123"/>
      <c r="E115" s="20"/>
      <c r="F115" s="228"/>
      <c r="G115" s="228"/>
      <c r="H115" s="123"/>
      <c r="I115" s="20"/>
      <c r="J115" s="236"/>
      <c r="K115" s="236"/>
      <c r="L115" s="123"/>
      <c r="M115" s="20"/>
    </row>
    <row r="116" spans="1:13" ht="15.6" x14ac:dyDescent="0.25">
      <c r="A116" s="18" t="s">
        <v>214</v>
      </c>
      <c r="B116" s="181"/>
      <c r="C116" s="181"/>
      <c r="D116" s="123"/>
      <c r="E116" s="20"/>
      <c r="F116" s="36"/>
      <c r="G116" s="181"/>
      <c r="H116" s="123"/>
      <c r="I116" s="20"/>
      <c r="J116" s="36"/>
      <c r="K116" s="36"/>
      <c r="L116" s="206"/>
      <c r="M116" s="23"/>
    </row>
    <row r="117" spans="1:13" ht="15.6" x14ac:dyDescent="0.25">
      <c r="A117" s="18" t="s">
        <v>210</v>
      </c>
      <c r="B117" s="181"/>
      <c r="C117" s="181"/>
      <c r="D117" s="123"/>
      <c r="E117" s="20"/>
      <c r="F117" s="36"/>
      <c r="G117" s="181"/>
      <c r="H117" s="123"/>
      <c r="I117" s="20"/>
      <c r="J117" s="36"/>
      <c r="K117" s="36"/>
      <c r="L117" s="206"/>
      <c r="M117" s="23"/>
    </row>
    <row r="118" spans="1:13" ht="15.6" x14ac:dyDescent="0.25">
      <c r="A118" s="18" t="s">
        <v>211</v>
      </c>
      <c r="B118" s="181"/>
      <c r="C118" s="181"/>
      <c r="D118" s="123"/>
      <c r="E118" s="20"/>
      <c r="F118" s="36"/>
      <c r="G118" s="181"/>
      <c r="H118" s="123"/>
      <c r="I118" s="20"/>
      <c r="J118" s="36"/>
      <c r="K118" s="36"/>
      <c r="L118" s="206"/>
      <c r="M118" s="23"/>
    </row>
    <row r="119" spans="1:13" ht="15.6" x14ac:dyDescent="0.25">
      <c r="A119" s="10" t="s">
        <v>174</v>
      </c>
      <c r="B119" s="250"/>
      <c r="C119" s="118"/>
      <c r="D119" s="127"/>
      <c r="E119" s="21"/>
      <c r="F119" s="183"/>
      <c r="G119" s="118"/>
      <c r="H119" s="127"/>
      <c r="I119" s="21"/>
      <c r="J119" s="183"/>
      <c r="K119" s="183"/>
      <c r="L119" s="342"/>
      <c r="M119" s="8"/>
    </row>
    <row r="120" spans="1:13" x14ac:dyDescent="0.25">
      <c r="A120" s="18" t="s">
        <v>198</v>
      </c>
      <c r="B120" s="181"/>
      <c r="C120" s="109"/>
      <c r="D120" s="123"/>
      <c r="E120" s="20"/>
      <c r="F120" s="36"/>
      <c r="G120" s="109"/>
      <c r="H120" s="123"/>
      <c r="I120" s="20"/>
      <c r="J120" s="36"/>
      <c r="K120" s="36"/>
      <c r="L120" s="206"/>
      <c r="M120" s="23"/>
    </row>
    <row r="121" spans="1:13" x14ac:dyDescent="0.25">
      <c r="A121" s="18" t="s">
        <v>199</v>
      </c>
      <c r="B121" s="181"/>
      <c r="C121" s="109"/>
      <c r="D121" s="123"/>
      <c r="E121" s="20"/>
      <c r="F121" s="36"/>
      <c r="G121" s="109"/>
      <c r="H121" s="123"/>
      <c r="I121" s="20"/>
      <c r="J121" s="36"/>
      <c r="K121" s="36"/>
      <c r="L121" s="206"/>
      <c r="M121" s="23"/>
    </row>
    <row r="122" spans="1:13" x14ac:dyDescent="0.25">
      <c r="A122" s="18" t="s">
        <v>212</v>
      </c>
      <c r="B122" s="181"/>
      <c r="C122" s="109"/>
      <c r="D122" s="123"/>
      <c r="E122" s="20"/>
      <c r="F122" s="36"/>
      <c r="G122" s="109"/>
      <c r="H122" s="123"/>
      <c r="I122" s="20"/>
      <c r="J122" s="36"/>
      <c r="K122" s="36"/>
      <c r="L122" s="206"/>
      <c r="M122" s="23"/>
    </row>
    <row r="123" spans="1:13" x14ac:dyDescent="0.25">
      <c r="A123" s="555" t="s">
        <v>215</v>
      </c>
      <c r="B123" s="228"/>
      <c r="C123" s="228"/>
      <c r="D123" s="123"/>
      <c r="E123" s="20"/>
      <c r="F123" s="228"/>
      <c r="G123" s="228"/>
      <c r="H123" s="123"/>
      <c r="I123" s="20"/>
      <c r="J123" s="236"/>
      <c r="K123" s="236"/>
      <c r="L123" s="123"/>
      <c r="M123" s="20"/>
    </row>
    <row r="124" spans="1:13" ht="15.6" x14ac:dyDescent="0.25">
      <c r="A124" s="18" t="s">
        <v>224</v>
      </c>
      <c r="B124" s="181"/>
      <c r="C124" s="181"/>
      <c r="D124" s="123"/>
      <c r="E124" s="20"/>
      <c r="F124" s="36"/>
      <c r="G124" s="181"/>
      <c r="H124" s="123"/>
      <c r="I124" s="20"/>
      <c r="J124" s="36"/>
      <c r="K124" s="36"/>
      <c r="L124" s="206"/>
      <c r="M124" s="23"/>
    </row>
    <row r="125" spans="1:13" ht="15.6" x14ac:dyDescent="0.25">
      <c r="A125" s="18" t="s">
        <v>210</v>
      </c>
      <c r="B125" s="181"/>
      <c r="C125" s="181"/>
      <c r="D125" s="123"/>
      <c r="E125" s="20"/>
      <c r="F125" s="36"/>
      <c r="G125" s="181"/>
      <c r="H125" s="123"/>
      <c r="I125" s="20"/>
      <c r="J125" s="36"/>
      <c r="K125" s="36"/>
      <c r="L125" s="206"/>
      <c r="M125" s="23"/>
    </row>
    <row r="126" spans="1:13" ht="15.6" x14ac:dyDescent="0.25">
      <c r="A126" s="7" t="s">
        <v>211</v>
      </c>
      <c r="B126" s="37"/>
      <c r="C126" s="37"/>
      <c r="D126" s="124"/>
      <c r="E126" s="19"/>
      <c r="F126" s="37"/>
      <c r="G126" s="37"/>
      <c r="H126" s="124"/>
      <c r="I126" s="19"/>
      <c r="J126" s="37"/>
      <c r="K126" s="37"/>
      <c r="L126" s="207"/>
      <c r="M126" s="19"/>
    </row>
    <row r="127" spans="1:13" x14ac:dyDescent="0.25">
      <c r="A127" s="115"/>
    </row>
    <row r="129" spans="1:14" ht="15.6" x14ac:dyDescent="0.3">
      <c r="A129" s="110" t="s">
        <v>216</v>
      </c>
    </row>
    <row r="130" spans="1:14" ht="15.6" x14ac:dyDescent="0.3">
      <c r="B130" s="593"/>
      <c r="C130" s="593"/>
      <c r="D130" s="593"/>
      <c r="E130" s="242"/>
      <c r="F130" s="593"/>
      <c r="G130" s="593"/>
      <c r="H130" s="593"/>
      <c r="I130" s="242"/>
      <c r="J130" s="593"/>
      <c r="K130" s="593"/>
      <c r="L130" s="593"/>
      <c r="M130" s="242"/>
    </row>
    <row r="131" spans="1:14" x14ac:dyDescent="0.25">
      <c r="A131" s="108"/>
      <c r="B131" s="590" t="s">
        <v>46</v>
      </c>
      <c r="C131" s="591"/>
      <c r="D131" s="591"/>
      <c r="E131" s="244"/>
      <c r="F131" s="590" t="s">
        <v>69</v>
      </c>
      <c r="G131" s="591"/>
      <c r="H131" s="591"/>
      <c r="I131" s="246"/>
      <c r="J131" s="590" t="s">
        <v>120</v>
      </c>
      <c r="K131" s="591"/>
      <c r="L131" s="591"/>
      <c r="M131" s="246"/>
    </row>
    <row r="132" spans="1:14" x14ac:dyDescent="0.25">
      <c r="A132" s="105"/>
      <c r="B132" s="113" t="s">
        <v>418</v>
      </c>
      <c r="C132" s="113" t="s">
        <v>419</v>
      </c>
      <c r="D132" s="193" t="s">
        <v>167</v>
      </c>
      <c r="E132" s="247" t="s">
        <v>85</v>
      </c>
      <c r="F132" s="113" t="s">
        <v>418</v>
      </c>
      <c r="G132" s="113" t="s">
        <v>419</v>
      </c>
      <c r="H132" s="157" t="s">
        <v>167</v>
      </c>
      <c r="I132" s="121" t="s">
        <v>85</v>
      </c>
      <c r="J132" s="194" t="s">
        <v>418</v>
      </c>
      <c r="K132" s="194" t="s">
        <v>419</v>
      </c>
      <c r="L132" s="195" t="s">
        <v>167</v>
      </c>
      <c r="M132" s="121" t="s">
        <v>85</v>
      </c>
    </row>
    <row r="133" spans="1:14" x14ac:dyDescent="0.25">
      <c r="A133" s="557"/>
      <c r="B133" s="116"/>
      <c r="C133" s="116"/>
      <c r="D133" s="195" t="s">
        <v>168</v>
      </c>
      <c r="E133" s="116" t="s">
        <v>88</v>
      </c>
      <c r="F133" s="120"/>
      <c r="G133" s="120"/>
      <c r="H133" s="157" t="s">
        <v>168</v>
      </c>
      <c r="I133" s="116" t="s">
        <v>88</v>
      </c>
      <c r="J133" s="116"/>
      <c r="K133" s="116"/>
      <c r="L133" s="111" t="s">
        <v>168</v>
      </c>
      <c r="M133" s="116" t="s">
        <v>88</v>
      </c>
    </row>
    <row r="134" spans="1:14" ht="15.6" x14ac:dyDescent="0.25">
      <c r="A134" s="11" t="s">
        <v>217</v>
      </c>
      <c r="B134" s="183"/>
      <c r="C134" s="251"/>
      <c r="D134" s="285"/>
      <c r="E134" s="8"/>
      <c r="F134" s="258"/>
      <c r="G134" s="259"/>
      <c r="H134" s="345"/>
      <c r="I134" s="21"/>
      <c r="J134" s="260"/>
      <c r="K134" s="260"/>
      <c r="L134" s="341"/>
      <c r="M134" s="8"/>
    </row>
    <row r="135" spans="1:14" ht="15.6" x14ac:dyDescent="0.25">
      <c r="A135" s="10" t="s">
        <v>225</v>
      </c>
      <c r="B135" s="183"/>
      <c r="C135" s="251"/>
      <c r="D135" s="127"/>
      <c r="E135" s="8"/>
      <c r="F135" s="183"/>
      <c r="G135" s="251"/>
      <c r="H135" s="346"/>
      <c r="I135" s="21"/>
      <c r="J135" s="250"/>
      <c r="K135" s="250"/>
      <c r="L135" s="342"/>
      <c r="M135" s="8"/>
    </row>
    <row r="136" spans="1:14" ht="15.6" x14ac:dyDescent="0.25">
      <c r="A136" s="10" t="s">
        <v>219</v>
      </c>
      <c r="B136" s="183"/>
      <c r="C136" s="251"/>
      <c r="D136" s="127"/>
      <c r="E136" s="8"/>
      <c r="F136" s="183"/>
      <c r="G136" s="251"/>
      <c r="H136" s="346"/>
      <c r="I136" s="21"/>
      <c r="J136" s="250"/>
      <c r="K136" s="250"/>
      <c r="L136" s="342"/>
      <c r="M136" s="8"/>
    </row>
    <row r="137" spans="1:14" ht="15.6" x14ac:dyDescent="0.25">
      <c r="A137" s="33" t="s">
        <v>220</v>
      </c>
      <c r="B137" s="223"/>
      <c r="C137" s="257"/>
      <c r="D137" s="125"/>
      <c r="E137" s="6"/>
      <c r="F137" s="223"/>
      <c r="G137" s="257"/>
      <c r="H137" s="347"/>
      <c r="I137" s="30"/>
      <c r="J137" s="256"/>
      <c r="K137" s="256"/>
      <c r="L137" s="343"/>
      <c r="M137" s="30"/>
    </row>
    <row r="138" spans="1:14" x14ac:dyDescent="0.25">
      <c r="A138" s="107"/>
      <c r="B138" s="27"/>
      <c r="C138" s="27"/>
      <c r="D138" s="118"/>
      <c r="E138" s="118"/>
      <c r="F138" s="27"/>
      <c r="G138" s="27"/>
      <c r="H138" s="118"/>
      <c r="I138" s="118"/>
      <c r="J138" s="27"/>
      <c r="K138" s="27"/>
      <c r="L138" s="118"/>
      <c r="M138" s="118"/>
    </row>
    <row r="139" spans="1:14" x14ac:dyDescent="0.25">
      <c r="A139" s="107"/>
      <c r="B139" s="27"/>
      <c r="C139" s="27"/>
      <c r="D139" s="118"/>
      <c r="E139" s="118"/>
      <c r="F139" s="27"/>
      <c r="G139" s="27"/>
      <c r="H139" s="118"/>
      <c r="I139" s="118"/>
      <c r="J139" s="27"/>
      <c r="K139" s="27"/>
      <c r="L139" s="118"/>
      <c r="M139" s="118"/>
    </row>
    <row r="140" spans="1:14" x14ac:dyDescent="0.25">
      <c r="A140" s="107"/>
      <c r="B140" s="27"/>
      <c r="C140" s="27"/>
      <c r="D140" s="118"/>
      <c r="E140" s="118"/>
      <c r="F140" s="27"/>
      <c r="G140" s="27"/>
      <c r="H140" s="118"/>
      <c r="I140" s="118"/>
      <c r="J140" s="27"/>
      <c r="K140" s="27"/>
      <c r="L140" s="118"/>
      <c r="M140" s="118"/>
    </row>
    <row r="142" spans="1:14" ht="15.6" x14ac:dyDescent="0.3">
      <c r="B142" s="106"/>
      <c r="C142" s="106"/>
      <c r="D142" s="106"/>
      <c r="E142" s="106"/>
      <c r="F142" s="106"/>
      <c r="G142" s="106"/>
      <c r="H142" s="106"/>
      <c r="I142" s="106"/>
      <c r="J142" s="106"/>
      <c r="K142" s="106"/>
      <c r="L142" s="106"/>
      <c r="M142" s="106"/>
      <c r="N142" s="106"/>
    </row>
    <row r="143" spans="1:14" ht="15.6" x14ac:dyDescent="0.3">
      <c r="B143" s="106"/>
      <c r="C143" s="106"/>
      <c r="D143" s="106"/>
      <c r="E143" s="106"/>
      <c r="F143" s="106"/>
      <c r="G143" s="106"/>
      <c r="H143" s="106"/>
      <c r="I143" s="106"/>
      <c r="J143" s="106"/>
      <c r="K143" s="106"/>
      <c r="L143" s="106"/>
      <c r="M143" s="106"/>
      <c r="N143" s="106"/>
    </row>
    <row r="144" spans="1:14" ht="15.6" x14ac:dyDescent="0.3">
      <c r="B144" s="106"/>
      <c r="C144" s="106"/>
      <c r="D144" s="106"/>
      <c r="E144" s="106"/>
      <c r="F144" s="106"/>
      <c r="G144" s="106"/>
      <c r="H144" s="106"/>
      <c r="I144" s="106"/>
      <c r="J144" s="106"/>
      <c r="K144" s="106"/>
      <c r="L144" s="106"/>
      <c r="M144" s="106"/>
      <c r="N144" s="106"/>
    </row>
  </sheetData>
  <mergeCells count="31">
    <mergeCell ref="B130:D130"/>
    <mergeCell ref="F130:H130"/>
    <mergeCell ref="J130:L130"/>
    <mergeCell ref="B131:D131"/>
    <mergeCell ref="F131:H131"/>
    <mergeCell ref="J131:L131"/>
    <mergeCell ref="B44:D44"/>
    <mergeCell ref="B62:D62"/>
    <mergeCell ref="F62:H62"/>
    <mergeCell ref="J62:L62"/>
    <mergeCell ref="B63:D63"/>
    <mergeCell ref="F63:H63"/>
    <mergeCell ref="J63:L63"/>
    <mergeCell ref="D40:F40"/>
    <mergeCell ref="G40:I40"/>
    <mergeCell ref="J40:L40"/>
    <mergeCell ref="B42:D42"/>
    <mergeCell ref="F42:H42"/>
    <mergeCell ref="J42:L42"/>
    <mergeCell ref="B18:D18"/>
    <mergeCell ref="F18:H18"/>
    <mergeCell ref="J18:L18"/>
    <mergeCell ref="B19:D19"/>
    <mergeCell ref="F19:H19"/>
    <mergeCell ref="J19:L19"/>
    <mergeCell ref="B2:D2"/>
    <mergeCell ref="F2:H2"/>
    <mergeCell ref="J2:L2"/>
    <mergeCell ref="B4:D4"/>
    <mergeCell ref="F4:H4"/>
    <mergeCell ref="J4:L4"/>
  </mergeCells>
  <conditionalFormatting sqref="A50:A52">
    <cfRule type="expression" dxfId="462" priority="7">
      <formula>kvartal &lt; 4</formula>
    </cfRule>
  </conditionalFormatting>
  <conditionalFormatting sqref="A69:A74">
    <cfRule type="expression" dxfId="461" priority="6">
      <formula>kvartal &lt; 4</formula>
    </cfRule>
  </conditionalFormatting>
  <conditionalFormatting sqref="A80:A85">
    <cfRule type="expression" dxfId="460" priority="5">
      <formula>kvartal &lt; 4</formula>
    </cfRule>
  </conditionalFormatting>
  <conditionalFormatting sqref="A90:A95">
    <cfRule type="expression" dxfId="459" priority="4">
      <formula>kvartal &lt; 4</formula>
    </cfRule>
  </conditionalFormatting>
  <conditionalFormatting sqref="A101:A106">
    <cfRule type="expression" dxfId="458" priority="3">
      <formula>kvartal &lt; 4</formula>
    </cfRule>
  </conditionalFormatting>
  <conditionalFormatting sqref="A115:C115">
    <cfRule type="expression" dxfId="457" priority="2">
      <formula>kvartal &lt; 4</formula>
    </cfRule>
  </conditionalFormatting>
  <conditionalFormatting sqref="A123:C123">
    <cfRule type="expression" dxfId="456" priority="1">
      <formula>kvartal &lt; 4</formula>
    </cfRule>
  </conditionalFormatting>
  <conditionalFormatting sqref="B69:C69">
    <cfRule type="expression" dxfId="455" priority="57">
      <formula>kvartal &lt; 4</formula>
    </cfRule>
  </conditionalFormatting>
  <conditionalFormatting sqref="B72:C72">
    <cfRule type="expression" dxfId="454" priority="55">
      <formula>kvartal &lt; 4</formula>
    </cfRule>
  </conditionalFormatting>
  <conditionalFormatting sqref="F115:G115">
    <cfRule type="expression" dxfId="453" priority="27">
      <formula>kvartal &lt; 4</formula>
    </cfRule>
  </conditionalFormatting>
  <conditionalFormatting sqref="F123:G123">
    <cfRule type="expression" dxfId="452" priority="26">
      <formula>kvartal &lt; 4</formula>
    </cfRule>
  </conditionalFormatting>
  <conditionalFormatting sqref="J115:K115">
    <cfRule type="expression" dxfId="451" priority="9">
      <formula>kvartal &lt; 4</formula>
    </cfRule>
  </conditionalFormatting>
  <conditionalFormatting sqref="J123:K123">
    <cfRule type="expression" dxfId="450" priority="8">
      <formula>kvartal &lt; 4</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N_Area xmlns="aaf76c25-c872-4d52-a3c2-4356b49134c4">Statistikk og analyse</FN_Are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Finans Norge Dokument" ma:contentTypeID="0x010100ACC77BB12EC7EE4EA60870A550D34450003D1DA8DA193DF34490145E671A94A881" ma:contentTypeVersion="4" ma:contentTypeDescription="" ma:contentTypeScope="" ma:versionID="d73a59772534c950f23a838973545ad3">
  <xsd:schema xmlns:xsd="http://www.w3.org/2001/XMLSchema" xmlns:xs="http://www.w3.org/2001/XMLSchema" xmlns:p="http://schemas.microsoft.com/office/2006/metadata/properties" xmlns:ns2="aaf76c25-c872-4d52-a3c2-4356b49134c4" targetNamespace="http://schemas.microsoft.com/office/2006/metadata/properties" ma:root="true" ma:fieldsID="0b012e33b2039f69ce7b3f131ab1bf99" ns2:_="">
    <xsd:import namespace="aaf76c25-c872-4d52-a3c2-4356b49134c4"/>
    <xsd:element name="properties">
      <xsd:complexType>
        <xsd:sequence>
          <xsd:element name="documentManagement">
            <xsd:complexType>
              <xsd:all>
                <xsd:element ref="ns2:FN_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76c25-c872-4d52-a3c2-4356b49134c4" elementFormDefault="qualified">
    <xsd:import namespace="http://schemas.microsoft.com/office/2006/documentManagement/types"/>
    <xsd:import namespace="http://schemas.microsoft.com/office/infopath/2007/PartnerControls"/>
    <xsd:element name="FN_Area" ma:index="8" nillable="true" ma:displayName="Område" ma:internalName="FN_Are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2 9 f 6 5 d 9 5 - d 0 1 f - 4 5 2 9 - a 2 5 9 - d 2 5 a 1 4 4 a c 1 d d "   x m l n s = " h t t p : / / s c h e m a s . m i c r o s o f t . c o m / D a t a M a s h u p " > A A A A A P o D A A B Q S w M E F A A C A A g A o T S 9 X D p H t 9 S k A A A A 9 g A A A B I A H A B D b 2 5 m a W c v U G F j a 2 F n Z S 5 4 b W w g o h g A K K A U A A A A A A A A A A A A A A A A A A A A A A A A A A A A h Y 8 x D o I w G I W v Q r r T l h K N I a U M r q I m J s a 1 1 g q N 8 G N o s d z N w S N 5 B T G K u j m + 7 3 3 D e / f r j W d 9 X Q U X 3 V r T Q I o i T F G g Q T U H A 0 W K O n c M Z y g T f C 3 V S R Y 6 G G S w S W 8 P K S q d O y e E e O + x j 3 H T F o R R G p F d v t i o U t c S f W T z X w 4 N W C d B a S T 4 9 j V G M B x N Y s z Y F F N O R s h z A 1 + B D X u f 7 Q / k 8 6 5 y X a s F 7 M P l i p M x c v L + I B 5 Q S w M E F A A C A A g A o T S 9 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K E 0 v V w y + B B Y / Q A A A G A B A A A T A B w A R m 9 y b X V s Y X M v U 2 V j d G l v b j E u b S C i G A A o o B Q A A A A A A A A A A A A A A A A A A A A A A A A A A A B 9 j 8 9 K w 0 A Q x s / N U w x 7 K A m k o T 3 0 F A J K m o N E g p q g h X U J m 2 b A m D 9 b J 5 t S K T 3 6 K D 5 J X 8 y N L Y o X 5 z I D 8 / v m m 6 / H j a 5 U B + m 5 L 3 z L 6 l 8 k Y Q k r q S U E 0 K C 2 w N S d J N m i R n p E K i u z i P Y b b L x w I M J O P y m q C 6 V q 2 z n w x H A B + + G R i S M P V a c N J l z 4 P h Z X T Y n m R v r W e K N P I X u 0 W R b P 0 v V q G c 3 m i + X z T Z J F D 8 n 1 L X O B N d U u b 6 W Z + P 2 A 9 B 6 w a B 2 F w M t C C Y 9 v c x w / y b e E v b G Q / a v q h D W Z X J 0 + y V g w m E I y t A W S l 6 k M 9 9 r + m 4 S f P k g c 5 k c H p s w d Z f V O k p b N R f q / N j 6 z F z 0 w n w n H q r r f j P 4 X U E s B A i 0 A F A A C A A g A o T S 9 X D p H t 9 S k A A A A 9 g A A A B I A A A A A A A A A A A A A A A A A A A A A A E N v b m Z p Z y 9 Q Y W N r Y W d l L n h t b F B L A Q I t A B Q A A g A I A K E 0 v V x T c j g s m w A A A O E A A A A T A A A A A A A A A A A A A A A A A P A A A A B b Q 2 9 u d G V u d F 9 U e X B l c 1 0 u e G 1 s U E s B A i 0 A F A A C A A g A o T S 9 X D L 4 E F j 9 A A A A Y A E A A B M A A A A A A A A A A A A A A A A A 2 A E A A E Z v c m 1 1 b G F z L 1 N l Y 3 R p b 2 4 x L m 1 Q S w U G A A A A A A M A A w D C A A A A I g M A A A A A R 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T 5 P c m d h b m l 6 Y X R p b 2 5 h b D w v V 2 9 y a 2 J v b 2 t H c m 9 1 c F R 5 c G U + P C 9 Q Z X J t a X N z a W 9 u T G l z d D 7 R D A A A A A A A A K 8 M 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E Y X R h P C 9 J d G V t U G F 0 a D 4 8 L 0 l 0 Z W 1 M b 2 N h d G l v b j 4 8 U 3 R h Y m x l R W 5 0 c m l l c z 4 8 R W 5 0 c n k g V H l w Z T 0 i Q n V m Z m V y T m V 4 d F J l Z n J l c 2 g i I F Z h b H V l P S J s M S I g L z 4 8 R W 5 0 c n k g V H l w Z T 0 i R m l s b E V u Y W J s Z W Q i I F Z h b H V l P S J s M C I g L z 4 8 R W 5 0 c n k g V H l w Z T 0 i R m l s b G V k Q 2 9 t c G x l d G V S Z X N 1 b H R U b 1 d v c m t z a G V l d C I g V m F s d W U 9 I m w x I i A v P j x F b n R y e S B U e X B l P S J G a W x s V G 9 E Y X R h T W 9 k Z W x F b m F i b G V k I i B W Y W x 1 Z T 0 i b D A i I C 8 + P E V u d H J 5 I F R 5 c G U 9 I k l z U H J p d m F 0 Z S I g V m F s d W U 9 I m w w I i A v P j x F b n R y e S B U e X B l P S J R d W V y e U l E I i B W Y W x 1 Z T 0 i c z R l O D N h Z G Q 5 L W V j Y 2 I t N G V m N i 0 5 Y 2 Y 4 L T Z i M j k 4 Z G Y w N D R j O S I g L z 4 8 R W 5 0 c n k g V H l w Z T 0 i U m V j b 3 Z l c n l U Y X J n Z X R D b 2 x 1 b W 4 i I F Z h b H V l P S J s M S I g L z 4 8 R W 5 0 c n k g V H l w Z T 0 i U m V j b 3 Z l c n l U Y X J n Z X R S b 3 c i I F Z h b H V l P S J s M S I g L z 4 8 R W 5 0 c n k g V H l w Z T 0 i U m V j b 3 Z l c n l U Y X J n Z X R T a G V l d C I g V m F s d W U 9 I n N B c m s y I i A v P j x F b n R y e S B U e X B l P S J S Z X N 1 b H R U e X B l I i B W Y W x 1 Z T 0 i c 1 R h Y m x l I i A v P j x F b n R y e S B U e X B l P S J O Y X Z p Z 2 F 0 a W 9 u U 3 R l c E 5 h b W U i I F Z h b H V l P S J z T m F 2 a W d h d G l v b i I g L z 4 8 R W 5 0 c n k g V H l w Z T 0 i T m F t Z V V w Z G F 0 Z W R B Z n R l c k Z p b G w i I F Z h b H V l P S J s M C I g L z 4 8 R W 5 0 c n k g V H l w Z T 0 i R m l s b E x h c 3 R V c G R h d G V k I i B W Y W x 1 Z T 0 i Z D I w M j Y t M D U t M j l U M D Q 6 M z c 6 M D I u N j A w M D c 5 O F o i I C 8 + P E V u d H J 5 I F R 5 c G U 9 I k Z p b G x F c n J v c k N v d W 5 0 I i B W Y W x 1 Z T 0 i b D A i I C 8 + P E V u d H J 5 I F R 5 c G U 9 I k Z p b G x D b 2 x 1 b W 5 U e X B l c y I g V m F s d W U 9 I n N C Z 0 l D Q W d J Q 0 F n V T 0 i I C 8 + P E V u d H J 5 I F R 5 c G U 9 I k Z p b G x F c n J v c k N v Z G U i I F Z h b H V l P S J z V W 5 r b m 9 3 b i I g L z 4 8 R W 5 0 c n k g V H l w Z T 0 i R m l s b E N v b H V t b k 5 h b W V z I i B W Y W x 1 Z T 0 i c 1 s m c X V v d D t z w 7 h r Z W 7 D u G t r Z W w m c X V v d D s s J n F 1 b 3 Q 7 c 2 V s c 2 t h c F 9 p Z C Z x d W 9 0 O y w m c X V v d D v D p X I m c X V v d D s s J n F 1 b 3 Q 7 a 3 Z h c n R h b C Z x d W 9 0 O y w m c X V v d D t 0 Y W J l b G x f a W Q m c X V v d D s s J n F 1 b 3 Q 7 c m F k X 2 l k J n F 1 b 3 Q 7 L C Z x d W 9 0 O 2 t h d G V n b 3 J p X 2 l k J n F 1 b 3 Q 7 L C Z x d W 9 0 O 3 Z l c m R p J n F 1 b 3 Q 7 X S I g L z 4 8 R W 5 0 c n k g V H l w Z T 0 i R m l s b E N v d W 5 0 I i B W Y W x 1 Z T 0 i b D c 5 M j A i I C 8 + P E V u d H J 5 I F R 5 c G U 9 I k Z p b G x P Y m p l Y 3 R U e X B l I i B W Y W x 1 Z T 0 i c 0 N v b m 5 l Y 3 R p b 2 5 P b m x 5 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0 R h d G E v Q X V 0 b 1 J l b W 9 2 Z W R D b 2 x 1 b W 5 z M S 5 7 c 8 O 4 a 2 V u w 7 h r a 2 V s L D B 9 J n F 1 b 3 Q 7 L C Z x d W 9 0 O 1 N l Y 3 R p b 2 4 x L 0 R h d G E v Q X V 0 b 1 J l b W 9 2 Z W R D b 2 x 1 b W 5 z M S 5 7 c 2 V s c 2 t h c F 9 p Z C w x f S Z x d W 9 0 O y w m c X V v d D t T Z W N 0 a W 9 u M S 9 E Y X R h L 0 F 1 d G 9 S Z W 1 v d m V k Q 2 9 s d W 1 u c z E u e 8 O l c i w y f S Z x d W 9 0 O y w m c X V v d D t T Z W N 0 a W 9 u M S 9 E Y X R h L 0 F 1 d G 9 S Z W 1 v d m V k Q 2 9 s d W 1 u c z E u e 2 t 2 Y X J 0 Y W w s M 3 0 m c X V v d D s s J n F 1 b 3 Q 7 U 2 V j d G l v b j E v R G F 0 Y S 9 B d X R v U m V t b 3 Z l Z E N v b H V t b n M x L n t 0 Y W J l b G x f a W Q s N H 0 m c X V v d D s s J n F 1 b 3 Q 7 U 2 V j d G l v b j E v R G F 0 Y S 9 B d X R v U m V t b 3 Z l Z E N v b H V t b n M x L n t y Y W R f a W Q s N X 0 m c X V v d D s s J n F 1 b 3 Q 7 U 2 V j d G l v b j E v R G F 0 Y S 9 B d X R v U m V t b 3 Z l Z E N v b H V t b n M x L n t r Y X R l Z 2 9 y a V 9 p Z C w 2 f S Z x d W 9 0 O y w m c X V v d D t T Z W N 0 a W 9 u M S 9 E Y X R h L 0 F 1 d G 9 S Z W 1 v d m V k Q 2 9 s d W 1 u c z E u e 3 Z l c m R p L D d 9 J n F 1 b 3 Q 7 X S w m c X V v d D t D b 2 x 1 b W 5 D b 3 V u d C Z x d W 9 0 O z o 4 L C Z x d W 9 0 O 0 t l e U N v b H V t b k 5 h b W V z J n F 1 b 3 Q 7 O l t d L C Z x d W 9 0 O 0 N v b H V t b k l k Z W 5 0 a X R p Z X M m c X V v d D s 6 W y Z x d W 9 0 O 1 N l Y 3 R p b 2 4 x L 0 R h d G E v Q X V 0 b 1 J l b W 9 2 Z W R D b 2 x 1 b W 5 z M S 5 7 c 8 O 4 a 2 V u w 7 h r a 2 V s L D B 9 J n F 1 b 3 Q 7 L C Z x d W 9 0 O 1 N l Y 3 R p b 2 4 x L 0 R h d G E v Q X V 0 b 1 J l b W 9 2 Z W R D b 2 x 1 b W 5 z M S 5 7 c 2 V s c 2 t h c F 9 p Z C w x f S Z x d W 9 0 O y w m c X V v d D t T Z W N 0 a W 9 u M S 9 E Y X R h L 0 F 1 d G 9 S Z W 1 v d m V k Q 2 9 s d W 1 u c z E u e 8 O l c i w y f S Z x d W 9 0 O y w m c X V v d D t T Z W N 0 a W 9 u M S 9 E Y X R h L 0 F 1 d G 9 S Z W 1 v d m V k Q 2 9 s d W 1 u c z E u e 2 t 2 Y X J 0 Y W w s M 3 0 m c X V v d D s s J n F 1 b 3 Q 7 U 2 V j d G l v b j E v R G F 0 Y S 9 B d X R v U m V t b 3 Z l Z E N v b H V t b n M x L n t 0 Y W J l b G x f a W Q s N H 0 m c X V v d D s s J n F 1 b 3 Q 7 U 2 V j d G l v b j E v R G F 0 Y S 9 B d X R v U m V t b 3 Z l Z E N v b H V t b n M x L n t y Y W R f a W Q s N X 0 m c X V v d D s s J n F 1 b 3 Q 7 U 2 V j d G l v b j E v R G F 0 Y S 9 B d X R v U m V t b 3 Z l Z E N v b H V t b n M x L n t r Y X R l Z 2 9 y a V 9 p Z C w 2 f S Z x d W 9 0 O y w m c X V v d D t T Z W N 0 a W 9 u M S 9 E Y X R h L 0 F 1 d G 9 S Z W 1 v d m V k Q 2 9 s d W 1 u c z E u e 3 Z l c m R p L D d 9 J n F 1 b 3 Q 7 X S w m c X V v d D t S Z W x h d G l v b n N o a X B J b m Z v J n F 1 b 3 Q 7 O l t d f S I g L z 4 8 L 1 N 0 Y W J s Z U V u d H J p Z X M + P C 9 J d G V t P j x J d G V t P j x J d G V t T G 9 j Y X R p b 2 4 + P E l 0 Z W 1 U e X B l P k Z v c m 1 1 b G E 8 L 0 l 0 Z W 1 U e X B l P j x J d G V t U G F 0 a D 5 T Z W N 0 a W 9 u M S 9 E Y X R h L 0 t p b G R l P C 9 J d G V t U G F 0 a D 4 8 L 0 l 0 Z W 1 M b 2 N h d G l v b j 4 8 U 3 R h Y m x l R W 5 0 c m l l c y A v P j w v S X R l b T 4 8 S X R l b T 4 8 S X R l b U x v Y 2 F 0 a W 9 u P j x J d G V t V H l w Z T 5 G b 3 J t d W x h P C 9 J d G V t V H l w Z T 4 8 S X R l b V B h d G g + U 2 V j d G l v b j E v R G F 0 Y S 9 Q Y X J h b W V 0 Z X J W Z X J k a 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b W 1 j y d 2 / s k 6 D g J p H V i v u a Q A A A A A C A A A A A A A Q Z g A A A A E A A C A A A A B P 1 q N g I Z t H F g 7 S J 6 V s l C 5 j O l f M X d q y b N O s 8 M Y 0 Y l L O O g A A A A A O g A A A A A I A A C A A A A C L U v 5 K W s j / e w o x i S j R A T 6 n u b L 6 u U O P e o u s m y o R 3 b 3 2 4 F A A A A C / R c h u y Q Y 9 F M f a D p 5 0 a 0 + 0 r E k B a 8 i t e B k R O G / n 7 u x 8 g z r I N K s w a W a O S I v 9 f V y / A 5 t O c / I L a B y V A h x 4 H i i 7 R g r n m d n E F D L e Q j P h L 8 N z y z 6 2 z E A A A A C A 8 H g I f 5 K J G j 4 8 6 4 Y X W W A I V 7 C h o Q g M n C 4 O Z N 4 w D r 0 3 m s y L f R E 7 8 e d F n 3 k 8 3 b I Y O F f w V N 7 U x Z N y y B f r W j k R r 2 v P < / D a t a M a s h u p > 
</file>

<file path=customXml/item5.xml><?xml version="1.0" encoding="utf-8"?>
<?mso-contentType ?>
<SharedContentType xmlns="Microsoft.SharePoint.Taxonomy.ContentTypeSync" SourceId="dab2b8ef-c951-45bf-a0d0-9b3f2fbb5ccb" ContentTypeId="0x010100ACC77BB12EC7EE4EA60870A550D34450" PreviousValue="false" LastSyncTimeStamp="2024-11-13T10:55:17.69Z"/>
</file>

<file path=customXml/itemProps1.xml><?xml version="1.0" encoding="utf-8"?>
<ds:datastoreItem xmlns:ds="http://schemas.openxmlformats.org/officeDocument/2006/customXml" ds:itemID="{9F7F593D-5964-43BC-B3C9-C7E417A23672}">
  <ds:schemaRefs>
    <ds:schemaRef ds:uri="http://schemas.microsoft.com/office/2006/metadata/properties"/>
    <ds:schemaRef ds:uri="http://schemas.microsoft.com/office/infopath/2007/PartnerControls"/>
    <ds:schemaRef ds:uri="dfb549d9-2242-4234-b0a8-7a5fc0b14e8e"/>
    <ds:schemaRef ds:uri="96ee22af-2dda-43e0-a8b0-46d4ab82b360"/>
  </ds:schemaRefs>
</ds:datastoreItem>
</file>

<file path=customXml/itemProps2.xml><?xml version="1.0" encoding="utf-8"?>
<ds:datastoreItem xmlns:ds="http://schemas.openxmlformats.org/officeDocument/2006/customXml" ds:itemID="{0FFD769E-A1D2-4BA9-8D32-A1D80C158C31}">
  <ds:schemaRefs>
    <ds:schemaRef ds:uri="http://schemas.microsoft.com/sharepoint/v3/contenttype/forms"/>
  </ds:schemaRefs>
</ds:datastoreItem>
</file>

<file path=customXml/itemProps3.xml><?xml version="1.0" encoding="utf-8"?>
<ds:datastoreItem xmlns:ds="http://schemas.openxmlformats.org/officeDocument/2006/customXml" ds:itemID="{A0A07997-C18B-4D4B-B6E7-10E76C8FF0C7}"/>
</file>

<file path=customXml/itemProps4.xml><?xml version="1.0" encoding="utf-8"?>
<ds:datastoreItem xmlns:ds="http://schemas.openxmlformats.org/officeDocument/2006/customXml" ds:itemID="{90A5026E-7503-4E4B-BD83-E9801AFFB720}">
  <ds:schemaRefs>
    <ds:schemaRef ds:uri="http://schemas.microsoft.com/DataMashup"/>
  </ds:schemaRefs>
</ds:datastoreItem>
</file>

<file path=customXml/itemProps5.xml><?xml version="1.0" encoding="utf-8"?>
<ds:datastoreItem xmlns:ds="http://schemas.openxmlformats.org/officeDocument/2006/customXml" ds:itemID="{4623CC15-6B38-4B83-A2A9-52C52EE815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vt:i4>
      </vt:variant>
    </vt:vector>
  </HeadingPairs>
  <TitlesOfParts>
    <vt:vector size="36" baseType="lpstr">
      <vt:lpstr>Forside</vt:lpstr>
      <vt:lpstr>Innhold</vt:lpstr>
      <vt:lpstr>Figurer</vt:lpstr>
      <vt:lpstr>Tabel 1.1</vt:lpstr>
      <vt:lpstr>Tabell 1.2</vt:lpstr>
      <vt:lpstr>Tabell 1.3</vt:lpstr>
      <vt:lpstr>Skjema total MA</vt:lpstr>
      <vt:lpstr>DNB Livsforsikring</vt:lpstr>
      <vt:lpstr>Euro Accident</vt:lpstr>
      <vt:lpstr>Fremtind</vt:lpstr>
      <vt:lpstr>Frende Livsforsikring</vt:lpstr>
      <vt:lpstr>Frende Skadeforsikring</vt:lpstr>
      <vt:lpstr>Gjensidige Forsikring</vt:lpstr>
      <vt:lpstr>Gjensidige Pensjon</vt:lpstr>
      <vt:lpstr>If Skadeforsikring NUF</vt:lpstr>
      <vt:lpstr>KLP</vt:lpstr>
      <vt:lpstr>KLP Skadeforsikring AS</vt:lpstr>
      <vt:lpstr>Knif Trygghet Forsikring</vt:lpstr>
      <vt:lpstr>Landkreditt Forsikring AS</vt:lpstr>
      <vt:lpstr>Ly Forsikring</vt:lpstr>
      <vt:lpstr>Nordea Liv </vt:lpstr>
      <vt:lpstr>Oslo Forsikring</vt:lpstr>
      <vt:lpstr>Oslo Pensjonsforsikring</vt:lpstr>
      <vt:lpstr>Protector Forsikring</vt:lpstr>
      <vt:lpstr>Sparebank 1 Fors.</vt:lpstr>
      <vt:lpstr>Storebrand Livsforsikring</vt:lpstr>
      <vt:lpstr>Telenor Forsikring</vt:lpstr>
      <vt:lpstr>Tryg Forsikring</vt:lpstr>
      <vt:lpstr>WaterCircles F</vt:lpstr>
      <vt:lpstr>Youplus Livsforsikring</vt:lpstr>
      <vt:lpstr>Tabell 4</vt:lpstr>
      <vt:lpstr>Tabell 6</vt:lpstr>
      <vt:lpstr>Tabell 8</vt:lpstr>
      <vt:lpstr>Noter og kommentarer</vt:lpstr>
      <vt:lpstr>'Noter og kommentarer'!Utskriftsområde</vt:lpstr>
      <vt:lpstr>'Skjema total MA'!Utskriftsområde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Anne-Kathrine Johansen</dc:creator>
  <cp:keywords/>
  <dc:description/>
  <cp:lastModifiedBy>Randi Mørk</cp:lastModifiedBy>
  <cp:revision/>
  <cp:lastPrinted>2026-05-29T05:06:41Z</cp:lastPrinted>
  <dcterms:created xsi:type="dcterms:W3CDTF">2010-12-15T10:21:26Z</dcterms:created>
  <dcterms:modified xsi:type="dcterms:W3CDTF">2026-05-29T05:25:58Z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0x010100ACC77BB12EC7EE4EA60870A550D34450003D1DA8DA193DF34490145E671A94A881</vt:lpwstr>
  </property>
  <property fmtid="{D5CDD505-2E9C-101B-9397-08002B2CF9AE}" pid="3" name="MediaServiceImageTags">
    <vt:lpwstr/>
  </property>
  <property fmtid="{D5CDD505-2E9C-101B-9397-08002B2CF9AE}" pid="4" name="_ExtendedDescription">
    <vt:lpwstr/>
  </property>
  <property fmtid="{D5CDD505-2E9C-101B-9397-08002B2CF9AE}" pid="5" name="lcf76f155ced4ddcb4097134ff3c332f">
    <vt:lpwstr/>
  </property>
  <property fmtid="{D5CDD505-2E9C-101B-9397-08002B2CF9AE}" pid="6" name="TaxCatchAll">
    <vt:lpwstr/>
  </property>
</Properties>
</file>