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forsikringsdrift.sharepoint.com/sites/soa/Delte dokumenter/Liv-pensjon/Faste statistikker/MA/2026/Q1-2026/Publisert/"/>
    </mc:Choice>
  </mc:AlternateContent>
  <xr:revisionPtr revIDLastSave="0" documentId="8_{CB586A4C-62C4-45FF-A25C-8D272FB135DD}" xr6:coauthVersionLast="47" xr6:coauthVersionMax="47" xr10:uidLastSave="{00000000-0000-0000-0000-000000000000}"/>
  <bookViews>
    <workbookView xWindow="-120" yWindow="-120" windowWidth="29040" windowHeight="17520" tabRatio="835" activeTab="1" xr2:uid="{00000000-000D-0000-FFFF-FFFF00000000}"/>
  </bookViews>
  <sheets>
    <sheet name="Forside" sheetId="80" r:id="rId1"/>
    <sheet name="Innhold" sheetId="7" r:id="rId2"/>
    <sheet name="Figurer" sheetId="8" r:id="rId3"/>
    <sheet name="Tabel 1.1" sheetId="9" r:id="rId4"/>
    <sheet name="Tabell 1.2" sheetId="10" r:id="rId5"/>
    <sheet name="Tabell 1.3" sheetId="58" r:id="rId6"/>
    <sheet name="Skjema total MA" sheetId="4" r:id="rId7"/>
    <sheet name="DNB Livsforsikring" sheetId="13" r:id="rId8"/>
    <sheet name="Euro Accident" sheetId="77" r:id="rId9"/>
    <sheet name="Fremtind" sheetId="93" r:id="rId10"/>
    <sheet name="Frende Livsforsikring" sheetId="20" r:id="rId11"/>
    <sheet name="Frende Skadeforsikring" sheetId="21" r:id="rId12"/>
    <sheet name="Gjensidige Forsikring" sheetId="22" r:id="rId13"/>
    <sheet name="Gjensidige Pensjon" sheetId="23" r:id="rId14"/>
    <sheet name="If Skadeforsikring NUF" sheetId="25" r:id="rId15"/>
    <sheet name="KLP" sheetId="26" r:id="rId16"/>
    <sheet name="KLP Skadeforsikring AS" sheetId="51" r:id="rId17"/>
    <sheet name="Knif Trygghet Forsikring" sheetId="91" r:id="rId18"/>
    <sheet name="Landkreditt Forsikring AS" sheetId="40" r:id="rId19"/>
    <sheet name="Ly Forsikring" sheetId="78" r:id="rId20"/>
    <sheet name="Nordea Liv " sheetId="29" r:id="rId21"/>
    <sheet name="Oslo Forsikring" sheetId="81" r:id="rId22"/>
    <sheet name="Oslo Pensjonsforsikring" sheetId="34" r:id="rId23"/>
    <sheet name="Protector Forsikring" sheetId="72" r:id="rId24"/>
    <sheet name="Sparebank 1 Fors." sheetId="33" r:id="rId25"/>
    <sheet name="Storebrand Livsforsikring" sheetId="37" r:id="rId26"/>
    <sheet name="Telenor Forsikring" sheetId="38" r:id="rId27"/>
    <sheet name="Tryg Forsikring" sheetId="39" r:id="rId28"/>
    <sheet name="WaterCircles F" sheetId="74" r:id="rId29"/>
    <sheet name="Youplus Livsforsikring" sheetId="79" r:id="rId30"/>
    <sheet name="Tabell 4" sheetId="82" r:id="rId31"/>
    <sheet name="Tabell 6" sheetId="86" r:id="rId32"/>
    <sheet name="Tabell 8" sheetId="90" r:id="rId33"/>
    <sheet name="Noter og kommentarer" sheetId="3" r:id="rId34"/>
  </sheets>
  <externalReferences>
    <externalReference r:id="rId35"/>
  </externalReferences>
  <definedNames>
    <definedName name="Dag">#REF!</definedName>
    <definedName name="Dager">#REF!</definedName>
    <definedName name="dato">#REF!</definedName>
    <definedName name="Feilmelding">#REF!</definedName>
    <definedName name="FilNavn">[1]Oppslagstabeller!$N$5</definedName>
    <definedName name="Fjorårstall">#REF!</definedName>
    <definedName name="Koder2a">#REF!</definedName>
    <definedName name="kvartal">#REF!</definedName>
    <definedName name="Måned">#REF!</definedName>
    <definedName name="OppslagsKolonneDataVerdi">#REF!</definedName>
    <definedName name="OppslagsKolonneSelskapNavn">#REF!</definedName>
    <definedName name="Selskap">[1]Oppslagstabeller!$N$4</definedName>
    <definedName name="SelskapKolonneIndeks">[1]!Tabell3[#All]</definedName>
    <definedName name="SelskapListe">#REF!</definedName>
    <definedName name="Selskapsliste">[1]Oppslagstabeller!$A$1:$G$36</definedName>
    <definedName name="UtfylteTall">#REF!</definedName>
    <definedName name="_xlnm.Print_Area" localSheetId="33">'Noter og kommentarer'!$A$1:$L$43</definedName>
    <definedName name="_xlnm.Print_Area" localSheetId="6">'Skjema total MA'!$A$1:$J$138</definedName>
    <definedName name="år">#REF!</definedName>
    <definedName name="ÅrFratrekk">#REF!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7" i="90" l="1"/>
  <c r="Y17" i="90"/>
  <c r="S17" i="90"/>
  <c r="P17" i="90"/>
  <c r="M17" i="90"/>
  <c r="G17" i="90"/>
  <c r="AD13" i="90"/>
  <c r="AC13" i="90"/>
  <c r="AJ75" i="86"/>
  <c r="AJ74" i="86"/>
  <c r="AF74" i="86"/>
  <c r="AG74" i="86"/>
  <c r="AF75" i="86"/>
  <c r="AG75" i="86"/>
  <c r="G34" i="82"/>
  <c r="AG27" i="82"/>
  <c r="AG25" i="82"/>
  <c r="I33" i="37"/>
  <c r="I33" i="33"/>
  <c r="I33" i="29"/>
  <c r="M33" i="29"/>
  <c r="I33" i="23"/>
  <c r="M33" i="23"/>
  <c r="F87" i="86" l="1"/>
  <c r="F80" i="86"/>
  <c r="E80" i="86"/>
  <c r="E93" i="86" s="1"/>
  <c r="F54" i="86"/>
  <c r="F50" i="86"/>
  <c r="F39" i="86"/>
  <c r="E39" i="86"/>
  <c r="E45" i="86" s="1"/>
  <c r="E62" i="86" s="1"/>
  <c r="F35" i="86"/>
  <c r="F20" i="86"/>
  <c r="F16" i="86"/>
  <c r="E16" i="86"/>
  <c r="E27" i="86" s="1"/>
  <c r="E29" i="86" s="1"/>
  <c r="F41" i="82"/>
  <c r="E41" i="82"/>
  <c r="F30" i="82"/>
  <c r="E30" i="82"/>
  <c r="F21" i="82"/>
  <c r="E21" i="82"/>
  <c r="F14" i="82"/>
  <c r="E14" i="82"/>
  <c r="E35" i="82" l="1"/>
  <c r="E42" i="82" s="1"/>
  <c r="E44" i="82" s="1"/>
  <c r="E46" i="82" s="1"/>
  <c r="F35" i="82"/>
  <c r="F42" i="82" s="1"/>
  <c r="F44" i="82" s="1"/>
  <c r="F46" i="82" s="1"/>
  <c r="F93" i="86"/>
  <c r="F45" i="86"/>
  <c r="E64" i="86"/>
  <c r="F27" i="86"/>
  <c r="F29" i="86" s="1"/>
  <c r="F60" i="86"/>
  <c r="J36" i="86"/>
  <c r="I80" i="86"/>
  <c r="I93" i="86" s="1"/>
  <c r="H80" i="86"/>
  <c r="H93" i="86" s="1"/>
  <c r="I39" i="86"/>
  <c r="H39" i="86"/>
  <c r="I35" i="86"/>
  <c r="H35" i="86"/>
  <c r="I20" i="86"/>
  <c r="I27" i="86" s="1"/>
  <c r="I29" i="86" s="1"/>
  <c r="H20" i="86"/>
  <c r="H27" i="86" s="1"/>
  <c r="H29" i="86" s="1"/>
  <c r="I41" i="82"/>
  <c r="H41" i="82"/>
  <c r="I30" i="82"/>
  <c r="H30" i="82"/>
  <c r="I21" i="82"/>
  <c r="H21" i="82"/>
  <c r="I14" i="82"/>
  <c r="H14" i="82"/>
  <c r="P86" i="86"/>
  <c r="P84" i="86"/>
  <c r="P79" i="86"/>
  <c r="P52" i="86"/>
  <c r="P43" i="82"/>
  <c r="P28" i="82"/>
  <c r="H35" i="82" l="1"/>
  <c r="H42" i="82" s="1"/>
  <c r="H44" i="82" s="1"/>
  <c r="H46" i="82" s="1"/>
  <c r="F62" i="86"/>
  <c r="F64" i="86" s="1"/>
  <c r="H45" i="86"/>
  <c r="H62" i="86" s="1"/>
  <c r="H64" i="86" s="1"/>
  <c r="I35" i="82"/>
  <c r="I42" i="82" s="1"/>
  <c r="I44" i="82" s="1"/>
  <c r="I46" i="82" s="1"/>
  <c r="I45" i="86"/>
  <c r="I62" i="86" s="1"/>
  <c r="I64" i="86" s="1"/>
  <c r="J35" i="86"/>
  <c r="V17" i="90" l="1"/>
  <c r="U13" i="90"/>
  <c r="T13" i="90"/>
  <c r="V79" i="86"/>
  <c r="V77" i="86"/>
  <c r="V21" i="86"/>
  <c r="U88" i="86"/>
  <c r="U80" i="86"/>
  <c r="U39" i="86"/>
  <c r="U35" i="86"/>
  <c r="U45" i="86" s="1"/>
  <c r="U28" i="86"/>
  <c r="U20" i="86"/>
  <c r="U16" i="86"/>
  <c r="U15" i="86"/>
  <c r="V34" i="82"/>
  <c r="U41" i="82"/>
  <c r="U30" i="82"/>
  <c r="U21" i="82"/>
  <c r="U14" i="82"/>
  <c r="U93" i="86" l="1"/>
  <c r="U27" i="86"/>
  <c r="U29" i="86" s="1"/>
  <c r="U35" i="82"/>
  <c r="U42" i="82" s="1"/>
  <c r="U44" i="82" s="1"/>
  <c r="U46" i="82" s="1"/>
  <c r="U62" i="86"/>
  <c r="U64" i="86" l="1"/>
  <c r="AD80" i="86"/>
  <c r="AD93" i="86" s="1"/>
  <c r="AC80" i="86"/>
  <c r="AC93" i="86" s="1"/>
  <c r="AD39" i="86"/>
  <c r="AD45" i="86" s="1"/>
  <c r="AC39" i="86"/>
  <c r="AC45" i="86" s="1"/>
  <c r="AC62" i="86" s="1"/>
  <c r="AD20" i="86"/>
  <c r="AC20" i="86"/>
  <c r="AC27" i="86" s="1"/>
  <c r="AC29" i="86" s="1"/>
  <c r="AD27" i="86"/>
  <c r="AD29" i="86" s="1"/>
  <c r="AD41" i="82"/>
  <c r="AC41" i="82"/>
  <c r="AD30" i="82"/>
  <c r="AC30" i="82"/>
  <c r="AD21" i="82"/>
  <c r="AC21" i="82"/>
  <c r="AD14" i="82"/>
  <c r="AC14" i="82"/>
  <c r="AD35" i="82" l="1"/>
  <c r="AD42" i="82" s="1"/>
  <c r="AD44" i="82" s="1"/>
  <c r="AD46" i="82" s="1"/>
  <c r="AC35" i="82"/>
  <c r="AC42" i="82" s="1"/>
  <c r="AC44" i="82" s="1"/>
  <c r="AC46" i="82" s="1"/>
  <c r="AC64" i="86"/>
  <c r="AD62" i="86"/>
  <c r="AD64" i="86" s="1"/>
  <c r="M77" i="86" l="1"/>
  <c r="M71" i="86"/>
  <c r="M49" i="86"/>
  <c r="M46" i="86"/>
  <c r="M40" i="86"/>
  <c r="M34" i="86"/>
  <c r="M14" i="86"/>
  <c r="M19" i="86"/>
  <c r="L87" i="86"/>
  <c r="K87" i="86"/>
  <c r="L80" i="86"/>
  <c r="K80" i="86"/>
  <c r="L54" i="86"/>
  <c r="L60" i="86" s="1"/>
  <c r="K54" i="86"/>
  <c r="K60" i="86" s="1"/>
  <c r="L39" i="86"/>
  <c r="K39" i="86"/>
  <c r="L35" i="86"/>
  <c r="K35" i="86"/>
  <c r="L20" i="86"/>
  <c r="K20" i="86"/>
  <c r="L16" i="86"/>
  <c r="K16" i="86"/>
  <c r="K27" i="86" s="1"/>
  <c r="K29" i="86" s="1"/>
  <c r="M26" i="82"/>
  <c r="M17" i="82"/>
  <c r="L41" i="82"/>
  <c r="K41" i="82"/>
  <c r="L30" i="82"/>
  <c r="K30" i="82"/>
  <c r="L21" i="82"/>
  <c r="K21" i="82"/>
  <c r="L14" i="82"/>
  <c r="K14" i="82"/>
  <c r="K45" i="86" l="1"/>
  <c r="L27" i="86"/>
  <c r="L29" i="86" s="1"/>
  <c r="L93" i="86"/>
  <c r="L45" i="86"/>
  <c r="L62" i="86" s="1"/>
  <c r="M16" i="86"/>
  <c r="L35" i="82"/>
  <c r="L42" i="82" s="1"/>
  <c r="L44" i="82" s="1"/>
  <c r="L46" i="82" s="1"/>
  <c r="K93" i="86"/>
  <c r="K35" i="82"/>
  <c r="K42" i="82" s="1"/>
  <c r="K44" i="82" s="1"/>
  <c r="K46" i="82" s="1"/>
  <c r="L64" i="86"/>
  <c r="K62" i="86"/>
  <c r="K64" i="86" s="1"/>
  <c r="C90" i="86" l="1"/>
  <c r="C87" i="86"/>
  <c r="B87" i="86"/>
  <c r="C80" i="86"/>
  <c r="B80" i="86"/>
  <c r="B93" i="86" s="1"/>
  <c r="C54" i="86"/>
  <c r="B54" i="86"/>
  <c r="B60" i="86" s="1"/>
  <c r="C50" i="86"/>
  <c r="C39" i="86"/>
  <c r="B39" i="86"/>
  <c r="C35" i="86"/>
  <c r="C45" i="86" s="1"/>
  <c r="B35" i="86"/>
  <c r="C20" i="86"/>
  <c r="B20" i="86"/>
  <c r="B27" i="86" s="1"/>
  <c r="B29" i="86" s="1"/>
  <c r="C16" i="86"/>
  <c r="C27" i="86" s="1"/>
  <c r="C29" i="86" s="1"/>
  <c r="C41" i="82"/>
  <c r="B41" i="82"/>
  <c r="C30" i="82"/>
  <c r="B30" i="82"/>
  <c r="C21" i="82"/>
  <c r="B21" i="82"/>
  <c r="C14" i="82"/>
  <c r="C35" i="82" s="1"/>
  <c r="B14" i="82"/>
  <c r="B35" i="82" s="1"/>
  <c r="C60" i="86" l="1"/>
  <c r="B42" i="82"/>
  <c r="B44" i="82" s="1"/>
  <c r="B46" i="82" s="1"/>
  <c r="C93" i="86"/>
  <c r="C42" i="82"/>
  <c r="C44" i="82" s="1"/>
  <c r="C46" i="82" s="1"/>
  <c r="B45" i="86"/>
  <c r="B62" i="86" s="1"/>
  <c r="B64" i="86" s="1"/>
  <c r="C62" i="86"/>
  <c r="C64" i="86" s="1"/>
  <c r="AA87" i="86" l="1"/>
  <c r="Z87" i="86"/>
  <c r="AA80" i="86"/>
  <c r="Z80" i="86"/>
  <c r="AA54" i="86"/>
  <c r="Z54" i="86"/>
  <c r="AA50" i="86"/>
  <c r="Z50" i="86"/>
  <c r="AA39" i="86"/>
  <c r="Z39" i="86"/>
  <c r="AA35" i="86"/>
  <c r="AA45" i="86" s="1"/>
  <c r="Z35" i="86"/>
  <c r="Z45" i="86" s="1"/>
  <c r="AA20" i="86"/>
  <c r="Z20" i="86"/>
  <c r="AA16" i="86"/>
  <c r="AA27" i="86" s="1"/>
  <c r="AA29" i="86" s="1"/>
  <c r="Z16" i="86"/>
  <c r="AA41" i="82"/>
  <c r="Z41" i="82"/>
  <c r="AA30" i="82"/>
  <c r="Z30" i="82"/>
  <c r="AA21" i="82"/>
  <c r="Z21" i="82"/>
  <c r="AA14" i="82"/>
  <c r="Z14" i="82"/>
  <c r="Z27" i="86" l="1"/>
  <c r="Z29" i="86" s="1"/>
  <c r="AA60" i="86"/>
  <c r="AA62" i="86" s="1"/>
  <c r="AA64" i="86" s="1"/>
  <c r="Z35" i="82"/>
  <c r="Z42" i="82" s="1"/>
  <c r="Z44" i="82" s="1"/>
  <c r="Z46" i="82" s="1"/>
  <c r="AA35" i="82"/>
  <c r="AA42" i="82" s="1"/>
  <c r="AA44" i="82" s="1"/>
  <c r="AA46" i="82" s="1"/>
  <c r="AA93" i="86"/>
  <c r="Z93" i="86"/>
  <c r="Z60" i="86"/>
  <c r="Z62" i="86" s="1"/>
  <c r="Z64" i="86" s="1"/>
  <c r="S58" i="86" l="1"/>
  <c r="S56" i="86"/>
  <c r="S49" i="86"/>
  <c r="S25" i="86"/>
  <c r="S24" i="86"/>
  <c r="S18" i="86"/>
  <c r="S17" i="86"/>
  <c r="S15" i="86"/>
  <c r="R87" i="86"/>
  <c r="Q87" i="86"/>
  <c r="R80" i="86"/>
  <c r="R93" i="86" s="1"/>
  <c r="Q80" i="86"/>
  <c r="Q93" i="86" s="1"/>
  <c r="R54" i="86"/>
  <c r="R60" i="86" s="1"/>
  <c r="Q54" i="86"/>
  <c r="Q60" i="86" s="1"/>
  <c r="R39" i="86"/>
  <c r="Q39" i="86"/>
  <c r="R35" i="86"/>
  <c r="Q35" i="86"/>
  <c r="R20" i="86"/>
  <c r="Q20" i="86"/>
  <c r="R16" i="86"/>
  <c r="R27" i="86" s="1"/>
  <c r="R29" i="86" s="1"/>
  <c r="Q16" i="86"/>
  <c r="Q27" i="86" s="1"/>
  <c r="Q29" i="86" s="1"/>
  <c r="R41" i="82"/>
  <c r="Q41" i="82"/>
  <c r="R30" i="82"/>
  <c r="Q30" i="82"/>
  <c r="R21" i="82"/>
  <c r="Q21" i="82"/>
  <c r="R14" i="82"/>
  <c r="Q14" i="82"/>
  <c r="R45" i="86" l="1"/>
  <c r="R62" i="86" s="1"/>
  <c r="R64" i="86" s="1"/>
  <c r="Q35" i="82"/>
  <c r="Q42" i="82" s="1"/>
  <c r="Q44" i="82" s="1"/>
  <c r="Q46" i="82" s="1"/>
  <c r="Q45" i="86"/>
  <c r="Q62" i="86" s="1"/>
  <c r="Q64" i="86" s="1"/>
  <c r="R35" i="82"/>
  <c r="R42" i="82" s="1"/>
  <c r="R44" i="82" s="1"/>
  <c r="R46" i="82" s="1"/>
  <c r="S16" i="86"/>
  <c r="G90" i="86" l="1"/>
  <c r="G89" i="86"/>
  <c r="G71" i="86"/>
  <c r="G42" i="86"/>
  <c r="G37" i="86"/>
  <c r="G36" i="86"/>
  <c r="G35" i="86"/>
  <c r="G34" i="86"/>
  <c r="G23" i="86"/>
  <c r="G20" i="86"/>
  <c r="G18" i="86"/>
  <c r="G17" i="86"/>
  <c r="G16" i="86"/>
  <c r="X87" i="86"/>
  <c r="W87" i="86"/>
  <c r="X80" i="86"/>
  <c r="X93" i="86" s="1"/>
  <c r="W80" i="86"/>
  <c r="X54" i="86"/>
  <c r="W54" i="86"/>
  <c r="W60" i="86" s="1"/>
  <c r="X50" i="86"/>
  <c r="X39" i="86"/>
  <c r="W39" i="86"/>
  <c r="X35" i="86"/>
  <c r="W35" i="86"/>
  <c r="X20" i="86"/>
  <c r="W20" i="86"/>
  <c r="X16" i="86"/>
  <c r="X27" i="86" s="1"/>
  <c r="X29" i="86" s="1"/>
  <c r="W16" i="86"/>
  <c r="X41" i="82"/>
  <c r="W41" i="82"/>
  <c r="X30" i="82"/>
  <c r="W30" i="82"/>
  <c r="X21" i="82"/>
  <c r="W21" i="82"/>
  <c r="X14" i="82"/>
  <c r="W14" i="82"/>
  <c r="W93" i="86" l="1"/>
  <c r="W45" i="86"/>
  <c r="W62" i="86" s="1"/>
  <c r="X45" i="86"/>
  <c r="W35" i="82"/>
  <c r="W42" i="82" s="1"/>
  <c r="W44" i="82" s="1"/>
  <c r="W46" i="82" s="1"/>
  <c r="X35" i="82"/>
  <c r="X42" i="82" s="1"/>
  <c r="X44" i="82" s="1"/>
  <c r="X46" i="82" s="1"/>
  <c r="X60" i="86"/>
  <c r="W27" i="86"/>
  <c r="W29" i="86" s="1"/>
  <c r="X62" i="86" l="1"/>
  <c r="X64" i="86" s="1"/>
  <c r="W64" i="86"/>
  <c r="K29" i="93"/>
  <c r="K22" i="93"/>
  <c r="K28" i="93"/>
  <c r="K30" i="93"/>
  <c r="D10" i="91"/>
  <c r="D9" i="91"/>
  <c r="D53" i="91"/>
  <c r="K7" i="91"/>
  <c r="D56" i="91"/>
  <c r="D54" i="91"/>
  <c r="K9" i="91"/>
  <c r="D7" i="91"/>
  <c r="K10" i="91"/>
  <c r="D48" i="91"/>
  <c r="D57" i="91"/>
  <c r="C19" i="9" l="1"/>
  <c r="L9" i="91"/>
  <c r="L7" i="91"/>
  <c r="D47" i="91"/>
  <c r="L10" i="91"/>
  <c r="H19" i="9" l="1"/>
  <c r="N62" i="8" s="1"/>
  <c r="B19" i="9"/>
  <c r="B55" i="9" s="1"/>
  <c r="G19" i="9"/>
  <c r="M62" i="8" s="1"/>
  <c r="N18" i="8"/>
  <c r="C55" i="9"/>
  <c r="AD17" i="90"/>
  <c r="AC17" i="90"/>
  <c r="D17" i="90"/>
  <c r="AD15" i="90"/>
  <c r="AC15" i="90"/>
  <c r="AB15" i="90"/>
  <c r="Y15" i="90"/>
  <c r="V15" i="90"/>
  <c r="S15" i="90"/>
  <c r="P15" i="90"/>
  <c r="M15" i="90"/>
  <c r="D15" i="90"/>
  <c r="AE13" i="90"/>
  <c r="AB13" i="90"/>
  <c r="Y13" i="90"/>
  <c r="V13" i="90"/>
  <c r="S13" i="90"/>
  <c r="P13" i="90"/>
  <c r="M13" i="90"/>
  <c r="J13" i="90"/>
  <c r="G13" i="90"/>
  <c r="D13" i="90"/>
  <c r="D11" i="90"/>
  <c r="H55" i="9" l="1"/>
  <c r="G55" i="9"/>
  <c r="I55" i="9" s="1"/>
  <c r="D55" i="9"/>
  <c r="D19" i="9"/>
  <c r="M18" i="8"/>
  <c r="I19" i="9"/>
  <c r="AE17" i="90"/>
  <c r="AE15" i="90"/>
  <c r="AD8" i="90" l="1"/>
  <c r="AC8" i="90"/>
  <c r="AA8" i="90"/>
  <c r="Z8" i="90"/>
  <c r="X8" i="90"/>
  <c r="W8" i="90"/>
  <c r="U8" i="90"/>
  <c r="T8" i="90"/>
  <c r="R8" i="90"/>
  <c r="Q8" i="90"/>
  <c r="O8" i="90"/>
  <c r="N8" i="90"/>
  <c r="L8" i="90"/>
  <c r="K8" i="90"/>
  <c r="I8" i="90"/>
  <c r="H8" i="90"/>
  <c r="F8" i="90"/>
  <c r="E8" i="90"/>
  <c r="AI93" i="86"/>
  <c r="AF93" i="86"/>
  <c r="G93" i="86"/>
  <c r="AJ91" i="86"/>
  <c r="AI91" i="86"/>
  <c r="AG91" i="86"/>
  <c r="AF91" i="86"/>
  <c r="AE91" i="86"/>
  <c r="AB91" i="86"/>
  <c r="Y91" i="86"/>
  <c r="V91" i="86"/>
  <c r="S91" i="86"/>
  <c r="P91" i="86"/>
  <c r="M91" i="86"/>
  <c r="J91" i="86"/>
  <c r="D91" i="86"/>
  <c r="AJ90" i="86"/>
  <c r="AI90" i="86"/>
  <c r="AG90" i="86"/>
  <c r="AF90" i="86"/>
  <c r="AE90" i="86"/>
  <c r="AB90" i="86"/>
  <c r="Y90" i="86"/>
  <c r="S90" i="86"/>
  <c r="P90" i="86"/>
  <c r="M90" i="86"/>
  <c r="D90" i="86"/>
  <c r="AJ89" i="86"/>
  <c r="AI89" i="86"/>
  <c r="AG89" i="86"/>
  <c r="AF89" i="86"/>
  <c r="Y89" i="86"/>
  <c r="AJ88" i="86"/>
  <c r="AI88" i="86"/>
  <c r="AG88" i="86"/>
  <c r="AF88" i="86"/>
  <c r="AE88" i="86"/>
  <c r="AB88" i="86"/>
  <c r="Y88" i="86"/>
  <c r="V88" i="86"/>
  <c r="S88" i="86"/>
  <c r="P88" i="86"/>
  <c r="M88" i="86"/>
  <c r="J88" i="86"/>
  <c r="G88" i="86"/>
  <c r="D88" i="86"/>
  <c r="AJ86" i="86"/>
  <c r="AI86" i="86"/>
  <c r="AG86" i="86"/>
  <c r="AF86" i="86"/>
  <c r="AJ85" i="86"/>
  <c r="AI85" i="86"/>
  <c r="AG85" i="86"/>
  <c r="AF85" i="86"/>
  <c r="AB85" i="86"/>
  <c r="Y85" i="86"/>
  <c r="P85" i="86"/>
  <c r="M85" i="86"/>
  <c r="D85" i="86"/>
  <c r="AJ84" i="86"/>
  <c r="AI84" i="86"/>
  <c r="AK84" i="86" s="1"/>
  <c r="AG84" i="86"/>
  <c r="AF84" i="86"/>
  <c r="AI83" i="86"/>
  <c r="AK83" i="86" s="1"/>
  <c r="AF83" i="86"/>
  <c r="AH83" i="86" s="1"/>
  <c r="AB83" i="86"/>
  <c r="Y83" i="86"/>
  <c r="AJ82" i="86"/>
  <c r="AI82" i="86"/>
  <c r="AG82" i="86"/>
  <c r="AF82" i="86"/>
  <c r="AB82" i="86"/>
  <c r="Y82" i="86"/>
  <c r="S82" i="86"/>
  <c r="P82" i="86"/>
  <c r="M82" i="86"/>
  <c r="D82" i="86"/>
  <c r="G80" i="86"/>
  <c r="AJ79" i="86"/>
  <c r="AI79" i="86"/>
  <c r="AG79" i="86"/>
  <c r="AF79" i="86"/>
  <c r="AJ78" i="86"/>
  <c r="AI78" i="86"/>
  <c r="AG78" i="86"/>
  <c r="AF78" i="86"/>
  <c r="AB78" i="86"/>
  <c r="Y78" i="86"/>
  <c r="D78" i="86"/>
  <c r="AJ77" i="86"/>
  <c r="AI77" i="86"/>
  <c r="AG77" i="86"/>
  <c r="AF77" i="86"/>
  <c r="AE77" i="86"/>
  <c r="AB77" i="86"/>
  <c r="Y77" i="86"/>
  <c r="S77" i="86"/>
  <c r="P77" i="86"/>
  <c r="D77" i="86"/>
  <c r="AJ76" i="86"/>
  <c r="AI76" i="86"/>
  <c r="AG76" i="86"/>
  <c r="AF76" i="86"/>
  <c r="AE76" i="86"/>
  <c r="AB76" i="86"/>
  <c r="Y76" i="86"/>
  <c r="V76" i="86"/>
  <c r="S76" i="86"/>
  <c r="P76" i="86"/>
  <c r="M76" i="86"/>
  <c r="G76" i="86"/>
  <c r="D76" i="86"/>
  <c r="AI75" i="86"/>
  <c r="AK75" i="86" s="1"/>
  <c r="AH75" i="86"/>
  <c r="P75" i="86"/>
  <c r="AI74" i="86"/>
  <c r="AK74" i="86" s="1"/>
  <c r="AH74" i="86"/>
  <c r="AJ73" i="86"/>
  <c r="AI73" i="86"/>
  <c r="AG73" i="86"/>
  <c r="AF73" i="86"/>
  <c r="AE73" i="86"/>
  <c r="AB73" i="86"/>
  <c r="Y73" i="86"/>
  <c r="V73" i="86"/>
  <c r="S73" i="86"/>
  <c r="P73" i="86"/>
  <c r="M73" i="86"/>
  <c r="J73" i="86"/>
  <c r="G73" i="86"/>
  <c r="D73" i="86"/>
  <c r="AJ71" i="86"/>
  <c r="AI71" i="86"/>
  <c r="AG71" i="86"/>
  <c r="AF71" i="86"/>
  <c r="AB71" i="86"/>
  <c r="Y71" i="86"/>
  <c r="S71" i="86"/>
  <c r="P71" i="86"/>
  <c r="D71" i="86"/>
  <c r="AJ70" i="86"/>
  <c r="AI70" i="86"/>
  <c r="AG70" i="86"/>
  <c r="AF70" i="86"/>
  <c r="AB70" i="86"/>
  <c r="Y70" i="86"/>
  <c r="S70" i="86"/>
  <c r="P70" i="86"/>
  <c r="M70" i="86"/>
  <c r="D70" i="86"/>
  <c r="AJ69" i="86"/>
  <c r="AI69" i="86"/>
  <c r="AG69" i="86"/>
  <c r="AF69" i="86"/>
  <c r="AE69" i="86"/>
  <c r="AB69" i="86"/>
  <c r="Y69" i="86"/>
  <c r="V69" i="86"/>
  <c r="S69" i="86"/>
  <c r="P69" i="86"/>
  <c r="M69" i="86"/>
  <c r="J69" i="86"/>
  <c r="G69" i="86"/>
  <c r="D69" i="86"/>
  <c r="AJ68" i="86"/>
  <c r="AI68" i="86"/>
  <c r="AG68" i="86"/>
  <c r="AF68" i="86"/>
  <c r="AE68" i="86"/>
  <c r="AB68" i="86"/>
  <c r="Y68" i="86"/>
  <c r="V68" i="86"/>
  <c r="S68" i="86"/>
  <c r="P68" i="86"/>
  <c r="M68" i="86"/>
  <c r="J68" i="86"/>
  <c r="G68" i="86"/>
  <c r="D68" i="86"/>
  <c r="AI64" i="86"/>
  <c r="AF64" i="86"/>
  <c r="G64" i="86"/>
  <c r="G62" i="86"/>
  <c r="AJ61" i="86"/>
  <c r="AI61" i="86"/>
  <c r="AG61" i="86"/>
  <c r="AF61" i="86"/>
  <c r="AJ59" i="86"/>
  <c r="AG59" i="86"/>
  <c r="AB59" i="86"/>
  <c r="Y59" i="86"/>
  <c r="S59" i="86"/>
  <c r="P59" i="86"/>
  <c r="AJ58" i="86"/>
  <c r="AI58" i="86"/>
  <c r="AG58" i="86"/>
  <c r="AF58" i="86"/>
  <c r="AB58" i="86"/>
  <c r="P58" i="86"/>
  <c r="AJ57" i="86"/>
  <c r="AI57" i="86"/>
  <c r="AG57" i="86"/>
  <c r="AF57" i="86"/>
  <c r="AB57" i="86"/>
  <c r="P57" i="86"/>
  <c r="D57" i="86"/>
  <c r="AJ56" i="86"/>
  <c r="AG56" i="86"/>
  <c r="Y56" i="86"/>
  <c r="P56" i="86"/>
  <c r="M56" i="86"/>
  <c r="D56" i="86"/>
  <c r="AJ55" i="86"/>
  <c r="AG55" i="86"/>
  <c r="AB55" i="86"/>
  <c r="Y55" i="86"/>
  <c r="S55" i="86"/>
  <c r="P55" i="86"/>
  <c r="M55" i="86"/>
  <c r="AF55" i="86"/>
  <c r="D55" i="86"/>
  <c r="AJ53" i="86"/>
  <c r="AI53" i="86"/>
  <c r="AG53" i="86"/>
  <c r="AF53" i="86"/>
  <c r="AJ52" i="86"/>
  <c r="AI52" i="86"/>
  <c r="AG52" i="86"/>
  <c r="AF52" i="86"/>
  <c r="AJ51" i="86"/>
  <c r="AI51" i="86"/>
  <c r="AG51" i="86"/>
  <c r="AF51" i="86"/>
  <c r="P51" i="86"/>
  <c r="AJ49" i="86"/>
  <c r="AI49" i="86"/>
  <c r="AG49" i="86"/>
  <c r="AF49" i="86"/>
  <c r="AB49" i="86"/>
  <c r="P49" i="86"/>
  <c r="AJ48" i="86"/>
  <c r="AI48" i="86"/>
  <c r="AG48" i="86"/>
  <c r="AF48" i="86"/>
  <c r="AH48" i="86" s="1"/>
  <c r="AJ46" i="86"/>
  <c r="AI46" i="86"/>
  <c r="AG46" i="86"/>
  <c r="AF46" i="86"/>
  <c r="Y46" i="86"/>
  <c r="S46" i="86"/>
  <c r="J46" i="86"/>
  <c r="G46" i="86"/>
  <c r="G45" i="86"/>
  <c r="AJ44" i="86"/>
  <c r="AI44" i="86"/>
  <c r="AG44" i="86"/>
  <c r="AF44" i="86"/>
  <c r="AB44" i="86"/>
  <c r="Y44" i="86"/>
  <c r="S44" i="86"/>
  <c r="P44" i="86"/>
  <c r="M44" i="86"/>
  <c r="J44" i="86"/>
  <c r="G44" i="86"/>
  <c r="D44" i="86"/>
  <c r="AJ43" i="86"/>
  <c r="AI43" i="86"/>
  <c r="AG43" i="86"/>
  <c r="AF43" i="86"/>
  <c r="AB43" i="86"/>
  <c r="Y43" i="86"/>
  <c r="V43" i="86"/>
  <c r="S43" i="86"/>
  <c r="P43" i="86"/>
  <c r="D43" i="86"/>
  <c r="AJ42" i="86"/>
  <c r="AI42" i="86"/>
  <c r="AG42" i="86"/>
  <c r="AF42" i="86"/>
  <c r="AB42" i="86"/>
  <c r="V42" i="86"/>
  <c r="P42" i="86"/>
  <c r="D42" i="86"/>
  <c r="AJ41" i="86"/>
  <c r="AI41" i="86"/>
  <c r="AG41" i="86"/>
  <c r="AF41" i="86"/>
  <c r="AE41" i="86"/>
  <c r="AB41" i="86"/>
  <c r="Y41" i="86"/>
  <c r="V41" i="86"/>
  <c r="S41" i="86"/>
  <c r="P41" i="86"/>
  <c r="M41" i="86"/>
  <c r="J41" i="86"/>
  <c r="G41" i="86"/>
  <c r="D41" i="86"/>
  <c r="AJ40" i="86"/>
  <c r="AI40" i="86"/>
  <c r="AG40" i="86"/>
  <c r="AF40" i="86"/>
  <c r="AB40" i="86"/>
  <c r="Y40" i="86"/>
  <c r="V40" i="86"/>
  <c r="S40" i="86"/>
  <c r="P40" i="86"/>
  <c r="J40" i="86"/>
  <c r="G40" i="86"/>
  <c r="D40" i="86"/>
  <c r="G39" i="86"/>
  <c r="AJ38" i="86"/>
  <c r="AG38" i="86"/>
  <c r="Y38" i="86"/>
  <c r="V38" i="86"/>
  <c r="P38" i="86"/>
  <c r="M38" i="86"/>
  <c r="AJ37" i="86"/>
  <c r="AI37" i="86"/>
  <c r="AG37" i="86"/>
  <c r="AF37" i="86"/>
  <c r="AB37" i="86"/>
  <c r="Y37" i="86"/>
  <c r="S37" i="86"/>
  <c r="D37" i="86"/>
  <c r="AJ36" i="86"/>
  <c r="AI36" i="86"/>
  <c r="AG36" i="86"/>
  <c r="AF36" i="86"/>
  <c r="AB36" i="86"/>
  <c r="Y36" i="86"/>
  <c r="S36" i="86"/>
  <c r="D36" i="86"/>
  <c r="AJ34" i="86"/>
  <c r="AI34" i="86"/>
  <c r="AG34" i="86"/>
  <c r="AF34" i="86"/>
  <c r="AB34" i="86"/>
  <c r="Y34" i="86"/>
  <c r="V34" i="86"/>
  <c r="S34" i="86"/>
  <c r="P34" i="86"/>
  <c r="D34" i="86"/>
  <c r="AJ33" i="86"/>
  <c r="AI33" i="86"/>
  <c r="AG33" i="86"/>
  <c r="AF33" i="86"/>
  <c r="Y33" i="86"/>
  <c r="D33" i="86"/>
  <c r="G29" i="86"/>
  <c r="AJ28" i="86"/>
  <c r="AG28" i="86"/>
  <c r="AE28" i="86"/>
  <c r="AB28" i="86"/>
  <c r="Y28" i="86"/>
  <c r="V28" i="86"/>
  <c r="S28" i="86"/>
  <c r="P28" i="86"/>
  <c r="M28" i="86"/>
  <c r="J28" i="86"/>
  <c r="G28" i="86"/>
  <c r="G27" i="86"/>
  <c r="AJ26" i="86"/>
  <c r="AI26" i="86"/>
  <c r="AK26" i="86" s="1"/>
  <c r="AG26" i="86"/>
  <c r="AF26" i="86"/>
  <c r="AH26" i="86" s="1"/>
  <c r="AJ25" i="86"/>
  <c r="AI25" i="86"/>
  <c r="AG25" i="86"/>
  <c r="AF25" i="86"/>
  <c r="AB25" i="86"/>
  <c r="Y25" i="86"/>
  <c r="P25" i="86"/>
  <c r="J25" i="86"/>
  <c r="G25" i="86"/>
  <c r="D25" i="86"/>
  <c r="AJ24" i="86"/>
  <c r="AI24" i="86"/>
  <c r="AG24" i="86"/>
  <c r="AF24" i="86"/>
  <c r="AB24" i="86"/>
  <c r="V24" i="86"/>
  <c r="P24" i="86"/>
  <c r="D24" i="86"/>
  <c r="AJ23" i="86"/>
  <c r="AI23" i="86"/>
  <c r="AG23" i="86"/>
  <c r="AF23" i="86"/>
  <c r="AE23" i="86"/>
  <c r="AB23" i="86"/>
  <c r="Y23" i="86"/>
  <c r="S23" i="86"/>
  <c r="P23" i="86"/>
  <c r="D23" i="86"/>
  <c r="AJ22" i="86"/>
  <c r="AI22" i="86"/>
  <c r="AG22" i="86"/>
  <c r="AF22" i="86"/>
  <c r="AE22" i="86"/>
  <c r="AB22" i="86"/>
  <c r="Y22" i="86"/>
  <c r="V22" i="86"/>
  <c r="S22" i="86"/>
  <c r="P22" i="86"/>
  <c r="M22" i="86"/>
  <c r="J22" i="86"/>
  <c r="G22" i="86"/>
  <c r="D22" i="86"/>
  <c r="AJ21" i="86"/>
  <c r="AI21" i="86"/>
  <c r="AG21" i="86"/>
  <c r="AF21" i="86"/>
  <c r="AB21" i="86"/>
  <c r="Y21" i="86"/>
  <c r="S21" i="86"/>
  <c r="P21" i="86"/>
  <c r="M21" i="86"/>
  <c r="J21" i="86"/>
  <c r="D21" i="86"/>
  <c r="AJ19" i="86"/>
  <c r="AG19" i="86"/>
  <c r="Y19" i="86"/>
  <c r="V19" i="86"/>
  <c r="P19" i="86"/>
  <c r="AJ18" i="86"/>
  <c r="AI18" i="86"/>
  <c r="AG18" i="86"/>
  <c r="AF18" i="86"/>
  <c r="AB18" i="86"/>
  <c r="Y18" i="86"/>
  <c r="P18" i="86"/>
  <c r="AJ17" i="86"/>
  <c r="AI17" i="86"/>
  <c r="AG17" i="86"/>
  <c r="AF17" i="86"/>
  <c r="AB17" i="86"/>
  <c r="Y17" i="86"/>
  <c r="P17" i="86"/>
  <c r="AJ15" i="86"/>
  <c r="AG15" i="86"/>
  <c r="AB15" i="86"/>
  <c r="Y15" i="86"/>
  <c r="V15" i="86"/>
  <c r="P15" i="86"/>
  <c r="AJ14" i="86"/>
  <c r="AI14" i="86"/>
  <c r="AG14" i="86"/>
  <c r="AF14" i="86"/>
  <c r="Y14" i="86"/>
  <c r="P14" i="86"/>
  <c r="F8" i="86"/>
  <c r="I8" i="86" s="1"/>
  <c r="L8" i="86" s="1"/>
  <c r="O8" i="86" s="1"/>
  <c r="R8" i="86" s="1"/>
  <c r="U8" i="86" s="1"/>
  <c r="X8" i="86" s="1"/>
  <c r="AA8" i="86" s="1"/>
  <c r="AD8" i="86" s="1"/>
  <c r="AG8" i="86" s="1"/>
  <c r="AJ8" i="86" s="1"/>
  <c r="E8" i="86"/>
  <c r="H8" i="86" s="1"/>
  <c r="K8" i="86" s="1"/>
  <c r="N8" i="86" s="1"/>
  <c r="Q8" i="86" s="1"/>
  <c r="T8" i="86" s="1"/>
  <c r="W8" i="86" s="1"/>
  <c r="Z8" i="86" s="1"/>
  <c r="AC8" i="86" s="1"/>
  <c r="AF8" i="86" s="1"/>
  <c r="AI8" i="86" s="1"/>
  <c r="AG45" i="82"/>
  <c r="AF45" i="82"/>
  <c r="AB45" i="82"/>
  <c r="S45" i="82"/>
  <c r="P45" i="82"/>
  <c r="AG43" i="82"/>
  <c r="AF43" i="82"/>
  <c r="AB43" i="82"/>
  <c r="Y43" i="82"/>
  <c r="V43" i="82"/>
  <c r="S43" i="82"/>
  <c r="M43" i="82"/>
  <c r="J43" i="82"/>
  <c r="G43" i="82"/>
  <c r="D43" i="82"/>
  <c r="P41" i="82"/>
  <c r="AG40" i="82"/>
  <c r="AF40" i="82"/>
  <c r="AB40" i="82"/>
  <c r="Y40" i="82"/>
  <c r="V40" i="82"/>
  <c r="S40" i="82"/>
  <c r="P40" i="82"/>
  <c r="M40" i="82"/>
  <c r="G40" i="82"/>
  <c r="D40" i="82"/>
  <c r="AG39" i="82"/>
  <c r="AF39" i="82"/>
  <c r="AB39" i="82"/>
  <c r="Y39" i="82"/>
  <c r="S39" i="82"/>
  <c r="P39" i="82"/>
  <c r="G39" i="82"/>
  <c r="D39" i="82"/>
  <c r="AG38" i="82"/>
  <c r="AF38" i="82"/>
  <c r="AE38" i="82"/>
  <c r="AB38" i="82"/>
  <c r="Y38" i="82"/>
  <c r="V38" i="82"/>
  <c r="S38" i="82"/>
  <c r="P38" i="82"/>
  <c r="M38" i="82"/>
  <c r="J38" i="82"/>
  <c r="G38" i="82"/>
  <c r="D38" i="82"/>
  <c r="AG34" i="82"/>
  <c r="AF34" i="82"/>
  <c r="AB34" i="82"/>
  <c r="Y34" i="82"/>
  <c r="S34" i="82"/>
  <c r="P34" i="82"/>
  <c r="D34" i="82"/>
  <c r="AG33" i="82"/>
  <c r="AF33" i="82"/>
  <c r="AE33" i="82"/>
  <c r="AB33" i="82"/>
  <c r="Y33" i="82"/>
  <c r="S33" i="82"/>
  <c r="P33" i="82"/>
  <c r="M33" i="82"/>
  <c r="J33" i="82"/>
  <c r="G33" i="82"/>
  <c r="D33" i="82"/>
  <c r="AG32" i="82"/>
  <c r="AF32" i="82"/>
  <c r="AB32" i="82"/>
  <c r="Y32" i="82"/>
  <c r="V32" i="82"/>
  <c r="S32" i="82"/>
  <c r="P32" i="82"/>
  <c r="M32" i="82"/>
  <c r="D32" i="82"/>
  <c r="AG31" i="82"/>
  <c r="AF31" i="82"/>
  <c r="AB31" i="82"/>
  <c r="Y31" i="82"/>
  <c r="S31" i="82"/>
  <c r="P31" i="82"/>
  <c r="M31" i="82"/>
  <c r="D31" i="82"/>
  <c r="AG29" i="82"/>
  <c r="AF29" i="82"/>
  <c r="AB29" i="82"/>
  <c r="Y29" i="82"/>
  <c r="S29" i="82"/>
  <c r="D29" i="82"/>
  <c r="AG28" i="82"/>
  <c r="AF28" i="82"/>
  <c r="AB28" i="82"/>
  <c r="J28" i="82"/>
  <c r="D28" i="82"/>
  <c r="AF27" i="82"/>
  <c r="AH27" i="82" s="1"/>
  <c r="AB27" i="82"/>
  <c r="AG26" i="82"/>
  <c r="AF26" i="82"/>
  <c r="AH26" i="82" s="1"/>
  <c r="AB26" i="82"/>
  <c r="Y26" i="82"/>
  <c r="V26" i="82"/>
  <c r="S26" i="82"/>
  <c r="P26" i="82"/>
  <c r="D26" i="82"/>
  <c r="AF25" i="82"/>
  <c r="AH25" i="82" s="1"/>
  <c r="AG24" i="82"/>
  <c r="AF24" i="82"/>
  <c r="AB24" i="82"/>
  <c r="Y24" i="82"/>
  <c r="V24" i="82"/>
  <c r="S24" i="82"/>
  <c r="M24" i="82"/>
  <c r="J24" i="82"/>
  <c r="D24" i="82"/>
  <c r="AG23" i="82"/>
  <c r="AE23" i="82"/>
  <c r="AB23" i="82"/>
  <c r="Y23" i="82"/>
  <c r="V23" i="82"/>
  <c r="S23" i="82"/>
  <c r="P23" i="82"/>
  <c r="AF23" i="82"/>
  <c r="J23" i="82"/>
  <c r="G23" i="82"/>
  <c r="D23" i="82"/>
  <c r="AJ20" i="82"/>
  <c r="AI20" i="82"/>
  <c r="AG20" i="82"/>
  <c r="AF20" i="82"/>
  <c r="AE20" i="82"/>
  <c r="AB20" i="82"/>
  <c r="Y20" i="82"/>
  <c r="S20" i="82"/>
  <c r="P20" i="82"/>
  <c r="M20" i="82"/>
  <c r="G20" i="82"/>
  <c r="D20" i="82"/>
  <c r="AJ19" i="82"/>
  <c r="AG19" i="82"/>
  <c r="Y19" i="82"/>
  <c r="V19" i="82"/>
  <c r="S19" i="82"/>
  <c r="P19" i="82"/>
  <c r="M19" i="82"/>
  <c r="J19" i="82"/>
  <c r="G19" i="82"/>
  <c r="D19" i="82"/>
  <c r="AJ17" i="82"/>
  <c r="AI17" i="82"/>
  <c r="AG17" i="82"/>
  <c r="AF17" i="82"/>
  <c r="AB17" i="82"/>
  <c r="Y17" i="82"/>
  <c r="S17" i="82"/>
  <c r="P17" i="82"/>
  <c r="G17" i="82"/>
  <c r="D17" i="82"/>
  <c r="AJ16" i="82"/>
  <c r="AI16" i="82"/>
  <c r="AG16" i="82"/>
  <c r="AF16" i="82"/>
  <c r="AB16" i="82"/>
  <c r="Y16" i="82"/>
  <c r="S16" i="82"/>
  <c r="P16" i="82"/>
  <c r="M16" i="82"/>
  <c r="D16" i="82"/>
  <c r="AJ15" i="82"/>
  <c r="AI15" i="82"/>
  <c r="AG15" i="82"/>
  <c r="AF15" i="82"/>
  <c r="AB15" i="82"/>
  <c r="Y15" i="82"/>
  <c r="V15" i="82"/>
  <c r="S15" i="82"/>
  <c r="P15" i="82"/>
  <c r="M15" i="82"/>
  <c r="J15" i="82"/>
  <c r="G15" i="82"/>
  <c r="D15" i="82"/>
  <c r="P14" i="82"/>
  <c r="AJ13" i="82"/>
  <c r="AI13" i="82"/>
  <c r="AG13" i="82"/>
  <c r="AF13" i="82"/>
  <c r="AE13" i="82"/>
  <c r="AB13" i="82"/>
  <c r="Y13" i="82"/>
  <c r="S13" i="82"/>
  <c r="P13" i="82"/>
  <c r="M13" i="82"/>
  <c r="D13" i="82"/>
  <c r="AJ12" i="82"/>
  <c r="AI12" i="82"/>
  <c r="AG12" i="82"/>
  <c r="AF12" i="82"/>
  <c r="AE12" i="82"/>
  <c r="AB12" i="82"/>
  <c r="Y12" i="82"/>
  <c r="S12" i="82"/>
  <c r="M12" i="82"/>
  <c r="J12" i="82"/>
  <c r="G12" i="82"/>
  <c r="D12" i="82"/>
  <c r="AJ11" i="82"/>
  <c r="AI11" i="82"/>
  <c r="AG11" i="82"/>
  <c r="AF11" i="82"/>
  <c r="AE11" i="82"/>
  <c r="AB11" i="82"/>
  <c r="Y11" i="82"/>
  <c r="V11" i="82"/>
  <c r="S11" i="82"/>
  <c r="P11" i="82"/>
  <c r="M11" i="82"/>
  <c r="J11" i="82"/>
  <c r="G11" i="82"/>
  <c r="D11" i="82"/>
  <c r="AH24" i="82" l="1"/>
  <c r="AH76" i="86"/>
  <c r="AK76" i="86"/>
  <c r="G41" i="82"/>
  <c r="AH23" i="86"/>
  <c r="AH52" i="86"/>
  <c r="C11" i="58"/>
  <c r="C12" i="58"/>
  <c r="AH17" i="86"/>
  <c r="AH21" i="86"/>
  <c r="AK25" i="86"/>
  <c r="B19" i="58"/>
  <c r="B18" i="58"/>
  <c r="AH55" i="86"/>
  <c r="C25" i="58"/>
  <c r="B11" i="58"/>
  <c r="B10" i="58"/>
  <c r="C13" i="58"/>
  <c r="B9" i="58"/>
  <c r="C19" i="58"/>
  <c r="C18" i="58"/>
  <c r="AK43" i="86"/>
  <c r="B22" i="58"/>
  <c r="C10" i="58"/>
  <c r="C9" i="58"/>
  <c r="C22" i="58"/>
  <c r="C30" i="58"/>
  <c r="B20" i="58"/>
  <c r="B28" i="58"/>
  <c r="AH32" i="82"/>
  <c r="AH38" i="82"/>
  <c r="C20" i="58"/>
  <c r="AK48" i="86"/>
  <c r="B27" i="58"/>
  <c r="C28" i="58"/>
  <c r="C26" i="58"/>
  <c r="B29" i="58"/>
  <c r="C17" i="58"/>
  <c r="C14" i="58"/>
  <c r="C27" i="58"/>
  <c r="C29" i="58"/>
  <c r="C21" i="58"/>
  <c r="B17" i="58"/>
  <c r="Y41" i="82"/>
  <c r="AH45" i="82"/>
  <c r="AK57" i="86"/>
  <c r="AH91" i="86"/>
  <c r="S41" i="82"/>
  <c r="AE41" i="82"/>
  <c r="AH73" i="86"/>
  <c r="V41" i="82"/>
  <c r="AH22" i="86"/>
  <c r="J41" i="82"/>
  <c r="AK44" i="86"/>
  <c r="D35" i="86"/>
  <c r="AK70" i="86"/>
  <c r="AH90" i="86"/>
  <c r="AH71" i="86"/>
  <c r="AK78" i="86"/>
  <c r="AK12" i="82"/>
  <c r="AK18" i="86"/>
  <c r="AH11" i="82"/>
  <c r="AH41" i="86"/>
  <c r="AK24" i="86"/>
  <c r="AK58" i="86"/>
  <c r="AH13" i="82"/>
  <c r="J20" i="86"/>
  <c r="AH37" i="86"/>
  <c r="G30" i="82"/>
  <c r="AF28" i="86"/>
  <c r="AH28" i="86" s="1"/>
  <c r="V39" i="86"/>
  <c r="AK46" i="86"/>
  <c r="AK52" i="86"/>
  <c r="AH58" i="86"/>
  <c r="AK71" i="86"/>
  <c r="AH23" i="82"/>
  <c r="AK13" i="82"/>
  <c r="AH28" i="82"/>
  <c r="AH33" i="86"/>
  <c r="AK40" i="86"/>
  <c r="AH42" i="86"/>
  <c r="AK69" i="86"/>
  <c r="AB30" i="82"/>
  <c r="M41" i="82"/>
  <c r="AH44" i="86"/>
  <c r="AK51" i="86"/>
  <c r="S87" i="86"/>
  <c r="AH16" i="82"/>
  <c r="S21" i="82"/>
  <c r="V16" i="86"/>
  <c r="AK36" i="86"/>
  <c r="AK77" i="86"/>
  <c r="AH61" i="86"/>
  <c r="AH69" i="86"/>
  <c r="V14" i="82"/>
  <c r="AH20" i="82"/>
  <c r="P30" i="82"/>
  <c r="AH34" i="82"/>
  <c r="AH14" i="86"/>
  <c r="AH24" i="86"/>
  <c r="AH43" i="86"/>
  <c r="AH88" i="86"/>
  <c r="AH15" i="82"/>
  <c r="AH39" i="82"/>
  <c r="AH43" i="82"/>
  <c r="D20" i="86"/>
  <c r="AG39" i="86"/>
  <c r="AK20" i="82"/>
  <c r="AK14" i="86"/>
  <c r="P35" i="86"/>
  <c r="AH46" i="86"/>
  <c r="AH70" i="86"/>
  <c r="AH77" i="86"/>
  <c r="J80" i="86"/>
  <c r="AK88" i="86"/>
  <c r="AK15" i="82"/>
  <c r="AH25" i="86"/>
  <c r="S35" i="86"/>
  <c r="AK79" i="86"/>
  <c r="S14" i="82"/>
  <c r="AK17" i="82"/>
  <c r="AH29" i="82"/>
  <c r="J30" i="82"/>
  <c r="Y30" i="82"/>
  <c r="AK17" i="86"/>
  <c r="Y20" i="86"/>
  <c r="V35" i="86"/>
  <c r="M39" i="86"/>
  <c r="AH49" i="86"/>
  <c r="AH78" i="86"/>
  <c r="AK86" i="86"/>
  <c r="Y14" i="82"/>
  <c r="AF19" i="82"/>
  <c r="AH19" i="82" s="1"/>
  <c r="J21" i="82"/>
  <c r="V21" i="82"/>
  <c r="AH31" i="82"/>
  <c r="AB41" i="82"/>
  <c r="S20" i="86"/>
  <c r="AH57" i="86"/>
  <c r="AK90" i="86"/>
  <c r="AH12" i="82"/>
  <c r="AB14" i="82"/>
  <c r="AK16" i="82"/>
  <c r="AH40" i="82"/>
  <c r="AG41" i="82"/>
  <c r="Y54" i="86"/>
  <c r="AK73" i="86"/>
  <c r="AF19" i="86"/>
  <c r="AH19" i="86" s="1"/>
  <c r="J14" i="82"/>
  <c r="D21" i="82"/>
  <c r="M23" i="82"/>
  <c r="AF41" i="82"/>
  <c r="P39" i="86"/>
  <c r="AB39" i="86"/>
  <c r="AH68" i="86"/>
  <c r="AI14" i="82"/>
  <c r="AH17" i="82"/>
  <c r="D30" i="82"/>
  <c r="AH18" i="86"/>
  <c r="D54" i="86"/>
  <c r="P54" i="86"/>
  <c r="AK21" i="86"/>
  <c r="AJ14" i="82"/>
  <c r="AK11" i="82"/>
  <c r="D14" i="82"/>
  <c r="M14" i="82"/>
  <c r="AB19" i="82"/>
  <c r="AH33" i="82"/>
  <c r="AH79" i="86"/>
  <c r="V80" i="86"/>
  <c r="AE20" i="86"/>
  <c r="AK33" i="86"/>
  <c r="AH36" i="86"/>
  <c r="AK42" i="86"/>
  <c r="AH51" i="86"/>
  <c r="AH85" i="86"/>
  <c r="AK23" i="86"/>
  <c r="AJ50" i="86"/>
  <c r="AK68" i="86"/>
  <c r="AK89" i="86"/>
  <c r="AK34" i="86"/>
  <c r="AK49" i="86"/>
  <c r="AH53" i="86"/>
  <c r="AH82" i="86"/>
  <c r="AF15" i="86"/>
  <c r="AH15" i="86" s="1"/>
  <c r="P20" i="86"/>
  <c r="D39" i="86"/>
  <c r="AH40" i="86"/>
  <c r="AK41" i="86"/>
  <c r="AK53" i="86"/>
  <c r="AK61" i="86"/>
  <c r="AK82" i="86"/>
  <c r="AH86" i="86"/>
  <c r="AK91" i="86"/>
  <c r="AB21" i="82"/>
  <c r="AE21" i="82"/>
  <c r="AE14" i="82"/>
  <c r="G21" i="82"/>
  <c r="P21" i="82"/>
  <c r="V30" i="82"/>
  <c r="G14" i="82"/>
  <c r="AF14" i="82"/>
  <c r="AI19" i="82"/>
  <c r="AK19" i="82" s="1"/>
  <c r="Y21" i="82"/>
  <c r="AG21" i="82"/>
  <c r="AE30" i="82"/>
  <c r="D41" i="82"/>
  <c r="AG14" i="82"/>
  <c r="AG30" i="82"/>
  <c r="AI21" i="82"/>
  <c r="AJ21" i="82"/>
  <c r="AE19" i="82"/>
  <c r="S30" i="82"/>
  <c r="AI20" i="86"/>
  <c r="M20" i="86"/>
  <c r="AE39" i="86"/>
  <c r="AJ54" i="86"/>
  <c r="AG54" i="86"/>
  <c r="AG16" i="86"/>
  <c r="AF20" i="86"/>
  <c r="AG20" i="86"/>
  <c r="AF59" i="86"/>
  <c r="AH59" i="86" s="1"/>
  <c r="AI59" i="86"/>
  <c r="AK59" i="86" s="1"/>
  <c r="M59" i="86"/>
  <c r="AJ20" i="86"/>
  <c r="AB19" i="86"/>
  <c r="AI19" i="86"/>
  <c r="M87" i="86"/>
  <c r="AI87" i="86"/>
  <c r="AI15" i="86"/>
  <c r="D15" i="86"/>
  <c r="AB20" i="86"/>
  <c r="AI28" i="86"/>
  <c r="AK28" i="86" s="1"/>
  <c r="D28" i="86"/>
  <c r="Y16" i="86"/>
  <c r="AF35" i="86"/>
  <c r="AI38" i="86"/>
  <c r="AF38" i="86"/>
  <c r="AH38" i="86" s="1"/>
  <c r="AB38" i="86"/>
  <c r="P16" i="86"/>
  <c r="AK22" i="86"/>
  <c r="M35" i="86"/>
  <c r="V20" i="86"/>
  <c r="AH34" i="86"/>
  <c r="AK37" i="86"/>
  <c r="P50" i="86"/>
  <c r="S54" i="86"/>
  <c r="AB80" i="86"/>
  <c r="AK85" i="86"/>
  <c r="D87" i="86"/>
  <c r="Y87" i="86"/>
  <c r="AF87" i="86"/>
  <c r="AJ16" i="86"/>
  <c r="AF39" i="86"/>
  <c r="P87" i="86"/>
  <c r="S80" i="86"/>
  <c r="AJ87" i="86"/>
  <c r="AH89" i="86"/>
  <c r="AF56" i="86"/>
  <c r="AH56" i="86" s="1"/>
  <c r="AI56" i="86"/>
  <c r="AK56" i="86" s="1"/>
  <c r="AF80" i="86"/>
  <c r="Y39" i="86"/>
  <c r="AF50" i="86"/>
  <c r="AB56" i="86"/>
  <c r="AE80" i="86"/>
  <c r="AB87" i="86"/>
  <c r="S39" i="86"/>
  <c r="D80" i="86"/>
  <c r="M80" i="86"/>
  <c r="AG35" i="86"/>
  <c r="Y35" i="86"/>
  <c r="AJ35" i="86"/>
  <c r="J39" i="86"/>
  <c r="AI50" i="86"/>
  <c r="P80" i="86"/>
  <c r="Y80" i="86"/>
  <c r="AI80" i="86"/>
  <c r="AG50" i="86"/>
  <c r="AI55" i="86"/>
  <c r="AJ80" i="86"/>
  <c r="AI39" i="86"/>
  <c r="AG87" i="86"/>
  <c r="AJ39" i="86"/>
  <c r="AG80" i="86"/>
  <c r="Y45" i="86" l="1"/>
  <c r="V27" i="86"/>
  <c r="Y93" i="86"/>
  <c r="AF30" i="82"/>
  <c r="AH30" i="82" s="1"/>
  <c r="D45" i="86"/>
  <c r="J42" i="82"/>
  <c r="S35" i="82"/>
  <c r="B14" i="58"/>
  <c r="AK55" i="86"/>
  <c r="B25" i="58"/>
  <c r="AK38" i="86"/>
  <c r="B21" i="58"/>
  <c r="B26" i="58"/>
  <c r="B30" i="58"/>
  <c r="AK15" i="86"/>
  <c r="B12" i="58"/>
  <c r="AK19" i="86"/>
  <c r="B13" i="58"/>
  <c r="Y27" i="86"/>
  <c r="P35" i="82"/>
  <c r="J29" i="86"/>
  <c r="J27" i="86"/>
  <c r="J35" i="82"/>
  <c r="D93" i="86"/>
  <c r="AK14" i="82"/>
  <c r="AH41" i="82"/>
  <c r="AF54" i="86"/>
  <c r="AH54" i="86" s="1"/>
  <c r="V35" i="82"/>
  <c r="AI16" i="86"/>
  <c r="AK16" i="86" s="1"/>
  <c r="AI54" i="86"/>
  <c r="M30" i="82"/>
  <c r="AI35" i="86"/>
  <c r="AB16" i="86"/>
  <c r="AG60" i="86"/>
  <c r="AF27" i="86"/>
  <c r="J93" i="86"/>
  <c r="Y60" i="86"/>
  <c r="AF16" i="86"/>
  <c r="AH16" i="86" s="1"/>
  <c r="D48" i="81"/>
  <c r="AK21" i="82"/>
  <c r="D60" i="86"/>
  <c r="AJ93" i="86"/>
  <c r="P45" i="86"/>
  <c r="AH14" i="82"/>
  <c r="AB54" i="86"/>
  <c r="S60" i="86"/>
  <c r="S93" i="86"/>
  <c r="AH87" i="86"/>
  <c r="V45" i="86"/>
  <c r="AK87" i="86"/>
  <c r="M93" i="86"/>
  <c r="AG45" i="86"/>
  <c r="AJ45" i="86"/>
  <c r="AH50" i="86"/>
  <c r="AB60" i="86"/>
  <c r="P27" i="86"/>
  <c r="AB35" i="86"/>
  <c r="P93" i="86"/>
  <c r="Y29" i="86"/>
  <c r="V29" i="86"/>
  <c r="P42" i="82"/>
  <c r="AK50" i="86"/>
  <c r="AH80" i="86"/>
  <c r="M45" i="86"/>
  <c r="AH20" i="86"/>
  <c r="D27" i="86"/>
  <c r="Y35" i="82"/>
  <c r="AE35" i="82"/>
  <c r="AG35" i="82"/>
  <c r="D35" i="82"/>
  <c r="AK39" i="86"/>
  <c r="AH35" i="86"/>
  <c r="M54" i="86"/>
  <c r="S27" i="86"/>
  <c r="AB35" i="82"/>
  <c r="AH39" i="86"/>
  <c r="AK20" i="86"/>
  <c r="M21" i="82"/>
  <c r="J44" i="82"/>
  <c r="AG93" i="86"/>
  <c r="AJ27" i="86"/>
  <c r="AG27" i="86"/>
  <c r="AB93" i="86"/>
  <c r="J45" i="86"/>
  <c r="S45" i="86"/>
  <c r="M27" i="86"/>
  <c r="AF21" i="82"/>
  <c r="AK80" i="86"/>
  <c r="AJ60" i="86"/>
  <c r="V93" i="86"/>
  <c r="AE93" i="86"/>
  <c r="P60" i="86"/>
  <c r="G35" i="82"/>
  <c r="Y62" i="86" l="1"/>
  <c r="C23" i="9"/>
  <c r="D47" i="81"/>
  <c r="AE64" i="86"/>
  <c r="AK35" i="86"/>
  <c r="S42" i="82"/>
  <c r="V42" i="82"/>
  <c r="AI45" i="86"/>
  <c r="F21" i="58" s="1"/>
  <c r="G25" i="58"/>
  <c r="G28" i="58"/>
  <c r="G30" i="58"/>
  <c r="G26" i="58"/>
  <c r="G27" i="58"/>
  <c r="G29" i="58"/>
  <c r="G17" i="58"/>
  <c r="G22" i="58"/>
  <c r="G21" i="58"/>
  <c r="G19" i="58"/>
  <c r="G20" i="58"/>
  <c r="G18" i="58"/>
  <c r="AB27" i="86"/>
  <c r="AI60" i="86"/>
  <c r="AB29" i="86"/>
  <c r="AK54" i="86"/>
  <c r="AI27" i="86"/>
  <c r="AK27" i="86" s="1"/>
  <c r="AB45" i="86"/>
  <c r="AF60" i="86"/>
  <c r="G42" i="82"/>
  <c r="M35" i="82"/>
  <c r="AF42" i="82"/>
  <c r="AF45" i="86"/>
  <c r="S44" i="82"/>
  <c r="J62" i="86"/>
  <c r="AG29" i="86"/>
  <c r="AJ29" i="86"/>
  <c r="AG42" i="82"/>
  <c r="P29" i="86"/>
  <c r="AH93" i="86"/>
  <c r="AB42" i="82"/>
  <c r="Y42" i="82"/>
  <c r="J46" i="82"/>
  <c r="D42" i="82"/>
  <c r="AE27" i="86"/>
  <c r="AG62" i="86"/>
  <c r="AJ62" i="86"/>
  <c r="V62" i="86"/>
  <c r="P62" i="86"/>
  <c r="AH27" i="86"/>
  <c r="P44" i="82"/>
  <c r="AE45" i="86"/>
  <c r="S29" i="86"/>
  <c r="AF35" i="82"/>
  <c r="D29" i="86"/>
  <c r="D62" i="86"/>
  <c r="AH21" i="82"/>
  <c r="M29" i="86"/>
  <c r="S62" i="86"/>
  <c r="M60" i="86"/>
  <c r="AE42" i="82"/>
  <c r="V44" i="82"/>
  <c r="AK93" i="86"/>
  <c r="P64" i="86" l="1"/>
  <c r="M66" i="8"/>
  <c r="B23" i="9"/>
  <c r="M22" i="8" s="1"/>
  <c r="AK45" i="86"/>
  <c r="V64" i="86"/>
  <c r="M64" i="86"/>
  <c r="F22" i="58"/>
  <c r="J64" i="86"/>
  <c r="F20" i="58"/>
  <c r="F18" i="58"/>
  <c r="F17" i="58"/>
  <c r="F19" i="58"/>
  <c r="G13" i="58"/>
  <c r="G9" i="58"/>
  <c r="G14" i="58"/>
  <c r="G11" i="58"/>
  <c r="G12" i="58"/>
  <c r="G10" i="58"/>
  <c r="F27" i="58"/>
  <c r="F28" i="58"/>
  <c r="F29" i="58"/>
  <c r="F30" i="58"/>
  <c r="F25" i="58"/>
  <c r="F26" i="58"/>
  <c r="AF29" i="86"/>
  <c r="AH29" i="86" s="1"/>
  <c r="AI62" i="86"/>
  <c r="AK62" i="86" s="1"/>
  <c r="M62" i="86"/>
  <c r="AH42" i="82"/>
  <c r="AK60" i="86"/>
  <c r="AF62" i="86"/>
  <c r="AH62" i="86" s="1"/>
  <c r="AI29" i="86"/>
  <c r="AK29" i="86" s="1"/>
  <c r="P46" i="82"/>
  <c r="G44" i="82"/>
  <c r="AH35" i="82"/>
  <c r="S64" i="86"/>
  <c r="S46" i="82"/>
  <c r="AH60" i="86"/>
  <c r="Y44" i="82"/>
  <c r="AJ64" i="86"/>
  <c r="D64" i="86"/>
  <c r="AG64" i="86"/>
  <c r="AH45" i="86"/>
  <c r="D44" i="82"/>
  <c r="Y64" i="86"/>
  <c r="AE44" i="82"/>
  <c r="AE62" i="86"/>
  <c r="AB62" i="86"/>
  <c r="AG44" i="82"/>
  <c r="AE29" i="86"/>
  <c r="AB44" i="82"/>
  <c r="AB64" i="86"/>
  <c r="V46" i="82"/>
  <c r="M42" i="82"/>
  <c r="B59" i="9" l="1"/>
  <c r="D23" i="9"/>
  <c r="F11" i="58"/>
  <c r="F9" i="58"/>
  <c r="F10" i="58"/>
  <c r="F12" i="58"/>
  <c r="F14" i="58"/>
  <c r="F13" i="58"/>
  <c r="M44" i="82"/>
  <c r="AF44" i="82"/>
  <c r="AH44" i="82" s="1"/>
  <c r="AG46" i="82"/>
  <c r="AK64" i="86"/>
  <c r="AB46" i="82"/>
  <c r="D46" i="82"/>
  <c r="AE46" i="82"/>
  <c r="Y46" i="82"/>
  <c r="G46" i="82"/>
  <c r="AH64" i="86"/>
  <c r="M46" i="82" l="1"/>
  <c r="AF46" i="82"/>
  <c r="D27" i="58"/>
  <c r="AH46" i="82" l="1"/>
  <c r="B33" i="58"/>
  <c r="D29" i="58"/>
  <c r="D17" i="58"/>
  <c r="D11" i="58"/>
  <c r="D18" i="58"/>
  <c r="C38" i="58"/>
  <c r="D19" i="58"/>
  <c r="D22" i="58"/>
  <c r="D26" i="58"/>
  <c r="C37" i="58"/>
  <c r="D28" i="58"/>
  <c r="C34" i="58"/>
  <c r="C35" i="58"/>
  <c r="C24" i="58"/>
  <c r="C36" i="58"/>
  <c r="D20" i="58"/>
  <c r="C16" i="58"/>
  <c r="D30" i="58"/>
  <c r="C33" i="58"/>
  <c r="C8" i="58"/>
  <c r="D9" i="58"/>
  <c r="D14" i="58"/>
  <c r="B35" i="58"/>
  <c r="D10" i="58"/>
  <c r="B34" i="58"/>
  <c r="G16" i="58" l="1"/>
  <c r="G24" i="58"/>
  <c r="D34" i="58"/>
  <c r="C32" i="58"/>
  <c r="G36" i="58" s="1"/>
  <c r="B38" i="58"/>
  <c r="D38" i="58" s="1"/>
  <c r="D35" i="58"/>
  <c r="D13" i="58"/>
  <c r="B37" i="58"/>
  <c r="D33" i="58"/>
  <c r="D25" i="58"/>
  <c r="B24" i="58"/>
  <c r="D24" i="58" s="1"/>
  <c r="B8" i="58"/>
  <c r="D8" i="58" s="1"/>
  <c r="D12" i="58"/>
  <c r="B36" i="58"/>
  <c r="D21" i="58"/>
  <c r="B16" i="58"/>
  <c r="D16" i="58" s="1"/>
  <c r="H22" i="58" l="1"/>
  <c r="H18" i="58"/>
  <c r="H20" i="58"/>
  <c r="H21" i="58"/>
  <c r="G8" i="58"/>
  <c r="H28" i="58"/>
  <c r="H27" i="58"/>
  <c r="H29" i="58"/>
  <c r="H26" i="58"/>
  <c r="H30" i="58"/>
  <c r="G35" i="58"/>
  <c r="B32" i="58"/>
  <c r="F34" i="58" s="1"/>
  <c r="G33" i="58"/>
  <c r="G37" i="58"/>
  <c r="G38" i="58"/>
  <c r="H19" i="58"/>
  <c r="G34" i="58"/>
  <c r="D36" i="58"/>
  <c r="D37" i="58"/>
  <c r="G32" i="58" l="1"/>
  <c r="F33" i="58"/>
  <c r="H33" i="58" s="1"/>
  <c r="H10" i="58"/>
  <c r="H14" i="58"/>
  <c r="F37" i="58"/>
  <c r="H37" i="58" s="1"/>
  <c r="F38" i="58"/>
  <c r="H38" i="58" s="1"/>
  <c r="H34" i="58"/>
  <c r="F36" i="58"/>
  <c r="H36" i="58" s="1"/>
  <c r="H17" i="58"/>
  <c r="F16" i="58"/>
  <c r="H16" i="58" s="1"/>
  <c r="H12" i="58"/>
  <c r="H13" i="58"/>
  <c r="H25" i="58"/>
  <c r="F24" i="58"/>
  <c r="H24" i="58" s="1"/>
  <c r="F35" i="58"/>
  <c r="H35" i="58" s="1"/>
  <c r="D32" i="58"/>
  <c r="H11" i="58"/>
  <c r="H9" i="58"/>
  <c r="F8" i="58"/>
  <c r="H8" i="58" s="1"/>
  <c r="F32" i="58" l="1"/>
  <c r="H32" i="58" s="1"/>
  <c r="K36" i="79" l="1"/>
  <c r="J9" i="79"/>
  <c r="K8" i="79"/>
  <c r="D7" i="79" l="1"/>
  <c r="D37" i="79"/>
  <c r="K122" i="79"/>
  <c r="J23" i="79"/>
  <c r="K114" i="79"/>
  <c r="D48" i="79"/>
  <c r="D10" i="79"/>
  <c r="J114" i="79"/>
  <c r="J29" i="79"/>
  <c r="J97" i="79"/>
  <c r="J28" i="79"/>
  <c r="K76" i="79"/>
  <c r="J122" i="79"/>
  <c r="D122" i="79"/>
  <c r="D9" i="79"/>
  <c r="K7" i="79"/>
  <c r="J22" i="79"/>
  <c r="J30" i="79"/>
  <c r="K10" i="79"/>
  <c r="D36" i="79"/>
  <c r="D8" i="79"/>
  <c r="J8" i="79"/>
  <c r="L8" i="79" s="1"/>
  <c r="K22" i="79"/>
  <c r="K23" i="79"/>
  <c r="K28" i="79"/>
  <c r="K29" i="79"/>
  <c r="K30" i="79"/>
  <c r="J10" i="79"/>
  <c r="K9" i="79"/>
  <c r="L9" i="79" s="1"/>
  <c r="J7" i="79"/>
  <c r="D22" i="79"/>
  <c r="D23" i="79"/>
  <c r="D28" i="79"/>
  <c r="D29" i="79"/>
  <c r="D30" i="79"/>
  <c r="K37" i="79"/>
  <c r="D76" i="79"/>
  <c r="K97" i="79"/>
  <c r="J76" i="79"/>
  <c r="D97" i="79"/>
  <c r="D114" i="79"/>
  <c r="L23" i="79" l="1"/>
  <c r="L122" i="79"/>
  <c r="L76" i="79"/>
  <c r="L97" i="79"/>
  <c r="L114" i="79"/>
  <c r="L10" i="79"/>
  <c r="L22" i="79"/>
  <c r="L29" i="79"/>
  <c r="L28" i="79"/>
  <c r="L7" i="79"/>
  <c r="L30" i="79"/>
  <c r="H31" i="9"/>
  <c r="H67" i="9" s="1"/>
  <c r="K119" i="79"/>
  <c r="K111" i="79"/>
  <c r="G31" i="9"/>
  <c r="G67" i="9" s="1"/>
  <c r="D66" i="79"/>
  <c r="C31" i="9"/>
  <c r="C67" i="9" s="1"/>
  <c r="D111" i="79"/>
  <c r="J111" i="79"/>
  <c r="D119" i="79"/>
  <c r="J119" i="79"/>
  <c r="L111" i="79" l="1"/>
  <c r="L119" i="79"/>
  <c r="D87" i="79"/>
  <c r="K87" i="79"/>
  <c r="D47" i="79"/>
  <c r="B31" i="9"/>
  <c r="B67" i="9" s="1"/>
  <c r="J87" i="79" l="1"/>
  <c r="L87" i="79" s="1"/>
  <c r="J66" i="79"/>
  <c r="K66" i="79"/>
  <c r="L66" i="79" l="1"/>
  <c r="D48" i="78"/>
  <c r="C21" i="9" l="1"/>
  <c r="N20" i="8" s="1"/>
  <c r="D47" i="78"/>
  <c r="N64" i="8"/>
  <c r="M64" i="8" l="1"/>
  <c r="C57" i="9"/>
  <c r="B21" i="9"/>
  <c r="M20" i="8" l="1"/>
  <c r="D21" i="9"/>
  <c r="B57" i="9"/>
  <c r="D57" i="9" s="1"/>
  <c r="D54" i="77" l="1"/>
  <c r="D55" i="77"/>
  <c r="D48" i="77"/>
  <c r="D53" i="77" l="1"/>
  <c r="M54" i="8"/>
  <c r="N54" i="8"/>
  <c r="D49" i="77"/>
  <c r="C10" i="9"/>
  <c r="C46" i="9" l="1"/>
  <c r="N9" i="8"/>
  <c r="B10" i="9"/>
  <c r="M9" i="8" s="1"/>
  <c r="D47" i="77"/>
  <c r="D10" i="9" l="1"/>
  <c r="B46" i="9"/>
  <c r="D46" i="9" s="1"/>
  <c r="N121" i="8" l="1"/>
  <c r="M121" i="8"/>
  <c r="N99" i="8"/>
  <c r="M99" i="8"/>
  <c r="N84" i="8"/>
  <c r="M84" i="8"/>
  <c r="N71" i="8"/>
  <c r="M71" i="8"/>
  <c r="N52" i="8"/>
  <c r="M52" i="8"/>
  <c r="N34" i="8"/>
  <c r="M34" i="8"/>
  <c r="M66" i="9"/>
  <c r="O66" i="9"/>
  <c r="L66" i="9"/>
  <c r="N66" i="9"/>
  <c r="K8" i="74" l="1"/>
  <c r="D8" i="74"/>
  <c r="J8" i="74"/>
  <c r="K7" i="74"/>
  <c r="J7" i="74"/>
  <c r="D48" i="74"/>
  <c r="D7" i="74"/>
  <c r="M72" i="8" l="1"/>
  <c r="L8" i="74"/>
  <c r="C30" i="9"/>
  <c r="L7" i="74"/>
  <c r="D47" i="74"/>
  <c r="N72" i="8"/>
  <c r="B30" i="9" l="1"/>
  <c r="M29" i="8" s="1"/>
  <c r="B66" i="9" l="1"/>
  <c r="B22" i="4" l="1"/>
  <c r="J22" i="93"/>
  <c r="L22" i="93" s="1"/>
  <c r="D22" i="93"/>
  <c r="C22" i="4"/>
  <c r="C29" i="4"/>
  <c r="E22" i="4"/>
  <c r="F22" i="4"/>
  <c r="B29" i="4"/>
  <c r="D29" i="93"/>
  <c r="J29" i="93"/>
  <c r="L29" i="93" s="1"/>
  <c r="E29" i="4"/>
  <c r="F29" i="4"/>
  <c r="E29" i="93" l="1"/>
  <c r="E22" i="93"/>
  <c r="G21" i="10"/>
  <c r="C21" i="10"/>
  <c r="E29" i="79"/>
  <c r="E22" i="79"/>
  <c r="G10" i="10"/>
  <c r="C10" i="10"/>
  <c r="F26" i="4" l="1"/>
  <c r="C32" i="4"/>
  <c r="F32" i="4"/>
  <c r="C23" i="4"/>
  <c r="F23" i="4"/>
  <c r="C30" i="4"/>
  <c r="F33" i="4"/>
  <c r="B31" i="4"/>
  <c r="B32" i="4"/>
  <c r="B25" i="4"/>
  <c r="D28" i="93"/>
  <c r="E23" i="4"/>
  <c r="E24" i="4"/>
  <c r="E30" i="4"/>
  <c r="E33" i="4"/>
  <c r="E25" i="4"/>
  <c r="C24" i="4"/>
  <c r="F24" i="4"/>
  <c r="F30" i="4"/>
  <c r="B23" i="4"/>
  <c r="E31" i="4"/>
  <c r="F25" i="4"/>
  <c r="C31" i="4"/>
  <c r="F31" i="4"/>
  <c r="B30" i="4"/>
  <c r="D30" i="93"/>
  <c r="J30" i="93"/>
  <c r="L30" i="93" s="1"/>
  <c r="E26" i="4"/>
  <c r="C25" i="4"/>
  <c r="B24" i="4"/>
  <c r="E32" i="4"/>
  <c r="K32" i="13"/>
  <c r="D23" i="23"/>
  <c r="H23" i="33"/>
  <c r="D23" i="29"/>
  <c r="D30" i="33"/>
  <c r="D25" i="13"/>
  <c r="D31" i="37"/>
  <c r="D32" i="29"/>
  <c r="H30" i="37"/>
  <c r="H30" i="33"/>
  <c r="H30" i="29"/>
  <c r="H30" i="23"/>
  <c r="H30" i="13"/>
  <c r="D23" i="37"/>
  <c r="D23" i="20"/>
  <c r="D30" i="37"/>
  <c r="D30" i="20"/>
  <c r="H23" i="37"/>
  <c r="H24" i="13"/>
  <c r="H31" i="37"/>
  <c r="H31" i="29"/>
  <c r="H31" i="23"/>
  <c r="H31" i="13"/>
  <c r="H25" i="13"/>
  <c r="D31" i="13"/>
  <c r="H32" i="37"/>
  <c r="H32" i="33"/>
  <c r="H32" i="29"/>
  <c r="H32" i="23"/>
  <c r="H33" i="37"/>
  <c r="H33" i="33"/>
  <c r="H33" i="29"/>
  <c r="H33" i="23"/>
  <c r="H23" i="13"/>
  <c r="D30" i="13"/>
  <c r="D31" i="33"/>
  <c r="D31" i="29"/>
  <c r="D32" i="13"/>
  <c r="H24" i="37"/>
  <c r="H24" i="33"/>
  <c r="H31" i="33"/>
  <c r="H25" i="37"/>
  <c r="H25" i="33"/>
  <c r="H25" i="29"/>
  <c r="H32" i="13"/>
  <c r="D24" i="37"/>
  <c r="D24" i="33"/>
  <c r="D24" i="29"/>
  <c r="D24" i="13"/>
  <c r="H26" i="37"/>
  <c r="H26" i="33"/>
  <c r="H26" i="29"/>
  <c r="H26" i="23"/>
  <c r="J30" i="29"/>
  <c r="D30" i="29"/>
  <c r="J30" i="23"/>
  <c r="D30" i="23"/>
  <c r="D23" i="33"/>
  <c r="H23" i="29"/>
  <c r="H23" i="23"/>
  <c r="D23" i="13"/>
  <c r="J33" i="23"/>
  <c r="J33" i="33"/>
  <c r="J33" i="29"/>
  <c r="J25" i="29"/>
  <c r="J25" i="13"/>
  <c r="J32" i="33"/>
  <c r="J32" i="29"/>
  <c r="J32" i="23"/>
  <c r="J26" i="37"/>
  <c r="J26" i="33"/>
  <c r="J26" i="29"/>
  <c r="J26" i="23"/>
  <c r="K23" i="33"/>
  <c r="J33" i="37"/>
  <c r="K31" i="23"/>
  <c r="K25" i="37"/>
  <c r="K25" i="33"/>
  <c r="K25" i="29"/>
  <c r="K25" i="13"/>
  <c r="K23" i="37"/>
  <c r="K23" i="20"/>
  <c r="K32" i="33"/>
  <c r="K32" i="29"/>
  <c r="K32" i="23"/>
  <c r="K33" i="23"/>
  <c r="K26" i="33"/>
  <c r="K26" i="29"/>
  <c r="K23" i="13"/>
  <c r="K33" i="33"/>
  <c r="K33" i="29"/>
  <c r="J23" i="20"/>
  <c r="J23" i="37"/>
  <c r="K26" i="37"/>
  <c r="K26" i="23"/>
  <c r="K31" i="13"/>
  <c r="J23" i="29"/>
  <c r="J23" i="23"/>
  <c r="J25" i="37"/>
  <c r="J25" i="33"/>
  <c r="K24" i="13"/>
  <c r="K31" i="33"/>
  <c r="K31" i="29"/>
  <c r="J23" i="13"/>
  <c r="K30" i="20"/>
  <c r="K30" i="13"/>
  <c r="K24" i="33"/>
  <c r="K24" i="29"/>
  <c r="J31" i="37"/>
  <c r="J31" i="13"/>
  <c r="J24" i="37"/>
  <c r="J24" i="33"/>
  <c r="J24" i="29"/>
  <c r="J24" i="13"/>
  <c r="K23" i="29"/>
  <c r="K23" i="23"/>
  <c r="J31" i="33"/>
  <c r="J31" i="29"/>
  <c r="J31" i="23"/>
  <c r="K24" i="37"/>
  <c r="K30" i="37"/>
  <c r="J30" i="13"/>
  <c r="J23" i="33"/>
  <c r="J30" i="33"/>
  <c r="J32" i="13"/>
  <c r="J30" i="37"/>
  <c r="J30" i="20"/>
  <c r="J32" i="37"/>
  <c r="K30" i="33"/>
  <c r="K30" i="29"/>
  <c r="K30" i="23"/>
  <c r="K32" i="37"/>
  <c r="K31" i="37"/>
  <c r="K33" i="37"/>
  <c r="H26" i="4" l="1"/>
  <c r="L32" i="13"/>
  <c r="E30" i="93"/>
  <c r="L31" i="23"/>
  <c r="E23" i="79"/>
  <c r="E30" i="79"/>
  <c r="L23" i="33"/>
  <c r="L30" i="37"/>
  <c r="L24" i="29"/>
  <c r="L23" i="20"/>
  <c r="L31" i="29"/>
  <c r="L25" i="29"/>
  <c r="L24" i="33"/>
  <c r="L26" i="33"/>
  <c r="L33" i="23"/>
  <c r="L30" i="20"/>
  <c r="L31" i="13"/>
  <c r="L24" i="13"/>
  <c r="L24" i="37"/>
  <c r="L31" i="37"/>
  <c r="L23" i="23"/>
  <c r="L26" i="37"/>
  <c r="L26" i="29"/>
  <c r="L30" i="29"/>
  <c r="L32" i="37"/>
  <c r="L31" i="33"/>
  <c r="L23" i="13"/>
  <c r="L23" i="29"/>
  <c r="L33" i="37"/>
  <c r="L32" i="23"/>
  <c r="L25" i="13"/>
  <c r="L33" i="29"/>
  <c r="L25" i="33"/>
  <c r="L26" i="23"/>
  <c r="L32" i="29"/>
  <c r="L33" i="33"/>
  <c r="L30" i="13"/>
  <c r="L30" i="33"/>
  <c r="L25" i="37"/>
  <c r="L23" i="37"/>
  <c r="L32" i="33"/>
  <c r="L30" i="23"/>
  <c r="J9" i="72"/>
  <c r="K8" i="72"/>
  <c r="J8" i="72"/>
  <c r="L8" i="72" l="1"/>
  <c r="E31" i="13"/>
  <c r="E31" i="37"/>
  <c r="E31" i="33"/>
  <c r="E31" i="29"/>
  <c r="E23" i="23"/>
  <c r="E23" i="13"/>
  <c r="E23" i="20"/>
  <c r="E23" i="37"/>
  <c r="E23" i="33"/>
  <c r="E23" i="29"/>
  <c r="E25" i="13"/>
  <c r="E30" i="13"/>
  <c r="E30" i="20"/>
  <c r="E30" i="37"/>
  <c r="E30" i="23"/>
  <c r="E30" i="29"/>
  <c r="E30" i="33"/>
  <c r="E32" i="13"/>
  <c r="E32" i="29"/>
  <c r="E24" i="13"/>
  <c r="E24" i="29"/>
  <c r="E24" i="33"/>
  <c r="E24" i="37"/>
  <c r="K7" i="72"/>
  <c r="K9" i="72"/>
  <c r="L9" i="72" s="1"/>
  <c r="J7" i="72"/>
  <c r="D8" i="72"/>
  <c r="D48" i="72"/>
  <c r="D7" i="72"/>
  <c r="D9" i="72"/>
  <c r="L7" i="72" l="1"/>
  <c r="D47" i="72"/>
  <c r="B25" i="9"/>
  <c r="M24" i="8" s="1"/>
  <c r="C25" i="9" l="1"/>
  <c r="B61" i="9"/>
  <c r="C61" i="9" l="1"/>
  <c r="D61" i="9" s="1"/>
  <c r="N24" i="8"/>
  <c r="G33" i="4"/>
  <c r="I33" i="4" l="1"/>
  <c r="H33" i="4"/>
  <c r="M33" i="37" l="1"/>
  <c r="M33" i="33"/>
  <c r="J33" i="4"/>
  <c r="C97" i="4" l="1"/>
  <c r="B97" i="4"/>
  <c r="C76" i="4"/>
  <c r="B76" i="4"/>
  <c r="K97" i="37"/>
  <c r="J97" i="37"/>
  <c r="D97" i="29"/>
  <c r="K97" i="33"/>
  <c r="K97" i="29"/>
  <c r="J97" i="13"/>
  <c r="J97" i="33"/>
  <c r="J97" i="29"/>
  <c r="D97" i="37"/>
  <c r="D97" i="13"/>
  <c r="K97" i="13"/>
  <c r="D97" i="33"/>
  <c r="K76" i="37"/>
  <c r="D76" i="33"/>
  <c r="D76" i="37"/>
  <c r="K76" i="29"/>
  <c r="J76" i="13"/>
  <c r="J76" i="37"/>
  <c r="D76" i="29"/>
  <c r="K76" i="33"/>
  <c r="J76" i="33"/>
  <c r="J76" i="29"/>
  <c r="D76" i="13"/>
  <c r="K76" i="13"/>
  <c r="J8" i="37"/>
  <c r="K8" i="37"/>
  <c r="J9" i="37"/>
  <c r="K9" i="37"/>
  <c r="J37" i="37"/>
  <c r="E76" i="33" l="1"/>
  <c r="E76" i="37"/>
  <c r="E76" i="29"/>
  <c r="E76" i="13"/>
  <c r="E76" i="79"/>
  <c r="L8" i="37"/>
  <c r="L9" i="37"/>
  <c r="L76" i="33"/>
  <c r="L97" i="33"/>
  <c r="L97" i="29"/>
  <c r="L76" i="29"/>
  <c r="L76" i="13"/>
  <c r="D97" i="4"/>
  <c r="D76" i="4"/>
  <c r="L97" i="37"/>
  <c r="L76" i="37"/>
  <c r="L97" i="13"/>
  <c r="I97" i="4"/>
  <c r="I76" i="4"/>
  <c r="H34" i="37"/>
  <c r="H116" i="37"/>
  <c r="D114" i="37"/>
  <c r="D116" i="37"/>
  <c r="J124" i="37"/>
  <c r="H76" i="4"/>
  <c r="H97" i="4"/>
  <c r="K12" i="37"/>
  <c r="K7" i="37"/>
  <c r="H113" i="37"/>
  <c r="H117" i="37"/>
  <c r="J88" i="37"/>
  <c r="K75" i="37"/>
  <c r="K108" i="37"/>
  <c r="K96" i="37"/>
  <c r="K67" i="37"/>
  <c r="J35" i="37"/>
  <c r="J10" i="37"/>
  <c r="D7" i="37"/>
  <c r="K137" i="37"/>
  <c r="K135" i="37"/>
  <c r="K134" i="37"/>
  <c r="K122" i="37"/>
  <c r="D122" i="37"/>
  <c r="H112" i="37"/>
  <c r="J121" i="37"/>
  <c r="D137" i="37"/>
  <c r="H121" i="37"/>
  <c r="K114" i="37"/>
  <c r="K107" i="37"/>
  <c r="K99" i="37"/>
  <c r="J125" i="37"/>
  <c r="D121" i="37"/>
  <c r="K116" i="37"/>
  <c r="K78" i="37"/>
  <c r="D8" i="37"/>
  <c r="H108" i="37"/>
  <c r="D67" i="37"/>
  <c r="K110" i="37"/>
  <c r="J86" i="37"/>
  <c r="K28" i="37"/>
  <c r="H7" i="37"/>
  <c r="D135" i="37"/>
  <c r="H124" i="37"/>
  <c r="J110" i="37"/>
  <c r="D108" i="37"/>
  <c r="D28" i="37"/>
  <c r="D125" i="37"/>
  <c r="K113" i="37"/>
  <c r="J108" i="37"/>
  <c r="D34" i="37"/>
  <c r="K10" i="37"/>
  <c r="K125" i="37"/>
  <c r="J117" i="37"/>
  <c r="J113" i="37"/>
  <c r="D110" i="37"/>
  <c r="K136" i="37"/>
  <c r="J134" i="37"/>
  <c r="H35" i="37"/>
  <c r="J28" i="37"/>
  <c r="K11" i="37"/>
  <c r="J122" i="37"/>
  <c r="J116" i="37"/>
  <c r="K109" i="37"/>
  <c r="D35" i="37"/>
  <c r="J12" i="37"/>
  <c r="J7" i="37"/>
  <c r="H75" i="37"/>
  <c r="D48" i="37"/>
  <c r="J137" i="37"/>
  <c r="K121" i="37"/>
  <c r="J67" i="37"/>
  <c r="H125" i="37"/>
  <c r="D124" i="37"/>
  <c r="D109" i="37"/>
  <c r="H96" i="37"/>
  <c r="K88" i="37"/>
  <c r="D55" i="37"/>
  <c r="J34" i="37"/>
  <c r="D9" i="37"/>
  <c r="J107" i="37"/>
  <c r="D107" i="37"/>
  <c r="K124" i="37"/>
  <c r="D99" i="37"/>
  <c r="D134" i="37"/>
  <c r="D120" i="37"/>
  <c r="J78" i="37"/>
  <c r="D78" i="37"/>
  <c r="J75" i="37"/>
  <c r="D75" i="37"/>
  <c r="J112" i="37"/>
  <c r="D112" i="37"/>
  <c r="J109" i="37"/>
  <c r="J135" i="37"/>
  <c r="D136" i="37"/>
  <c r="K120" i="37"/>
  <c r="J99" i="37"/>
  <c r="J96" i="37"/>
  <c r="D96" i="37"/>
  <c r="K86" i="37"/>
  <c r="J136" i="37"/>
  <c r="J120" i="37"/>
  <c r="J114" i="37"/>
  <c r="H109" i="37"/>
  <c r="D86" i="37"/>
  <c r="K117" i="37"/>
  <c r="K112" i="37"/>
  <c r="D88" i="37"/>
  <c r="H11" i="37"/>
  <c r="D10" i="37"/>
  <c r="K35" i="37"/>
  <c r="D57" i="37"/>
  <c r="D54" i="37"/>
  <c r="K34" i="37"/>
  <c r="H12" i="37"/>
  <c r="K37" i="37"/>
  <c r="D37" i="37"/>
  <c r="H10" i="37"/>
  <c r="J11" i="37"/>
  <c r="L122" i="37" l="1"/>
  <c r="M76" i="13"/>
  <c r="M76" i="33"/>
  <c r="M76" i="37"/>
  <c r="M76" i="29"/>
  <c r="M76" i="79"/>
  <c r="J76" i="4"/>
  <c r="L114" i="37"/>
  <c r="D77" i="37"/>
  <c r="H29" i="37"/>
  <c r="J29" i="37"/>
  <c r="D100" i="37"/>
  <c r="K98" i="37"/>
  <c r="K77" i="37"/>
  <c r="J79" i="37"/>
  <c r="L110" i="37"/>
  <c r="J97" i="4"/>
  <c r="J100" i="37"/>
  <c r="J66" i="37"/>
  <c r="L116" i="37"/>
  <c r="D89" i="37"/>
  <c r="K22" i="37"/>
  <c r="D49" i="37"/>
  <c r="J22" i="37"/>
  <c r="H22" i="37"/>
  <c r="K29" i="37"/>
  <c r="D29" i="37"/>
  <c r="D22" i="37"/>
  <c r="D87" i="37"/>
  <c r="D56" i="37"/>
  <c r="L88" i="37"/>
  <c r="L124" i="37"/>
  <c r="L12" i="37"/>
  <c r="L78" i="37"/>
  <c r="K111" i="37"/>
  <c r="L7" i="37"/>
  <c r="L135" i="37"/>
  <c r="D53" i="37"/>
  <c r="L28" i="37"/>
  <c r="L136" i="37"/>
  <c r="L96" i="37"/>
  <c r="L34" i="37"/>
  <c r="L109" i="37"/>
  <c r="L67" i="37"/>
  <c r="L99" i="37"/>
  <c r="L108" i="37"/>
  <c r="L134" i="37"/>
  <c r="L10" i="37"/>
  <c r="D47" i="37"/>
  <c r="L107" i="37"/>
  <c r="L75" i="37"/>
  <c r="K119" i="37"/>
  <c r="H111" i="37"/>
  <c r="L86" i="37"/>
  <c r="L121" i="37"/>
  <c r="H119" i="37"/>
  <c r="L137" i="37"/>
  <c r="L35" i="37"/>
  <c r="L120" i="37"/>
  <c r="L11" i="37"/>
  <c r="D119" i="37"/>
  <c r="L117" i="37"/>
  <c r="L125" i="37"/>
  <c r="L113" i="37"/>
  <c r="J111" i="37"/>
  <c r="D111" i="37"/>
  <c r="D66" i="37"/>
  <c r="D98" i="37"/>
  <c r="J119" i="37"/>
  <c r="L112" i="37"/>
  <c r="L29" i="37" l="1"/>
  <c r="K79" i="37"/>
  <c r="L79" i="37" s="1"/>
  <c r="K100" i="37"/>
  <c r="L100" i="37" s="1"/>
  <c r="K87" i="37"/>
  <c r="K89" i="37"/>
  <c r="H68" i="37"/>
  <c r="H79" i="37"/>
  <c r="H100" i="37"/>
  <c r="H77" i="37"/>
  <c r="H98" i="37"/>
  <c r="L22" i="37"/>
  <c r="J68" i="37"/>
  <c r="K68" i="37"/>
  <c r="H89" i="37"/>
  <c r="J89" i="37"/>
  <c r="L111" i="37"/>
  <c r="L119" i="37"/>
  <c r="H87" i="37" l="1"/>
  <c r="L89" i="37"/>
  <c r="J98" i="37"/>
  <c r="L98" i="37" s="1"/>
  <c r="J77" i="37"/>
  <c r="L77" i="37" s="1"/>
  <c r="L68" i="37"/>
  <c r="J87" i="37"/>
  <c r="L87" i="37" s="1"/>
  <c r="H66" i="37"/>
  <c r="K66" i="37"/>
  <c r="L66" i="37" s="1"/>
  <c r="G31" i="4" l="1"/>
  <c r="G23" i="4" l="1"/>
  <c r="G24" i="4"/>
  <c r="G30" i="4"/>
  <c r="G25" i="4"/>
  <c r="G32" i="4"/>
  <c r="D32" i="4"/>
  <c r="D24" i="4"/>
  <c r="I23" i="37"/>
  <c r="I25" i="37"/>
  <c r="I30" i="37"/>
  <c r="I31" i="37"/>
  <c r="G26" i="4"/>
  <c r="D25" i="4"/>
  <c r="I24" i="37"/>
  <c r="I32" i="37"/>
  <c r="D30" i="4"/>
  <c r="D31" i="4"/>
  <c r="E29" i="23" l="1"/>
  <c r="E29" i="29"/>
  <c r="E29" i="33"/>
  <c r="E29" i="20"/>
  <c r="E29" i="51"/>
  <c r="E29" i="37"/>
  <c r="E29" i="13"/>
  <c r="D23" i="4"/>
  <c r="I26" i="4"/>
  <c r="J26" i="4" s="1"/>
  <c r="I26" i="29"/>
  <c r="I26" i="23"/>
  <c r="I26" i="33"/>
  <c r="I26" i="37"/>
  <c r="M26" i="29" l="1"/>
  <c r="M26" i="23"/>
  <c r="M26" i="37"/>
  <c r="M26" i="33"/>
  <c r="L51" i="10" l="1"/>
  <c r="G60" i="10"/>
  <c r="F60" i="10" l="1"/>
  <c r="K28" i="10" l="1"/>
  <c r="J28" i="10"/>
  <c r="K9" i="33" l="1"/>
  <c r="K9" i="29"/>
  <c r="K8" i="51"/>
  <c r="K8" i="29"/>
  <c r="K8" i="33"/>
  <c r="K9" i="51"/>
  <c r="K8" i="25"/>
  <c r="K9" i="25"/>
  <c r="K8" i="22"/>
  <c r="K9" i="22"/>
  <c r="K9" i="20"/>
  <c r="K8" i="20"/>
  <c r="J36" i="13"/>
  <c r="J39" i="13"/>
  <c r="J37" i="13"/>
  <c r="K8" i="13"/>
  <c r="K9" i="13"/>
  <c r="J28" i="93"/>
  <c r="L28" i="93" s="1"/>
  <c r="F12" i="4" l="1"/>
  <c r="F134" i="4"/>
  <c r="F35" i="4"/>
  <c r="F117" i="4"/>
  <c r="C49" i="4"/>
  <c r="E49" i="93" s="1"/>
  <c r="F68" i="4"/>
  <c r="F109" i="4"/>
  <c r="F125" i="4"/>
  <c r="C58" i="4"/>
  <c r="F113" i="4"/>
  <c r="F89" i="4"/>
  <c r="B57" i="4"/>
  <c r="D57" i="93"/>
  <c r="F135" i="4"/>
  <c r="E79" i="4"/>
  <c r="C125" i="4"/>
  <c r="F124" i="4"/>
  <c r="F75" i="4"/>
  <c r="E121" i="4"/>
  <c r="E86" i="4"/>
  <c r="B89" i="4"/>
  <c r="B23" i="10" s="1"/>
  <c r="B110" i="4"/>
  <c r="F34" i="4"/>
  <c r="C109" i="4"/>
  <c r="K10" i="93"/>
  <c r="C10" i="4"/>
  <c r="E10" i="91" s="1"/>
  <c r="E117" i="4"/>
  <c r="C114" i="4"/>
  <c r="C12" i="4"/>
  <c r="F7" i="4"/>
  <c r="B34" i="4"/>
  <c r="B49" i="4"/>
  <c r="D49" i="93"/>
  <c r="C121" i="4"/>
  <c r="E75" i="4"/>
  <c r="F14" i="10" s="1"/>
  <c r="C57" i="4"/>
  <c r="E57" i="91" s="1"/>
  <c r="E96" i="4"/>
  <c r="F24" i="10" s="1"/>
  <c r="B108" i="4"/>
  <c r="B134" i="4"/>
  <c r="B15" i="10" s="1"/>
  <c r="C134" i="4"/>
  <c r="D118" i="4"/>
  <c r="C112" i="4"/>
  <c r="B8" i="4"/>
  <c r="J8" i="93"/>
  <c r="D8" i="93"/>
  <c r="B114" i="4"/>
  <c r="E109" i="4"/>
  <c r="E112" i="4"/>
  <c r="E89" i="4"/>
  <c r="C28" i="4"/>
  <c r="C107" i="4"/>
  <c r="C110" i="4"/>
  <c r="B75" i="4"/>
  <c r="B14" i="10" s="1"/>
  <c r="B68" i="4"/>
  <c r="B13" i="10" s="1"/>
  <c r="B107" i="4"/>
  <c r="B120" i="4"/>
  <c r="B112" i="4"/>
  <c r="B28" i="4"/>
  <c r="B121" i="4"/>
  <c r="C137" i="4"/>
  <c r="E124" i="4"/>
  <c r="C34" i="4"/>
  <c r="B88" i="4"/>
  <c r="E68" i="4"/>
  <c r="C99" i="4"/>
  <c r="C89" i="4"/>
  <c r="B39" i="4"/>
  <c r="E108" i="4"/>
  <c r="E113" i="4"/>
  <c r="C113" i="4"/>
  <c r="E35" i="4"/>
  <c r="F42" i="10" s="1"/>
  <c r="B96" i="4"/>
  <c r="B24" i="10" s="1"/>
  <c r="B79" i="4"/>
  <c r="B137" i="4"/>
  <c r="B44" i="10" s="1"/>
  <c r="C122" i="4"/>
  <c r="C135" i="4"/>
  <c r="B122" i="4"/>
  <c r="B124" i="4"/>
  <c r="J9" i="93"/>
  <c r="D9" i="93"/>
  <c r="B9" i="4"/>
  <c r="C136" i="4"/>
  <c r="C78" i="4"/>
  <c r="E135" i="4"/>
  <c r="F25" i="10" s="1"/>
  <c r="B136" i="4"/>
  <c r="B33" i="10" s="1"/>
  <c r="B100" i="4"/>
  <c r="E125" i="4"/>
  <c r="B7" i="4"/>
  <c r="B9" i="10" s="1"/>
  <c r="D7" i="93"/>
  <c r="J7" i="93"/>
  <c r="B55" i="4"/>
  <c r="B135" i="4"/>
  <c r="B25" i="10" s="1"/>
  <c r="E7" i="4"/>
  <c r="F9" i="10" s="1"/>
  <c r="F10" i="4"/>
  <c r="C86" i="4"/>
  <c r="D48" i="93"/>
  <c r="B48" i="4"/>
  <c r="C67" i="4"/>
  <c r="C108" i="4"/>
  <c r="E116" i="4"/>
  <c r="C35" i="4"/>
  <c r="K37" i="13"/>
  <c r="C37" i="4"/>
  <c r="E37" i="79" s="1"/>
  <c r="B10" i="4"/>
  <c r="B20" i="10" s="1"/>
  <c r="J10" i="93"/>
  <c r="D10" i="93"/>
  <c r="E10" i="4"/>
  <c r="F20" i="10" s="1"/>
  <c r="B86" i="4"/>
  <c r="F86" i="4"/>
  <c r="E12" i="4"/>
  <c r="F41" i="10" s="1"/>
  <c r="C96" i="4"/>
  <c r="K8" i="93"/>
  <c r="C8" i="4"/>
  <c r="F79" i="4"/>
  <c r="B116" i="4"/>
  <c r="B12" i="4"/>
  <c r="B41" i="10" s="1"/>
  <c r="E134" i="4"/>
  <c r="F15" i="10" s="1"/>
  <c r="B36" i="4"/>
  <c r="B16" i="10" s="1"/>
  <c r="C88" i="4"/>
  <c r="D54" i="93"/>
  <c r="B54" i="4"/>
  <c r="F116" i="4"/>
  <c r="K36" i="13"/>
  <c r="C36" i="4"/>
  <c r="E36" i="79" s="1"/>
  <c r="E34" i="4"/>
  <c r="F31" i="10" s="1"/>
  <c r="E11" i="4"/>
  <c r="F30" i="10" s="1"/>
  <c r="E107" i="4"/>
  <c r="C68" i="4"/>
  <c r="C118" i="4"/>
  <c r="K39" i="13"/>
  <c r="C39" i="4"/>
  <c r="C75" i="4"/>
  <c r="F96" i="4"/>
  <c r="B58" i="4"/>
  <c r="F107" i="4"/>
  <c r="C79" i="4"/>
  <c r="E100" i="4"/>
  <c r="C124" i="4"/>
  <c r="C116" i="4"/>
  <c r="C7" i="4"/>
  <c r="K7" i="93"/>
  <c r="C120" i="4"/>
  <c r="B35" i="4"/>
  <c r="C48" i="4"/>
  <c r="F100" i="4"/>
  <c r="F11" i="4"/>
  <c r="B37" i="4"/>
  <c r="B26" i="10" s="1"/>
  <c r="F114" i="4"/>
  <c r="C54" i="4"/>
  <c r="C100" i="4"/>
  <c r="B109" i="4"/>
  <c r="F112" i="4"/>
  <c r="K9" i="93"/>
  <c r="C9" i="4"/>
  <c r="E9" i="91" s="1"/>
  <c r="F108" i="4"/>
  <c r="F136" i="4"/>
  <c r="C55" i="4"/>
  <c r="B99" i="4"/>
  <c r="B78" i="4"/>
  <c r="F121" i="4"/>
  <c r="B67" i="4"/>
  <c r="B125" i="4"/>
  <c r="N22" i="8"/>
  <c r="C59" i="9"/>
  <c r="D59" i="9" s="1"/>
  <c r="H38" i="9"/>
  <c r="C36" i="9"/>
  <c r="H37" i="9"/>
  <c r="G36" i="9"/>
  <c r="N59" i="8"/>
  <c r="G15" i="9"/>
  <c r="H11" i="9"/>
  <c r="G12" i="9"/>
  <c r="G48" i="9" s="1"/>
  <c r="C35" i="9"/>
  <c r="B39" i="9"/>
  <c r="C39" i="9"/>
  <c r="G18" i="9"/>
  <c r="C38" i="9"/>
  <c r="H12" i="9"/>
  <c r="G17" i="9"/>
  <c r="H17" i="9"/>
  <c r="G22" i="9"/>
  <c r="G11" i="9"/>
  <c r="H35" i="9"/>
  <c r="H9" i="9"/>
  <c r="H36" i="9"/>
  <c r="G9" i="9"/>
  <c r="C37" i="9"/>
  <c r="G24" i="9"/>
  <c r="G60" i="9" s="1"/>
  <c r="H39" i="9"/>
  <c r="G26" i="9"/>
  <c r="G35" i="9"/>
  <c r="N63" i="8"/>
  <c r="B35" i="9"/>
  <c r="B38" i="9"/>
  <c r="K135" i="26"/>
  <c r="H29" i="29"/>
  <c r="K121" i="13"/>
  <c r="H121" i="33"/>
  <c r="H125" i="33"/>
  <c r="H68" i="29"/>
  <c r="K113" i="33"/>
  <c r="H29" i="13"/>
  <c r="K12" i="29"/>
  <c r="J86" i="29"/>
  <c r="K108" i="33"/>
  <c r="H22" i="33"/>
  <c r="K68" i="33"/>
  <c r="H35" i="29"/>
  <c r="H34" i="13"/>
  <c r="D49" i="51"/>
  <c r="K22" i="51"/>
  <c r="K135" i="34"/>
  <c r="K134" i="26"/>
  <c r="K113" i="29"/>
  <c r="H100" i="29"/>
  <c r="K137" i="26"/>
  <c r="J79" i="29"/>
  <c r="K28" i="51"/>
  <c r="H89" i="29"/>
  <c r="K12" i="33"/>
  <c r="K116" i="33"/>
  <c r="K29" i="51"/>
  <c r="H34" i="33"/>
  <c r="H12" i="33"/>
  <c r="H125" i="29"/>
  <c r="K108" i="23"/>
  <c r="K22" i="23"/>
  <c r="H107" i="23"/>
  <c r="K107" i="33"/>
  <c r="K100" i="33"/>
  <c r="K75" i="33"/>
  <c r="K122" i="33"/>
  <c r="K114" i="33"/>
  <c r="H29" i="33"/>
  <c r="D58" i="39"/>
  <c r="H75" i="33"/>
  <c r="D37" i="13"/>
  <c r="K89" i="23"/>
  <c r="K68" i="23"/>
  <c r="H135" i="26"/>
  <c r="H22" i="29"/>
  <c r="H96" i="33"/>
  <c r="H117" i="33"/>
  <c r="K28" i="25"/>
  <c r="K96" i="33"/>
  <c r="H35" i="33"/>
  <c r="K117" i="33"/>
  <c r="K28" i="23"/>
  <c r="H114" i="33"/>
  <c r="K89" i="33"/>
  <c r="H100" i="23"/>
  <c r="B21" i="10"/>
  <c r="K109" i="23"/>
  <c r="K34" i="13"/>
  <c r="K107" i="13"/>
  <c r="K121" i="23"/>
  <c r="H109" i="23"/>
  <c r="H22" i="23"/>
  <c r="H100" i="33"/>
  <c r="H68" i="33"/>
  <c r="K125" i="33"/>
  <c r="D49" i="39"/>
  <c r="K7" i="13"/>
  <c r="K10" i="29"/>
  <c r="H7" i="23"/>
  <c r="H7" i="29"/>
  <c r="H7" i="33"/>
  <c r="K10" i="33"/>
  <c r="H10" i="13"/>
  <c r="K7" i="23"/>
  <c r="K11" i="33"/>
  <c r="K7" i="29"/>
  <c r="H11" i="13"/>
  <c r="K22" i="13"/>
  <c r="K29" i="13"/>
  <c r="H79" i="13"/>
  <c r="K100" i="13"/>
  <c r="K116" i="13"/>
  <c r="K10" i="13"/>
  <c r="H121" i="13"/>
  <c r="K7" i="20"/>
  <c r="K10" i="20"/>
  <c r="D49" i="26"/>
  <c r="K11" i="29"/>
  <c r="H113" i="29"/>
  <c r="K7" i="33"/>
  <c r="H89" i="33"/>
  <c r="H107" i="33"/>
  <c r="K118" i="33"/>
  <c r="K121" i="33"/>
  <c r="H89" i="13"/>
  <c r="K109" i="13"/>
  <c r="K67" i="13"/>
  <c r="K11" i="13"/>
  <c r="H113" i="33"/>
  <c r="H12" i="23"/>
  <c r="H86" i="23"/>
  <c r="H136" i="26"/>
  <c r="K28" i="29"/>
  <c r="K34" i="29"/>
  <c r="H134" i="26"/>
  <c r="K117" i="29"/>
  <c r="H79" i="23"/>
  <c r="H89" i="23"/>
  <c r="H117" i="23"/>
  <c r="K35" i="29"/>
  <c r="H117" i="29"/>
  <c r="H40" i="9"/>
  <c r="D39" i="13"/>
  <c r="H22" i="13"/>
  <c r="H7" i="13"/>
  <c r="K35" i="13"/>
  <c r="K108" i="13"/>
  <c r="K12" i="13"/>
  <c r="H107" i="13"/>
  <c r="C40" i="9"/>
  <c r="D48" i="13"/>
  <c r="J10" i="13"/>
  <c r="D10" i="13"/>
  <c r="K28" i="13"/>
  <c r="K68" i="13"/>
  <c r="K112" i="13"/>
  <c r="K117" i="13"/>
  <c r="H35" i="13"/>
  <c r="H109" i="13"/>
  <c r="J89" i="13"/>
  <c r="D89" i="13"/>
  <c r="J11" i="13"/>
  <c r="K113" i="13"/>
  <c r="J9" i="13"/>
  <c r="L9" i="13" s="1"/>
  <c r="D9" i="13"/>
  <c r="H68" i="13"/>
  <c r="J88" i="13"/>
  <c r="D88" i="13"/>
  <c r="H100" i="13"/>
  <c r="H12" i="13"/>
  <c r="D78" i="13"/>
  <c r="J78" i="13"/>
  <c r="J12" i="13"/>
  <c r="K120" i="13"/>
  <c r="K88" i="13"/>
  <c r="H117" i="13"/>
  <c r="D35" i="13"/>
  <c r="J35" i="13"/>
  <c r="J68" i="13"/>
  <c r="K86" i="13"/>
  <c r="K89" i="13"/>
  <c r="J107" i="13"/>
  <c r="D107" i="13"/>
  <c r="D112" i="13"/>
  <c r="J112" i="13"/>
  <c r="J117" i="13"/>
  <c r="D86" i="13"/>
  <c r="J86" i="13"/>
  <c r="J125" i="13"/>
  <c r="D8" i="20"/>
  <c r="J8" i="20"/>
  <c r="L8" i="20" s="1"/>
  <c r="J79" i="13"/>
  <c r="D99" i="13"/>
  <c r="J99" i="13"/>
  <c r="J124" i="13"/>
  <c r="D124" i="13"/>
  <c r="H108" i="13"/>
  <c r="H113" i="13"/>
  <c r="D36" i="13"/>
  <c r="D54" i="13"/>
  <c r="D108" i="13"/>
  <c r="J108" i="13"/>
  <c r="J113" i="13"/>
  <c r="K124" i="13"/>
  <c r="J7" i="20"/>
  <c r="D7" i="20"/>
  <c r="J7" i="13"/>
  <c r="D7" i="13"/>
  <c r="D22" i="13"/>
  <c r="J22" i="13"/>
  <c r="J29" i="13"/>
  <c r="D29" i="13"/>
  <c r="D57" i="13"/>
  <c r="K78" i="13"/>
  <c r="K99" i="13"/>
  <c r="D109" i="13"/>
  <c r="J109" i="13"/>
  <c r="J120" i="13"/>
  <c r="D120" i="13"/>
  <c r="H125" i="13"/>
  <c r="J10" i="20"/>
  <c r="D10" i="20"/>
  <c r="J28" i="20"/>
  <c r="D28" i="20"/>
  <c r="D54" i="22"/>
  <c r="D22" i="23"/>
  <c r="J22" i="23"/>
  <c r="D28" i="25"/>
  <c r="J28" i="25"/>
  <c r="J112" i="23"/>
  <c r="D112" i="23"/>
  <c r="D8" i="22"/>
  <c r="J8" i="22"/>
  <c r="L8" i="22" s="1"/>
  <c r="D29" i="23"/>
  <c r="J29" i="23"/>
  <c r="K112" i="23"/>
  <c r="J22" i="51"/>
  <c r="D22" i="51"/>
  <c r="K11" i="23"/>
  <c r="K35" i="23"/>
  <c r="D107" i="23"/>
  <c r="J107" i="23"/>
  <c r="J117" i="23"/>
  <c r="D48" i="25"/>
  <c r="D9" i="22"/>
  <c r="J9" i="22"/>
  <c r="L9" i="22" s="1"/>
  <c r="K12" i="23"/>
  <c r="K67" i="23"/>
  <c r="D78" i="23"/>
  <c r="K78" i="23"/>
  <c r="J108" i="23"/>
  <c r="D108" i="23"/>
  <c r="H113" i="23"/>
  <c r="D67" i="29"/>
  <c r="K67" i="29"/>
  <c r="J75" i="33"/>
  <c r="D75" i="33"/>
  <c r="D48" i="51"/>
  <c r="D54" i="40"/>
  <c r="J28" i="29"/>
  <c r="D28" i="29"/>
  <c r="D136" i="26"/>
  <c r="J136" i="26"/>
  <c r="D7" i="29"/>
  <c r="J7" i="29"/>
  <c r="J12" i="29"/>
  <c r="H12" i="29"/>
  <c r="J109" i="29"/>
  <c r="D109" i="29"/>
  <c r="K120" i="29"/>
  <c r="D68" i="29"/>
  <c r="J68" i="29"/>
  <c r="D86" i="29"/>
  <c r="K86" i="29"/>
  <c r="K89" i="29"/>
  <c r="K107" i="29"/>
  <c r="H121" i="29"/>
  <c r="J10" i="33"/>
  <c r="D10" i="33"/>
  <c r="J68" i="33"/>
  <c r="D68" i="33"/>
  <c r="K78" i="33"/>
  <c r="K112" i="33"/>
  <c r="J8" i="33"/>
  <c r="L8" i="33" s="1"/>
  <c r="D8" i="33"/>
  <c r="H11" i="33"/>
  <c r="K35" i="33"/>
  <c r="D96" i="33"/>
  <c r="J96" i="33"/>
  <c r="J108" i="33"/>
  <c r="D108" i="33"/>
  <c r="K110" i="33"/>
  <c r="D116" i="33"/>
  <c r="J116" i="33"/>
  <c r="D54" i="39"/>
  <c r="J8" i="13"/>
  <c r="L8" i="13" s="1"/>
  <c r="D8" i="13"/>
  <c r="J28" i="13"/>
  <c r="D28" i="13"/>
  <c r="J34" i="13"/>
  <c r="D34" i="13"/>
  <c r="D67" i="13"/>
  <c r="J67" i="13"/>
  <c r="K79" i="13"/>
  <c r="D100" i="13"/>
  <c r="J100" i="13"/>
  <c r="J116" i="13"/>
  <c r="D116" i="13"/>
  <c r="J121" i="13"/>
  <c r="K125" i="13"/>
  <c r="D57" i="22"/>
  <c r="J9" i="20"/>
  <c r="L9" i="20" s="1"/>
  <c r="D9" i="20"/>
  <c r="K22" i="20"/>
  <c r="K29" i="20"/>
  <c r="J113" i="23"/>
  <c r="K7" i="22"/>
  <c r="D49" i="22"/>
  <c r="J10" i="23"/>
  <c r="J34" i="23"/>
  <c r="K113" i="23"/>
  <c r="J125" i="23"/>
  <c r="J7" i="25"/>
  <c r="D7" i="25"/>
  <c r="D29" i="51"/>
  <c r="J29" i="51"/>
  <c r="J12" i="23"/>
  <c r="J78" i="23"/>
  <c r="H29" i="23"/>
  <c r="J68" i="23"/>
  <c r="K79" i="23"/>
  <c r="J88" i="23"/>
  <c r="D88" i="23"/>
  <c r="K99" i="23"/>
  <c r="J109" i="23"/>
  <c r="K120" i="23"/>
  <c r="D48" i="40"/>
  <c r="J29" i="29"/>
  <c r="D29" i="29"/>
  <c r="D134" i="26"/>
  <c r="J134" i="26"/>
  <c r="D137" i="26"/>
  <c r="J137" i="26"/>
  <c r="K7" i="51"/>
  <c r="K10" i="51"/>
  <c r="J78" i="29"/>
  <c r="D78" i="29"/>
  <c r="J22" i="29"/>
  <c r="D22" i="29"/>
  <c r="K68" i="29"/>
  <c r="J88" i="29"/>
  <c r="D88" i="29"/>
  <c r="J11" i="33"/>
  <c r="J121" i="29"/>
  <c r="J134" i="34"/>
  <c r="D134" i="34"/>
  <c r="K108" i="29"/>
  <c r="H107" i="29"/>
  <c r="J117" i="29"/>
  <c r="J135" i="34"/>
  <c r="D135" i="34"/>
  <c r="J9" i="33"/>
  <c r="L9" i="33" s="1"/>
  <c r="D9" i="33"/>
  <c r="J78" i="33"/>
  <c r="D78" i="33"/>
  <c r="J22" i="33"/>
  <c r="D22" i="33"/>
  <c r="J29" i="33"/>
  <c r="D29" i="33"/>
  <c r="J67" i="33"/>
  <c r="K79" i="33"/>
  <c r="J99" i="33"/>
  <c r="D99" i="33"/>
  <c r="D109" i="33"/>
  <c r="J109" i="33"/>
  <c r="D48" i="38"/>
  <c r="G40" i="9"/>
  <c r="J112" i="33"/>
  <c r="D112" i="33"/>
  <c r="J117" i="33"/>
  <c r="D48" i="39"/>
  <c r="D54" i="20"/>
  <c r="D57" i="21"/>
  <c r="K28" i="20"/>
  <c r="J28" i="23"/>
  <c r="D28" i="23"/>
  <c r="D48" i="21"/>
  <c r="D57" i="25"/>
  <c r="J11" i="23"/>
  <c r="J35" i="23"/>
  <c r="J8" i="25"/>
  <c r="L8" i="25" s="1"/>
  <c r="D8" i="25"/>
  <c r="J9" i="51"/>
  <c r="L9" i="51" s="1"/>
  <c r="D9" i="51"/>
  <c r="K29" i="23"/>
  <c r="J67" i="23"/>
  <c r="D67" i="23"/>
  <c r="J79" i="23"/>
  <c r="J99" i="23"/>
  <c r="D99" i="23"/>
  <c r="J120" i="23"/>
  <c r="D120" i="23"/>
  <c r="K125" i="23"/>
  <c r="K7" i="25"/>
  <c r="D48" i="22"/>
  <c r="H10" i="23"/>
  <c r="H34" i="23"/>
  <c r="K86" i="23"/>
  <c r="J89" i="23"/>
  <c r="K100" i="23"/>
  <c r="J121" i="23"/>
  <c r="H125" i="23"/>
  <c r="D54" i="25"/>
  <c r="J7" i="51"/>
  <c r="D7" i="51"/>
  <c r="D10" i="51"/>
  <c r="J10" i="51"/>
  <c r="J34" i="29"/>
  <c r="D34" i="29"/>
  <c r="D10" i="29"/>
  <c r="J10" i="29"/>
  <c r="J89" i="29"/>
  <c r="D89" i="29"/>
  <c r="H10" i="29"/>
  <c r="K22" i="29"/>
  <c r="K29" i="29"/>
  <c r="J120" i="29"/>
  <c r="D120" i="29"/>
  <c r="J107" i="29"/>
  <c r="D107" i="29"/>
  <c r="K78" i="29"/>
  <c r="K99" i="29"/>
  <c r="K109" i="29"/>
  <c r="J125" i="29"/>
  <c r="K134" i="34"/>
  <c r="H27" i="9"/>
  <c r="N69" i="8" s="1"/>
  <c r="H79" i="29"/>
  <c r="J113" i="29"/>
  <c r="K125" i="29"/>
  <c r="D67" i="33"/>
  <c r="K67" i="33"/>
  <c r="J79" i="33"/>
  <c r="D79" i="33"/>
  <c r="J34" i="33"/>
  <c r="D34" i="33"/>
  <c r="K86" i="33"/>
  <c r="D122" i="33"/>
  <c r="J122" i="33"/>
  <c r="K22" i="33"/>
  <c r="K29" i="33"/>
  <c r="H79" i="33"/>
  <c r="J88" i="33"/>
  <c r="D88" i="33"/>
  <c r="J100" i="33"/>
  <c r="D100" i="33"/>
  <c r="K120" i="33"/>
  <c r="D113" i="33"/>
  <c r="J113" i="33"/>
  <c r="D118" i="33"/>
  <c r="J118" i="33"/>
  <c r="L118" i="33" s="1"/>
  <c r="D57" i="39"/>
  <c r="J22" i="20"/>
  <c r="D22" i="20"/>
  <c r="J29" i="20"/>
  <c r="D29" i="20"/>
  <c r="D48" i="20"/>
  <c r="J7" i="23"/>
  <c r="K88" i="23"/>
  <c r="J35" i="29"/>
  <c r="D7" i="22"/>
  <c r="J7" i="22"/>
  <c r="H121" i="23"/>
  <c r="K10" i="23"/>
  <c r="K34" i="23"/>
  <c r="H68" i="23"/>
  <c r="D86" i="23"/>
  <c r="J86" i="23"/>
  <c r="J100" i="23"/>
  <c r="J28" i="51"/>
  <c r="D28" i="51"/>
  <c r="H11" i="23"/>
  <c r="H35" i="23"/>
  <c r="K107" i="23"/>
  <c r="K117" i="23"/>
  <c r="J9" i="25"/>
  <c r="L9" i="25" s="1"/>
  <c r="D9" i="25"/>
  <c r="K136" i="26"/>
  <c r="J8" i="51"/>
  <c r="L8" i="51" s="1"/>
  <c r="D8" i="51"/>
  <c r="D135" i="26"/>
  <c r="J135" i="26"/>
  <c r="D57" i="40"/>
  <c r="J8" i="29"/>
  <c r="L8" i="29" s="1"/>
  <c r="D8" i="29"/>
  <c r="J11" i="29"/>
  <c r="J99" i="29"/>
  <c r="D99" i="29"/>
  <c r="D120" i="33"/>
  <c r="J120" i="33"/>
  <c r="D9" i="29"/>
  <c r="J9" i="29"/>
  <c r="L9" i="29" s="1"/>
  <c r="H11" i="29"/>
  <c r="H34" i="29"/>
  <c r="J100" i="29"/>
  <c r="D100" i="29"/>
  <c r="J108" i="29"/>
  <c r="D108" i="29"/>
  <c r="J12" i="33"/>
  <c r="D125" i="33"/>
  <c r="J125" i="33"/>
  <c r="J67" i="29"/>
  <c r="D79" i="29"/>
  <c r="K79" i="29"/>
  <c r="K88" i="29"/>
  <c r="K100" i="29"/>
  <c r="K121" i="29"/>
  <c r="K99" i="33"/>
  <c r="H86" i="29"/>
  <c r="H109" i="29"/>
  <c r="K88" i="33"/>
  <c r="J86" i="33"/>
  <c r="D121" i="33"/>
  <c r="J121" i="33"/>
  <c r="J35" i="33"/>
  <c r="D35" i="33"/>
  <c r="J7" i="33"/>
  <c r="D7" i="33"/>
  <c r="H10" i="33"/>
  <c r="K34" i="33"/>
  <c r="H86" i="33"/>
  <c r="J89" i="33"/>
  <c r="D89" i="33"/>
  <c r="J107" i="33"/>
  <c r="J110" i="33"/>
  <c r="D110" i="33"/>
  <c r="K109" i="33"/>
  <c r="H109" i="33"/>
  <c r="J114" i="33"/>
  <c r="D114" i="33"/>
  <c r="G27" i="9"/>
  <c r="B10" i="10"/>
  <c r="F21" i="10"/>
  <c r="F10" i="10"/>
  <c r="E36" i="13" l="1"/>
  <c r="E37" i="37"/>
  <c r="E37" i="13"/>
  <c r="B11" i="9"/>
  <c r="H77" i="29"/>
  <c r="L10" i="93"/>
  <c r="D56" i="21"/>
  <c r="D53" i="20"/>
  <c r="E54" i="91"/>
  <c r="F111" i="4"/>
  <c r="E54" i="93"/>
  <c r="L7" i="93"/>
  <c r="F119" i="4"/>
  <c r="L9" i="93"/>
  <c r="C47" i="4"/>
  <c r="E47" i="91" s="1"/>
  <c r="F77" i="4"/>
  <c r="C119" i="4"/>
  <c r="E28" i="93"/>
  <c r="C111" i="4"/>
  <c r="C56" i="4"/>
  <c r="L8" i="93"/>
  <c r="E8" i="93"/>
  <c r="F98" i="4"/>
  <c r="C66" i="4"/>
  <c r="D56" i="93"/>
  <c r="B56" i="4"/>
  <c r="B49" i="10" s="1"/>
  <c r="B119" i="4"/>
  <c r="B43" i="10" s="1"/>
  <c r="D47" i="93"/>
  <c r="B47" i="4"/>
  <c r="B11" i="10" s="1"/>
  <c r="E7" i="93"/>
  <c r="C53" i="4"/>
  <c r="C77" i="4"/>
  <c r="E48" i="93"/>
  <c r="C11" i="9"/>
  <c r="E10" i="93"/>
  <c r="E98" i="4"/>
  <c r="E7" i="91"/>
  <c r="E87" i="4"/>
  <c r="C87" i="4"/>
  <c r="E77" i="4"/>
  <c r="E66" i="4"/>
  <c r="F87" i="4"/>
  <c r="F66" i="4"/>
  <c r="B77" i="4"/>
  <c r="B111" i="4"/>
  <c r="B32" i="10" s="1"/>
  <c r="E111" i="4"/>
  <c r="F32" i="10" s="1"/>
  <c r="B66" i="4"/>
  <c r="B87" i="4"/>
  <c r="B22" i="10" s="1"/>
  <c r="E48" i="91"/>
  <c r="E9" i="93"/>
  <c r="B98" i="4"/>
  <c r="E119" i="4"/>
  <c r="C98" i="4"/>
  <c r="B53" i="4"/>
  <c r="B38" i="10" s="1"/>
  <c r="D53" i="93"/>
  <c r="E57" i="93"/>
  <c r="G114" i="4"/>
  <c r="G125" i="4"/>
  <c r="K77" i="33"/>
  <c r="G89" i="4"/>
  <c r="E48" i="81"/>
  <c r="G112" i="4"/>
  <c r="G109" i="4"/>
  <c r="G79" i="4"/>
  <c r="M58" i="8"/>
  <c r="G51" i="9"/>
  <c r="M61" i="8"/>
  <c r="G54" i="9"/>
  <c r="M70" i="8"/>
  <c r="M65" i="8"/>
  <c r="M68" i="8"/>
  <c r="M69" i="8"/>
  <c r="G63" i="9"/>
  <c r="M60" i="8"/>
  <c r="G45" i="9"/>
  <c r="G68" i="4"/>
  <c r="G116" i="4"/>
  <c r="G113" i="4"/>
  <c r="G107" i="4"/>
  <c r="G24" i="10"/>
  <c r="C25" i="10"/>
  <c r="G23" i="10"/>
  <c r="C15" i="10"/>
  <c r="G15" i="10"/>
  <c r="C16" i="10"/>
  <c r="C14" i="10"/>
  <c r="G20" i="10"/>
  <c r="G13" i="10"/>
  <c r="G9" i="10"/>
  <c r="C26" i="10"/>
  <c r="N66" i="8"/>
  <c r="C9" i="10"/>
  <c r="C23" i="10"/>
  <c r="C20" i="10"/>
  <c r="C24" i="10"/>
  <c r="C13" i="10"/>
  <c r="G14" i="10"/>
  <c r="G25" i="10"/>
  <c r="G117" i="4"/>
  <c r="G124" i="4"/>
  <c r="G86" i="4"/>
  <c r="G96" i="4"/>
  <c r="G108" i="4"/>
  <c r="F13" i="10"/>
  <c r="G100" i="4"/>
  <c r="G121" i="4"/>
  <c r="G75" i="4"/>
  <c r="N56" i="8"/>
  <c r="H48" i="9"/>
  <c r="F23" i="10"/>
  <c r="M56" i="8"/>
  <c r="D28" i="4"/>
  <c r="N53" i="8"/>
  <c r="M53" i="8"/>
  <c r="M73" i="8"/>
  <c r="L86" i="23"/>
  <c r="E9" i="79"/>
  <c r="E114" i="79"/>
  <c r="E122" i="79"/>
  <c r="E7" i="79"/>
  <c r="E48" i="78"/>
  <c r="E48" i="79"/>
  <c r="E8" i="79"/>
  <c r="E10" i="79"/>
  <c r="E28" i="79"/>
  <c r="N55" i="8"/>
  <c r="N73" i="8"/>
  <c r="D34" i="4"/>
  <c r="E48" i="77"/>
  <c r="E55" i="77"/>
  <c r="E49" i="77"/>
  <c r="E54" i="77"/>
  <c r="L107" i="23"/>
  <c r="M10" i="8"/>
  <c r="H77" i="33"/>
  <c r="L29" i="51"/>
  <c r="N124" i="8"/>
  <c r="H53" i="9"/>
  <c r="N60" i="8"/>
  <c r="E28" i="51"/>
  <c r="M67" i="8"/>
  <c r="M59" i="8"/>
  <c r="E28" i="29"/>
  <c r="M63" i="8"/>
  <c r="E28" i="23"/>
  <c r="E28" i="20"/>
  <c r="E28" i="25"/>
  <c r="M57" i="8"/>
  <c r="M124" i="8"/>
  <c r="I9" i="9"/>
  <c r="K98" i="33"/>
  <c r="L22" i="51"/>
  <c r="D47" i="39"/>
  <c r="L7" i="51"/>
  <c r="E34" i="33"/>
  <c r="E34" i="37"/>
  <c r="E34" i="13"/>
  <c r="E34" i="29"/>
  <c r="L110" i="33"/>
  <c r="E8" i="74"/>
  <c r="E7" i="72"/>
  <c r="E7" i="74"/>
  <c r="E48" i="72"/>
  <c r="E48" i="74"/>
  <c r="E28" i="37"/>
  <c r="E28" i="13"/>
  <c r="D35" i="4"/>
  <c r="C29" i="9"/>
  <c r="N28" i="8" s="1"/>
  <c r="D53" i="40"/>
  <c r="L28" i="51"/>
  <c r="L10" i="51"/>
  <c r="E35" i="13"/>
  <c r="E35" i="37"/>
  <c r="E35" i="33"/>
  <c r="H77" i="13"/>
  <c r="B42" i="10"/>
  <c r="D29" i="4"/>
  <c r="E9" i="72"/>
  <c r="E8" i="72"/>
  <c r="D37" i="4"/>
  <c r="D36" i="4"/>
  <c r="D39" i="4"/>
  <c r="B31" i="10"/>
  <c r="D110" i="4"/>
  <c r="L122" i="33"/>
  <c r="L135" i="26"/>
  <c r="E39" i="13"/>
  <c r="D122" i="4"/>
  <c r="L121" i="13"/>
  <c r="L108" i="33"/>
  <c r="E48" i="37"/>
  <c r="I11" i="37"/>
  <c r="E54" i="37"/>
  <c r="I34" i="37"/>
  <c r="I117" i="37"/>
  <c r="E22" i="37"/>
  <c r="I109" i="37"/>
  <c r="E7" i="37"/>
  <c r="E134" i="37"/>
  <c r="E55" i="37"/>
  <c r="I89" i="37"/>
  <c r="I10" i="37"/>
  <c r="I125" i="37"/>
  <c r="I124" i="37"/>
  <c r="I113" i="37"/>
  <c r="I68" i="37"/>
  <c r="E137" i="37"/>
  <c r="I96" i="37"/>
  <c r="E75" i="37"/>
  <c r="E49" i="37"/>
  <c r="I100" i="37"/>
  <c r="E89" i="37"/>
  <c r="D114" i="4"/>
  <c r="I12" i="37"/>
  <c r="I22" i="37"/>
  <c r="I121" i="37"/>
  <c r="I29" i="37"/>
  <c r="I79" i="37"/>
  <c r="I116" i="37"/>
  <c r="I35" i="37"/>
  <c r="I75" i="37"/>
  <c r="E135" i="37"/>
  <c r="I112" i="37"/>
  <c r="I108" i="37"/>
  <c r="E10" i="37"/>
  <c r="E57" i="37"/>
  <c r="I7" i="37"/>
  <c r="E96" i="37"/>
  <c r="E136" i="37"/>
  <c r="L114" i="33"/>
  <c r="H77" i="23"/>
  <c r="K77" i="23"/>
  <c r="D47" i="21"/>
  <c r="D47" i="20"/>
  <c r="L107" i="29"/>
  <c r="L134" i="26"/>
  <c r="L109" i="23"/>
  <c r="L113" i="33"/>
  <c r="L12" i="33"/>
  <c r="D56" i="22"/>
  <c r="E100" i="37"/>
  <c r="E122" i="37"/>
  <c r="E78" i="37"/>
  <c r="E114" i="37"/>
  <c r="E9" i="37"/>
  <c r="E124" i="37"/>
  <c r="E8" i="37"/>
  <c r="E67" i="37"/>
  <c r="E109" i="37"/>
  <c r="E116" i="37"/>
  <c r="E125" i="37"/>
  <c r="E99" i="37"/>
  <c r="E112" i="37"/>
  <c r="E110" i="37"/>
  <c r="E107" i="37"/>
  <c r="E88" i="37"/>
  <c r="E86" i="37"/>
  <c r="E108" i="37"/>
  <c r="E121" i="37"/>
  <c r="E120" i="37"/>
  <c r="D47" i="38"/>
  <c r="L96" i="33"/>
  <c r="L113" i="29"/>
  <c r="L89" i="23"/>
  <c r="L75" i="33"/>
  <c r="L68" i="33"/>
  <c r="L68" i="23"/>
  <c r="H98" i="29"/>
  <c r="K98" i="29"/>
  <c r="L22" i="23"/>
  <c r="L120" i="33"/>
  <c r="K87" i="29"/>
  <c r="L137" i="26"/>
  <c r="D47" i="40"/>
  <c r="L28" i="23"/>
  <c r="L12" i="29"/>
  <c r="D53" i="13"/>
  <c r="K87" i="33"/>
  <c r="K87" i="23"/>
  <c r="L89" i="33"/>
  <c r="H87" i="29"/>
  <c r="L135" i="34"/>
  <c r="L10" i="29"/>
  <c r="L7" i="33"/>
  <c r="H66" i="23"/>
  <c r="L35" i="29"/>
  <c r="D56" i="39"/>
  <c r="L11" i="29"/>
  <c r="H111" i="13"/>
  <c r="L35" i="23"/>
  <c r="N123" i="8"/>
  <c r="N102" i="8"/>
  <c r="C22" i="9"/>
  <c r="N21" i="8" s="1"/>
  <c r="C12" i="9"/>
  <c r="C20" i="9"/>
  <c r="N19" i="8" s="1"/>
  <c r="C26" i="9"/>
  <c r="N25" i="8" s="1"/>
  <c r="K111" i="13"/>
  <c r="L107" i="33"/>
  <c r="L100" i="33"/>
  <c r="M102" i="8"/>
  <c r="L108" i="13"/>
  <c r="D56" i="40"/>
  <c r="N126" i="8"/>
  <c r="H119" i="23"/>
  <c r="L116" i="33"/>
  <c r="C17" i="9"/>
  <c r="N16" i="8" s="1"/>
  <c r="D53" i="22"/>
  <c r="L35" i="33"/>
  <c r="L67" i="29"/>
  <c r="L29" i="20"/>
  <c r="L108" i="23"/>
  <c r="L28" i="25"/>
  <c r="H98" i="13"/>
  <c r="K111" i="29"/>
  <c r="D56" i="25"/>
  <c r="L117" i="33"/>
  <c r="L12" i="13"/>
  <c r="N122" i="8"/>
  <c r="L99" i="23"/>
  <c r="L7" i="20"/>
  <c r="K119" i="13"/>
  <c r="M103" i="8"/>
  <c r="K66" i="23"/>
  <c r="L11" i="33"/>
  <c r="H119" i="13"/>
  <c r="C13" i="9"/>
  <c r="N12" i="8" s="1"/>
  <c r="N125" i="8"/>
  <c r="L7" i="13"/>
  <c r="B27" i="9"/>
  <c r="M26" i="8" s="1"/>
  <c r="M104" i="8"/>
  <c r="M125" i="8"/>
  <c r="N101" i="8"/>
  <c r="N127" i="8"/>
  <c r="C27" i="9"/>
  <c r="N26" i="8" s="1"/>
  <c r="C18" i="9"/>
  <c r="N17" i="8" s="1"/>
  <c r="M101" i="8"/>
  <c r="B9" i="9"/>
  <c r="B14" i="9"/>
  <c r="M13" i="8" s="1"/>
  <c r="M105" i="8"/>
  <c r="H119" i="33"/>
  <c r="L125" i="33"/>
  <c r="L121" i="23"/>
  <c r="M123" i="8"/>
  <c r="L116" i="13"/>
  <c r="N104" i="8"/>
  <c r="L10" i="33"/>
  <c r="C16" i="9"/>
  <c r="N15" i="8" s="1"/>
  <c r="B16" i="9"/>
  <c r="M15" i="8" s="1"/>
  <c r="L22" i="13"/>
  <c r="L107" i="13"/>
  <c r="L10" i="13"/>
  <c r="L121" i="33"/>
  <c r="C24" i="9"/>
  <c r="N23" i="8" s="1"/>
  <c r="H87" i="23"/>
  <c r="L7" i="23"/>
  <c r="H87" i="33"/>
  <c r="L120" i="29"/>
  <c r="D47" i="22"/>
  <c r="L11" i="23"/>
  <c r="L117" i="29"/>
  <c r="K119" i="23"/>
  <c r="L34" i="13"/>
  <c r="M126" i="8"/>
  <c r="B18" i="9"/>
  <c r="M17" i="8" s="1"/>
  <c r="B17" i="9"/>
  <c r="M16" i="8" s="1"/>
  <c r="M100" i="8"/>
  <c r="L11" i="13"/>
  <c r="C9" i="9"/>
  <c r="N8" i="8" s="1"/>
  <c r="C28" i="9"/>
  <c r="N27" i="8" s="1"/>
  <c r="E48" i="39"/>
  <c r="I89" i="13"/>
  <c r="I89" i="29"/>
  <c r="I89" i="33"/>
  <c r="I89" i="23"/>
  <c r="I35" i="23"/>
  <c r="I35" i="29"/>
  <c r="I35" i="33"/>
  <c r="I35" i="13"/>
  <c r="G42" i="10"/>
  <c r="I134" i="26"/>
  <c r="I10" i="23"/>
  <c r="I10" i="29"/>
  <c r="I10" i="33"/>
  <c r="I10" i="13"/>
  <c r="E49" i="39"/>
  <c r="I23" i="33"/>
  <c r="I23" i="13"/>
  <c r="I23" i="23"/>
  <c r="I23" i="29"/>
  <c r="E54" i="39"/>
  <c r="I114" i="33"/>
  <c r="C31" i="10"/>
  <c r="C41" i="10"/>
  <c r="I86" i="23"/>
  <c r="I86" i="29"/>
  <c r="I86" i="33"/>
  <c r="C33" i="10"/>
  <c r="H15" i="9"/>
  <c r="N58" i="8" s="1"/>
  <c r="B13" i="9"/>
  <c r="M12" i="8" s="1"/>
  <c r="M127" i="8"/>
  <c r="N100" i="8"/>
  <c r="I29" i="33"/>
  <c r="I29" i="23"/>
  <c r="I29" i="29"/>
  <c r="I29" i="13"/>
  <c r="I25" i="29"/>
  <c r="I25" i="33"/>
  <c r="I25" i="13"/>
  <c r="I30" i="23"/>
  <c r="I30" i="29"/>
  <c r="I30" i="33"/>
  <c r="I30" i="13"/>
  <c r="I107" i="13"/>
  <c r="I107" i="23"/>
  <c r="I107" i="29"/>
  <c r="I107" i="33"/>
  <c r="C44" i="10"/>
  <c r="I75" i="33"/>
  <c r="I32" i="13"/>
  <c r="I32" i="23"/>
  <c r="I32" i="29"/>
  <c r="I32" i="33"/>
  <c r="I100" i="13"/>
  <c r="I100" i="23"/>
  <c r="I100" i="29"/>
  <c r="I100" i="33"/>
  <c r="I22" i="23"/>
  <c r="I22" i="29"/>
  <c r="I22" i="33"/>
  <c r="I22" i="13"/>
  <c r="I121" i="13"/>
  <c r="I121" i="23"/>
  <c r="I121" i="33"/>
  <c r="I121" i="29"/>
  <c r="I113" i="23"/>
  <c r="I113" i="13"/>
  <c r="I113" i="33"/>
  <c r="I113" i="29"/>
  <c r="I108" i="13"/>
  <c r="N103" i="8"/>
  <c r="B37" i="9"/>
  <c r="B12" i="9"/>
  <c r="B29" i="9"/>
  <c r="M28" i="8" s="1"/>
  <c r="G39" i="9"/>
  <c r="G62" i="9" s="1"/>
  <c r="H18" i="9"/>
  <c r="N61" i="8" s="1"/>
  <c r="C14" i="9"/>
  <c r="N13" i="8" s="1"/>
  <c r="B28" i="9"/>
  <c r="M27" i="8" s="1"/>
  <c r="H26" i="9"/>
  <c r="N68" i="8" s="1"/>
  <c r="B36" i="9"/>
  <c r="I136" i="26"/>
  <c r="G33" i="10"/>
  <c r="I7" i="29"/>
  <c r="I7" i="33"/>
  <c r="I7" i="23"/>
  <c r="I7" i="13"/>
  <c r="B45" i="10"/>
  <c r="I31" i="13"/>
  <c r="I31" i="33"/>
  <c r="I31" i="23"/>
  <c r="I31" i="29"/>
  <c r="C45" i="10"/>
  <c r="C42" i="10"/>
  <c r="I24" i="13"/>
  <c r="I24" i="33"/>
  <c r="B26" i="9"/>
  <c r="M25" i="8" s="1"/>
  <c r="M122" i="8"/>
  <c r="B40" i="9"/>
  <c r="N105" i="8"/>
  <c r="C15" i="9"/>
  <c r="N14" i="8" s="1"/>
  <c r="N70" i="8"/>
  <c r="I135" i="26"/>
  <c r="E58" i="39"/>
  <c r="I96" i="33"/>
  <c r="I68" i="23"/>
  <c r="I68" i="29"/>
  <c r="I68" i="33"/>
  <c r="I68" i="13"/>
  <c r="G136" i="4"/>
  <c r="F33" i="10"/>
  <c r="I79" i="13"/>
  <c r="I79" i="23"/>
  <c r="I79" i="33"/>
  <c r="I79" i="29"/>
  <c r="I109" i="13"/>
  <c r="I109" i="29"/>
  <c r="I109" i="23"/>
  <c r="I109" i="33"/>
  <c r="I12" i="29"/>
  <c r="I12" i="33"/>
  <c r="I12" i="23"/>
  <c r="I12" i="13"/>
  <c r="G41" i="10"/>
  <c r="I11" i="13"/>
  <c r="I11" i="23"/>
  <c r="I11" i="33"/>
  <c r="G30" i="10"/>
  <c r="I11" i="29"/>
  <c r="I125" i="13"/>
  <c r="I125" i="23"/>
  <c r="I125" i="29"/>
  <c r="I125" i="33"/>
  <c r="I34" i="13"/>
  <c r="I34" i="23"/>
  <c r="I34" i="29"/>
  <c r="I34" i="33"/>
  <c r="G31" i="10"/>
  <c r="D96" i="4"/>
  <c r="I117" i="13"/>
  <c r="I117" i="23"/>
  <c r="I117" i="29"/>
  <c r="I117" i="33"/>
  <c r="D75" i="4"/>
  <c r="E57" i="39"/>
  <c r="L120" i="23"/>
  <c r="L67" i="23"/>
  <c r="H98" i="33"/>
  <c r="L100" i="13"/>
  <c r="D53" i="39"/>
  <c r="L109" i="29"/>
  <c r="L7" i="29"/>
  <c r="L28" i="29"/>
  <c r="L117" i="23"/>
  <c r="H98" i="23"/>
  <c r="L10" i="20"/>
  <c r="K98" i="13"/>
  <c r="L29" i="13"/>
  <c r="G37" i="9"/>
  <c r="G53" i="9" s="1"/>
  <c r="B15" i="9"/>
  <c r="M14" i="8" s="1"/>
  <c r="G38" i="9"/>
  <c r="G58" i="9" s="1"/>
  <c r="B20" i="9"/>
  <c r="M19" i="8" s="1"/>
  <c r="N57" i="8"/>
  <c r="B24" i="9"/>
  <c r="M23" i="8" s="1"/>
  <c r="N30" i="8"/>
  <c r="H24" i="9"/>
  <c r="N67" i="8" s="1"/>
  <c r="B22" i="9"/>
  <c r="M21" i="8" s="1"/>
  <c r="H22" i="9"/>
  <c r="N65" i="8" s="1"/>
  <c r="L22" i="20"/>
  <c r="L109" i="33"/>
  <c r="L99" i="33"/>
  <c r="H111" i="29"/>
  <c r="L10" i="23"/>
  <c r="L28" i="13"/>
  <c r="D56" i="13"/>
  <c r="L99" i="29"/>
  <c r="K119" i="33"/>
  <c r="L88" i="33"/>
  <c r="L79" i="33"/>
  <c r="L34" i="29"/>
  <c r="H66" i="33"/>
  <c r="L78" i="33"/>
  <c r="L67" i="13"/>
  <c r="L109" i="13"/>
  <c r="L112" i="13"/>
  <c r="L35" i="13"/>
  <c r="L79" i="29"/>
  <c r="L86" i="29"/>
  <c r="L7" i="22"/>
  <c r="K66" i="33"/>
  <c r="L89" i="29"/>
  <c r="L12" i="23"/>
  <c r="H87" i="13"/>
  <c r="L120" i="13"/>
  <c r="L68" i="13"/>
  <c r="L7" i="25"/>
  <c r="L134" i="34"/>
  <c r="L108" i="29"/>
  <c r="D53" i="25"/>
  <c r="L112" i="33"/>
  <c r="L29" i="33"/>
  <c r="L121" i="29"/>
  <c r="L29" i="29"/>
  <c r="H111" i="23"/>
  <c r="L68" i="29"/>
  <c r="L136" i="26"/>
  <c r="D47" i="25"/>
  <c r="L112" i="23"/>
  <c r="L113" i="13"/>
  <c r="L117" i="13"/>
  <c r="L86" i="33"/>
  <c r="H119" i="29"/>
  <c r="L100" i="29"/>
  <c r="L34" i="33"/>
  <c r="L125" i="29"/>
  <c r="L88" i="29"/>
  <c r="L78" i="29"/>
  <c r="L88" i="23"/>
  <c r="L125" i="23"/>
  <c r="L113" i="23"/>
  <c r="H111" i="33"/>
  <c r="D47" i="51"/>
  <c r="D47" i="26"/>
  <c r="L29" i="23"/>
  <c r="L28" i="20"/>
  <c r="L100" i="23"/>
  <c r="L79" i="23"/>
  <c r="L67" i="33"/>
  <c r="L22" i="33"/>
  <c r="L22" i="29"/>
  <c r="J77" i="29"/>
  <c r="K98" i="23"/>
  <c r="L78" i="23"/>
  <c r="L34" i="23"/>
  <c r="L124" i="13"/>
  <c r="L79" i="13"/>
  <c r="L89" i="13"/>
  <c r="L99" i="13"/>
  <c r="L125" i="13"/>
  <c r="L78" i="13"/>
  <c r="K66" i="13"/>
  <c r="L86" i="13"/>
  <c r="K87" i="13"/>
  <c r="J77" i="13"/>
  <c r="L88" i="13"/>
  <c r="H66" i="13"/>
  <c r="D47" i="13"/>
  <c r="D66" i="33"/>
  <c r="J66" i="33"/>
  <c r="J98" i="23"/>
  <c r="D98" i="23"/>
  <c r="D111" i="33"/>
  <c r="J111" i="33"/>
  <c r="D66" i="13"/>
  <c r="J66" i="13"/>
  <c r="K111" i="33"/>
  <c r="J111" i="29"/>
  <c r="J111" i="23"/>
  <c r="D111" i="23"/>
  <c r="J87" i="13"/>
  <c r="D87" i="13"/>
  <c r="J119" i="33"/>
  <c r="D119" i="33"/>
  <c r="D77" i="29"/>
  <c r="K77" i="29"/>
  <c r="D77" i="13"/>
  <c r="K77" i="13"/>
  <c r="J66" i="29"/>
  <c r="J87" i="33"/>
  <c r="D87" i="33"/>
  <c r="D119" i="29"/>
  <c r="J119" i="29"/>
  <c r="D98" i="33"/>
  <c r="J98" i="33"/>
  <c r="J87" i="29"/>
  <c r="D87" i="29"/>
  <c r="J87" i="23"/>
  <c r="D87" i="23"/>
  <c r="K119" i="29"/>
  <c r="K111" i="23"/>
  <c r="D119" i="13"/>
  <c r="J119" i="13"/>
  <c r="D98" i="13"/>
  <c r="J98" i="13"/>
  <c r="D111" i="13"/>
  <c r="J111" i="13"/>
  <c r="J98" i="29"/>
  <c r="D98" i="29"/>
  <c r="H66" i="29"/>
  <c r="D119" i="23"/>
  <c r="J119" i="23"/>
  <c r="J66" i="23"/>
  <c r="D66" i="23"/>
  <c r="D77" i="33"/>
  <c r="J77" i="33"/>
  <c r="J77" i="23"/>
  <c r="D77" i="23"/>
  <c r="D66" i="29"/>
  <c r="K66" i="29"/>
  <c r="E48" i="38"/>
  <c r="E88" i="33"/>
  <c r="E108" i="33"/>
  <c r="E22" i="33"/>
  <c r="E99" i="33"/>
  <c r="E9" i="33"/>
  <c r="E118" i="33"/>
  <c r="E110" i="33"/>
  <c r="E122" i="33"/>
  <c r="E75" i="33"/>
  <c r="E116" i="33"/>
  <c r="E10" i="33"/>
  <c r="E79" i="33"/>
  <c r="E7" i="33"/>
  <c r="E89" i="33"/>
  <c r="E100" i="33"/>
  <c r="E125" i="33"/>
  <c r="E68" i="33"/>
  <c r="E96" i="33"/>
  <c r="E8" i="33"/>
  <c r="E78" i="33"/>
  <c r="E67" i="33"/>
  <c r="E112" i="33"/>
  <c r="E109" i="33"/>
  <c r="E114" i="33"/>
  <c r="E121" i="33"/>
  <c r="E120" i="33"/>
  <c r="E113" i="33"/>
  <c r="E99" i="29"/>
  <c r="E9" i="29"/>
  <c r="E86" i="29"/>
  <c r="E134" i="34"/>
  <c r="E68" i="29"/>
  <c r="E88" i="29"/>
  <c r="E108" i="29"/>
  <c r="E22" i="29"/>
  <c r="E10" i="29"/>
  <c r="E79" i="29"/>
  <c r="E135" i="34"/>
  <c r="E7" i="29"/>
  <c r="E89" i="29"/>
  <c r="E100" i="29"/>
  <c r="E107" i="29"/>
  <c r="E8" i="29"/>
  <c r="E78" i="29"/>
  <c r="E67" i="29"/>
  <c r="E109" i="29"/>
  <c r="E120" i="29"/>
  <c r="E48" i="40"/>
  <c r="E57" i="40"/>
  <c r="E54" i="40"/>
  <c r="E9" i="51"/>
  <c r="E48" i="51"/>
  <c r="E22" i="51"/>
  <c r="E10" i="51"/>
  <c r="E49" i="51"/>
  <c r="E7" i="51"/>
  <c r="E8" i="51"/>
  <c r="E9" i="25"/>
  <c r="E57" i="25"/>
  <c r="E48" i="25"/>
  <c r="E137" i="26"/>
  <c r="E49" i="26"/>
  <c r="E54" i="25"/>
  <c r="E135" i="26"/>
  <c r="E7" i="25"/>
  <c r="E136" i="26"/>
  <c r="E134" i="26"/>
  <c r="E8" i="25"/>
  <c r="E99" i="23"/>
  <c r="E86" i="23"/>
  <c r="E88" i="23"/>
  <c r="E108" i="23"/>
  <c r="E22" i="23"/>
  <c r="E107" i="23"/>
  <c r="E78" i="23"/>
  <c r="E67" i="23"/>
  <c r="E112" i="23"/>
  <c r="E120" i="23"/>
  <c r="E9" i="22"/>
  <c r="E48" i="21"/>
  <c r="E48" i="22"/>
  <c r="E57" i="21"/>
  <c r="E57" i="22"/>
  <c r="E49" i="22"/>
  <c r="E54" i="22"/>
  <c r="E7" i="22"/>
  <c r="E8" i="22"/>
  <c r="E22" i="20"/>
  <c r="E10" i="20"/>
  <c r="E54" i="20"/>
  <c r="E7" i="20"/>
  <c r="E9" i="20"/>
  <c r="E48" i="20"/>
  <c r="E8" i="20"/>
  <c r="E99" i="13"/>
  <c r="E9" i="13"/>
  <c r="E48" i="13"/>
  <c r="E86" i="13"/>
  <c r="E88" i="13"/>
  <c r="E124" i="13"/>
  <c r="E108" i="13"/>
  <c r="E116" i="13"/>
  <c r="E22" i="13"/>
  <c r="E10" i="13"/>
  <c r="E57" i="13"/>
  <c r="E54" i="13"/>
  <c r="E7" i="13"/>
  <c r="E89" i="13"/>
  <c r="E100" i="13"/>
  <c r="E107" i="13"/>
  <c r="E12" i="13"/>
  <c r="E8" i="13"/>
  <c r="E78" i="13"/>
  <c r="E67" i="13"/>
  <c r="E112" i="13"/>
  <c r="E109" i="13"/>
  <c r="E120" i="13"/>
  <c r="D116" i="4"/>
  <c r="D108" i="4"/>
  <c r="D124" i="4"/>
  <c r="D125" i="4"/>
  <c r="D109" i="4"/>
  <c r="D22" i="4"/>
  <c r="D136" i="4"/>
  <c r="D57" i="4"/>
  <c r="G22" i="4"/>
  <c r="D113" i="4"/>
  <c r="D137" i="4"/>
  <c r="D10" i="4"/>
  <c r="D112" i="4"/>
  <c r="D55" i="4"/>
  <c r="D120" i="4"/>
  <c r="D7" i="4"/>
  <c r="D68" i="4"/>
  <c r="D8" i="4"/>
  <c r="D134" i="4"/>
  <c r="G7" i="4"/>
  <c r="D48" i="4"/>
  <c r="D54" i="4"/>
  <c r="D49" i="4"/>
  <c r="G12" i="4"/>
  <c r="G34" i="4"/>
  <c r="D121" i="4"/>
  <c r="G11" i="4"/>
  <c r="H22" i="4"/>
  <c r="G29" i="4"/>
  <c r="D67" i="4"/>
  <c r="D100" i="4"/>
  <c r="D58" i="4"/>
  <c r="G10" i="4"/>
  <c r="D89" i="4"/>
  <c r="G35" i="4"/>
  <c r="D99" i="4"/>
  <c r="D86" i="4"/>
  <c r="D107" i="4"/>
  <c r="D135" i="4"/>
  <c r="G135" i="4"/>
  <c r="G134" i="4"/>
  <c r="D78" i="4"/>
  <c r="D88" i="4"/>
  <c r="D79" i="4"/>
  <c r="D9" i="4"/>
  <c r="L77" i="33" l="1"/>
  <c r="E56" i="91"/>
  <c r="E47" i="93"/>
  <c r="E53" i="93"/>
  <c r="E53" i="91"/>
  <c r="E56" i="93"/>
  <c r="M55" i="8"/>
  <c r="G47" i="9"/>
  <c r="G68" i="9" s="1"/>
  <c r="G12" i="10"/>
  <c r="G22" i="10"/>
  <c r="C12" i="10"/>
  <c r="C22" i="10"/>
  <c r="C11" i="10"/>
  <c r="E47" i="81"/>
  <c r="G77" i="4"/>
  <c r="G87" i="4"/>
  <c r="G111" i="4"/>
  <c r="G119" i="4"/>
  <c r="G98" i="4"/>
  <c r="F43" i="10"/>
  <c r="M11" i="8"/>
  <c r="B48" i="9"/>
  <c r="N11" i="8"/>
  <c r="C48" i="9"/>
  <c r="C32" i="9"/>
  <c r="E19" i="9" s="1"/>
  <c r="H32" i="9"/>
  <c r="M8" i="8"/>
  <c r="B32" i="9"/>
  <c r="G32" i="9"/>
  <c r="M30" i="8"/>
  <c r="E66" i="79"/>
  <c r="E111" i="79"/>
  <c r="E97" i="79"/>
  <c r="E47" i="78"/>
  <c r="E47" i="79"/>
  <c r="E119" i="79"/>
  <c r="E87" i="79"/>
  <c r="I11" i="9"/>
  <c r="H47" i="9"/>
  <c r="E47" i="77"/>
  <c r="E53" i="77"/>
  <c r="B47" i="9"/>
  <c r="L98" i="33"/>
  <c r="C47" i="9"/>
  <c r="N10" i="8"/>
  <c r="D11" i="9"/>
  <c r="E47" i="72"/>
  <c r="E47" i="74"/>
  <c r="L77" i="23"/>
  <c r="I77" i="29"/>
  <c r="I77" i="23"/>
  <c r="I77" i="13"/>
  <c r="I77" i="33"/>
  <c r="E56" i="37"/>
  <c r="I111" i="37"/>
  <c r="E119" i="37"/>
  <c r="I119" i="37"/>
  <c r="E47" i="37"/>
  <c r="I87" i="37"/>
  <c r="E111" i="37"/>
  <c r="E53" i="37"/>
  <c r="I66" i="37"/>
  <c r="I77" i="37"/>
  <c r="L87" i="29"/>
  <c r="E97" i="33"/>
  <c r="E97" i="29"/>
  <c r="E97" i="37"/>
  <c r="E97" i="13"/>
  <c r="I98" i="37"/>
  <c r="L119" i="13"/>
  <c r="E66" i="37"/>
  <c r="E87" i="33"/>
  <c r="E87" i="37"/>
  <c r="E98" i="37"/>
  <c r="E77" i="37"/>
  <c r="L111" i="29"/>
  <c r="L111" i="13"/>
  <c r="L87" i="33"/>
  <c r="L98" i="29"/>
  <c r="L119" i="23"/>
  <c r="L87" i="23"/>
  <c r="L98" i="23"/>
  <c r="E87" i="13"/>
  <c r="E87" i="23"/>
  <c r="D98" i="4"/>
  <c r="E98" i="29"/>
  <c r="E98" i="33"/>
  <c r="L119" i="33"/>
  <c r="L98" i="13"/>
  <c r="L66" i="33"/>
  <c r="L66" i="23"/>
  <c r="L66" i="13"/>
  <c r="E66" i="23"/>
  <c r="E66" i="13"/>
  <c r="E66" i="29"/>
  <c r="E66" i="33"/>
  <c r="L111" i="33"/>
  <c r="D87" i="4"/>
  <c r="E98" i="23"/>
  <c r="E87" i="29"/>
  <c r="C43" i="10"/>
  <c r="I119" i="13"/>
  <c r="I119" i="23"/>
  <c r="I119" i="29"/>
  <c r="I119" i="33"/>
  <c r="G43" i="10"/>
  <c r="F22" i="10"/>
  <c r="I98" i="13"/>
  <c r="I98" i="23"/>
  <c r="I98" i="29"/>
  <c r="I98" i="33"/>
  <c r="D66" i="4"/>
  <c r="B12" i="10"/>
  <c r="I66" i="13"/>
  <c r="I66" i="29"/>
  <c r="I66" i="33"/>
  <c r="I66" i="23"/>
  <c r="G66" i="4"/>
  <c r="F12" i="10"/>
  <c r="E53" i="39"/>
  <c r="C38" i="10"/>
  <c r="I111" i="13"/>
  <c r="I111" i="23"/>
  <c r="I111" i="29"/>
  <c r="I111" i="33"/>
  <c r="G32" i="10"/>
  <c r="E56" i="39"/>
  <c r="C49" i="10"/>
  <c r="C32" i="10"/>
  <c r="E47" i="39"/>
  <c r="I87" i="13"/>
  <c r="I87" i="29"/>
  <c r="I87" i="23"/>
  <c r="I87" i="33"/>
  <c r="L87" i="13"/>
  <c r="L119" i="29"/>
  <c r="L66" i="29"/>
  <c r="L77" i="29"/>
  <c r="L111" i="23"/>
  <c r="E98" i="13"/>
  <c r="L77" i="13"/>
  <c r="E47" i="38"/>
  <c r="E77" i="33"/>
  <c r="E111" i="33"/>
  <c r="E119" i="33"/>
  <c r="E119" i="29"/>
  <c r="E77" i="29"/>
  <c r="E53" i="40"/>
  <c r="E56" i="40"/>
  <c r="E47" i="40"/>
  <c r="E47" i="51"/>
  <c r="E53" i="25"/>
  <c r="E47" i="25"/>
  <c r="E47" i="26"/>
  <c r="E56" i="25"/>
  <c r="E119" i="23"/>
  <c r="E77" i="23"/>
  <c r="E111" i="23"/>
  <c r="E56" i="21"/>
  <c r="E56" i="22"/>
  <c r="E47" i="21"/>
  <c r="E47" i="22"/>
  <c r="E53" i="22"/>
  <c r="E53" i="20"/>
  <c r="E47" i="20"/>
  <c r="E53" i="13"/>
  <c r="E77" i="13"/>
  <c r="E56" i="13"/>
  <c r="E111" i="13"/>
  <c r="E47" i="13"/>
  <c r="E119" i="13"/>
  <c r="D111" i="4"/>
  <c r="D77" i="4"/>
  <c r="D119" i="4"/>
  <c r="D53" i="4"/>
  <c r="D56" i="4"/>
  <c r="D47" i="4"/>
  <c r="J19" i="9" l="1"/>
  <c r="E21" i="9"/>
  <c r="E23" i="9"/>
  <c r="J27" i="9"/>
  <c r="J9" i="9"/>
  <c r="J31" i="9"/>
  <c r="J22" i="9"/>
  <c r="J24" i="9"/>
  <c r="J15" i="9"/>
  <c r="J11" i="9"/>
  <c r="J17" i="9"/>
  <c r="J26" i="9"/>
  <c r="J12" i="9"/>
  <c r="J18" i="9"/>
  <c r="I47" i="9"/>
  <c r="D47" i="9"/>
  <c r="C60" i="10"/>
  <c r="H107" i="4"/>
  <c r="H114" i="4"/>
  <c r="H116" i="4"/>
  <c r="H28" i="4"/>
  <c r="J32" i="9" l="1"/>
  <c r="H98" i="4"/>
  <c r="H117" i="4"/>
  <c r="H99" i="4"/>
  <c r="H24" i="4"/>
  <c r="J118" i="4"/>
  <c r="H78" i="4"/>
  <c r="D9" i="10"/>
  <c r="H124" i="4"/>
  <c r="H112" i="4"/>
  <c r="H88" i="4"/>
  <c r="H9" i="4"/>
  <c r="H8" i="4"/>
  <c r="H79" i="4"/>
  <c r="H122" i="4"/>
  <c r="H14" i="10"/>
  <c r="H37" i="4"/>
  <c r="H121" i="4"/>
  <c r="I121" i="4"/>
  <c r="I112" i="4"/>
  <c r="I9" i="4"/>
  <c r="I109" i="4"/>
  <c r="K49" i="10"/>
  <c r="H113" i="4"/>
  <c r="I108" i="4"/>
  <c r="H11" i="4"/>
  <c r="I122" i="4"/>
  <c r="I79" i="4"/>
  <c r="I100" i="4"/>
  <c r="H110" i="4"/>
  <c r="H25" i="4"/>
  <c r="H125" i="4"/>
  <c r="H86" i="4"/>
  <c r="H42" i="10"/>
  <c r="H21" i="10"/>
  <c r="I120" i="4"/>
  <c r="I28" i="4"/>
  <c r="H109" i="4"/>
  <c r="I32" i="4"/>
  <c r="I67" i="4"/>
  <c r="K11" i="10"/>
  <c r="I23" i="4"/>
  <c r="H22" i="10"/>
  <c r="H108" i="4"/>
  <c r="H10" i="4"/>
  <c r="I77" i="4"/>
  <c r="I88" i="4"/>
  <c r="I117" i="4"/>
  <c r="H67" i="4"/>
  <c r="H12" i="10"/>
  <c r="I116" i="4"/>
  <c r="I118" i="4"/>
  <c r="H120" i="4"/>
  <c r="I110" i="4"/>
  <c r="I113" i="4"/>
  <c r="I78" i="4"/>
  <c r="K26" i="10"/>
  <c r="I98" i="4"/>
  <c r="I99" i="4"/>
  <c r="K9" i="10"/>
  <c r="H77" i="4"/>
  <c r="H24" i="10"/>
  <c r="I31" i="4"/>
  <c r="I24" i="4"/>
  <c r="K16" i="10"/>
  <c r="I30" i="4"/>
  <c r="H36" i="4"/>
  <c r="K45" i="10"/>
  <c r="H39" i="4"/>
  <c r="I107" i="4"/>
  <c r="I8" i="4"/>
  <c r="I114" i="4"/>
  <c r="I86" i="4"/>
  <c r="H10" i="10"/>
  <c r="I124" i="4"/>
  <c r="H100" i="4"/>
  <c r="H7" i="4"/>
  <c r="H23" i="4"/>
  <c r="H15" i="10"/>
  <c r="I125" i="4"/>
  <c r="M30" i="93" l="1"/>
  <c r="M28" i="93"/>
  <c r="M8" i="93"/>
  <c r="M9" i="91"/>
  <c r="M9" i="93"/>
  <c r="M28" i="79"/>
  <c r="M97" i="79"/>
  <c r="M114" i="79"/>
  <c r="M23" i="79"/>
  <c r="M8" i="79"/>
  <c r="M122" i="79"/>
  <c r="M30" i="79"/>
  <c r="M9" i="79"/>
  <c r="M9" i="72"/>
  <c r="M8" i="72"/>
  <c r="M8" i="74"/>
  <c r="J23" i="4"/>
  <c r="J24" i="4"/>
  <c r="J110" i="4"/>
  <c r="M67" i="37"/>
  <c r="M107" i="37"/>
  <c r="M32" i="37"/>
  <c r="M79" i="37"/>
  <c r="M124" i="37"/>
  <c r="M88" i="37"/>
  <c r="M78" i="37"/>
  <c r="M100" i="37"/>
  <c r="M86" i="37"/>
  <c r="M122" i="37"/>
  <c r="M109" i="37"/>
  <c r="M99" i="37"/>
  <c r="M113" i="37"/>
  <c r="M117" i="37"/>
  <c r="M28" i="37"/>
  <c r="M114" i="37"/>
  <c r="M110" i="37"/>
  <c r="M9" i="37"/>
  <c r="M31" i="37"/>
  <c r="M8" i="37"/>
  <c r="M24" i="37"/>
  <c r="M108" i="37"/>
  <c r="M112" i="37"/>
  <c r="J122" i="4"/>
  <c r="M23" i="37"/>
  <c r="M121" i="37"/>
  <c r="M125" i="37"/>
  <c r="M30" i="37"/>
  <c r="M116" i="37"/>
  <c r="M120" i="37"/>
  <c r="J114" i="4"/>
  <c r="M98" i="37"/>
  <c r="M97" i="37"/>
  <c r="M97" i="13"/>
  <c r="M97" i="29"/>
  <c r="M97" i="33"/>
  <c r="M77" i="37"/>
  <c r="M24" i="13"/>
  <c r="M24" i="33"/>
  <c r="M24" i="29"/>
  <c r="M118" i="33"/>
  <c r="M88" i="13"/>
  <c r="M88" i="29"/>
  <c r="M88" i="23"/>
  <c r="M88" i="33"/>
  <c r="J28" i="4"/>
  <c r="M28" i="20"/>
  <c r="M28" i="25"/>
  <c r="M28" i="23"/>
  <c r="M28" i="51"/>
  <c r="M28" i="29"/>
  <c r="M28" i="13"/>
  <c r="M121" i="23"/>
  <c r="M121" i="13"/>
  <c r="M121" i="29"/>
  <c r="M121" i="33"/>
  <c r="M125" i="23"/>
  <c r="M125" i="13"/>
  <c r="M125" i="29"/>
  <c r="M125" i="33"/>
  <c r="M124" i="13"/>
  <c r="M114" i="33"/>
  <c r="M31" i="23"/>
  <c r="M31" i="13"/>
  <c r="M31" i="29"/>
  <c r="M31" i="33"/>
  <c r="M78" i="23"/>
  <c r="M78" i="13"/>
  <c r="M78" i="29"/>
  <c r="M78" i="33"/>
  <c r="M113" i="23"/>
  <c r="M113" i="13"/>
  <c r="M113" i="29"/>
  <c r="M113" i="33"/>
  <c r="J116" i="4"/>
  <c r="M116" i="13"/>
  <c r="M116" i="33"/>
  <c r="M117" i="23"/>
  <c r="M117" i="13"/>
  <c r="M117" i="29"/>
  <c r="M117" i="33"/>
  <c r="M23" i="20"/>
  <c r="M23" i="23"/>
  <c r="M23" i="13"/>
  <c r="M23" i="29"/>
  <c r="M23" i="33"/>
  <c r="M32" i="13"/>
  <c r="M32" i="33"/>
  <c r="M32" i="23"/>
  <c r="M32" i="29"/>
  <c r="M79" i="13"/>
  <c r="M79" i="23"/>
  <c r="M79" i="33"/>
  <c r="M79" i="29"/>
  <c r="M8" i="20"/>
  <c r="M8" i="13"/>
  <c r="M8" i="22"/>
  <c r="M8" i="51"/>
  <c r="M8" i="25"/>
  <c r="M8" i="29"/>
  <c r="M8" i="33"/>
  <c r="M30" i="20"/>
  <c r="M30" i="13"/>
  <c r="M30" i="23"/>
  <c r="M30" i="33"/>
  <c r="M30" i="29"/>
  <c r="M99" i="23"/>
  <c r="M99" i="29"/>
  <c r="M99" i="13"/>
  <c r="M99" i="33"/>
  <c r="M110" i="33"/>
  <c r="M120" i="13"/>
  <c r="M120" i="23"/>
  <c r="M120" i="29"/>
  <c r="M120" i="33"/>
  <c r="M100" i="13"/>
  <c r="M100" i="29"/>
  <c r="M100" i="33"/>
  <c r="M100" i="23"/>
  <c r="M122" i="33"/>
  <c r="M108" i="13"/>
  <c r="M108" i="23"/>
  <c r="M108" i="33"/>
  <c r="M108" i="29"/>
  <c r="M9" i="25"/>
  <c r="M9" i="20"/>
  <c r="M9" i="22"/>
  <c r="M9" i="51"/>
  <c r="M9" i="13"/>
  <c r="M9" i="29"/>
  <c r="M9" i="33"/>
  <c r="M86" i="23"/>
  <c r="M86" i="29"/>
  <c r="M86" i="13"/>
  <c r="M86" i="33"/>
  <c r="J107" i="4"/>
  <c r="M107" i="23"/>
  <c r="M107" i="13"/>
  <c r="M107" i="29"/>
  <c r="M107" i="33"/>
  <c r="M98" i="13"/>
  <c r="M98" i="23"/>
  <c r="M98" i="29"/>
  <c r="M98" i="33"/>
  <c r="M77" i="13"/>
  <c r="M77" i="23"/>
  <c r="M77" i="29"/>
  <c r="M77" i="33"/>
  <c r="M67" i="13"/>
  <c r="M67" i="23"/>
  <c r="M67" i="29"/>
  <c r="M67" i="33"/>
  <c r="M109" i="13"/>
  <c r="M109" i="23"/>
  <c r="M109" i="29"/>
  <c r="M109" i="33"/>
  <c r="M112" i="13"/>
  <c r="M112" i="23"/>
  <c r="M112" i="33"/>
  <c r="J108" i="4"/>
  <c r="M38" i="8"/>
  <c r="D38" i="9"/>
  <c r="H60" i="9"/>
  <c r="N40" i="8"/>
  <c r="B65" i="9"/>
  <c r="D29" i="9"/>
  <c r="D13" i="9"/>
  <c r="B49" i="9"/>
  <c r="D20" i="9"/>
  <c r="B56" i="9"/>
  <c r="B41" i="9"/>
  <c r="I22" i="9"/>
  <c r="B64" i="9"/>
  <c r="D28" i="9"/>
  <c r="I17" i="9"/>
  <c r="N38" i="8"/>
  <c r="C56" i="9"/>
  <c r="B53" i="9"/>
  <c r="D17" i="9"/>
  <c r="N37" i="8"/>
  <c r="N36" i="8"/>
  <c r="C63" i="9"/>
  <c r="N39" i="8"/>
  <c r="M40" i="8"/>
  <c r="D40" i="9"/>
  <c r="B63" i="9"/>
  <c r="I31" i="9"/>
  <c r="C45" i="9"/>
  <c r="M85" i="8"/>
  <c r="I35" i="9"/>
  <c r="D39" i="9"/>
  <c r="M39" i="8"/>
  <c r="I18" i="9"/>
  <c r="D12" i="9"/>
  <c r="B60" i="9"/>
  <c r="D24" i="9"/>
  <c r="C53" i="9"/>
  <c r="D31" i="9"/>
  <c r="D9" i="9"/>
  <c r="B45" i="9"/>
  <c r="M86" i="8"/>
  <c r="I36" i="9"/>
  <c r="I26" i="9"/>
  <c r="H62" i="9"/>
  <c r="H63" i="9"/>
  <c r="N90" i="8"/>
  <c r="H58" i="9"/>
  <c r="N86" i="8"/>
  <c r="H45" i="9"/>
  <c r="C50" i="9"/>
  <c r="I38" i="9"/>
  <c r="M88" i="8"/>
  <c r="N88" i="8"/>
  <c r="C65" i="9"/>
  <c r="C62" i="9"/>
  <c r="D18" i="9"/>
  <c r="B54" i="9"/>
  <c r="C51" i="9"/>
  <c r="N89" i="8"/>
  <c r="C41" i="9"/>
  <c r="M37" i="8"/>
  <c r="D37" i="9"/>
  <c r="I24" i="9"/>
  <c r="B58" i="9"/>
  <c r="D22" i="9"/>
  <c r="D35" i="9"/>
  <c r="M35" i="8"/>
  <c r="N87" i="8"/>
  <c r="D27" i="9"/>
  <c r="H41" i="9"/>
  <c r="C60" i="9"/>
  <c r="N35" i="8"/>
  <c r="B51" i="9"/>
  <c r="D15" i="9"/>
  <c r="C54" i="9"/>
  <c r="N85" i="8"/>
  <c r="C64" i="9"/>
  <c r="I37" i="9"/>
  <c r="M87" i="8"/>
  <c r="C49" i="9"/>
  <c r="G41" i="9"/>
  <c r="F27" i="10" s="1"/>
  <c r="D26" i="9"/>
  <c r="B62" i="9"/>
  <c r="H51" i="9"/>
  <c r="M89" i="8"/>
  <c r="I39" i="9"/>
  <c r="H54" i="9"/>
  <c r="D16" i="9"/>
  <c r="B52" i="9"/>
  <c r="C52" i="9"/>
  <c r="M90" i="8"/>
  <c r="I40" i="9"/>
  <c r="M36" i="8"/>
  <c r="D36" i="9"/>
  <c r="D25" i="9"/>
  <c r="B50" i="9"/>
  <c r="D14" i="9"/>
  <c r="I12" i="9"/>
  <c r="I27" i="9"/>
  <c r="I15" i="9"/>
  <c r="C58" i="9"/>
  <c r="J109" i="4"/>
  <c r="J117" i="4"/>
  <c r="J125" i="4"/>
  <c r="J124" i="4"/>
  <c r="J120" i="4"/>
  <c r="J8" i="4"/>
  <c r="J112" i="4"/>
  <c r="J78" i="4"/>
  <c r="J9" i="4"/>
  <c r="J67" i="4"/>
  <c r="J86" i="4"/>
  <c r="J113" i="4"/>
  <c r="J88" i="4"/>
  <c r="J99" i="4"/>
  <c r="J100" i="4"/>
  <c r="J121" i="4"/>
  <c r="J77" i="4"/>
  <c r="J79" i="4"/>
  <c r="J98" i="4"/>
  <c r="K21" i="10"/>
  <c r="H75" i="4"/>
  <c r="H25" i="10"/>
  <c r="G55" i="10"/>
  <c r="H136" i="4"/>
  <c r="H96" i="4"/>
  <c r="K42" i="10"/>
  <c r="G53" i="10"/>
  <c r="H29" i="4"/>
  <c r="H89" i="4"/>
  <c r="K12" i="10"/>
  <c r="K14" i="10"/>
  <c r="K23" i="10"/>
  <c r="H87" i="4"/>
  <c r="H111" i="4"/>
  <c r="K44" i="10"/>
  <c r="K24" i="10"/>
  <c r="G46" i="10"/>
  <c r="H43" i="10"/>
  <c r="H31" i="4"/>
  <c r="J31" i="4" s="1"/>
  <c r="H32" i="4"/>
  <c r="J32" i="4" s="1"/>
  <c r="J10" i="10"/>
  <c r="D10" i="10"/>
  <c r="J24" i="10"/>
  <c r="D24" i="10"/>
  <c r="I25" i="4"/>
  <c r="B60" i="10"/>
  <c r="D38" i="10"/>
  <c r="J38" i="10"/>
  <c r="I37" i="4"/>
  <c r="F55" i="10"/>
  <c r="H33" i="10"/>
  <c r="D23" i="10"/>
  <c r="J23" i="10"/>
  <c r="H34" i="4"/>
  <c r="H134" i="4"/>
  <c r="J14" i="10"/>
  <c r="D14" i="10"/>
  <c r="I87" i="4"/>
  <c r="J11" i="10"/>
  <c r="L11" i="10" s="1"/>
  <c r="D11" i="10"/>
  <c r="K32" i="10"/>
  <c r="C54" i="10"/>
  <c r="K15" i="10"/>
  <c r="H41" i="10"/>
  <c r="F46" i="10"/>
  <c r="D42" i="10"/>
  <c r="J42" i="10"/>
  <c r="C52" i="10"/>
  <c r="C35" i="10"/>
  <c r="K30" i="10"/>
  <c r="H23" i="10"/>
  <c r="K25" i="10"/>
  <c r="D33" i="10"/>
  <c r="B55" i="10"/>
  <c r="J33" i="10"/>
  <c r="D45" i="10"/>
  <c r="J45" i="10"/>
  <c r="L45" i="10" s="1"/>
  <c r="J16" i="10"/>
  <c r="L16" i="10" s="1"/>
  <c r="D16" i="10"/>
  <c r="I75" i="4"/>
  <c r="I137" i="4"/>
  <c r="D22" i="10"/>
  <c r="J22" i="10"/>
  <c r="G54" i="10"/>
  <c r="J31" i="10"/>
  <c r="B53" i="10"/>
  <c r="D31" i="10"/>
  <c r="J15" i="10"/>
  <c r="D15" i="10"/>
  <c r="I96" i="4"/>
  <c r="H20" i="10"/>
  <c r="K22" i="10"/>
  <c r="K10" i="10"/>
  <c r="D44" i="10"/>
  <c r="J44" i="10"/>
  <c r="I111" i="4"/>
  <c r="C55" i="10"/>
  <c r="K33" i="10"/>
  <c r="J13" i="10"/>
  <c r="D13" i="10"/>
  <c r="K13" i="10"/>
  <c r="H35" i="4"/>
  <c r="C56" i="10"/>
  <c r="K56" i="10" s="1"/>
  <c r="I119" i="4"/>
  <c r="F35" i="10"/>
  <c r="F52" i="10"/>
  <c r="H30" i="10"/>
  <c r="I135" i="4"/>
  <c r="I29" i="4"/>
  <c r="H31" i="10"/>
  <c r="F53" i="10"/>
  <c r="I89" i="4"/>
  <c r="J32" i="10"/>
  <c r="D32" i="10"/>
  <c r="B54" i="10"/>
  <c r="I66" i="4"/>
  <c r="J20" i="10"/>
  <c r="D20" i="10"/>
  <c r="B56" i="10"/>
  <c r="H66" i="4"/>
  <c r="H32" i="10"/>
  <c r="F54" i="10"/>
  <c r="I22" i="4"/>
  <c r="K41" i="10"/>
  <c r="C46" i="10"/>
  <c r="H119" i="4"/>
  <c r="H137" i="4"/>
  <c r="I136" i="4"/>
  <c r="H68" i="4"/>
  <c r="I68" i="4"/>
  <c r="K43" i="10"/>
  <c r="I10" i="4"/>
  <c r="H135" i="4"/>
  <c r="H12" i="4"/>
  <c r="J26" i="10"/>
  <c r="L26" i="10" s="1"/>
  <c r="D26" i="10"/>
  <c r="I34" i="4"/>
  <c r="H9" i="10"/>
  <c r="J9" i="10"/>
  <c r="L9" i="10" s="1"/>
  <c r="J49" i="10"/>
  <c r="L49" i="10" s="1"/>
  <c r="D49" i="10"/>
  <c r="D21" i="10"/>
  <c r="J21" i="10"/>
  <c r="I39" i="4"/>
  <c r="I36" i="4"/>
  <c r="B35" i="10"/>
  <c r="J30" i="10"/>
  <c r="B52" i="10"/>
  <c r="I7" i="4"/>
  <c r="K60" i="10"/>
  <c r="K38" i="10"/>
  <c r="H13" i="10"/>
  <c r="G35" i="10"/>
  <c r="G52" i="10"/>
  <c r="I35" i="4"/>
  <c r="D12" i="10"/>
  <c r="J12" i="10"/>
  <c r="I12" i="4"/>
  <c r="D43" i="10"/>
  <c r="J43" i="10"/>
  <c r="I134" i="4"/>
  <c r="I11" i="4"/>
  <c r="K20" i="10"/>
  <c r="D25" i="10"/>
  <c r="J25" i="10"/>
  <c r="D41" i="10"/>
  <c r="J41" i="10"/>
  <c r="B46" i="10"/>
  <c r="K31" i="10"/>
  <c r="C53" i="10"/>
  <c r="L37" i="9"/>
  <c r="M29" i="93" l="1"/>
  <c r="M22" i="93"/>
  <c r="M10" i="91"/>
  <c r="M10" i="93"/>
  <c r="M7" i="91"/>
  <c r="M7" i="93"/>
  <c r="B68" i="9"/>
  <c r="H68" i="9"/>
  <c r="J55" i="9" s="1"/>
  <c r="M119" i="79"/>
  <c r="M111" i="79"/>
  <c r="M37" i="79"/>
  <c r="M36" i="79"/>
  <c r="M22" i="79"/>
  <c r="M29" i="79"/>
  <c r="M10" i="79"/>
  <c r="M66" i="79"/>
  <c r="M7" i="79"/>
  <c r="M87" i="79"/>
  <c r="B17" i="10"/>
  <c r="M27" i="9"/>
  <c r="L14" i="9"/>
  <c r="M7" i="72" l="1"/>
  <c r="M7" i="74"/>
  <c r="J37" i="9"/>
  <c r="M18" i="9"/>
  <c r="M30" i="9"/>
  <c r="L18" i="9"/>
  <c r="L11" i="9"/>
  <c r="N35" i="9"/>
  <c r="O40" i="9"/>
  <c r="L31" i="9"/>
  <c r="M13" i="9"/>
  <c r="N27" i="9"/>
  <c r="O28" i="9"/>
  <c r="N26" i="9"/>
  <c r="M26" i="9"/>
  <c r="N9" i="9"/>
  <c r="M36" i="9"/>
  <c r="L35" i="9"/>
  <c r="N11" i="9"/>
  <c r="N29" i="9"/>
  <c r="O36" i="9"/>
  <c r="L16" i="9"/>
  <c r="N20" i="9"/>
  <c r="O11" i="9"/>
  <c r="M31" i="9"/>
  <c r="M22" i="9"/>
  <c r="O16" i="9"/>
  <c r="O30" i="9"/>
  <c r="M37" i="9"/>
  <c r="N39" i="9"/>
  <c r="O38" i="9"/>
  <c r="M40" i="9"/>
  <c r="L25" i="9"/>
  <c r="N25" i="9"/>
  <c r="N22" i="9"/>
  <c r="M28" i="9"/>
  <c r="N38" i="9"/>
  <c r="O20" i="9"/>
  <c r="O29" i="9"/>
  <c r="O24" i="9"/>
  <c r="N28" i="9"/>
  <c r="N15" i="9"/>
  <c r="L27" i="9"/>
  <c r="N18" i="9"/>
  <c r="N17" i="9"/>
  <c r="L15" i="9"/>
  <c r="M24" i="9"/>
  <c r="L40" i="9"/>
  <c r="N16" i="9"/>
  <c r="O17" i="9"/>
  <c r="O35" i="9"/>
  <c r="O15" i="9"/>
  <c r="N37" i="9"/>
  <c r="M16" i="9"/>
  <c r="O14" i="9"/>
  <c r="L36" i="9"/>
  <c r="O31" i="9"/>
  <c r="L24" i="9"/>
  <c r="N24" i="9"/>
  <c r="M9" i="9"/>
  <c r="O37" i="9"/>
  <c r="L39" i="9"/>
  <c r="N40" i="9"/>
  <c r="M25" i="9"/>
  <c r="N13" i="9"/>
  <c r="M39" i="9"/>
  <c r="M17" i="9"/>
  <c r="O25" i="9"/>
  <c r="M38" i="9"/>
  <c r="O13" i="9"/>
  <c r="L29" i="9"/>
  <c r="M11" i="9"/>
  <c r="O27" i="9"/>
  <c r="M15" i="9"/>
  <c r="N14" i="9"/>
  <c r="O18" i="9"/>
  <c r="M29" i="9"/>
  <c r="O26" i="9"/>
  <c r="L28" i="9"/>
  <c r="O39" i="9"/>
  <c r="L20" i="9"/>
  <c r="M20" i="9"/>
  <c r="N30" i="9"/>
  <c r="L22" i="9"/>
  <c r="N31" i="9"/>
  <c r="M35" i="9"/>
  <c r="L17" i="9"/>
  <c r="M14" i="9"/>
  <c r="O9" i="9"/>
  <c r="L9" i="9"/>
  <c r="L13" i="9"/>
  <c r="O22" i="9"/>
  <c r="L38" i="9"/>
  <c r="N36" i="9"/>
  <c r="L26" i="9"/>
  <c r="J25" i="4" l="1"/>
  <c r="M35" i="37"/>
  <c r="M22" i="37"/>
  <c r="M29" i="37"/>
  <c r="M135" i="37"/>
  <c r="M37" i="37"/>
  <c r="M137" i="37"/>
  <c r="M66" i="37"/>
  <c r="M111" i="37"/>
  <c r="M10" i="37"/>
  <c r="M136" i="37"/>
  <c r="M75" i="37"/>
  <c r="M134" i="37"/>
  <c r="M12" i="37"/>
  <c r="M89" i="37"/>
  <c r="M87" i="37"/>
  <c r="M25" i="37"/>
  <c r="M11" i="37"/>
  <c r="M7" i="37"/>
  <c r="M34" i="37"/>
  <c r="M119" i="37"/>
  <c r="M68" i="37"/>
  <c r="M96" i="37"/>
  <c r="L24" i="10"/>
  <c r="L14" i="10"/>
  <c r="J39" i="4"/>
  <c r="J75" i="4"/>
  <c r="J96" i="4"/>
  <c r="L15" i="10"/>
  <c r="L45" i="9"/>
  <c r="M41" i="9"/>
  <c r="M63" i="9"/>
  <c r="O62" i="9"/>
  <c r="L49" i="9"/>
  <c r="M45" i="9"/>
  <c r="M51" i="9"/>
  <c r="O51" i="9"/>
  <c r="N54" i="9"/>
  <c r="O65" i="9"/>
  <c r="O50" i="9"/>
  <c r="M54" i="9"/>
  <c r="N51" i="9"/>
  <c r="N48" i="9"/>
  <c r="O64" i="9"/>
  <c r="M62" i="9"/>
  <c r="L60" i="9"/>
  <c r="L52" i="9"/>
  <c r="L58" i="9"/>
  <c r="M67" i="9"/>
  <c r="L64" i="9"/>
  <c r="M32" i="9"/>
  <c r="O49" i="9"/>
  <c r="L41" i="9"/>
  <c r="L48" i="9"/>
  <c r="M65" i="9"/>
  <c r="N32" i="9"/>
  <c r="M56" i="9"/>
  <c r="O41" i="9"/>
  <c r="N50" i="9"/>
  <c r="O45" i="9"/>
  <c r="L54" i="9"/>
  <c r="N65" i="9"/>
  <c r="M58" i="9"/>
  <c r="O58" i="9"/>
  <c r="N63" i="9"/>
  <c r="O53" i="9"/>
  <c r="L56" i="9"/>
  <c r="L63" i="9"/>
  <c r="N60" i="9"/>
  <c r="N49" i="9"/>
  <c r="O54" i="9"/>
  <c r="O67" i="9"/>
  <c r="O63" i="9"/>
  <c r="L53" i="9"/>
  <c r="O60" i="9"/>
  <c r="N45" i="9"/>
  <c r="L67" i="9"/>
  <c r="M64" i="9"/>
  <c r="N58" i="9"/>
  <c r="M49" i="9"/>
  <c r="O32" i="9"/>
  <c r="M52" i="9"/>
  <c r="M53" i="9"/>
  <c r="N64" i="9"/>
  <c r="L62" i="9"/>
  <c r="M48" i="9"/>
  <c r="M50" i="9"/>
  <c r="N41" i="9"/>
  <c r="N56" i="9"/>
  <c r="N67" i="9"/>
  <c r="N53" i="9"/>
  <c r="L32" i="9"/>
  <c r="M60" i="9"/>
  <c r="L50" i="9"/>
  <c r="O52" i="9"/>
  <c r="O48" i="9"/>
  <c r="N62" i="9"/>
  <c r="O56" i="9"/>
  <c r="L42" i="10"/>
  <c r="J11" i="4"/>
  <c r="M11" i="13"/>
  <c r="M11" i="33"/>
  <c r="M11" i="23"/>
  <c r="M11" i="29"/>
  <c r="J10" i="4"/>
  <c r="M10" i="20"/>
  <c r="M10" i="23"/>
  <c r="M10" i="13"/>
  <c r="M10" i="51"/>
  <c r="M10" i="29"/>
  <c r="M10" i="33"/>
  <c r="M68" i="13"/>
  <c r="M68" i="23"/>
  <c r="M68" i="29"/>
  <c r="M68" i="33"/>
  <c r="M136" i="26"/>
  <c r="M119" i="23"/>
  <c r="M119" i="13"/>
  <c r="M119" i="29"/>
  <c r="M119" i="33"/>
  <c r="M111" i="23"/>
  <c r="M111" i="29"/>
  <c r="M111" i="13"/>
  <c r="M111" i="33"/>
  <c r="J7" i="4"/>
  <c r="M7" i="13"/>
  <c r="M7" i="23"/>
  <c r="M7" i="22"/>
  <c r="M7" i="25"/>
  <c r="M7" i="20"/>
  <c r="M7" i="29"/>
  <c r="M7" i="51"/>
  <c r="M7" i="33"/>
  <c r="J22" i="4"/>
  <c r="M22" i="20"/>
  <c r="M22" i="13"/>
  <c r="M22" i="51"/>
  <c r="M22" i="23"/>
  <c r="M22" i="29"/>
  <c r="M22" i="33"/>
  <c r="M29" i="23"/>
  <c r="M29" i="13"/>
  <c r="M29" i="29"/>
  <c r="M29" i="51"/>
  <c r="M29" i="20"/>
  <c r="M29" i="33"/>
  <c r="M137" i="26"/>
  <c r="M87" i="13"/>
  <c r="M87" i="23"/>
  <c r="M87" i="33"/>
  <c r="M87" i="29"/>
  <c r="M35" i="13"/>
  <c r="M35" i="23"/>
  <c r="M35" i="29"/>
  <c r="M35" i="33"/>
  <c r="M39" i="13"/>
  <c r="M34" i="13"/>
  <c r="M34" i="23"/>
  <c r="M34" i="29"/>
  <c r="M34" i="33"/>
  <c r="M66" i="13"/>
  <c r="M66" i="33"/>
  <c r="M66" i="23"/>
  <c r="M66" i="29"/>
  <c r="M89" i="13"/>
  <c r="M89" i="23"/>
  <c r="M89" i="29"/>
  <c r="M89" i="33"/>
  <c r="M96" i="33"/>
  <c r="M75" i="33"/>
  <c r="J37" i="4"/>
  <c r="M37" i="13"/>
  <c r="I63" i="9"/>
  <c r="M134" i="26"/>
  <c r="M134" i="34"/>
  <c r="M12" i="13"/>
  <c r="M12" i="23"/>
  <c r="M12" i="29"/>
  <c r="M12" i="33"/>
  <c r="J36" i="4"/>
  <c r="M36" i="13"/>
  <c r="L21" i="10"/>
  <c r="H53" i="10"/>
  <c r="M135" i="26"/>
  <c r="M135" i="34"/>
  <c r="M25" i="13"/>
  <c r="M25" i="29"/>
  <c r="M25" i="33"/>
  <c r="L31" i="10"/>
  <c r="L22" i="10"/>
  <c r="L12" i="10"/>
  <c r="L10" i="10"/>
  <c r="I58" i="9"/>
  <c r="I67" i="9"/>
  <c r="I51" i="9"/>
  <c r="I48" i="9"/>
  <c r="I32" i="9"/>
  <c r="D41" i="9"/>
  <c r="G17" i="10"/>
  <c r="E36" i="9"/>
  <c r="E35" i="9"/>
  <c r="E40" i="9"/>
  <c r="E39" i="9"/>
  <c r="E38" i="9"/>
  <c r="F17" i="10"/>
  <c r="J17" i="10" s="1"/>
  <c r="E37" i="9"/>
  <c r="B27" i="10"/>
  <c r="J27" i="10" s="1"/>
  <c r="J38" i="9"/>
  <c r="G27" i="10"/>
  <c r="H27" i="10" s="1"/>
  <c r="J47" i="9"/>
  <c r="C27" i="10"/>
  <c r="J39" i="9"/>
  <c r="J35" i="9"/>
  <c r="I41" i="9"/>
  <c r="J36" i="9"/>
  <c r="J40" i="9"/>
  <c r="J119" i="4"/>
  <c r="J137" i="4"/>
  <c r="J135" i="4"/>
  <c r="J111" i="4"/>
  <c r="J12" i="4"/>
  <c r="J66" i="4"/>
  <c r="J35" i="4"/>
  <c r="J134" i="4"/>
  <c r="J34" i="4"/>
  <c r="J136" i="4"/>
  <c r="J68" i="4"/>
  <c r="J89" i="4"/>
  <c r="J87" i="4"/>
  <c r="J29" i="4"/>
  <c r="K53" i="10"/>
  <c r="K55" i="10"/>
  <c r="L44" i="10"/>
  <c r="L23" i="10"/>
  <c r="H55" i="10"/>
  <c r="L30" i="10"/>
  <c r="G57" i="10"/>
  <c r="L32" i="10"/>
  <c r="H54" i="10"/>
  <c r="L43" i="10"/>
  <c r="K46" i="10"/>
  <c r="H46" i="10"/>
  <c r="L41" i="10"/>
  <c r="L13" i="10"/>
  <c r="L25" i="10"/>
  <c r="H30" i="4"/>
  <c r="J30" i="4" s="1"/>
  <c r="K54" i="10"/>
  <c r="L38" i="10"/>
  <c r="D46" i="10"/>
  <c r="J46" i="10"/>
  <c r="D52" i="10"/>
  <c r="J52" i="10"/>
  <c r="B57" i="10"/>
  <c r="J54" i="10"/>
  <c r="D54" i="10"/>
  <c r="F57" i="10"/>
  <c r="H52" i="10"/>
  <c r="L33" i="10"/>
  <c r="K35" i="10"/>
  <c r="L20" i="10"/>
  <c r="H35" i="10"/>
  <c r="J53" i="10"/>
  <c r="D53" i="10"/>
  <c r="D55" i="10"/>
  <c r="J55" i="10"/>
  <c r="K52" i="10"/>
  <c r="C57" i="10"/>
  <c r="J60" i="10"/>
  <c r="L60" i="10" s="1"/>
  <c r="D60" i="10"/>
  <c r="J35" i="10"/>
  <c r="D35" i="10"/>
  <c r="D56" i="10"/>
  <c r="J56" i="10"/>
  <c r="L56" i="10" s="1"/>
  <c r="L30" i="9"/>
  <c r="N52" i="9" l="1"/>
  <c r="L51" i="9"/>
  <c r="L68" i="9" s="1"/>
  <c r="L65" i="9"/>
  <c r="L55" i="10"/>
  <c r="M68" i="9"/>
  <c r="O68" i="9"/>
  <c r="N68" i="9"/>
  <c r="L53" i="10"/>
  <c r="J41" i="9"/>
  <c r="I68" i="9"/>
  <c r="E41" i="9"/>
  <c r="H17" i="10"/>
  <c r="J51" i="9"/>
  <c r="D27" i="10"/>
  <c r="K27" i="10"/>
  <c r="L27" i="10" s="1"/>
  <c r="J53" i="9"/>
  <c r="I53" i="9" s="1"/>
  <c r="J45" i="9"/>
  <c r="I45" i="9" s="1"/>
  <c r="J58" i="9"/>
  <c r="J60" i="9"/>
  <c r="I60" i="9" s="1"/>
  <c r="J48" i="9"/>
  <c r="J67" i="9"/>
  <c r="J54" i="9"/>
  <c r="I54" i="9" s="1"/>
  <c r="J62" i="9"/>
  <c r="I62" i="9" s="1"/>
  <c r="J63" i="9"/>
  <c r="K57" i="10"/>
  <c r="H57" i="10"/>
  <c r="L46" i="10"/>
  <c r="L35" i="10"/>
  <c r="L54" i="10"/>
  <c r="J57" i="10"/>
  <c r="D57" i="10"/>
  <c r="L52" i="10"/>
  <c r="J68" i="9" l="1"/>
  <c r="L57" i="10"/>
  <c r="D30" i="9" l="1"/>
  <c r="N29" i="8" l="1"/>
  <c r="C66" i="9"/>
  <c r="D66" i="9" l="1"/>
  <c r="C68" i="9"/>
  <c r="E10" i="9"/>
  <c r="E25" i="9"/>
  <c r="D32" i="9"/>
  <c r="E22" i="9"/>
  <c r="E12" i="9"/>
  <c r="E31" i="9"/>
  <c r="E18" i="9"/>
  <c r="E28" i="9"/>
  <c r="E13" i="9"/>
  <c r="E9" i="9"/>
  <c r="E24" i="9"/>
  <c r="E11" i="9"/>
  <c r="C17" i="10"/>
  <c r="K17" i="10" s="1"/>
  <c r="L17" i="10" s="1"/>
  <c r="E26" i="9"/>
  <c r="E30" i="9"/>
  <c r="E16" i="9"/>
  <c r="E20" i="9"/>
  <c r="E15" i="9"/>
  <c r="E27" i="9"/>
  <c r="E29" i="9"/>
  <c r="E14" i="9"/>
  <c r="E17" i="9"/>
  <c r="E66" i="9"/>
  <c r="E59" i="9" l="1"/>
  <c r="E55" i="9"/>
  <c r="E32" i="9"/>
  <c r="E46" i="9"/>
  <c r="E57" i="9"/>
  <c r="D68" i="9"/>
  <c r="D17" i="10"/>
  <c r="E47" i="9"/>
  <c r="E56" i="9"/>
  <c r="D56" i="9" s="1"/>
  <c r="E67" i="9"/>
  <c r="D67" i="9" s="1"/>
  <c r="E60" i="9"/>
  <c r="D60" i="9" s="1"/>
  <c r="E62" i="9"/>
  <c r="D62" i="9" s="1"/>
  <c r="E50" i="9"/>
  <c r="D50" i="9" s="1"/>
  <c r="E53" i="9"/>
  <c r="D53" i="9" s="1"/>
  <c r="E54" i="9"/>
  <c r="D54" i="9" s="1"/>
  <c r="E45" i="9"/>
  <c r="D45" i="9" s="1"/>
  <c r="E51" i="9"/>
  <c r="D51" i="9" s="1"/>
  <c r="E63" i="9"/>
  <c r="D63" i="9" s="1"/>
  <c r="E61" i="9"/>
  <c r="E48" i="9"/>
  <c r="D48" i="9" s="1"/>
  <c r="E65" i="9"/>
  <c r="D65" i="9" s="1"/>
  <c r="E52" i="9"/>
  <c r="D52" i="9" s="1"/>
  <c r="E64" i="9"/>
  <c r="D64" i="9" s="1"/>
  <c r="E49" i="9"/>
  <c r="D49" i="9" s="1"/>
  <c r="E58" i="9"/>
  <c r="D58" i="9" s="1"/>
  <c r="E68"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Spørring - Data" description="Tilkobling til spørringen Data i arbeidsboken." type="5" refreshedVersion="8" background="1" refreshOnLoad="1">
    <dbPr connection="Provider=Microsoft.Mashup.OleDb.1;Data Source=$Workbook$;Location=Data;Extended Properties=&quot;&quot;" command="SELECT * FROM [Data]"/>
  </connection>
</connections>
</file>

<file path=xl/sharedStrings.xml><?xml version="1.0" encoding="utf-8"?>
<sst xmlns="http://schemas.openxmlformats.org/spreadsheetml/2006/main" count="5430" uniqueCount="423">
  <si>
    <t>INNHOLDSFORTEGNELSE</t>
  </si>
  <si>
    <t>FIGURER</t>
  </si>
  <si>
    <t>Figur 1</t>
  </si>
  <si>
    <t>Brutto forfalt premie livprodukter - produkter uten investeringsvalg</t>
  </si>
  <si>
    <t>Figur 2</t>
  </si>
  <si>
    <t>Brutto forfalt premie livprodukter - produkter med investeringsvalg</t>
  </si>
  <si>
    <t>Figur 3</t>
  </si>
  <si>
    <t>Forsikringsforpliktelser livprodukter - produkter uten investeringsvalg</t>
  </si>
  <si>
    <t>Figur 4</t>
  </si>
  <si>
    <t>Forsikringsforpliktelser livprodukter - produkter med investeringsvalg</t>
  </si>
  <si>
    <t>Figur 5</t>
  </si>
  <si>
    <t>Netto tilflytting livprodukter - produkter uten investeringsvalg</t>
  </si>
  <si>
    <t>Figur 6</t>
  </si>
  <si>
    <t>Netto tilflytting livprodukter - produkter med investeringsvalg</t>
  </si>
  <si>
    <t>TABELLER</t>
  </si>
  <si>
    <t>MARKEDSDEL</t>
  </si>
  <si>
    <t>Tabell 1.1</t>
  </si>
  <si>
    <t>Hovedtall - produkter uten  og med investeringsvalg</t>
  </si>
  <si>
    <t>Tabell 1.2</t>
  </si>
  <si>
    <t>Hovedtall - fordelt på bransjer</t>
  </si>
  <si>
    <t>Tabell 1.3</t>
  </si>
  <si>
    <t>Hovedtall - aktivaposter</t>
  </si>
  <si>
    <t>Skjema total MA</t>
  </si>
  <si>
    <t>Totalt - alle produkter</t>
  </si>
  <si>
    <t>Selskapsnavn</t>
  </si>
  <si>
    <t>Tall pr. selskap - alle produkter</t>
  </si>
  <si>
    <t>REGNSKAPSDEL</t>
  </si>
  <si>
    <t>Tabell 4</t>
  </si>
  <si>
    <t>Resultatregnskap - alle produkter</t>
  </si>
  <si>
    <t>Tabell 5.1</t>
  </si>
  <si>
    <t>Resultatanalyse - Individuell kapital og individuell pensjon - alle produkter</t>
  </si>
  <si>
    <t>Tabell 5.2</t>
  </si>
  <si>
    <t>Resultatanalyse - Kollektiv pensjon - alle produkter</t>
  </si>
  <si>
    <t>Tabell 5.3</t>
  </si>
  <si>
    <t>Resultatanalyse - Gruppeliv, ulykke o.a. og total - alle produkter</t>
  </si>
  <si>
    <t>Tabell 6</t>
  </si>
  <si>
    <t>Balanse - alle produkter</t>
  </si>
  <si>
    <t>Tabell 7a</t>
  </si>
  <si>
    <t>Spesifikasjon av post 12 - forsikringsforpliktelser - produkter uten investeringsvalg</t>
  </si>
  <si>
    <t>Tabell 7b</t>
  </si>
  <si>
    <t>Spesifikasjon post 13 forsikringsforpliktelser - produkter med investeringsvalg</t>
  </si>
  <si>
    <t>Tabell 8</t>
  </si>
  <si>
    <t>Diverse nøkkeltall - produkter uten investeringsvalg</t>
  </si>
  <si>
    <t>NOTER OG KOMMENTARER</t>
  </si>
  <si>
    <t>Tilbake</t>
  </si>
  <si>
    <t xml:space="preserve">Brutto forfalt premie livprodukter </t>
  </si>
  <si>
    <t>Produkter uten investeringsvalg</t>
  </si>
  <si>
    <t>DNB Liv</t>
  </si>
  <si>
    <t>Euro Accident</t>
  </si>
  <si>
    <t>Frende Livsfors</t>
  </si>
  <si>
    <t>Frende Skade</t>
  </si>
  <si>
    <t>Gjensidige Fors</t>
  </si>
  <si>
    <t>Gjensidige Pensj</t>
  </si>
  <si>
    <t>If Skadefors</t>
  </si>
  <si>
    <t>KLP</t>
  </si>
  <si>
    <t>KLP Skadef</t>
  </si>
  <si>
    <t>Knif Trygghet Fors.</t>
  </si>
  <si>
    <t>Landkreditt Fors.</t>
  </si>
  <si>
    <t>Ly Forsikring</t>
  </si>
  <si>
    <t>Nordea Liv</t>
  </si>
  <si>
    <t>Oslo Forsikring</t>
  </si>
  <si>
    <t>OPF</t>
  </si>
  <si>
    <t>Protector Fors</t>
  </si>
  <si>
    <t>SpareBank 1 Forsikring</t>
  </si>
  <si>
    <t>Storebrand Liv</t>
  </si>
  <si>
    <t>Telenor Fors</t>
  </si>
  <si>
    <t>Tryg Fors</t>
  </si>
  <si>
    <t>WaterCircles Fors.</t>
  </si>
  <si>
    <t>Youplus Livsf</t>
  </si>
  <si>
    <t>Produkter med investeringsvalg</t>
  </si>
  <si>
    <t>Forsikringsforpliktelser i livsforsikring</t>
  </si>
  <si>
    <t>Landkreditt Fors</t>
  </si>
  <si>
    <t>Telenor Forsikring</t>
  </si>
  <si>
    <t>Tryg Forsikring</t>
  </si>
  <si>
    <t>WaterCicles Fors.</t>
  </si>
  <si>
    <t xml:space="preserve">Netto tilflytting </t>
  </si>
  <si>
    <t>Netto tilflytting</t>
  </si>
  <si>
    <t>Markedsdel, endelig år</t>
  </si>
  <si>
    <t>Tabell 1.1 Hovedtall</t>
  </si>
  <si>
    <t>Produkter med og uten investeringsvalg</t>
  </si>
  <si>
    <r>
      <t>Brutto forfalt premie</t>
    </r>
    <r>
      <rPr>
        <sz val="14"/>
        <rFont val="Times New Roman"/>
        <family val="1"/>
      </rPr>
      <t xml:space="preserve"> </t>
    </r>
    <r>
      <rPr>
        <vertAlign val="superscript"/>
        <sz val="14"/>
        <rFont val="Times New Roman"/>
        <family val="1"/>
      </rPr>
      <t>1)</t>
    </r>
  </si>
  <si>
    <r>
      <t>Forsikringsforpliktelser</t>
    </r>
    <r>
      <rPr>
        <sz val="14"/>
        <rFont val="Times New Roman"/>
        <family val="1"/>
      </rPr>
      <t xml:space="preserve"> </t>
    </r>
    <r>
      <rPr>
        <vertAlign val="superscript"/>
        <sz val="14"/>
        <rFont val="Times New Roman"/>
        <family val="1"/>
      </rPr>
      <t>4)</t>
    </r>
  </si>
  <si>
    <t>Flytting fra andre</t>
  </si>
  <si>
    <t>Flytting til andre</t>
  </si>
  <si>
    <t>%-</t>
  </si>
  <si>
    <t>Markeds-</t>
  </si>
  <si>
    <t>Beløp i 1000  kroner</t>
  </si>
  <si>
    <t>endring</t>
  </si>
  <si>
    <t>andel</t>
  </si>
  <si>
    <t>Q10</t>
  </si>
  <si>
    <t>R10</t>
  </si>
  <si>
    <t>DNB Livsforsikring</t>
  </si>
  <si>
    <t>R7</t>
  </si>
  <si>
    <t>R11</t>
  </si>
  <si>
    <t>Fremtind Livsforsikring</t>
  </si>
  <si>
    <t>R8</t>
  </si>
  <si>
    <t>Frende Livsforsikring</t>
  </si>
  <si>
    <t>Frende Skadeforsikring</t>
  </si>
  <si>
    <t>Q9</t>
  </si>
  <si>
    <t>Gjensidige Forsikring</t>
  </si>
  <si>
    <t>R9</t>
  </si>
  <si>
    <t>Gjensidige Pensjon</t>
  </si>
  <si>
    <t>If Skadeforsikring NUF</t>
  </si>
  <si>
    <t>KLP Skadeforsikring AS</t>
  </si>
  <si>
    <t>Knif Trygghet Forsikring</t>
  </si>
  <si>
    <t>Landkreditt Forsikring</t>
  </si>
  <si>
    <t xml:space="preserve">Nordea Liv </t>
  </si>
  <si>
    <t>Oslo Pensjonsforsikring</t>
  </si>
  <si>
    <t>Protector Forsikring</t>
  </si>
  <si>
    <t>Storebrand Livsforsikring</t>
  </si>
  <si>
    <t>WaterCircles Forsikring</t>
  </si>
  <si>
    <t>Youplus Livsforsikring</t>
  </si>
  <si>
    <t>Totalt uten investeringsvalg</t>
  </si>
  <si>
    <t>Q17</t>
  </si>
  <si>
    <t>R14</t>
  </si>
  <si>
    <t>Q18</t>
  </si>
  <si>
    <t>R15</t>
  </si>
  <si>
    <t>Q16</t>
  </si>
  <si>
    <t>Totalt med investeringsvalg</t>
  </si>
  <si>
    <t>Alle produkter</t>
  </si>
  <si>
    <t>Totalt</t>
  </si>
  <si>
    <t>Noter : Se "Noter og kommentarer"</t>
  </si>
  <si>
    <t>Tabell 1.2 Hovedtall</t>
  </si>
  <si>
    <t>Fordelt på bransjer</t>
  </si>
  <si>
    <t>Totalt alle produkter</t>
  </si>
  <si>
    <t>%</t>
  </si>
  <si>
    <t>Beløp i 1000 kr.</t>
  </si>
  <si>
    <r>
      <t xml:space="preserve">Brutto forfalt premie </t>
    </r>
    <r>
      <rPr>
        <vertAlign val="superscript"/>
        <sz val="14"/>
        <rFont val="Times New Roman"/>
        <family val="1"/>
      </rPr>
      <t>1)</t>
    </r>
  </si>
  <si>
    <t xml:space="preserve">   Individuell kapitalforsikring</t>
  </si>
  <si>
    <t xml:space="preserve">   Individuell pensjonsforsikring</t>
  </si>
  <si>
    <t xml:space="preserve">   Gruppeliv</t>
  </si>
  <si>
    <t xml:space="preserve">   Privat kollektiv pensjon</t>
  </si>
  <si>
    <t xml:space="preserve">     - herav innskuddsbasert *</t>
  </si>
  <si>
    <t xml:space="preserve">     - herav etter tjenestepensjonsloven</t>
  </si>
  <si>
    <r>
      <t xml:space="preserve">   Kommunal kollektiv pensjon </t>
    </r>
    <r>
      <rPr>
        <vertAlign val="superscript"/>
        <sz val="14"/>
        <rFont val="Times New Roman"/>
        <family val="1"/>
      </rPr>
      <t>15)</t>
    </r>
  </si>
  <si>
    <t xml:space="preserve">   Foreningskollektiv</t>
  </si>
  <si>
    <t>Totalt brutto forfalt premie</t>
  </si>
  <si>
    <r>
      <t xml:space="preserve">Forsikringsforpliktelser </t>
    </r>
    <r>
      <rPr>
        <vertAlign val="superscript"/>
        <sz val="14"/>
        <rFont val="Times New Roman"/>
        <family val="1"/>
      </rPr>
      <t>4)</t>
    </r>
  </si>
  <si>
    <r>
      <t xml:space="preserve">     - herav innskuddsbasert </t>
    </r>
    <r>
      <rPr>
        <vertAlign val="superscript"/>
        <sz val="14"/>
        <rFont val="Times New Roman"/>
        <family val="1"/>
      </rPr>
      <t>*</t>
    </r>
  </si>
  <si>
    <t>Totalt forsikringsforpliktelser</t>
  </si>
  <si>
    <r>
      <t xml:space="preserve">Overførte reserver fra andre </t>
    </r>
    <r>
      <rPr>
        <vertAlign val="superscript"/>
        <sz val="14"/>
        <rFont val="Times New Roman"/>
        <family val="1"/>
      </rPr>
      <t>5)</t>
    </r>
  </si>
  <si>
    <t>Totalt overførte reserver fra andre</t>
  </si>
  <si>
    <r>
      <t xml:space="preserve">Flytting fra andre </t>
    </r>
    <r>
      <rPr>
        <vertAlign val="superscript"/>
        <sz val="14"/>
        <rFont val="Times New Roman"/>
        <family val="1"/>
      </rPr>
      <t>9)</t>
    </r>
  </si>
  <si>
    <r>
      <t xml:space="preserve">Overførte reserver til andre </t>
    </r>
    <r>
      <rPr>
        <vertAlign val="superscript"/>
        <sz val="14"/>
        <rFont val="Times New Roman"/>
        <family val="1"/>
      </rPr>
      <t>6)</t>
    </r>
  </si>
  <si>
    <t>Totalt overførte reserver til andre</t>
  </si>
  <si>
    <r>
      <t xml:space="preserve">Flytting til andre </t>
    </r>
    <r>
      <rPr>
        <vertAlign val="superscript"/>
        <sz val="14"/>
        <rFont val="Times New Roman"/>
        <family val="1"/>
      </rPr>
      <t>9)</t>
    </r>
  </si>
  <si>
    <r>
      <t xml:space="preserve">Netto overførte reserver fra andre </t>
    </r>
    <r>
      <rPr>
        <b/>
        <vertAlign val="superscript"/>
        <sz val="14"/>
        <rFont val="Times New Roman"/>
        <family val="1"/>
      </rPr>
      <t>9)</t>
    </r>
  </si>
  <si>
    <t>Totalt netto overførte reserver fra andre</t>
  </si>
  <si>
    <r>
      <t xml:space="preserve">Netto flytting fra andre </t>
    </r>
    <r>
      <rPr>
        <vertAlign val="superscript"/>
        <sz val="14"/>
        <rFont val="Times New Roman"/>
        <family val="1"/>
      </rPr>
      <t>9)</t>
    </r>
  </si>
  <si>
    <t xml:space="preserve">* "Innskuddsbasert" er summen av "Engangsbetalt" og "Innskuddspensjon". </t>
  </si>
  <si>
    <t>** Bokført verdi, se tabell 6 i statistikken.</t>
  </si>
  <si>
    <t>Tabell 1.3 Hovedtall</t>
  </si>
  <si>
    <t>Aktivaposter (aggregert)</t>
  </si>
  <si>
    <t>31.03.</t>
  </si>
  <si>
    <t>i mill. kr</t>
  </si>
  <si>
    <t>prosentvis andel</t>
  </si>
  <si>
    <t>Selskapsporteføljen</t>
  </si>
  <si>
    <t xml:space="preserve">   Aksjer</t>
  </si>
  <si>
    <t xml:space="preserve">   Rentebærende verdipapirer</t>
  </si>
  <si>
    <t xml:space="preserve">   Eiendom</t>
  </si>
  <si>
    <t xml:space="preserve">   Datterforetak m.m.</t>
  </si>
  <si>
    <t xml:space="preserve">   Utlån</t>
  </si>
  <si>
    <t xml:space="preserve">   Annet</t>
  </si>
  <si>
    <t>Kollektivporteføljen</t>
  </si>
  <si>
    <t>Investeringsvalgporteføljen</t>
  </si>
  <si>
    <t>Tallene er hentet fra tabell 6 Balanse.</t>
  </si>
  <si>
    <t>Tabell 1 : Individuell kapitalforsikring*</t>
  </si>
  <si>
    <t>Endring</t>
  </si>
  <si>
    <t>i %</t>
  </si>
  <si>
    <r>
      <t xml:space="preserve">Brutto forfalt premie </t>
    </r>
    <r>
      <rPr>
        <b/>
        <vertAlign val="superscript"/>
        <sz val="10"/>
        <rFont val="Times New Roman"/>
        <family val="1"/>
      </rPr>
      <t>1</t>
    </r>
  </si>
  <si>
    <r>
      <t xml:space="preserve">    Herav brutto risikopremie død </t>
    </r>
    <r>
      <rPr>
        <vertAlign val="superscript"/>
        <sz val="10"/>
        <rFont val="Times New Roman"/>
        <family val="1"/>
      </rPr>
      <t>2</t>
    </r>
  </si>
  <si>
    <r>
      <t xml:space="preserve">    Herav brutto risikopremie uførekapital </t>
    </r>
    <r>
      <rPr>
        <vertAlign val="superscript"/>
        <sz val="10"/>
        <rFont val="Times New Roman"/>
        <family val="1"/>
      </rPr>
      <t>2</t>
    </r>
  </si>
  <si>
    <r>
      <t xml:space="preserve">Forsikringsforpliktelser </t>
    </r>
    <r>
      <rPr>
        <b/>
        <vertAlign val="superscript"/>
        <sz val="10"/>
        <rFont val="Times New Roman"/>
        <family val="1"/>
      </rPr>
      <t>4</t>
    </r>
  </si>
  <si>
    <r>
      <t xml:space="preserve">Overførte reserver fra andre </t>
    </r>
    <r>
      <rPr>
        <b/>
        <vertAlign val="superscript"/>
        <sz val="10"/>
        <rFont val="Times New Roman"/>
        <family val="1"/>
      </rPr>
      <t>5</t>
    </r>
  </si>
  <si>
    <r>
      <t>Overførte reserver til andre</t>
    </r>
    <r>
      <rPr>
        <b/>
        <vertAlign val="superscript"/>
        <sz val="10"/>
        <rFont val="Times New Roman"/>
        <family val="1"/>
      </rPr>
      <t xml:space="preserve"> 6</t>
    </r>
  </si>
  <si>
    <t>* Brutto risiokopremie for invidiuell uførepensjon fremkommer i tabell 2.</t>
  </si>
  <si>
    <t>Tabell 2: Individuell  pensjonsforsikring, herunder foreningskollektiv</t>
  </si>
  <si>
    <t xml:space="preserve">                     </t>
  </si>
  <si>
    <r>
      <t xml:space="preserve">    Livrenter </t>
    </r>
    <r>
      <rPr>
        <vertAlign val="superscript"/>
        <sz val="10"/>
        <rFont val="Times New Roman"/>
        <family val="1"/>
      </rPr>
      <t>10</t>
    </r>
  </si>
  <si>
    <r>
      <t xml:space="preserve">    IPA </t>
    </r>
    <r>
      <rPr>
        <vertAlign val="superscript"/>
        <sz val="10"/>
        <rFont val="Times New Roman"/>
        <family val="1"/>
      </rPr>
      <t>10</t>
    </r>
  </si>
  <si>
    <r>
      <t xml:space="preserve">    IPS 2008 </t>
    </r>
    <r>
      <rPr>
        <vertAlign val="superscript"/>
        <sz val="10"/>
        <rFont val="Times New Roman"/>
        <family val="1"/>
      </rPr>
      <t>10</t>
    </r>
  </si>
  <si>
    <r>
      <t xml:space="preserve">    IPS </t>
    </r>
    <r>
      <rPr>
        <vertAlign val="superscript"/>
        <sz val="10"/>
        <rFont val="Times New Roman"/>
        <family val="1"/>
      </rPr>
      <t>10</t>
    </r>
  </si>
  <si>
    <t xml:space="preserve">      herav kapitaliseringsprodukt IPA+IPS</t>
  </si>
  <si>
    <r>
      <t xml:space="preserve">Brutto risikopremie for individuell uførepensjon </t>
    </r>
    <r>
      <rPr>
        <vertAlign val="superscript"/>
        <sz val="10"/>
        <rFont val="Times New Roman"/>
        <family val="1"/>
      </rPr>
      <t>3</t>
    </r>
  </si>
  <si>
    <r>
      <t xml:space="preserve">Forsikringsforpliktelser </t>
    </r>
    <r>
      <rPr>
        <b/>
        <vertAlign val="superscript"/>
        <sz val="10"/>
        <rFont val="Times New Roman"/>
        <family val="1"/>
      </rPr>
      <t>6</t>
    </r>
  </si>
  <si>
    <r>
      <t xml:space="preserve">Brutto forfalt premie - Foreningskollektiv </t>
    </r>
    <r>
      <rPr>
        <b/>
        <vertAlign val="superscript"/>
        <sz val="10"/>
        <rFont val="Times New Roman"/>
        <family val="1"/>
      </rPr>
      <t>1</t>
    </r>
  </si>
  <si>
    <r>
      <t xml:space="preserve">Forsikringsforpliktelser  - Foreningskollektiv </t>
    </r>
    <r>
      <rPr>
        <b/>
        <vertAlign val="superscript"/>
        <sz val="10"/>
        <rFont val="Times New Roman"/>
        <family val="1"/>
      </rPr>
      <t>4</t>
    </r>
  </si>
  <si>
    <r>
      <t xml:space="preserve">Overførte reserver fra andre - Foreningskollektiv </t>
    </r>
    <r>
      <rPr>
        <b/>
        <vertAlign val="superscript"/>
        <sz val="10"/>
        <rFont val="Times New Roman"/>
        <family val="1"/>
      </rPr>
      <t>5</t>
    </r>
  </si>
  <si>
    <r>
      <t xml:space="preserve">Overførte reserver til andre - Foreningskollektiv </t>
    </r>
    <r>
      <rPr>
        <b/>
        <vertAlign val="superscript"/>
        <sz val="10"/>
        <rFont val="Times New Roman"/>
        <family val="1"/>
      </rPr>
      <t>6</t>
    </r>
  </si>
  <si>
    <t>Tabell 3: Gruppelivsforsikring</t>
  </si>
  <si>
    <r>
      <t xml:space="preserve">    Bedrift </t>
    </r>
    <r>
      <rPr>
        <vertAlign val="superscript"/>
        <sz val="10"/>
        <rFont val="Times New Roman"/>
        <family val="1"/>
      </rPr>
      <t>7</t>
    </r>
  </si>
  <si>
    <r>
      <t xml:space="preserve">    Privat </t>
    </r>
    <r>
      <rPr>
        <vertAlign val="superscript"/>
        <sz val="10"/>
        <rFont val="Times New Roman"/>
        <family val="1"/>
      </rPr>
      <t>8</t>
    </r>
  </si>
  <si>
    <t xml:space="preserve">      Gjeldsgruppeliv</t>
  </si>
  <si>
    <t xml:space="preserve">      Foreningsgruppeliv</t>
  </si>
  <si>
    <t xml:space="preserve">      Andre grupper</t>
  </si>
  <si>
    <r>
      <t xml:space="preserve">Flytting fra andre </t>
    </r>
    <r>
      <rPr>
        <b/>
        <vertAlign val="superscript"/>
        <sz val="10"/>
        <rFont val="Times New Roman"/>
        <family val="1"/>
      </rPr>
      <t>9</t>
    </r>
  </si>
  <si>
    <r>
      <t xml:space="preserve">Flytting til andre </t>
    </r>
    <r>
      <rPr>
        <b/>
        <vertAlign val="superscript"/>
        <sz val="10"/>
        <rFont val="Times New Roman"/>
        <family val="1"/>
      </rPr>
      <t>9</t>
    </r>
  </si>
  <si>
    <t>Tabell 4: Privat kollektiv pensjonsforsikring, herunder fripoliser, pensjonskapitalbevis og pensjonsbevis</t>
  </si>
  <si>
    <t xml:space="preserve">   Ytelsesbasert</t>
  </si>
  <si>
    <t xml:space="preserve">   Innskuddsbasert</t>
  </si>
  <si>
    <r>
      <t xml:space="preserve">      Engangsbetalt </t>
    </r>
    <r>
      <rPr>
        <vertAlign val="superscript"/>
        <sz val="10"/>
        <rFont val="Times New Roman"/>
        <family val="1"/>
      </rPr>
      <t>11</t>
    </r>
  </si>
  <si>
    <t xml:space="preserve">        Inv.valg foretak</t>
  </si>
  <si>
    <t xml:space="preserve">        Inv.valg kontohaver</t>
  </si>
  <si>
    <r>
      <t xml:space="preserve">      Innskuddspensjon </t>
    </r>
    <r>
      <rPr>
        <vertAlign val="superscript"/>
        <sz val="10"/>
        <rFont val="Times New Roman"/>
        <family val="1"/>
      </rPr>
      <t>12</t>
    </r>
  </si>
  <si>
    <t xml:space="preserve">  Etter tjenestepensjonsloven - Alderspensjon</t>
  </si>
  <si>
    <t xml:space="preserve">  Etter tjenestepensjonsloven - Uførepensjon</t>
  </si>
  <si>
    <r>
      <t xml:space="preserve">  Innenfor LOF/LOI </t>
    </r>
    <r>
      <rPr>
        <vertAlign val="superscript"/>
        <sz val="10"/>
        <rFont val="Times New Roman"/>
        <family val="1"/>
      </rPr>
      <t>13</t>
    </r>
  </si>
  <si>
    <t xml:space="preserve">   Innskuddsbasert (inkl. EPK)</t>
  </si>
  <si>
    <r>
      <t xml:space="preserve">  Utenfor LOF/LOI - Livrenter </t>
    </r>
    <r>
      <rPr>
        <vertAlign val="superscript"/>
        <sz val="10"/>
        <rFont val="Times New Roman"/>
        <family val="1"/>
      </rPr>
      <t>13,17</t>
    </r>
  </si>
  <si>
    <r>
      <t xml:space="preserve">  Herav fripoliser </t>
    </r>
    <r>
      <rPr>
        <vertAlign val="superscript"/>
        <sz val="10"/>
        <rFont val="Times New Roman"/>
        <family val="1"/>
      </rPr>
      <t>14,16</t>
    </r>
  </si>
  <si>
    <r>
      <t xml:space="preserve">  Herav pensjonskapitalbevis innenfor og utenfor EPK</t>
    </r>
    <r>
      <rPr>
        <vertAlign val="superscript"/>
        <sz val="10"/>
        <rFont val="Times New Roman"/>
        <family val="1"/>
      </rPr>
      <t>14) 18)</t>
    </r>
  </si>
  <si>
    <r>
      <t xml:space="preserve">  Herav pensjonsbevis</t>
    </r>
    <r>
      <rPr>
        <vertAlign val="superscript"/>
        <sz val="10"/>
        <rFont val="Times New Roman"/>
        <family val="1"/>
      </rPr>
      <t>14</t>
    </r>
  </si>
  <si>
    <t xml:space="preserve">   Etter tjenestepensjonsloven</t>
  </si>
  <si>
    <t xml:space="preserve">    Fra pensjonskasser</t>
  </si>
  <si>
    <r>
      <t xml:space="preserve">   Herav fripoliser </t>
    </r>
    <r>
      <rPr>
        <vertAlign val="superscript"/>
        <sz val="10"/>
        <rFont val="Times New Roman"/>
        <family val="1"/>
      </rPr>
      <t>14,16</t>
    </r>
  </si>
  <si>
    <t xml:space="preserve">    Til pensjonskasser</t>
  </si>
  <si>
    <t>Tabell 5: Kommunale ordninger</t>
  </si>
  <si>
    <r>
      <t xml:space="preserve">Brutto forfalt premie </t>
    </r>
    <r>
      <rPr>
        <b/>
        <vertAlign val="superscript"/>
        <sz val="10"/>
        <rFont val="Times New Roman"/>
        <family val="1"/>
      </rPr>
      <t>1, 15</t>
    </r>
  </si>
  <si>
    <r>
      <t xml:space="preserve">Forsikringsforpliktelser </t>
    </r>
    <r>
      <rPr>
        <b/>
        <vertAlign val="superscript"/>
        <sz val="10"/>
        <rFont val="Times New Roman"/>
        <family val="1"/>
      </rPr>
      <t>4, 15</t>
    </r>
  </si>
  <si>
    <r>
      <t xml:space="preserve">Overførte reserver fra andre </t>
    </r>
    <r>
      <rPr>
        <b/>
        <vertAlign val="superscript"/>
        <sz val="10"/>
        <rFont val="Times New Roman"/>
        <family val="1"/>
      </rPr>
      <t>5, 15</t>
    </r>
  </si>
  <si>
    <r>
      <t>Overførte reserver til andre</t>
    </r>
    <r>
      <rPr>
        <b/>
        <vertAlign val="superscript"/>
        <sz val="10"/>
        <rFont val="Times New Roman"/>
        <family val="1"/>
      </rPr>
      <t xml:space="preserve"> 6, 15</t>
    </r>
  </si>
  <si>
    <t>Selskap</t>
  </si>
  <si>
    <t xml:space="preserve">   Etter tjenestepensjonsloven - Alderspensjon</t>
  </si>
  <si>
    <t xml:space="preserve">   Etter tjenestepensjonsloven - Uførepensjon</t>
  </si>
  <si>
    <r>
      <t xml:space="preserve">  Herav fripoliser </t>
    </r>
    <r>
      <rPr>
        <vertAlign val="superscript"/>
        <sz val="10"/>
        <rFont val="Times New Roman"/>
        <family val="1"/>
      </rPr>
      <t>14</t>
    </r>
  </si>
  <si>
    <r>
      <t xml:space="preserve">Forsikringsforpliktelser </t>
    </r>
    <r>
      <rPr>
        <b/>
        <vertAlign val="superscript"/>
        <sz val="10"/>
        <rFont val="Times New Roman"/>
        <family val="1"/>
      </rPr>
      <t>5, 15</t>
    </r>
  </si>
  <si>
    <t>Regnskapsdel, endelig kvartal</t>
  </si>
  <si>
    <t>Resultatregnskap</t>
  </si>
  <si>
    <t>DNB</t>
  </si>
  <si>
    <t>Frende</t>
  </si>
  <si>
    <t>Gjensidige</t>
  </si>
  <si>
    <t>Oslo</t>
  </si>
  <si>
    <t>Storebrand</t>
  </si>
  <si>
    <t>Youplus</t>
  </si>
  <si>
    <t xml:space="preserve">Totalt </t>
  </si>
  <si>
    <t>Livsforsikring</t>
  </si>
  <si>
    <t>Fremtind Liv</t>
  </si>
  <si>
    <t>Pensjon</t>
  </si>
  <si>
    <t>Pensjonsforsikring</t>
  </si>
  <si>
    <t>SpareBank 1</t>
  </si>
  <si>
    <t>norske livselskaper</t>
  </si>
  <si>
    <t>alle livselskaper</t>
  </si>
  <si>
    <t xml:space="preserve">Beløp i millioner kroner </t>
  </si>
  <si>
    <t>TEKNISK REGNSKAP FOR LIVSFORSIKRING</t>
  </si>
  <si>
    <t>1. Premieinntekter f.e.r.</t>
  </si>
  <si>
    <t xml:space="preserve">    1.1 Forfalt premier, brutto</t>
  </si>
  <si>
    <t xml:space="preserve">    1.2 - Avgitte gjenforsikringspremier</t>
  </si>
  <si>
    <t xml:space="preserve">    1.3 Overføring av premiereserve og pensjonskapital mv. fra andre f.selskap/p.kasser</t>
  </si>
  <si>
    <t xml:space="preserve">    Sum premieinntekter f.e.r.</t>
  </si>
  <si>
    <t>2. Netto inntekter fra investeringer i kollektivporteføljen</t>
  </si>
  <si>
    <t>3. Netto inntekter fra investeringer i investeringsvalgporteføljen</t>
  </si>
  <si>
    <t>4. Andre forsikringsrelaterte inntekter</t>
  </si>
  <si>
    <t>5. Erstatninger</t>
  </si>
  <si>
    <t xml:space="preserve">    5.1 Utbetalte erstatninger</t>
  </si>
  <si>
    <t xml:space="preserve">    5.2 Overføring av premiereserve, pensjonskapital mv. og bufferfond til andre f.selskap/p.kasser</t>
  </si>
  <si>
    <t>Sum erstatninger f.e.r.</t>
  </si>
  <si>
    <t>6. Resultatførte endringer i forsikringsforpliktelser - KF</t>
  </si>
  <si>
    <t xml:space="preserve">    6.1 Endring i premiereserve mv.</t>
  </si>
  <si>
    <t xml:space="preserve">    6.2 Endring i bufferfond</t>
  </si>
  <si>
    <t xml:space="preserve">    6.3 Endring i premiefond, innskuddsfond og fond for regulering av pensjoner mv.</t>
  </si>
  <si>
    <r>
      <t xml:space="preserve">    Endring i kursreguleringsfond</t>
    </r>
    <r>
      <rPr>
        <i/>
        <vertAlign val="superscript"/>
        <sz val="14"/>
        <rFont val="Times New Roman"/>
        <family val="1"/>
      </rPr>
      <t>19</t>
    </r>
  </si>
  <si>
    <t xml:space="preserve">    6.4 Endring i tekniske avsetninger for skadeforsikringsvirksomhet</t>
  </si>
  <si>
    <t xml:space="preserve">    6.5 Overføring av bufferfond fra andre fors.selskap/pensj.kasser</t>
  </si>
  <si>
    <t>Sum resultatførte endringer i forsikringsforpliktelser - KF</t>
  </si>
  <si>
    <t>7. Resultatførte endringer i forsikringsforpliktelser - SI</t>
  </si>
  <si>
    <t>8. Midler tilordnet forsikringskontrakter -KF</t>
  </si>
  <si>
    <t>9. Forsikringsrelaterte driftskostnader</t>
  </si>
  <si>
    <t>10. Andre forsikringsrelaterte kostnader</t>
  </si>
  <si>
    <t>11.Resultat av teknisk regnskap</t>
  </si>
  <si>
    <t>IKKE-TEKNISK REGNSKAP FOR LIVSFORSIKRING</t>
  </si>
  <si>
    <t>12. Netto inntekter fra investeringer i selskapsporteføljen</t>
  </si>
  <si>
    <t>13. Andre inntekter</t>
  </si>
  <si>
    <t>14. Forvaltningskostnader og andre kostnader knyttet til selskapsporteføljen</t>
  </si>
  <si>
    <t>15. Resultat av ikke-teknisk regnskap</t>
  </si>
  <si>
    <t>16. Resultat før skattekostnad</t>
  </si>
  <si>
    <t>17. Skattekostnader</t>
  </si>
  <si>
    <t>18. Resultat før andre inntekter og kostnader</t>
  </si>
  <si>
    <t>19. Andre inntekter og kostnader</t>
  </si>
  <si>
    <t>20. TOTALRESULTAT</t>
  </si>
  <si>
    <t>Overføringer og disponeringer</t>
  </si>
  <si>
    <t xml:space="preserve">    Overføringer</t>
  </si>
  <si>
    <t xml:space="preserve">        Mottatt konsernbidrag</t>
  </si>
  <si>
    <t xml:space="preserve">        Overført fra annen egenkapital</t>
  </si>
  <si>
    <t xml:space="preserve">    Sum overføringer</t>
  </si>
  <si>
    <t xml:space="preserve">    Disponeringer</t>
  </si>
  <si>
    <t xml:space="preserve">        Utbytte</t>
  </si>
  <si>
    <t xml:space="preserve">        Avgitt konsernbidrag</t>
  </si>
  <si>
    <t xml:space="preserve">        Overført til annen egenkapital</t>
  </si>
  <si>
    <t xml:space="preserve">    Sum disponeringer</t>
  </si>
  <si>
    <t>Sum overføringer og disponeringer</t>
  </si>
  <si>
    <t>Noter: Se "Noter og kommentarer"</t>
  </si>
  <si>
    <t>KF=Kontraktsfastsatte forpliktelser</t>
  </si>
  <si>
    <t>SI=Særskilt investeringsportefølje</t>
  </si>
  <si>
    <t>Regnskapsdel, endelig år</t>
  </si>
  <si>
    <t xml:space="preserve"> </t>
  </si>
  <si>
    <t>Forsikring</t>
  </si>
  <si>
    <t>Balanse</t>
  </si>
  <si>
    <r>
      <t>norske livselskaper</t>
    </r>
    <r>
      <rPr>
        <b/>
        <vertAlign val="superscript"/>
        <sz val="14"/>
        <rFont val="Times New Roman"/>
        <family val="1"/>
      </rPr>
      <t xml:space="preserve"> </t>
    </r>
  </si>
  <si>
    <r>
      <t>alle livselskaper</t>
    </r>
    <r>
      <rPr>
        <b/>
        <vertAlign val="superscript"/>
        <sz val="14"/>
        <rFont val="Times New Roman"/>
        <family val="1"/>
      </rPr>
      <t xml:space="preserve"> </t>
    </r>
  </si>
  <si>
    <t>Beløp i millioner kroner</t>
  </si>
  <si>
    <t>EIENDELER</t>
  </si>
  <si>
    <t>EIENDELER I SELSKAPSPORTEFØLJEN</t>
  </si>
  <si>
    <t>2. Investeringer i selskapsporteføljen</t>
  </si>
  <si>
    <t xml:space="preserve">    2.1 Bygninger og andre faste eiendommer</t>
  </si>
  <si>
    <t xml:space="preserve">    2.2 Datterforetak, tilknyttede foretak og felleskontrollerte foretak</t>
  </si>
  <si>
    <t xml:space="preserve">    2.3 Finansielle eiendeler som måles til amortisert kost</t>
  </si>
  <si>
    <t xml:space="preserve">         2.3.1 Rentebærende verdipapirer</t>
  </si>
  <si>
    <t xml:space="preserve">            - Obligasjoner</t>
  </si>
  <si>
    <t xml:space="preserve">         2.3.2 Utlån og fordringer</t>
  </si>
  <si>
    <t xml:space="preserve">    2.4 Finansielle eiendeler som måles til virkelig verdi</t>
  </si>
  <si>
    <t xml:space="preserve">         2.4.1 Aksjer og andeler (inkl. aksjer og andeler målt til kost)</t>
  </si>
  <si>
    <t xml:space="preserve">         2.4.2 Rentebærende verdipapirer</t>
  </si>
  <si>
    <t xml:space="preserve">         2.4.3 Utlån og fordringer</t>
  </si>
  <si>
    <t xml:space="preserve">         2.4.4 Finansielle derivater</t>
  </si>
  <si>
    <t xml:space="preserve">         2.4.5 Andre finansielle eiendeler</t>
  </si>
  <si>
    <t xml:space="preserve">    2.5 Gjenforsikringsdepoter</t>
  </si>
  <si>
    <t xml:space="preserve">    Sum investeringer i selskapsporteføljen</t>
  </si>
  <si>
    <t>Annet - postene 1, 3, 4 og 5</t>
  </si>
  <si>
    <t>Sum eiendeler i selskapsporteføljen</t>
  </si>
  <si>
    <t>EIENDELER I KUNDEPORTEFØLJENE</t>
  </si>
  <si>
    <t>6. Investeringer i kollektivporteføljen</t>
  </si>
  <si>
    <t xml:space="preserve">    6.1 Bygninger og andre faste eiendommer</t>
  </si>
  <si>
    <t xml:space="preserve">    6.2 Datterforetak, tilknyttede foretak og felleskontrollerte foretak</t>
  </si>
  <si>
    <t xml:space="preserve">    6.3 Finansielle eiendeler som måles til amortisert kost</t>
  </si>
  <si>
    <t xml:space="preserve">         6.3.1 Rentebærende verdipapirer</t>
  </si>
  <si>
    <t xml:space="preserve">         6.3.2 Utlån og fordringer</t>
  </si>
  <si>
    <t xml:space="preserve">    6.4 Finansielle eiendeler som måles til virkelig verdi</t>
  </si>
  <si>
    <t xml:space="preserve">         6.4.1 Aksjer og andeler (inkl. aksjer og andeler målt til kost)</t>
  </si>
  <si>
    <t xml:space="preserve">         6.4.2 Rentebærende verdipapirer</t>
  </si>
  <si>
    <t xml:space="preserve">         6.4.3 Utlån og fordringer</t>
  </si>
  <si>
    <t xml:space="preserve">         6.4.4 Finansielle derivater</t>
  </si>
  <si>
    <t xml:space="preserve">         6.4.5 Andre finansielle eiendeler</t>
  </si>
  <si>
    <t xml:space="preserve">    Sum investeringer i kollektivporteføljen</t>
  </si>
  <si>
    <t>7. Gjenforsikringsandel av forsikringsforpliktelser i kollektivporteføljen</t>
  </si>
  <si>
    <t>8. Investeringer i investeringsvalgporteføljen</t>
  </si>
  <si>
    <t xml:space="preserve">    8.1 Bygninger og andre faste eiendommer</t>
  </si>
  <si>
    <t xml:space="preserve">    8.2 Datterforetak, tilknyttede foretak og felleskontrollerte foretak</t>
  </si>
  <si>
    <t xml:space="preserve">    8.3 Finansielle eiendeler som måles til amortisert kost</t>
  </si>
  <si>
    <t xml:space="preserve">         8.3.1 Rentebærende verdipapirer</t>
  </si>
  <si>
    <t xml:space="preserve">         8.3.2 Utlån og fordringer</t>
  </si>
  <si>
    <t xml:space="preserve">    8.4 Finansielle eiendeler som måles til virkelig verdi</t>
  </si>
  <si>
    <t xml:space="preserve">         8.4.1 Aksjer og andeler (inkl. aksjer og andeler målt til kost)</t>
  </si>
  <si>
    <t xml:space="preserve">         8.4.2 Rentebærende verdipapirer</t>
  </si>
  <si>
    <t xml:space="preserve">         8.4.3 Utlån og fordringer</t>
  </si>
  <si>
    <t xml:space="preserve">         8.4.4 Finansielle derivater</t>
  </si>
  <si>
    <t xml:space="preserve">         8.4.5 Andre finansielle eiendeler</t>
  </si>
  <si>
    <t xml:space="preserve">    Sum investeringer i investeringsvalgsporteføljen</t>
  </si>
  <si>
    <t>9. Gjenforsikringsandel av forsikringsforpliktelser i investeringsvalgporteføljen</t>
  </si>
  <si>
    <t>Sum eiendeler i kundeporteføljene</t>
  </si>
  <si>
    <t>SUM EIENDELER</t>
  </si>
  <si>
    <t>EGENKAPITAL OG FORPLIKTELSER</t>
  </si>
  <si>
    <t>10. Innskutt egenkapital</t>
  </si>
  <si>
    <t>11. Opptjent egenkapital</t>
  </si>
  <si>
    <t xml:space="preserve">    11.1 Risikoutjevningsfond</t>
  </si>
  <si>
    <t>12. Ansvarlig lånekapital mv.</t>
  </si>
  <si>
    <t>13. Forsikringsforpliktelser i livsforsikring - KF</t>
  </si>
  <si>
    <t xml:space="preserve">    13.1 Premiereserve mv.</t>
  </si>
  <si>
    <r>
      <t xml:space="preserve">    Kursreguleringsfond</t>
    </r>
    <r>
      <rPr>
        <i/>
        <vertAlign val="superscript"/>
        <sz val="14"/>
        <rFont val="Times New Roman"/>
        <family val="1"/>
      </rPr>
      <t>19</t>
    </r>
  </si>
  <si>
    <t xml:space="preserve">    13.2 Bufferfond</t>
  </si>
  <si>
    <t xml:space="preserve">    13.3 Premiefond, innskuddsfond og fond for regulering av pensjoner mv.</t>
  </si>
  <si>
    <t xml:space="preserve">    13.4 Andre tekniske avsetninger for skadeforsikringsvirksomheten</t>
  </si>
  <si>
    <t xml:space="preserve">    Ufordelte overskuddsmidler til forsikringskontraktene</t>
  </si>
  <si>
    <t>Sum forsikringsforpliktelser i livsforsikring - KF</t>
  </si>
  <si>
    <t>14. Forsikringsforpliktelser i livsforsikring - SI</t>
  </si>
  <si>
    <t xml:space="preserve">    14.1 Pensjonskapital mv.</t>
  </si>
  <si>
    <t xml:space="preserve">    14.2 Bufferfond</t>
  </si>
  <si>
    <t xml:space="preserve">    14.3 Premiefond, innskuddsfond og fond for regulering av pensjoner mv.</t>
  </si>
  <si>
    <t>Sum forsikringsforpliktelser i livsforsikring - SI</t>
  </si>
  <si>
    <t>15. Avsetninger for forpliktelser</t>
  </si>
  <si>
    <t>16. Premiedepot fra gjenforsikringsselskaper</t>
  </si>
  <si>
    <t>17. Forpliktelser</t>
  </si>
  <si>
    <t>18. Påløpte kostnader og mottatte ikke opptjente inntekter</t>
  </si>
  <si>
    <t>SUM EGENKAPTAL OG FORPLIKTELSER</t>
  </si>
  <si>
    <t>Diverse nøkkeltall</t>
  </si>
  <si>
    <t>Bufferfond</t>
  </si>
  <si>
    <t>Mer/mindre-verdier</t>
  </si>
  <si>
    <t>Avkastningstall (%)</t>
  </si>
  <si>
    <t>Kapitalavkastning hittil i år</t>
  </si>
  <si>
    <r>
      <t xml:space="preserve">Soliditetskapital </t>
    </r>
    <r>
      <rPr>
        <sz val="14"/>
        <rFont val="Times New Roman"/>
        <family val="1"/>
      </rPr>
      <t>(%)</t>
    </r>
  </si>
  <si>
    <t>Noter til tabellene</t>
  </si>
  <si>
    <t>Brutto forfalt premie tilsvarer post 1.1 i resultatregnskapet, jf. forskrift til årsregnskap for livsforsikringsfortak.</t>
  </si>
  <si>
    <t>Brutto risikopremie rapporteres for produkter både med og uten sparing. Risikopremie for tilknyttede dekninger, som kritisk sykdom, ulykke m.m. skal ikke tas med. For Brutto risikopremie for individuell uførepensjon, se note 3.</t>
  </si>
  <si>
    <t xml:space="preserve">Risikopremie for individuell uførepensjon blir i noen selskap regnskapsført under Individuell kapital, mens den for de fleste regnskapsføres under Individuell pensjon. Brutto risikopremie for uførepensjon er derfor ikke en heravpost for verken Individuell kapital eller Individuell pensjon, men gjelder som en heravpost samlet for disse. </t>
  </si>
  <si>
    <t xml:space="preserve">Forsikringsforpliktelser i livsforsikring tilsvarer post 13 i balansen uten investeringsvalg og post 14 i balansen for produkter med investeringsvalg. Gjenforsikringsandel skal ikke tas hensyn til i markedsdelen. </t>
  </si>
  <si>
    <t>Overførte reserver fra andre tilsvarer post 1.3 i resultatregnskapet samt overførte tilleggsavsetninger som tilsvarer post 6.6 i  resultatregnskapet.</t>
  </si>
  <si>
    <t>Overførte reserver til andre tilsvarer post 5.2 i resultatregnskapet.</t>
  </si>
  <si>
    <t>Gruppeliv bedrift tilsvarer tjenestegruppeliv.</t>
  </si>
  <si>
    <t>Gruppeliv privat består av foreningsgruppeliv, gjeldsgruppeliv og annet.</t>
  </si>
  <si>
    <t>Flytting av en gruppelivsordning fra andre eller til andre måles i brutto årlig premie (ikke brutto forfalt premie).</t>
  </si>
  <si>
    <t>Livrenter, IPA og IPS er individuelle pensjonsspareavtaler etter skattereglene (kun i årsstatistikken / 4.kvartal). IPS forsikring etablert før 1.11.2017 defineres som IPS forsikring 2008, etter lov om individuell pensjonsordning vedtatt i 2008. Nye ordningen for skattefavorisert individuell pensjonssparing fra 1. november 2017 defineres som IPS forsikring.</t>
  </si>
  <si>
    <t xml:space="preserve">Engangsbetalt alderspensjon er innskuddsbasert pensjon med dødelighetsarv. </t>
  </si>
  <si>
    <t>Innskuddspensjon er innskuddsbasert pensjon uten dødelighetsarv.</t>
  </si>
  <si>
    <t>LOF/LOI betyr lov om foretakspensjon og lov om innskuddspensjon.</t>
  </si>
  <si>
    <t>Herav fripoliser, herav pensjonskapitalbevis og herav pensjonsbevis omfatter også fortsettelsesforsikringer. Herav-postene er uttrekk fra hovedpostene i tabellen Privat kollektiv pensjonsforsikring, uansett om det er Innenfor LOF/LOI eller Utenfor LOF/LOI - Livrenter.</t>
  </si>
  <si>
    <t xml:space="preserve">Med kommunal kollektiv pensjon menes kollektive pensjonsordninger som definert i lov om forsikringsvirksomhet § 4-1 og § 4-2.   </t>
  </si>
  <si>
    <t>Herav fripoliser med investeringsvalg betraktes som innskuddsbasert.</t>
  </si>
  <si>
    <t>Gjelder ikke ordninger etter lov om tjenestepensjon</t>
  </si>
  <si>
    <t>Postene Herav pensjonskapitalbevis omfatter pensjonskapitalbevis innenfor og utenfor Egen pensjonskonto. Med pensjonskapitalbevis innenfor Egen pensjonskonto menes passiv kapital. Se for øvrig note 14.</t>
  </si>
  <si>
    <t>Fra og med 2024 inngår mye av kursreserven i bufferfondet og er dermed rapportert i egen post.</t>
  </si>
  <si>
    <t>DNB Livsforsikring ASA</t>
  </si>
  <si>
    <t>Frende Livsforsikring AS</t>
  </si>
  <si>
    <t>Frende Skadeforsikring AS</t>
  </si>
  <si>
    <t>Gjensidige Forsikring ASA</t>
  </si>
  <si>
    <t>If Skadeforsikring nuf</t>
  </si>
  <si>
    <t>Nordea Liv Forsikring AS</t>
  </si>
  <si>
    <t>Telenor Forsikring AS</t>
  </si>
  <si>
    <t>SpareBank 1 Forsikring AS</t>
  </si>
  <si>
    <t>KLP Skadeforsikring</t>
  </si>
  <si>
    <t>WaterCircle Forsikring</t>
  </si>
  <si>
    <t>Fremtind</t>
  </si>
  <si>
    <r>
      <t xml:space="preserve">  Etter tjenestepensjonsloven - Uførepensjon (inkl.  Innskuddsfritak)</t>
    </r>
    <r>
      <rPr>
        <vertAlign val="superscript"/>
        <sz val="10"/>
        <rFont val="Times New Roman"/>
        <family val="1"/>
      </rPr>
      <t>20)</t>
    </r>
  </si>
  <si>
    <t>Posten omfatter brutto forfalt premie for uførepensjon etter tjenestepensjonsloven. Brutto forfalt premie for innskuddsfritak inngår også her.</t>
  </si>
  <si>
    <t>Figur 2  Brutto forfalt premie livprodukter  -  produkter med investeringsvalg pr. 31.03.</t>
  </si>
  <si>
    <t>Figur 3  Forsikringsforpliktelser i livsforsikring  -  produkter uten investeringsvalg pr. 31.03.</t>
  </si>
  <si>
    <t>Figur 4  Forsikringsforpliktelser i livsforsikring -  produkter med investeringsvalg pr. 31.03.</t>
  </si>
  <si>
    <t>Figur 5  Netto tilflytting livprodukter  -  produkter uten investeringsvalg pr. 31.03.</t>
  </si>
  <si>
    <t>Figur 6  Netto tilflytting livprodukter  -  produkter med investeringsvalg pr. 31.03.</t>
  </si>
  <si>
    <t>Figur 1  Brutto forfalt premie livprodukter  -  produkter uten investeringsvalg pr. 31.03.</t>
  </si>
  <si>
    <t>31.3.2025</t>
  </si>
  <si>
    <t>31.3.2026</t>
  </si>
  <si>
    <t xml:space="preserve">    Endring i tilleggsavsetninger</t>
  </si>
  <si>
    <t xml:space="preserve">    Tilleggsavsetninger</t>
  </si>
  <si>
    <t>Knif Trygghet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</si>
</sst>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
    <numFmt numFmtId="165" formatCode="_ * #,##0_ ;_ * \-#,##0_ ;_ * &quot;-&quot;??_ ;_ @_ "/>
    <numFmt numFmtId="166" formatCode="dd/mm/yy;@"/>
    <numFmt numFmtId="167" formatCode="0;\-0;;@"/>
    <numFmt numFmtId="168" formatCode="0.0"/>
    <numFmt numFmtId="169" formatCode="#,##0_ ;\-#,##0\ "/>
    <numFmt numFmtId="170" formatCode="_ * #,##0_ ;_ * \-#,##0_ ;_ * &quot;&quot;??_ ;_ @_ "/>
    <numFmt numFmtId="171" formatCode="_ * #,##0.0_ ;_ * \-#,##0.0_ ;_ * &quot;&quot;??_ ;_ @_ "/>
  </numFmts>
  <fonts count="8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Times New Roman"/>
      <family val="1"/>
    </font>
    <font>
      <sz val="12"/>
      <name val="Times New Roman"/>
      <family val="1"/>
    </font>
    <font>
      <b/>
      <sz val="10"/>
      <name val="Times New Roman"/>
      <family val="1"/>
    </font>
    <font>
      <b/>
      <sz val="9"/>
      <name val="Times New Roman"/>
      <family val="1"/>
    </font>
    <font>
      <sz val="10"/>
      <name val="Times New Roman"/>
      <family val="1"/>
    </font>
    <font>
      <sz val="10"/>
      <color rgb="FFFF0000"/>
      <name val="Times New Roman"/>
      <family val="1"/>
    </font>
    <font>
      <sz val="10"/>
      <name val="Arial"/>
      <family val="2"/>
    </font>
    <font>
      <b/>
      <vertAlign val="superscript"/>
      <sz val="10"/>
      <name val="Times New Roman"/>
      <family val="1"/>
    </font>
    <font>
      <sz val="12"/>
      <color rgb="FFFF0000"/>
      <name val="Times New Roman"/>
      <family val="1"/>
    </font>
    <font>
      <sz val="10"/>
      <color theme="1"/>
      <name val="Times New Roman"/>
      <family val="1"/>
    </font>
    <font>
      <i/>
      <sz val="10"/>
      <name val="Times New Roman"/>
      <family val="1"/>
    </font>
    <font>
      <vertAlign val="superscript"/>
      <sz val="10"/>
      <name val="Times New Roman"/>
      <family val="1"/>
    </font>
    <font>
      <sz val="10"/>
      <name val="Arial"/>
      <family val="2"/>
    </font>
    <font>
      <sz val="10"/>
      <color indexed="23"/>
      <name val="Arial"/>
      <family val="2"/>
    </font>
    <font>
      <sz val="18"/>
      <color indexed="23"/>
      <name val="Times New Roman"/>
      <family val="1"/>
    </font>
    <font>
      <b/>
      <sz val="28"/>
      <color rgb="FF3B6E8F"/>
      <name val="Cambria"/>
      <family val="1"/>
      <scheme val="major"/>
    </font>
    <font>
      <b/>
      <sz val="26"/>
      <color rgb="FF3B6E8F"/>
      <name val="Cambria"/>
      <family val="1"/>
      <scheme val="major"/>
    </font>
    <font>
      <sz val="14"/>
      <name val="Times New Roman"/>
      <family val="1"/>
    </font>
    <font>
      <sz val="12"/>
      <name val="Arial"/>
      <family val="2"/>
    </font>
    <font>
      <sz val="20"/>
      <color theme="1"/>
      <name val="Calibri"/>
      <family val="2"/>
      <scheme val="minor"/>
    </font>
    <font>
      <sz val="14"/>
      <color theme="1"/>
      <name val="Calibri"/>
      <family val="2"/>
      <scheme val="minor"/>
    </font>
    <font>
      <b/>
      <sz val="28"/>
      <color rgb="FF54758C"/>
      <name val="Arial"/>
      <family val="2"/>
    </font>
    <font>
      <sz val="26"/>
      <color rgb="FF54758C"/>
      <name val="Arial"/>
      <family val="2"/>
    </font>
    <font>
      <sz val="14"/>
      <name val="Arial"/>
      <family val="2"/>
    </font>
    <font>
      <sz val="20"/>
      <name val="Arial"/>
      <family val="2"/>
    </font>
    <font>
      <sz val="18"/>
      <name val="Times New Roman"/>
      <family val="1"/>
    </font>
    <font>
      <sz val="18"/>
      <name val="Arial"/>
      <family val="2"/>
    </font>
    <font>
      <b/>
      <sz val="16"/>
      <name val="Times New Roman"/>
      <family val="1"/>
    </font>
    <font>
      <sz val="16"/>
      <name val="Times New Roman"/>
      <family val="1"/>
    </font>
    <font>
      <u/>
      <sz val="10"/>
      <color indexed="12"/>
      <name val="Arial"/>
      <family val="2"/>
    </font>
    <font>
      <sz val="20"/>
      <name val="Times New Roman"/>
      <family val="1"/>
    </font>
    <font>
      <b/>
      <sz val="14"/>
      <name val="Times New Roman"/>
      <family val="1"/>
    </font>
    <font>
      <sz val="14"/>
      <color rgb="FFFF0000"/>
      <name val="Times New Roman"/>
      <family val="1"/>
    </font>
    <font>
      <vertAlign val="superscript"/>
      <sz val="14"/>
      <name val="Times New Roman"/>
      <family val="1"/>
    </font>
    <font>
      <b/>
      <i/>
      <sz val="12"/>
      <color indexed="63"/>
      <name val="Times New Roman"/>
      <family val="1"/>
    </font>
    <font>
      <b/>
      <sz val="10"/>
      <name val="Arial"/>
      <family val="2"/>
    </font>
    <font>
      <b/>
      <i/>
      <sz val="12"/>
      <name val="Times New Roman"/>
      <family val="1"/>
    </font>
    <font>
      <sz val="14"/>
      <color theme="1"/>
      <name val="Times New Roman"/>
      <family val="1"/>
    </font>
    <font>
      <sz val="14"/>
      <color rgb="FFFF0000"/>
      <name val="Arial"/>
      <family val="2"/>
    </font>
    <font>
      <b/>
      <sz val="14"/>
      <name val="Arial"/>
      <family val="2"/>
    </font>
    <font>
      <b/>
      <vertAlign val="superscript"/>
      <sz val="14"/>
      <name val="Times New Roman"/>
      <family val="1"/>
    </font>
    <font>
      <sz val="11"/>
      <name val="Calibri"/>
      <family val="2"/>
      <scheme val="minor"/>
    </font>
    <font>
      <b/>
      <sz val="10"/>
      <color rgb="FFFF0000"/>
      <name val="Times New Roman"/>
      <family val="1"/>
    </font>
    <font>
      <b/>
      <sz val="16"/>
      <color indexed="10"/>
      <name val="Times New Roman"/>
      <family val="1"/>
    </font>
    <font>
      <b/>
      <sz val="14"/>
      <color indexed="8"/>
      <name val="Times New Roman"/>
      <family val="1"/>
    </font>
    <font>
      <b/>
      <sz val="10"/>
      <color indexed="8"/>
      <name val="Times New Roman"/>
      <family val="1"/>
    </font>
    <font>
      <b/>
      <sz val="14"/>
      <color indexed="63"/>
      <name val="Times New Roman"/>
      <family val="1"/>
    </font>
    <font>
      <sz val="14"/>
      <color indexed="10"/>
      <name val="Times New Roman"/>
      <family val="1"/>
    </font>
    <font>
      <b/>
      <sz val="14"/>
      <color indexed="10"/>
      <name val="Times New Roman"/>
      <family val="1"/>
    </font>
    <font>
      <sz val="12"/>
      <color indexed="10"/>
      <name val="Times New Roman"/>
      <family val="1"/>
    </font>
    <font>
      <sz val="20"/>
      <color rgb="FFFF0000"/>
      <name val="Times New Roman"/>
      <family val="1"/>
    </font>
    <font>
      <sz val="20"/>
      <color rgb="FFFF0000"/>
      <name val="Arial"/>
      <family val="2"/>
    </font>
    <font>
      <sz val="16"/>
      <color theme="1"/>
      <name val="Times New Roman"/>
      <family val="1"/>
    </font>
    <font>
      <b/>
      <sz val="10"/>
      <color theme="1"/>
      <name val="Times New Roman"/>
      <family val="1"/>
    </font>
    <font>
      <sz val="12"/>
      <color theme="1"/>
      <name val="Times New Roman"/>
      <family val="1"/>
    </font>
    <font>
      <b/>
      <sz val="14"/>
      <color rgb="FFFF0000"/>
      <name val="Times New Roman"/>
      <family val="1"/>
    </font>
    <font>
      <u/>
      <sz val="12"/>
      <name val="Times New Roman"/>
      <family val="1"/>
    </font>
    <font>
      <b/>
      <sz val="12"/>
      <color rgb="FFFF0000"/>
      <name val="Times New Roman"/>
      <family val="1"/>
    </font>
    <font>
      <sz val="10"/>
      <color theme="0"/>
      <name val="Times New Roman"/>
      <family val="1"/>
    </font>
    <font>
      <b/>
      <sz val="10"/>
      <color rgb="FFFF0000"/>
      <name val="Arial"/>
      <family val="2"/>
    </font>
    <font>
      <b/>
      <sz val="15"/>
      <name val="Arial"/>
      <family val="2"/>
    </font>
    <font>
      <i/>
      <sz val="14"/>
      <name val="Times New Roman"/>
      <family val="1"/>
    </font>
    <font>
      <b/>
      <i/>
      <sz val="16"/>
      <color rgb="FFFF0000"/>
      <name val="Times New Roman"/>
      <family val="1"/>
    </font>
    <font>
      <i/>
      <vertAlign val="superscript"/>
      <sz val="14"/>
      <name val="Times New Roman"/>
      <family val="1"/>
    </font>
    <font>
      <sz val="10"/>
      <name val="Arial"/>
      <family val="2"/>
    </font>
  </fonts>
  <fills count="12">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indexed="9"/>
        <bgColor indexed="64"/>
      </patternFill>
    </fill>
    <fill>
      <patternFill patternType="solid">
        <fgColor rgb="FFFFFFCC"/>
      </patternFill>
    </fill>
    <fill>
      <patternFill patternType="solid">
        <fgColor theme="7" tint="0.59999389629810485"/>
        <bgColor indexed="65"/>
      </patternFill>
    </fill>
    <fill>
      <patternFill patternType="solid">
        <fgColor theme="5" tint="0.79998168889431442"/>
        <bgColor indexed="65"/>
      </patternFill>
    </fill>
    <fill>
      <patternFill patternType="solid">
        <fgColor theme="2"/>
        <bgColor indexed="64"/>
      </patternFill>
    </fill>
    <fill>
      <patternFill patternType="solid">
        <fgColor rgb="FFFFFF00"/>
        <bgColor indexed="64"/>
      </patternFill>
    </fill>
    <fill>
      <patternFill patternType="solid">
        <fgColor indexed="9"/>
        <bgColor indexed="9"/>
      </patternFill>
    </fill>
    <fill>
      <patternFill patternType="solid">
        <fgColor theme="0"/>
        <bgColor indexed="64"/>
      </patternFill>
    </fill>
  </fills>
  <borders count="17">
    <border>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s>
  <cellStyleXfs count="4193">
    <xf numFmtId="0" fontId="0" fillId="0" borderId="0"/>
    <xf numFmtId="0" fontId="22" fillId="0" borderId="0"/>
    <xf numFmtId="43" fontId="28" fillId="0" borderId="0" applyFont="0" applyFill="0" applyBorder="0" applyAlignment="0" applyProtection="0"/>
    <xf numFmtId="0" fontId="45" fillId="0" borderId="0" applyNumberFormat="0" applyFill="0" applyBorder="0" applyAlignment="0" applyProtection="0">
      <alignment vertical="top"/>
      <protection locked="0"/>
    </xf>
    <xf numFmtId="0" fontId="15" fillId="0" borderId="0"/>
    <xf numFmtId="0" fontId="22" fillId="0" borderId="0"/>
    <xf numFmtId="0" fontId="14" fillId="0" borderId="0"/>
    <xf numFmtId="0" fontId="22" fillId="0" borderId="0"/>
    <xf numFmtId="0" fontId="13" fillId="0" borderId="0"/>
    <xf numFmtId="0" fontId="22" fillId="0" borderId="0"/>
    <xf numFmtId="0" fontId="28" fillId="0" borderId="0"/>
    <xf numFmtId="0" fontId="13"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3" fillId="0" borderId="0" applyFont="0" applyFill="0" applyBorder="0" applyAlignment="0" applyProtection="0"/>
    <xf numFmtId="43" fontId="22" fillId="0" borderId="0" applyFont="0" applyFill="0" applyBorder="0" applyAlignment="0" applyProtection="0"/>
    <xf numFmtId="0" fontId="13" fillId="0" borderId="0"/>
    <xf numFmtId="0" fontId="22" fillId="0" borderId="0"/>
    <xf numFmtId="0" fontId="22" fillId="0" borderId="0"/>
    <xf numFmtId="43" fontId="22"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22"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6" borderId="0" applyNumberFormat="0" applyBorder="0" applyAlignment="0" applyProtection="0"/>
    <xf numFmtId="0" fontId="22" fillId="0" borderId="0"/>
    <xf numFmtId="43" fontId="22"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22"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22" fillId="0" borderId="0"/>
    <xf numFmtId="43" fontId="22"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6" borderId="0" applyNumberFormat="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22" fillId="5" borderId="16"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28" fillId="0" borderId="0" applyFont="0" applyFill="0" applyBorder="0" applyAlignment="0" applyProtection="0"/>
    <xf numFmtId="0" fontId="13"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6" borderId="0" applyNumberFormat="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6" borderId="0" applyNumberFormat="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6" borderId="0" applyNumberFormat="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6" borderId="0" applyNumberFormat="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6" borderId="0" applyNumberFormat="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6" borderId="0" applyNumberFormat="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6"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6"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6"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6"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6"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6"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6"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6"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5" fillId="0" borderId="0"/>
    <xf numFmtId="0" fontId="5"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22" fillId="0" borderId="0" applyFont="0" applyFill="0" applyBorder="0" applyAlignment="0" applyProtection="0"/>
    <xf numFmtId="0" fontId="5" fillId="0" borderId="0"/>
    <xf numFmtId="43" fontId="22"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6" borderId="0" applyNumberFormat="0" applyBorder="0" applyAlignment="0" applyProtection="0"/>
    <xf numFmtId="43" fontId="22"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22"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6"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4" fillId="7" borderId="0" applyNumberFormat="0" applyBorder="0" applyAlignment="0" applyProtection="0"/>
    <xf numFmtId="0" fontId="17" fillId="0" borderId="0"/>
    <xf numFmtId="170" fontId="18" fillId="0" borderId="7" applyFont="0" applyFill="0" applyBorder="0" applyAlignment="0" applyProtection="0">
      <alignment horizontal="right"/>
    </xf>
    <xf numFmtId="43" fontId="22" fillId="0" borderId="0" applyFont="0" applyFill="0" applyBorder="0" applyAlignment="0" applyProtection="0"/>
    <xf numFmtId="0" fontId="17" fillId="0" borderId="0"/>
    <xf numFmtId="43" fontId="22" fillId="0" borderId="0" applyFont="0" applyFill="0" applyBorder="0" applyAlignment="0" applyProtection="0"/>
    <xf numFmtId="43" fontId="22" fillId="0" borderId="0" applyFont="0" applyFill="0" applyBorder="0" applyAlignment="0" applyProtection="0"/>
    <xf numFmtId="0" fontId="3" fillId="0" borderId="0"/>
    <xf numFmtId="0" fontId="22" fillId="0" borderId="0"/>
    <xf numFmtId="9" fontId="80"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0" fontId="22" fillId="0" borderId="0"/>
    <xf numFmtId="0" fontId="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7" borderId="0" applyNumberFormat="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 fillId="0" borderId="0"/>
    <xf numFmtId="9" fontId="2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0" fontId="22" fillId="0" borderId="0"/>
    <xf numFmtId="0" fontId="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6"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7" borderId="0" applyNumberFormat="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 fillId="0" borderId="0"/>
    <xf numFmtId="43" fontId="22" fillId="0" borderId="0" applyFont="0" applyFill="0" applyBorder="0" applyAlignment="0" applyProtection="0"/>
    <xf numFmtId="0" fontId="1" fillId="0" borderId="0"/>
    <xf numFmtId="0" fontId="1" fillId="0" borderId="0"/>
    <xf numFmtId="0" fontId="1" fillId="0" borderId="0"/>
    <xf numFmtId="0" fontId="1"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0" fontId="1" fillId="0" borderId="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22"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0" fontId="1" fillId="0" borderId="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7" borderId="0" applyNumberFormat="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 fillId="0" borderId="0"/>
    <xf numFmtId="43" fontId="22" fillId="0" borderId="0" applyFont="0" applyFill="0" applyBorder="0" applyAlignment="0" applyProtection="0"/>
    <xf numFmtId="0" fontId="1" fillId="0" borderId="0"/>
    <xf numFmtId="0" fontId="1" fillId="0" borderId="0"/>
    <xf numFmtId="0" fontId="1" fillId="0" borderId="0"/>
    <xf numFmtId="0" fontId="1"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0" fontId="1" fillId="0" borderId="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22"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0" fontId="1" fillId="0" borderId="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2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6"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7" borderId="0" applyNumberFormat="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 fillId="0" borderId="0"/>
  </cellStyleXfs>
  <cellXfs count="612">
    <xf numFmtId="0" fontId="0" fillId="0" borderId="0" xfId="0"/>
    <xf numFmtId="0" fontId="20" fillId="0" borderId="0" xfId="1" applyFont="1"/>
    <xf numFmtId="0" fontId="26" fillId="0" borderId="0" xfId="1" applyFont="1"/>
    <xf numFmtId="49" fontId="20" fillId="0" borderId="0" xfId="1" applyNumberFormat="1" applyFont="1" applyAlignment="1">
      <alignment horizontal="center"/>
    </xf>
    <xf numFmtId="164" fontId="20" fillId="0" borderId="0" xfId="1" applyNumberFormat="1" applyFont="1"/>
    <xf numFmtId="0" fontId="20" fillId="0" borderId="0" xfId="1" applyFont="1" applyAlignment="1">
      <alignment horizontal="left"/>
    </xf>
    <xf numFmtId="164" fontId="18" fillId="3" borderId="5" xfId="1" applyNumberFormat="1" applyFont="1" applyFill="1" applyBorder="1" applyAlignment="1">
      <alignment horizontal="right"/>
    </xf>
    <xf numFmtId="0" fontId="20" fillId="0" borderId="6" xfId="1" applyFont="1" applyBorder="1"/>
    <xf numFmtId="164" fontId="18" fillId="3" borderId="2" xfId="1" applyNumberFormat="1" applyFont="1" applyFill="1" applyBorder="1" applyAlignment="1">
      <alignment horizontal="right"/>
    </xf>
    <xf numFmtId="0" fontId="18" fillId="0" borderId="4" xfId="1" applyFont="1" applyBorder="1"/>
    <xf numFmtId="0" fontId="18" fillId="0" borderId="3" xfId="1" applyFont="1" applyBorder="1"/>
    <xf numFmtId="0" fontId="18" fillId="0" borderId="7" xfId="1" applyFont="1" applyBorder="1"/>
    <xf numFmtId="0" fontId="18" fillId="0" borderId="6" xfId="1" applyFont="1" applyBorder="1" applyAlignment="1">
      <alignment horizontal="center"/>
    </xf>
    <xf numFmtId="0" fontId="18" fillId="0" borderId="11" xfId="1" applyFont="1" applyBorder="1" applyAlignment="1">
      <alignment horizontal="center"/>
    </xf>
    <xf numFmtId="0" fontId="18" fillId="0" borderId="5" xfId="1" applyFont="1" applyBorder="1" applyAlignment="1">
      <alignment horizontal="center"/>
    </xf>
    <xf numFmtId="0" fontId="18" fillId="0" borderId="11" xfId="1" applyFont="1" applyBorder="1"/>
    <xf numFmtId="0" fontId="18" fillId="0" borderId="7" xfId="1" applyFont="1" applyBorder="1" applyAlignment="1">
      <alignment horizontal="center"/>
    </xf>
    <xf numFmtId="14" fontId="19" fillId="0" borderId="4" xfId="1" applyNumberFormat="1" applyFont="1" applyBorder="1" applyAlignment="1">
      <alignment horizontal="center"/>
    </xf>
    <xf numFmtId="0" fontId="20" fillId="0" borderId="3" xfId="1" applyFont="1" applyBorder="1"/>
    <xf numFmtId="164" fontId="20" fillId="3" borderId="6" xfId="1" applyNumberFormat="1" applyFont="1" applyFill="1" applyBorder="1" applyAlignment="1">
      <alignment horizontal="right"/>
    </xf>
    <xf numFmtId="164" fontId="20" fillId="3" borderId="3" xfId="1" applyNumberFormat="1" applyFont="1" applyFill="1" applyBorder="1" applyAlignment="1">
      <alignment horizontal="right"/>
    </xf>
    <xf numFmtId="164" fontId="18" fillId="3" borderId="3" xfId="1" applyNumberFormat="1" applyFont="1" applyFill="1" applyBorder="1" applyAlignment="1">
      <alignment horizontal="right"/>
    </xf>
    <xf numFmtId="3" fontId="20" fillId="0" borderId="0" xfId="1" applyNumberFormat="1" applyFont="1"/>
    <xf numFmtId="164" fontId="20" fillId="3" borderId="2" xfId="1" applyNumberFormat="1" applyFont="1" applyFill="1" applyBorder="1" applyAlignment="1">
      <alignment horizontal="right"/>
    </xf>
    <xf numFmtId="0" fontId="17" fillId="0" borderId="0" xfId="1" applyFont="1"/>
    <xf numFmtId="0" fontId="24" fillId="0" borderId="0" xfId="1" applyFont="1"/>
    <xf numFmtId="164" fontId="18" fillId="0" borderId="0" xfId="1" applyNumberFormat="1" applyFont="1" applyAlignment="1">
      <alignment horizontal="right"/>
    </xf>
    <xf numFmtId="3" fontId="20" fillId="0" borderId="0" xfId="1" applyNumberFormat="1" applyFont="1" applyAlignment="1">
      <alignment horizontal="center"/>
    </xf>
    <xf numFmtId="164" fontId="20" fillId="0" borderId="0" xfId="1" applyNumberFormat="1" applyFont="1" applyAlignment="1">
      <alignment horizontal="right"/>
    </xf>
    <xf numFmtId="49" fontId="20" fillId="0" borderId="0" xfId="1" applyNumberFormat="1" applyFont="1" applyAlignment="1">
      <alignment horizontal="right"/>
    </xf>
    <xf numFmtId="164" fontId="18" fillId="3" borderId="6" xfId="1" applyNumberFormat="1" applyFont="1" applyFill="1" applyBorder="1" applyAlignment="1">
      <alignment horizontal="right"/>
    </xf>
    <xf numFmtId="3" fontId="20" fillId="0" borderId="0" xfId="1" quotePrefix="1" applyNumberFormat="1" applyFont="1" applyAlignment="1">
      <alignment horizontal="center"/>
    </xf>
    <xf numFmtId="0" fontId="18" fillId="0" borderId="0" xfId="1" applyFont="1" applyAlignment="1">
      <alignment horizontal="center"/>
    </xf>
    <xf numFmtId="0" fontId="18" fillId="0" borderId="6" xfId="1" applyFont="1" applyBorder="1"/>
    <xf numFmtId="14" fontId="19" fillId="0" borderId="0" xfId="1" applyNumberFormat="1" applyFont="1" applyAlignment="1">
      <alignment horizontal="center"/>
    </xf>
    <xf numFmtId="0" fontId="18" fillId="0" borderId="0" xfId="1" applyFont="1"/>
    <xf numFmtId="3" fontId="20" fillId="0" borderId="3" xfId="1" applyNumberFormat="1" applyFont="1" applyBorder="1" applyAlignment="1">
      <alignment horizontal="right"/>
    </xf>
    <xf numFmtId="3" fontId="20" fillId="0" borderId="6" xfId="1" applyNumberFormat="1" applyFont="1" applyBorder="1" applyAlignment="1">
      <alignment horizontal="right"/>
    </xf>
    <xf numFmtId="3" fontId="21" fillId="0" borderId="0" xfId="1" applyNumberFormat="1" applyFont="1" applyAlignment="1">
      <alignment horizontal="right"/>
    </xf>
    <xf numFmtId="0" fontId="20" fillId="0" borderId="4" xfId="1" applyFont="1" applyBorder="1"/>
    <xf numFmtId="0" fontId="20" fillId="0" borderId="0" xfId="1" applyFont="1" applyAlignment="1">
      <alignment horizontal="right"/>
    </xf>
    <xf numFmtId="0" fontId="40" fillId="0" borderId="0" xfId="0" applyFont="1"/>
    <xf numFmtId="0" fontId="41" fillId="0" borderId="0" xfId="0" applyFont="1"/>
    <xf numFmtId="0" fontId="42" fillId="0" borderId="0" xfId="0" applyFont="1"/>
    <xf numFmtId="0" fontId="44" fillId="0" borderId="0" xfId="0" applyFont="1"/>
    <xf numFmtId="0" fontId="44" fillId="0" borderId="0" xfId="3" applyFont="1" applyAlignment="1" applyProtection="1"/>
    <xf numFmtId="0" fontId="46" fillId="0" borderId="0" xfId="0" applyFont="1"/>
    <xf numFmtId="0" fontId="20" fillId="0" borderId="0" xfId="3" applyFont="1" applyFill="1" applyAlignment="1" applyProtection="1"/>
    <xf numFmtId="0" fontId="33" fillId="0" borderId="0" xfId="0" applyFont="1"/>
    <xf numFmtId="0" fontId="47" fillId="0" borderId="0" xfId="0" applyFont="1"/>
    <xf numFmtId="0" fontId="48" fillId="0" borderId="0" xfId="0" applyFont="1"/>
    <xf numFmtId="3" fontId="33" fillId="0" borderId="0" xfId="0" applyNumberFormat="1" applyFont="1"/>
    <xf numFmtId="0" fontId="43" fillId="0" borderId="0" xfId="0" applyFont="1"/>
    <xf numFmtId="0" fontId="39" fillId="0" borderId="0" xfId="0" applyFont="1"/>
    <xf numFmtId="14" fontId="16" fillId="0" borderId="13" xfId="0" applyNumberFormat="1" applyFont="1" applyBorder="1" applyAlignment="1">
      <alignment horizontal="left"/>
    </xf>
    <xf numFmtId="0" fontId="33" fillId="0" borderId="10" xfId="0" applyFont="1" applyBorder="1"/>
    <xf numFmtId="0" fontId="33" fillId="0" borderId="8" xfId="0" applyFont="1" applyBorder="1"/>
    <xf numFmtId="0" fontId="33" fillId="0" borderId="9" xfId="0" applyFont="1" applyBorder="1"/>
    <xf numFmtId="0" fontId="33" fillId="0" borderId="3" xfId="0" applyFont="1" applyBorder="1"/>
    <xf numFmtId="0" fontId="20" fillId="0" borderId="0" xfId="0" applyFont="1"/>
    <xf numFmtId="3" fontId="47" fillId="0" borderId="7" xfId="0" applyNumberFormat="1" applyFont="1" applyBorder="1"/>
    <xf numFmtId="0" fontId="47" fillId="0" borderId="0" xfId="0" applyFont="1" applyAlignment="1">
      <alignment horizontal="center"/>
    </xf>
    <xf numFmtId="0" fontId="47" fillId="0" borderId="3" xfId="0" applyFont="1" applyBorder="1" applyAlignment="1">
      <alignment horizontal="center"/>
    </xf>
    <xf numFmtId="3" fontId="47" fillId="0" borderId="3" xfId="0" applyNumberFormat="1" applyFont="1" applyBorder="1"/>
    <xf numFmtId="0" fontId="18" fillId="0" borderId="4" xfId="0" applyFont="1" applyBorder="1" applyAlignment="1">
      <alignment horizontal="center"/>
    </xf>
    <xf numFmtId="0" fontId="18" fillId="0" borderId="1" xfId="0" applyFont="1" applyBorder="1" applyAlignment="1">
      <alignment horizontal="center"/>
    </xf>
    <xf numFmtId="0" fontId="18" fillId="0" borderId="7" xfId="0" applyFont="1" applyBorder="1" applyAlignment="1">
      <alignment horizontal="center"/>
    </xf>
    <xf numFmtId="0" fontId="18" fillId="0" borderId="3" xfId="0" applyFont="1" applyBorder="1" applyAlignment="1">
      <alignment horizontal="center"/>
    </xf>
    <xf numFmtId="3" fontId="50" fillId="4" borderId="6" xfId="0" applyNumberFormat="1" applyFont="1" applyFill="1" applyBorder="1"/>
    <xf numFmtId="0" fontId="16" fillId="0" borderId="11" xfId="0" applyFont="1" applyBorder="1" applyAlignment="1">
      <alignment horizontal="center"/>
    </xf>
    <xf numFmtId="0" fontId="18" fillId="0" borderId="11" xfId="0" applyFont="1" applyBorder="1" applyAlignment="1">
      <alignment horizontal="center"/>
    </xf>
    <xf numFmtId="0" fontId="18" fillId="0" borderId="6" xfId="0" applyFont="1" applyBorder="1" applyAlignment="1">
      <alignment horizontal="center"/>
    </xf>
    <xf numFmtId="0" fontId="18" fillId="0" borderId="0" xfId="0" applyFont="1" applyAlignment="1">
      <alignment horizontal="center"/>
    </xf>
    <xf numFmtId="0" fontId="47" fillId="0" borderId="3" xfId="0" applyFont="1" applyBorder="1"/>
    <xf numFmtId="0" fontId="33" fillId="0" borderId="1" xfId="0" applyFont="1" applyBorder="1"/>
    <xf numFmtId="3" fontId="33" fillId="0" borderId="4" xfId="0" applyNumberFormat="1" applyFont="1" applyBorder="1"/>
    <xf numFmtId="3" fontId="33" fillId="0" borderId="4" xfId="0" applyNumberFormat="1" applyFont="1" applyBorder="1" applyAlignment="1">
      <alignment horizontal="right"/>
    </xf>
    <xf numFmtId="0" fontId="33" fillId="0" borderId="4" xfId="0" applyFont="1" applyBorder="1"/>
    <xf numFmtId="3" fontId="47" fillId="0" borderId="4" xfId="0" applyNumberFormat="1" applyFont="1" applyBorder="1"/>
    <xf numFmtId="3" fontId="47" fillId="0" borderId="4" xfId="0" applyNumberFormat="1" applyFont="1" applyBorder="1" applyAlignment="1">
      <alignment horizontal="right"/>
    </xf>
    <xf numFmtId="0" fontId="18" fillId="0" borderId="0" xfId="0" applyFont="1"/>
    <xf numFmtId="0" fontId="47" fillId="0" borderId="6" xfId="0" applyFont="1" applyBorder="1"/>
    <xf numFmtId="3" fontId="47" fillId="0" borderId="11" xfId="0" applyNumberFormat="1" applyFont="1" applyBorder="1"/>
    <xf numFmtId="3" fontId="47" fillId="0" borderId="11" xfId="0" applyNumberFormat="1" applyFont="1" applyBorder="1" applyAlignment="1">
      <alignment horizontal="right"/>
    </xf>
    <xf numFmtId="0" fontId="33" fillId="0" borderId="0" xfId="0" applyFont="1" applyAlignment="1">
      <alignment horizontal="left"/>
    </xf>
    <xf numFmtId="0" fontId="47" fillId="0" borderId="0" xfId="0" applyFont="1" applyAlignment="1">
      <alignment horizontal="left"/>
    </xf>
    <xf numFmtId="0" fontId="33" fillId="0" borderId="14" xfId="0" applyFont="1" applyBorder="1"/>
    <xf numFmtId="0" fontId="33" fillId="0" borderId="15" xfId="0" applyFont="1" applyBorder="1"/>
    <xf numFmtId="166" fontId="47" fillId="0" borderId="7" xfId="0" applyNumberFormat="1" applyFont="1" applyBorder="1" applyAlignment="1">
      <alignment horizontal="left"/>
    </xf>
    <xf numFmtId="0" fontId="47" fillId="0" borderId="2" xfId="0" applyFont="1" applyBorder="1" applyAlignment="1">
      <alignment horizontal="center"/>
    </xf>
    <xf numFmtId="166" fontId="47" fillId="0" borderId="3" xfId="0" applyNumberFormat="1" applyFont="1" applyBorder="1" applyAlignment="1">
      <alignment horizontal="left"/>
    </xf>
    <xf numFmtId="0" fontId="47" fillId="0" borderId="4" xfId="0" applyFont="1" applyBorder="1" applyAlignment="1">
      <alignment horizontal="center"/>
    </xf>
    <xf numFmtId="0" fontId="47" fillId="0" borderId="1" xfId="0" applyFont="1" applyBorder="1" applyAlignment="1">
      <alignment horizontal="center"/>
    </xf>
    <xf numFmtId="0" fontId="18" fillId="0" borderId="2" xfId="0" applyFont="1" applyBorder="1" applyAlignment="1">
      <alignment horizontal="center"/>
    </xf>
    <xf numFmtId="166" fontId="52" fillId="0" borderId="6" xfId="0" applyNumberFormat="1" applyFont="1" applyBorder="1" applyAlignment="1">
      <alignment horizontal="left"/>
    </xf>
    <xf numFmtId="0" fontId="16" fillId="0" borderId="6" xfId="0" applyFont="1" applyBorder="1" applyAlignment="1">
      <alignment horizontal="center"/>
    </xf>
    <xf numFmtId="0" fontId="18" fillId="0" borderId="12" xfId="0" applyFont="1" applyBorder="1" applyAlignment="1">
      <alignment horizontal="center"/>
    </xf>
    <xf numFmtId="3" fontId="33" fillId="0" borderId="1" xfId="0" applyNumberFormat="1" applyFont="1" applyBorder="1"/>
    <xf numFmtId="3" fontId="33" fillId="0" borderId="2" xfId="0" applyNumberFormat="1" applyFont="1" applyBorder="1"/>
    <xf numFmtId="3" fontId="53" fillId="0" borderId="4" xfId="0" applyNumberFormat="1" applyFont="1" applyBorder="1" applyAlignment="1">
      <alignment horizontal="right"/>
    </xf>
    <xf numFmtId="0" fontId="54" fillId="0" borderId="0" xfId="0" applyFont="1"/>
    <xf numFmtId="3" fontId="55" fillId="0" borderId="0" xfId="0" applyNumberFormat="1" applyFont="1"/>
    <xf numFmtId="0" fontId="55" fillId="0" borderId="0" xfId="0" applyFont="1"/>
    <xf numFmtId="0" fontId="47" fillId="0" borderId="4" xfId="0" applyFont="1" applyBorder="1"/>
    <xf numFmtId="3" fontId="47" fillId="0" borderId="0" xfId="0" applyNumberFormat="1" applyFont="1" applyAlignment="1">
      <alignment horizontal="right"/>
    </xf>
    <xf numFmtId="3" fontId="18" fillId="0" borderId="4" xfId="1" applyNumberFormat="1" applyFont="1" applyBorder="1"/>
    <xf numFmtId="3" fontId="17" fillId="0" borderId="0" xfId="1" applyNumberFormat="1" applyFont="1"/>
    <xf numFmtId="3" fontId="18" fillId="0" borderId="0" xfId="1" applyNumberFormat="1" applyFont="1"/>
    <xf numFmtId="3" fontId="18" fillId="0" borderId="1" xfId="1" applyNumberFormat="1" applyFont="1" applyBorder="1"/>
    <xf numFmtId="3" fontId="20" fillId="0" borderId="0" xfId="1" applyNumberFormat="1" applyFont="1" applyAlignment="1">
      <alignment horizontal="right"/>
    </xf>
    <xf numFmtId="3" fontId="16" fillId="0" borderId="0" xfId="1" applyNumberFormat="1" applyFont="1"/>
    <xf numFmtId="3" fontId="18" fillId="0" borderId="5" xfId="1" applyNumberFormat="1" applyFont="1" applyBorder="1" applyAlignment="1">
      <alignment horizontal="center"/>
    </xf>
    <xf numFmtId="3" fontId="24" fillId="0" borderId="0" xfId="1" applyNumberFormat="1" applyFont="1"/>
    <xf numFmtId="3" fontId="19" fillId="0" borderId="4" xfId="1" applyNumberFormat="1" applyFont="1" applyBorder="1" applyAlignment="1">
      <alignment horizontal="center"/>
    </xf>
    <xf numFmtId="3" fontId="20" fillId="0" borderId="4" xfId="1" applyNumberFormat="1" applyFont="1" applyBorder="1"/>
    <xf numFmtId="3" fontId="20" fillId="0" borderId="0" xfId="1" applyNumberFormat="1" applyFont="1" applyAlignment="1">
      <alignment horizontal="left"/>
    </xf>
    <xf numFmtId="3" fontId="18" fillId="0" borderId="6" xfId="1" applyNumberFormat="1" applyFont="1" applyBorder="1" applyAlignment="1">
      <alignment horizontal="center"/>
    </xf>
    <xf numFmtId="3" fontId="18" fillId="0" borderId="3" xfId="1" applyNumberFormat="1" applyFont="1" applyBorder="1"/>
    <xf numFmtId="3" fontId="18" fillId="0" borderId="0" xfId="1" applyNumberFormat="1" applyFont="1" applyAlignment="1">
      <alignment horizontal="right"/>
    </xf>
    <xf numFmtId="3" fontId="18" fillId="3" borderId="2" xfId="1" applyNumberFormat="1" applyFont="1" applyFill="1" applyBorder="1" applyAlignment="1">
      <alignment horizontal="right"/>
    </xf>
    <xf numFmtId="3" fontId="18" fillId="0" borderId="11" xfId="1" applyNumberFormat="1" applyFont="1" applyBorder="1" applyAlignment="1">
      <alignment horizontal="center"/>
    </xf>
    <xf numFmtId="3" fontId="18" fillId="0" borderId="7" xfId="1" applyNumberFormat="1" applyFont="1" applyBorder="1" applyAlignment="1">
      <alignment horizontal="center"/>
    </xf>
    <xf numFmtId="3" fontId="16" fillId="0" borderId="12" xfId="1" applyNumberFormat="1" applyFont="1" applyBorder="1"/>
    <xf numFmtId="3" fontId="20" fillId="3" borderId="3" xfId="1" applyNumberFormat="1" applyFont="1" applyFill="1" applyBorder="1" applyAlignment="1">
      <alignment horizontal="right"/>
    </xf>
    <xf numFmtId="3" fontId="20" fillId="3" borderId="6" xfId="1" applyNumberFormat="1" applyFont="1" applyFill="1" applyBorder="1" applyAlignment="1">
      <alignment horizontal="right"/>
    </xf>
    <xf numFmtId="3" fontId="18" fillId="3" borderId="6" xfId="1" applyNumberFormat="1" applyFont="1" applyFill="1" applyBorder="1" applyAlignment="1">
      <alignment horizontal="right"/>
    </xf>
    <xf numFmtId="3" fontId="18" fillId="3" borderId="5" xfId="1" applyNumberFormat="1" applyFont="1" applyFill="1" applyBorder="1" applyAlignment="1">
      <alignment horizontal="right"/>
    </xf>
    <xf numFmtId="3" fontId="18" fillId="3" borderId="3" xfId="1" applyNumberFormat="1" applyFont="1" applyFill="1" applyBorder="1" applyAlignment="1">
      <alignment horizontal="right"/>
    </xf>
    <xf numFmtId="3" fontId="20" fillId="0" borderId="10" xfId="1" applyNumberFormat="1" applyFont="1" applyBorder="1" applyAlignment="1">
      <alignment horizontal="left"/>
    </xf>
    <xf numFmtId="3" fontId="19" fillId="0" borderId="7" xfId="1" applyNumberFormat="1" applyFont="1" applyBorder="1" applyAlignment="1">
      <alignment horizontal="center"/>
    </xf>
    <xf numFmtId="3" fontId="18" fillId="0" borderId="0" xfId="1" applyNumberFormat="1" applyFont="1" applyAlignment="1">
      <alignment horizontal="center"/>
    </xf>
    <xf numFmtId="3" fontId="19" fillId="0" borderId="0" xfId="1" applyNumberFormat="1" applyFont="1" applyAlignment="1">
      <alignment horizontal="center"/>
    </xf>
    <xf numFmtId="3" fontId="20" fillId="3" borderId="2" xfId="1" applyNumberFormat="1" applyFont="1" applyFill="1" applyBorder="1" applyAlignment="1">
      <alignment horizontal="right"/>
    </xf>
    <xf numFmtId="3" fontId="33" fillId="0" borderId="3" xfId="0" applyNumberFormat="1" applyFont="1" applyBorder="1"/>
    <xf numFmtId="3" fontId="47" fillId="0" borderId="0" xfId="0" applyNumberFormat="1" applyFont="1"/>
    <xf numFmtId="3" fontId="47" fillId="0" borderId="6" xfId="0" applyNumberFormat="1" applyFont="1" applyBorder="1"/>
    <xf numFmtId="3" fontId="33" fillId="0" borderId="0" xfId="0" applyNumberFormat="1" applyFont="1" applyAlignment="1">
      <alignment horizontal="right"/>
    </xf>
    <xf numFmtId="3" fontId="53" fillId="0" borderId="0" xfId="0" applyNumberFormat="1" applyFont="1" applyAlignment="1">
      <alignment horizontal="right"/>
    </xf>
    <xf numFmtId="0" fontId="16" fillId="0" borderId="4" xfId="0" applyFont="1" applyBorder="1" applyAlignment="1">
      <alignment horizontal="center"/>
    </xf>
    <xf numFmtId="0" fontId="16" fillId="0" borderId="3" xfId="0" applyFont="1" applyBorder="1" applyAlignment="1">
      <alignment horizontal="center"/>
    </xf>
    <xf numFmtId="3" fontId="20" fillId="2" borderId="3" xfId="1" applyNumberFormat="1" applyFont="1" applyFill="1" applyBorder="1" applyAlignment="1">
      <alignment horizontal="right"/>
    </xf>
    <xf numFmtId="3" fontId="25" fillId="0" borderId="4" xfId="1" applyNumberFormat="1" applyFont="1" applyBorder="1" applyAlignment="1">
      <alignment horizontal="right"/>
    </xf>
    <xf numFmtId="3" fontId="25" fillId="0" borderId="3" xfId="1" applyNumberFormat="1" applyFont="1" applyBorder="1" applyAlignment="1">
      <alignment horizontal="right"/>
    </xf>
    <xf numFmtId="3" fontId="20" fillId="0" borderId="4" xfId="1" quotePrefix="1" applyNumberFormat="1" applyFont="1" applyBorder="1" applyAlignment="1">
      <alignment horizontal="right"/>
    </xf>
    <xf numFmtId="166" fontId="47" fillId="0" borderId="4" xfId="0" applyNumberFormat="1" applyFont="1" applyBorder="1" applyAlignment="1">
      <alignment horizontal="left"/>
    </xf>
    <xf numFmtId="0" fontId="53" fillId="0" borderId="4" xfId="0" applyFont="1" applyBorder="1"/>
    <xf numFmtId="0" fontId="47" fillId="0" borderId="11" xfId="0" applyFont="1" applyBorder="1"/>
    <xf numFmtId="3" fontId="33" fillId="0" borderId="3" xfId="0" applyNumberFormat="1" applyFont="1" applyBorder="1" applyAlignment="1">
      <alignment horizontal="right"/>
    </xf>
    <xf numFmtId="3" fontId="53" fillId="0" borderId="3" xfId="0" applyNumberFormat="1" applyFont="1" applyBorder="1" applyAlignment="1">
      <alignment horizontal="right"/>
    </xf>
    <xf numFmtId="3" fontId="47" fillId="0" borderId="3" xfId="0" applyNumberFormat="1" applyFont="1" applyBorder="1" applyAlignment="1">
      <alignment horizontal="right"/>
    </xf>
    <xf numFmtId="3" fontId="47" fillId="0" borderId="6" xfId="0" applyNumberFormat="1" applyFont="1" applyBorder="1" applyAlignment="1">
      <alignment horizontal="right"/>
    </xf>
    <xf numFmtId="0" fontId="39" fillId="0" borderId="4" xfId="0" applyFont="1" applyBorder="1" applyAlignment="1">
      <alignment horizontal="right"/>
    </xf>
    <xf numFmtId="3" fontId="33" fillId="0" borderId="7" xfId="0" applyNumberFormat="1" applyFont="1" applyBorder="1" applyAlignment="1">
      <alignment horizontal="right"/>
    </xf>
    <xf numFmtId="3" fontId="33" fillId="0" borderId="14" xfId="0" applyNumberFormat="1" applyFont="1" applyBorder="1" applyAlignment="1">
      <alignment horizontal="right"/>
    </xf>
    <xf numFmtId="0" fontId="39" fillId="0" borderId="3" xfId="0" applyFont="1" applyBorder="1" applyAlignment="1">
      <alignment horizontal="right"/>
    </xf>
    <xf numFmtId="3" fontId="33" fillId="0" borderId="6" xfId="0" applyNumberFormat="1" applyFont="1" applyBorder="1" applyAlignment="1">
      <alignment horizontal="right"/>
    </xf>
    <xf numFmtId="3" fontId="18" fillId="0" borderId="0" xfId="0" applyNumberFormat="1" applyFont="1"/>
    <xf numFmtId="3" fontId="18" fillId="0" borderId="4" xfId="1" applyNumberFormat="1" applyFont="1" applyBorder="1" applyAlignment="1">
      <alignment horizontal="center"/>
    </xf>
    <xf numFmtId="3" fontId="20" fillId="0" borderId="0" xfId="0" applyNumberFormat="1" applyFont="1"/>
    <xf numFmtId="0" fontId="20" fillId="8" borderId="1" xfId="0" applyFont="1" applyFill="1" applyBorder="1"/>
    <xf numFmtId="0" fontId="20" fillId="8" borderId="15" xfId="0" applyFont="1" applyFill="1" applyBorder="1"/>
    <xf numFmtId="0" fontId="20" fillId="8" borderId="14" xfId="0" applyFont="1" applyFill="1" applyBorder="1"/>
    <xf numFmtId="0" fontId="18" fillId="8" borderId="1" xfId="0" applyFont="1" applyFill="1" applyBorder="1" applyAlignment="1">
      <alignment horizontal="center"/>
    </xf>
    <xf numFmtId="0" fontId="18" fillId="8" borderId="15" xfId="0" applyFont="1" applyFill="1" applyBorder="1" applyAlignment="1">
      <alignment horizontal="center"/>
    </xf>
    <xf numFmtId="0" fontId="18" fillId="8" borderId="14" xfId="0" applyFont="1" applyFill="1" applyBorder="1" applyAlignment="1">
      <alignment horizontal="center"/>
    </xf>
    <xf numFmtId="0" fontId="18" fillId="8" borderId="11" xfId="0" applyFont="1" applyFill="1" applyBorder="1" applyAlignment="1">
      <alignment horizontal="center"/>
    </xf>
    <xf numFmtId="0" fontId="18" fillId="8" borderId="5" xfId="0" applyFont="1" applyFill="1" applyBorder="1" applyAlignment="1">
      <alignment horizontal="center"/>
    </xf>
    <xf numFmtId="0" fontId="18" fillId="8" borderId="12" xfId="0" applyFont="1" applyFill="1" applyBorder="1" applyAlignment="1">
      <alignment horizontal="center"/>
    </xf>
    <xf numFmtId="0" fontId="18" fillId="8" borderId="3" xfId="0" applyFont="1" applyFill="1" applyBorder="1"/>
    <xf numFmtId="3" fontId="20" fillId="8" borderId="2" xfId="0" applyNumberFormat="1" applyFont="1" applyFill="1" applyBorder="1"/>
    <xf numFmtId="3" fontId="20" fillId="8" borderId="7" xfId="0" applyNumberFormat="1" applyFont="1" applyFill="1" applyBorder="1"/>
    <xf numFmtId="3" fontId="20" fillId="8" borderId="3" xfId="0" applyNumberFormat="1" applyFont="1" applyFill="1" applyBorder="1"/>
    <xf numFmtId="0" fontId="18" fillId="8" borderId="3" xfId="0" applyFont="1" applyFill="1" applyBorder="1" applyAlignment="1">
      <alignment horizontal="center"/>
    </xf>
    <xf numFmtId="0" fontId="18" fillId="8" borderId="2" xfId="0" applyFont="1" applyFill="1" applyBorder="1" applyAlignment="1">
      <alignment horizontal="center"/>
    </xf>
    <xf numFmtId="0" fontId="20" fillId="8" borderId="2" xfId="0" applyFont="1" applyFill="1" applyBorder="1"/>
    <xf numFmtId="0" fontId="20" fillId="8" borderId="3" xfId="0" applyFont="1" applyFill="1" applyBorder="1"/>
    <xf numFmtId="3" fontId="18" fillId="8" borderId="6" xfId="0" applyNumberFormat="1" applyFont="1" applyFill="1" applyBorder="1"/>
    <xf numFmtId="3" fontId="18" fillId="8" borderId="5" xfId="0" applyNumberFormat="1" applyFont="1" applyFill="1" applyBorder="1"/>
    <xf numFmtId="3" fontId="33" fillId="0" borderId="2" xfId="0" quotePrefix="1" applyNumberFormat="1" applyFont="1" applyBorder="1" applyAlignment="1">
      <alignment horizontal="right"/>
    </xf>
    <xf numFmtId="0" fontId="39" fillId="0" borderId="1" xfId="0" applyFont="1" applyBorder="1" applyAlignment="1">
      <alignment horizontal="right"/>
    </xf>
    <xf numFmtId="3" fontId="33" fillId="0" borderId="3" xfId="0" quotePrefix="1" applyNumberFormat="1" applyFont="1" applyBorder="1" applyAlignment="1">
      <alignment horizontal="right"/>
    </xf>
    <xf numFmtId="3" fontId="20" fillId="0" borderId="2" xfId="1" applyNumberFormat="1" applyFont="1" applyBorder="1" applyAlignment="1">
      <alignment horizontal="right"/>
    </xf>
    <xf numFmtId="3" fontId="20" fillId="2" borderId="2" xfId="1" applyNumberFormat="1" applyFont="1" applyFill="1" applyBorder="1" applyAlignment="1">
      <alignment horizontal="right"/>
    </xf>
    <xf numFmtId="3" fontId="18" fillId="0" borderId="3" xfId="1" applyNumberFormat="1" applyFont="1" applyBorder="1" applyAlignment="1">
      <alignment horizontal="right"/>
    </xf>
    <xf numFmtId="3" fontId="20" fillId="0" borderId="2" xfId="1" quotePrefix="1" applyNumberFormat="1" applyFont="1" applyBorder="1" applyAlignment="1">
      <alignment horizontal="right"/>
    </xf>
    <xf numFmtId="3" fontId="20" fillId="0" borderId="6" xfId="1" quotePrefix="1" applyNumberFormat="1" applyFont="1" applyBorder="1" applyAlignment="1">
      <alignment horizontal="right"/>
    </xf>
    <xf numFmtId="3" fontId="20" fillId="0" borderId="5" xfId="1" quotePrefix="1" applyNumberFormat="1" applyFont="1" applyBorder="1" applyAlignment="1">
      <alignment horizontal="right"/>
    </xf>
    <xf numFmtId="3" fontId="20" fillId="3" borderId="0" xfId="1" applyNumberFormat="1" applyFont="1" applyFill="1" applyAlignment="1">
      <alignment horizontal="right"/>
    </xf>
    <xf numFmtId="164" fontId="57" fillId="7" borderId="3" xfId="844" applyNumberFormat="1" applyFont="1" applyBorder="1" applyAlignment="1">
      <alignment horizontal="right"/>
    </xf>
    <xf numFmtId="3" fontId="47" fillId="0" borderId="2" xfId="0" applyNumberFormat="1" applyFont="1" applyBorder="1"/>
    <xf numFmtId="3" fontId="19" fillId="0" borderId="1" xfId="1" applyNumberFormat="1" applyFont="1" applyBorder="1" applyAlignment="1">
      <alignment horizontal="center"/>
    </xf>
    <xf numFmtId="3" fontId="16" fillId="0" borderId="9" xfId="1" applyNumberFormat="1" applyFont="1" applyBorder="1" applyAlignment="1">
      <alignment horizontal="center"/>
    </xf>
    <xf numFmtId="3" fontId="19" fillId="0" borderId="6" xfId="1" applyNumberFormat="1" applyFont="1" applyBorder="1" applyAlignment="1">
      <alignment horizontal="center"/>
    </xf>
    <xf numFmtId="3" fontId="18" fillId="0" borderId="3" xfId="1" applyNumberFormat="1" applyFont="1" applyBorder="1" applyAlignment="1">
      <alignment horizontal="center"/>
    </xf>
    <xf numFmtId="3" fontId="19" fillId="0" borderId="3" xfId="1" applyNumberFormat="1" applyFont="1" applyBorder="1" applyAlignment="1">
      <alignment horizontal="center"/>
    </xf>
    <xf numFmtId="3" fontId="18" fillId="0" borderId="2" xfId="1" applyNumberFormat="1" applyFont="1" applyBorder="1" applyAlignment="1">
      <alignment horizontal="center"/>
    </xf>
    <xf numFmtId="3" fontId="16" fillId="0" borderId="1" xfId="1" applyNumberFormat="1" applyFont="1" applyBorder="1"/>
    <xf numFmtId="0" fontId="20" fillId="0" borderId="6" xfId="0" applyFont="1" applyBorder="1"/>
    <xf numFmtId="0" fontId="18" fillId="0" borderId="3" xfId="1" applyFont="1" applyBorder="1" applyAlignment="1">
      <alignment horizontal="center"/>
    </xf>
    <xf numFmtId="0" fontId="18" fillId="0" borderId="15" xfId="1" applyFont="1" applyBorder="1" applyAlignment="1">
      <alignment horizontal="center"/>
    </xf>
    <xf numFmtId="14" fontId="19" fillId="0" borderId="1" xfId="1" applyNumberFormat="1" applyFont="1" applyBorder="1" applyAlignment="1">
      <alignment horizontal="center"/>
    </xf>
    <xf numFmtId="14" fontId="19" fillId="0" borderId="7" xfId="1" applyNumberFormat="1" applyFont="1" applyBorder="1" applyAlignment="1">
      <alignment horizontal="center"/>
    </xf>
    <xf numFmtId="14" fontId="19" fillId="0" borderId="15" xfId="1" applyNumberFormat="1" applyFont="1" applyBorder="1" applyAlignment="1">
      <alignment horizontal="center"/>
    </xf>
    <xf numFmtId="0" fontId="20" fillId="0" borderId="5" xfId="1" applyFont="1" applyBorder="1"/>
    <xf numFmtId="0" fontId="20" fillId="0" borderId="9" xfId="1" applyFont="1" applyBorder="1"/>
    <xf numFmtId="167" fontId="20" fillId="0" borderId="0" xfId="1" applyNumberFormat="1" applyFont="1" applyAlignment="1">
      <alignment horizontal="center"/>
    </xf>
    <xf numFmtId="167" fontId="20" fillId="3" borderId="3" xfId="1" applyNumberFormat="1" applyFont="1" applyFill="1" applyBorder="1" applyAlignment="1">
      <alignment horizontal="right"/>
    </xf>
    <xf numFmtId="167" fontId="20" fillId="3" borderId="6" xfId="1" applyNumberFormat="1" applyFont="1" applyFill="1" applyBorder="1" applyAlignment="1">
      <alignment horizontal="right"/>
    </xf>
    <xf numFmtId="0" fontId="47" fillId="0" borderId="7" xfId="0" applyFont="1" applyBorder="1"/>
    <xf numFmtId="166" fontId="18" fillId="0" borderId="4" xfId="0" applyNumberFormat="1" applyFont="1" applyBorder="1" applyAlignment="1">
      <alignment horizontal="center"/>
    </xf>
    <xf numFmtId="166" fontId="18" fillId="0" borderId="11" xfId="0" applyNumberFormat="1" applyFont="1" applyBorder="1" applyAlignment="1">
      <alignment horizontal="center"/>
    </xf>
    <xf numFmtId="0" fontId="18" fillId="0" borderId="5" xfId="0" applyFont="1" applyBorder="1" applyAlignment="1">
      <alignment horizontal="center"/>
    </xf>
    <xf numFmtId="164" fontId="47" fillId="0" borderId="4" xfId="0" applyNumberFormat="1" applyFont="1" applyBorder="1" applyAlignment="1">
      <alignment horizontal="right"/>
    </xf>
    <xf numFmtId="164" fontId="47" fillId="0" borderId="3" xfId="0" applyNumberFormat="1" applyFont="1" applyBorder="1" applyAlignment="1">
      <alignment horizontal="right"/>
    </xf>
    <xf numFmtId="164" fontId="33" fillId="0" borderId="4" xfId="0" applyNumberFormat="1" applyFont="1" applyBorder="1" applyAlignment="1">
      <alignment horizontal="right"/>
    </xf>
    <xf numFmtId="164" fontId="33" fillId="0" borderId="3" xfId="0" applyNumberFormat="1" applyFont="1" applyBorder="1" applyAlignment="1">
      <alignment horizontal="right"/>
    </xf>
    <xf numFmtId="0" fontId="33" fillId="0" borderId="11" xfId="0" applyFont="1" applyBorder="1"/>
    <xf numFmtId="3" fontId="33" fillId="0" borderId="11" xfId="0" applyNumberFormat="1" applyFont="1" applyBorder="1"/>
    <xf numFmtId="164" fontId="33" fillId="0" borderId="11" xfId="0" applyNumberFormat="1" applyFont="1" applyBorder="1" applyAlignment="1">
      <alignment horizontal="right"/>
    </xf>
    <xf numFmtId="164" fontId="33" fillId="0" borderId="6" xfId="0" applyNumberFormat="1" applyFont="1" applyBorder="1" applyAlignment="1">
      <alignment horizontal="right"/>
    </xf>
    <xf numFmtId="0" fontId="44" fillId="9" borderId="0" xfId="0" applyFont="1" applyFill="1"/>
    <xf numFmtId="0" fontId="68" fillId="0" borderId="0" xfId="3" applyFont="1" applyAlignment="1" applyProtection="1"/>
    <xf numFmtId="0" fontId="43" fillId="0" borderId="0" xfId="0" applyFont="1" applyAlignment="1">
      <alignment horizontal="center"/>
    </xf>
    <xf numFmtId="3" fontId="18" fillId="0" borderId="6" xfId="1" applyNumberFormat="1" applyFont="1" applyBorder="1" applyAlignment="1">
      <alignment horizontal="right"/>
    </xf>
    <xf numFmtId="3" fontId="69" fillId="0" borderId="4" xfId="1" applyNumberFormat="1" applyFont="1" applyBorder="1" applyAlignment="1">
      <alignment horizontal="right"/>
    </xf>
    <xf numFmtId="3" fontId="69" fillId="0" borderId="3" xfId="1" applyNumberFormat="1" applyFont="1" applyBorder="1" applyAlignment="1">
      <alignment horizontal="right"/>
    </xf>
    <xf numFmtId="3" fontId="69" fillId="0" borderId="11" xfId="1" applyNumberFormat="1" applyFont="1" applyBorder="1" applyAlignment="1">
      <alignment horizontal="right"/>
    </xf>
    <xf numFmtId="3" fontId="69" fillId="0" borderId="6" xfId="1" applyNumberFormat="1" applyFont="1" applyBorder="1" applyAlignment="1">
      <alignment horizontal="right"/>
    </xf>
    <xf numFmtId="3" fontId="20" fillId="0" borderId="3" xfId="2" applyNumberFormat="1" applyFont="1" applyFill="1" applyBorder="1" applyAlignment="1">
      <alignment horizontal="right"/>
    </xf>
    <xf numFmtId="3" fontId="20" fillId="0" borderId="4" xfId="2" applyNumberFormat="1" applyFont="1" applyFill="1" applyBorder="1" applyAlignment="1">
      <alignment horizontal="right"/>
    </xf>
    <xf numFmtId="3" fontId="20" fillId="0" borderId="6" xfId="2" applyNumberFormat="1" applyFont="1" applyFill="1" applyBorder="1" applyAlignment="1">
      <alignment horizontal="right"/>
    </xf>
    <xf numFmtId="3" fontId="20" fillId="0" borderId="11" xfId="2" applyNumberFormat="1" applyFont="1" applyFill="1" applyBorder="1" applyAlignment="1">
      <alignment horizontal="right"/>
    </xf>
    <xf numFmtId="3" fontId="20" fillId="2" borderId="3" xfId="2" applyNumberFormat="1" applyFont="1" applyFill="1" applyBorder="1" applyAlignment="1">
      <alignment horizontal="right"/>
    </xf>
    <xf numFmtId="3" fontId="20" fillId="2" borderId="4" xfId="2" applyNumberFormat="1" applyFont="1" applyFill="1" applyBorder="1" applyAlignment="1">
      <alignment horizontal="right"/>
    </xf>
    <xf numFmtId="3" fontId="20" fillId="0" borderId="4" xfId="1" applyNumberFormat="1" applyFont="1" applyBorder="1" applyAlignment="1">
      <alignment horizontal="right"/>
    </xf>
    <xf numFmtId="3" fontId="20" fillId="2" borderId="0" xfId="1" applyNumberFormat="1" applyFont="1" applyFill="1" applyAlignment="1">
      <alignment horizontal="right"/>
    </xf>
    <xf numFmtId="3" fontId="20" fillId="0" borderId="3" xfId="2" applyNumberFormat="1" applyFont="1" applyBorder="1" applyAlignment="1">
      <alignment horizontal="right"/>
    </xf>
    <xf numFmtId="3" fontId="25" fillId="0" borderId="2" xfId="1" applyNumberFormat="1" applyFont="1" applyBorder="1" applyAlignment="1">
      <alignment horizontal="right"/>
    </xf>
    <xf numFmtId="3" fontId="25" fillId="0" borderId="0" xfId="1" applyNumberFormat="1" applyFont="1" applyAlignment="1">
      <alignment horizontal="right"/>
    </xf>
    <xf numFmtId="3" fontId="21" fillId="2" borderId="2" xfId="1" applyNumberFormat="1" applyFont="1" applyFill="1" applyBorder="1" applyAlignment="1">
      <alignment horizontal="right"/>
    </xf>
    <xf numFmtId="3" fontId="20" fillId="0" borderId="3" xfId="2" applyNumberFormat="1" applyFont="1" applyBorder="1" applyAlignment="1">
      <alignment horizontal="left"/>
    </xf>
    <xf numFmtId="0" fontId="16" fillId="0" borderId="0" xfId="1" applyFont="1" applyAlignment="1">
      <alignment horizontal="center"/>
    </xf>
    <xf numFmtId="3" fontId="16" fillId="0" borderId="0" xfId="1" applyNumberFormat="1" applyFont="1" applyAlignment="1">
      <alignment horizontal="center"/>
    </xf>
    <xf numFmtId="3" fontId="18" fillId="0" borderId="10" xfId="1" applyNumberFormat="1" applyFont="1" applyBorder="1" applyAlignment="1">
      <alignment horizontal="center"/>
    </xf>
    <xf numFmtId="3" fontId="18" fillId="0" borderId="8" xfId="1" applyNumberFormat="1" applyFont="1" applyBorder="1" applyAlignment="1">
      <alignment horizontal="center"/>
    </xf>
    <xf numFmtId="3" fontId="16" fillId="0" borderId="12" xfId="1" applyNumberFormat="1" applyFont="1" applyBorder="1" applyAlignment="1">
      <alignment horizontal="center"/>
    </xf>
    <xf numFmtId="3" fontId="18" fillId="0" borderId="9" xfId="1" applyNumberFormat="1" applyFont="1" applyBorder="1" applyAlignment="1">
      <alignment horizontal="center"/>
    </xf>
    <xf numFmtId="3" fontId="18" fillId="0" borderId="1" xfId="1" applyNumberFormat="1" applyFont="1" applyBorder="1" applyAlignment="1">
      <alignment horizontal="center"/>
    </xf>
    <xf numFmtId="3" fontId="18" fillId="0" borderId="7" xfId="2" applyNumberFormat="1" applyFont="1" applyFill="1" applyBorder="1" applyAlignment="1">
      <alignment horizontal="right"/>
    </xf>
    <xf numFmtId="3" fontId="18" fillId="0" borderId="1" xfId="2" applyNumberFormat="1" applyFont="1" applyFill="1" applyBorder="1" applyAlignment="1">
      <alignment horizontal="right"/>
    </xf>
    <xf numFmtId="3" fontId="18" fillId="0" borderId="2" xfId="1" applyNumberFormat="1" applyFont="1" applyBorder="1" applyAlignment="1">
      <alignment horizontal="right"/>
    </xf>
    <xf numFmtId="3" fontId="18" fillId="0" borderId="4" xfId="1" applyNumberFormat="1" applyFont="1" applyBorder="1" applyAlignment="1">
      <alignment horizontal="right"/>
    </xf>
    <xf numFmtId="3" fontId="18" fillId="0" borderId="3" xfId="2" applyNumberFormat="1" applyFont="1" applyFill="1" applyBorder="1" applyAlignment="1">
      <alignment horizontal="right"/>
    </xf>
    <xf numFmtId="3" fontId="18" fillId="0" borderId="4" xfId="2" applyNumberFormat="1" applyFont="1" applyFill="1" applyBorder="1" applyAlignment="1">
      <alignment horizontal="right"/>
    </xf>
    <xf numFmtId="3" fontId="18" fillId="0" borderId="6" xfId="2" applyNumberFormat="1" applyFont="1" applyFill="1" applyBorder="1" applyAlignment="1">
      <alignment horizontal="right"/>
    </xf>
    <xf numFmtId="3" fontId="18" fillId="0" borderId="11" xfId="2" applyNumberFormat="1" applyFont="1" applyFill="1" applyBorder="1" applyAlignment="1">
      <alignment horizontal="right"/>
    </xf>
    <xf numFmtId="3" fontId="18" fillId="0" borderId="5" xfId="1" applyNumberFormat="1" applyFont="1" applyBorder="1" applyAlignment="1">
      <alignment horizontal="right"/>
    </xf>
    <xf numFmtId="3" fontId="18" fillId="0" borderId="11" xfId="1" applyNumberFormat="1" applyFont="1" applyBorder="1" applyAlignment="1">
      <alignment horizontal="right"/>
    </xf>
    <xf numFmtId="3" fontId="18" fillId="0" borderId="7" xfId="1" applyNumberFormat="1" applyFont="1" applyBorder="1" applyAlignment="1">
      <alignment horizontal="right"/>
    </xf>
    <xf numFmtId="3" fontId="18" fillId="0" borderId="1" xfId="1" applyNumberFormat="1" applyFont="1" applyBorder="1" applyAlignment="1">
      <alignment horizontal="right"/>
    </xf>
    <xf numFmtId="3" fontId="18" fillId="0" borderId="15" xfId="1" applyNumberFormat="1" applyFont="1" applyBorder="1" applyAlignment="1">
      <alignment horizontal="right"/>
    </xf>
    <xf numFmtId="3" fontId="18" fillId="2" borderId="2" xfId="1" applyNumberFormat="1" applyFont="1" applyFill="1" applyBorder="1" applyAlignment="1">
      <alignment horizontal="right"/>
    </xf>
    <xf numFmtId="3" fontId="18" fillId="2" borderId="0" xfId="1" applyNumberFormat="1" applyFont="1" applyFill="1" applyAlignment="1">
      <alignment horizontal="right"/>
    </xf>
    <xf numFmtId="3" fontId="18" fillId="2" borderId="4" xfId="1" applyNumberFormat="1" applyFont="1" applyFill="1" applyBorder="1" applyAlignment="1">
      <alignment horizontal="right"/>
    </xf>
    <xf numFmtId="3" fontId="18" fillId="2" borderId="5" xfId="1" applyNumberFormat="1" applyFont="1" applyFill="1" applyBorder="1" applyAlignment="1">
      <alignment horizontal="right"/>
    </xf>
    <xf numFmtId="3" fontId="18" fillId="2" borderId="11" xfId="1" applyNumberFormat="1" applyFont="1" applyFill="1" applyBorder="1" applyAlignment="1">
      <alignment horizontal="right"/>
    </xf>
    <xf numFmtId="3" fontId="18" fillId="2" borderId="3" xfId="1" applyNumberFormat="1" applyFont="1" applyFill="1" applyBorder="1" applyAlignment="1">
      <alignment horizontal="right"/>
    </xf>
    <xf numFmtId="3" fontId="18" fillId="2" borderId="6" xfId="1" applyNumberFormat="1" applyFont="1" applyFill="1" applyBorder="1" applyAlignment="1">
      <alignment horizontal="right"/>
    </xf>
    <xf numFmtId="14" fontId="19" fillId="0" borderId="10" xfId="1" applyNumberFormat="1" applyFont="1" applyBorder="1"/>
    <xf numFmtId="0" fontId="0" fillId="0" borderId="8" xfId="0" applyBorder="1"/>
    <xf numFmtId="3" fontId="18" fillId="0" borderId="2" xfId="1" quotePrefix="1" applyNumberFormat="1" applyFont="1" applyBorder="1" applyAlignment="1">
      <alignment horizontal="right"/>
    </xf>
    <xf numFmtId="0" fontId="58" fillId="0" borderId="0" xfId="1" applyFont="1"/>
    <xf numFmtId="0" fontId="17" fillId="0" borderId="0" xfId="1" applyFont="1" applyAlignment="1">
      <alignment horizontal="right" vertical="top"/>
    </xf>
    <xf numFmtId="0" fontId="17" fillId="0" borderId="0" xfId="1" applyFont="1" applyAlignment="1">
      <alignment vertical="top" wrapText="1"/>
    </xf>
    <xf numFmtId="0" fontId="17" fillId="0" borderId="0" xfId="1" applyFont="1" applyAlignment="1">
      <alignment horizontal="right"/>
    </xf>
    <xf numFmtId="0" fontId="17" fillId="0" borderId="0" xfId="1" applyFont="1" applyAlignment="1">
      <alignment wrapText="1"/>
    </xf>
    <xf numFmtId="0" fontId="16" fillId="0" borderId="0" xfId="1" applyFont="1" applyAlignment="1">
      <alignment horizontal="left"/>
    </xf>
    <xf numFmtId="3" fontId="33" fillId="4" borderId="3" xfId="0" applyNumberFormat="1" applyFont="1" applyFill="1" applyBorder="1" applyAlignment="1" applyProtection="1">
      <alignment horizontal="right"/>
      <protection locked="0"/>
    </xf>
    <xf numFmtId="0" fontId="70" fillId="0" borderId="0" xfId="0" applyFont="1" applyAlignment="1">
      <alignment horizontal="left" vertical="center" readingOrder="1"/>
    </xf>
    <xf numFmtId="0" fontId="72" fillId="0" borderId="0" xfId="1" applyFont="1" applyAlignment="1">
      <alignment horizontal="left"/>
    </xf>
    <xf numFmtId="0" fontId="21" fillId="0" borderId="0" xfId="1" applyFont="1"/>
    <xf numFmtId="0" fontId="44" fillId="9" borderId="0" xfId="3" applyFont="1" applyFill="1" applyAlignment="1" applyProtection="1"/>
    <xf numFmtId="0" fontId="66" fillId="0" borderId="0" xfId="0" applyFont="1"/>
    <xf numFmtId="0" fontId="67" fillId="0" borderId="0" xfId="0" applyFont="1"/>
    <xf numFmtId="0" fontId="44" fillId="0" borderId="0" xfId="3" applyFont="1" applyFill="1" applyAlignment="1" applyProtection="1"/>
    <xf numFmtId="3" fontId="18" fillId="3" borderId="7" xfId="1" applyNumberFormat="1" applyFont="1" applyFill="1" applyBorder="1" applyAlignment="1">
      <alignment horizontal="right"/>
    </xf>
    <xf numFmtId="0" fontId="74" fillId="0" borderId="0" xfId="1" applyFont="1" applyAlignment="1">
      <alignment horizontal="left"/>
    </xf>
    <xf numFmtId="3" fontId="69" fillId="0" borderId="2" xfId="1" applyNumberFormat="1" applyFont="1" applyBorder="1" applyAlignment="1">
      <alignment horizontal="right"/>
    </xf>
    <xf numFmtId="3" fontId="61" fillId="0" borderId="2" xfId="1" applyNumberFormat="1" applyFont="1" applyBorder="1" applyAlignment="1">
      <alignment horizontal="right"/>
    </xf>
    <xf numFmtId="3" fontId="16" fillId="0" borderId="14" xfId="1" applyNumberFormat="1" applyFont="1" applyBorder="1" applyAlignment="1">
      <alignment horizontal="center"/>
    </xf>
    <xf numFmtId="170" fontId="18" fillId="0" borderId="7" xfId="846" applyFont="1" applyFill="1" applyBorder="1" applyAlignment="1">
      <alignment horizontal="right"/>
    </xf>
    <xf numFmtId="170" fontId="18" fillId="0" borderId="1" xfId="846" applyFont="1" applyFill="1" applyBorder="1" applyAlignment="1">
      <alignment horizontal="right"/>
    </xf>
    <xf numFmtId="170" fontId="20" fillId="0" borderId="3" xfId="846" applyFont="1" applyBorder="1" applyAlignment="1">
      <alignment horizontal="right"/>
    </xf>
    <xf numFmtId="170" fontId="20" fillId="0" borderId="3" xfId="846" applyFont="1" applyFill="1" applyBorder="1" applyAlignment="1">
      <alignment horizontal="right"/>
    </xf>
    <xf numFmtId="170" fontId="20" fillId="0" borderId="4" xfId="846" applyFont="1" applyFill="1" applyBorder="1" applyAlignment="1">
      <alignment horizontal="right"/>
    </xf>
    <xf numFmtId="170" fontId="18" fillId="0" borderId="3" xfId="846" applyFont="1" applyFill="1" applyBorder="1" applyAlignment="1">
      <alignment horizontal="right"/>
    </xf>
    <xf numFmtId="170" fontId="18" fillId="0" borderId="4" xfId="846" applyFont="1" applyFill="1" applyBorder="1" applyAlignment="1">
      <alignment horizontal="right"/>
    </xf>
    <xf numFmtId="170" fontId="18" fillId="0" borderId="6" xfId="846" applyFont="1" applyFill="1" applyBorder="1" applyAlignment="1">
      <alignment horizontal="right"/>
    </xf>
    <xf numFmtId="170" fontId="18" fillId="0" borderId="11" xfId="846" applyFont="1" applyFill="1" applyBorder="1" applyAlignment="1">
      <alignment horizontal="right"/>
    </xf>
    <xf numFmtId="170" fontId="20" fillId="3" borderId="7" xfId="846" applyFont="1" applyFill="1" applyBorder="1" applyAlignment="1">
      <alignment horizontal="right"/>
    </xf>
    <xf numFmtId="170" fontId="20" fillId="3" borderId="2" xfId="846" applyFont="1" applyFill="1" applyBorder="1" applyAlignment="1">
      <alignment horizontal="right"/>
    </xf>
    <xf numFmtId="170" fontId="18" fillId="0" borderId="2" xfId="846" applyFont="1" applyFill="1" applyBorder="1" applyAlignment="1">
      <alignment horizontal="right"/>
    </xf>
    <xf numFmtId="170" fontId="20" fillId="3" borderId="3" xfId="846" applyFont="1" applyFill="1" applyBorder="1" applyAlignment="1">
      <alignment horizontal="right"/>
    </xf>
    <xf numFmtId="170" fontId="20" fillId="2" borderId="3" xfId="846" applyFont="1" applyFill="1" applyBorder="1" applyAlignment="1">
      <alignment horizontal="right"/>
    </xf>
    <xf numFmtId="170" fontId="20" fillId="2" borderId="4" xfId="846" applyFont="1" applyFill="1" applyBorder="1" applyAlignment="1">
      <alignment horizontal="right"/>
    </xf>
    <xf numFmtId="170" fontId="20" fillId="0" borderId="2" xfId="846" applyFont="1" applyFill="1" applyBorder="1" applyAlignment="1">
      <alignment horizontal="right"/>
    </xf>
    <xf numFmtId="170" fontId="20" fillId="3" borderId="6" xfId="846" applyFont="1" applyFill="1" applyBorder="1" applyAlignment="1">
      <alignment horizontal="right"/>
    </xf>
    <xf numFmtId="170" fontId="18" fillId="0" borderId="5" xfId="846" applyFont="1" applyFill="1" applyBorder="1" applyAlignment="1">
      <alignment horizontal="right"/>
    </xf>
    <xf numFmtId="170" fontId="18" fillId="0" borderId="15" xfId="846" applyFont="1" applyFill="1" applyBorder="1" applyAlignment="1">
      <alignment horizontal="right"/>
    </xf>
    <xf numFmtId="170" fontId="18" fillId="2" borderId="2" xfId="846" applyFont="1" applyFill="1" applyBorder="1" applyAlignment="1">
      <alignment horizontal="right"/>
    </xf>
    <xf numFmtId="170" fontId="18" fillId="2" borderId="0" xfId="846" applyFont="1" applyFill="1" applyBorder="1" applyAlignment="1">
      <alignment horizontal="right"/>
    </xf>
    <xf numFmtId="170" fontId="18" fillId="2" borderId="4" xfId="846" applyFont="1" applyFill="1" applyBorder="1" applyAlignment="1">
      <alignment horizontal="right"/>
    </xf>
    <xf numFmtId="170" fontId="18" fillId="2" borderId="5" xfId="846" applyFont="1" applyFill="1" applyBorder="1" applyAlignment="1">
      <alignment horizontal="right"/>
    </xf>
    <xf numFmtId="170" fontId="18" fillId="2" borderId="11" xfId="846" applyFont="1" applyFill="1" applyBorder="1" applyAlignment="1">
      <alignment horizontal="right"/>
    </xf>
    <xf numFmtId="170" fontId="20" fillId="0" borderId="6" xfId="846" applyFont="1" applyFill="1" applyBorder="1" applyAlignment="1">
      <alignment horizontal="right"/>
    </xf>
    <xf numFmtId="170" fontId="20" fillId="0" borderId="11" xfId="846" applyFont="1" applyFill="1" applyBorder="1" applyAlignment="1">
      <alignment horizontal="right"/>
    </xf>
    <xf numFmtId="170" fontId="69" fillId="0" borderId="2" xfId="846" applyFont="1" applyFill="1" applyBorder="1" applyAlignment="1">
      <alignment horizontal="right"/>
    </xf>
    <xf numFmtId="170" fontId="20" fillId="0" borderId="0" xfId="846" applyFont="1" applyFill="1" applyBorder="1" applyAlignment="1">
      <alignment horizontal="right"/>
    </xf>
    <xf numFmtId="170" fontId="25" fillId="0" borderId="2" xfId="846" applyFont="1" applyFill="1" applyBorder="1" applyAlignment="1">
      <alignment horizontal="right"/>
    </xf>
    <xf numFmtId="170" fontId="25" fillId="0" borderId="0" xfId="846" applyFont="1" applyFill="1" applyBorder="1" applyAlignment="1">
      <alignment horizontal="right"/>
    </xf>
    <xf numFmtId="170" fontId="21" fillId="2" borderId="2" xfId="846" applyFont="1" applyFill="1" applyBorder="1" applyAlignment="1">
      <alignment horizontal="right"/>
    </xf>
    <xf numFmtId="170" fontId="20" fillId="2" borderId="2" xfId="846" applyFont="1" applyFill="1" applyBorder="1" applyAlignment="1">
      <alignment horizontal="right"/>
    </xf>
    <xf numFmtId="170" fontId="20" fillId="2" borderId="0" xfId="846" applyFont="1" applyFill="1" applyBorder="1" applyAlignment="1">
      <alignment horizontal="right"/>
    </xf>
    <xf numFmtId="170" fontId="18" fillId="0" borderId="0" xfId="846" applyFont="1" applyFill="1" applyBorder="1" applyAlignment="1">
      <alignment horizontal="right"/>
    </xf>
    <xf numFmtId="170" fontId="20" fillId="3" borderId="5" xfId="846" applyFont="1" applyFill="1" applyBorder="1" applyAlignment="1">
      <alignment horizontal="right"/>
    </xf>
    <xf numFmtId="170" fontId="20" fillId="3" borderId="1" xfId="846" applyFont="1" applyFill="1" applyBorder="1" applyAlignment="1">
      <alignment horizontal="right"/>
    </xf>
    <xf numFmtId="170" fontId="20" fillId="3" borderId="4" xfId="846" applyFont="1" applyFill="1" applyBorder="1" applyAlignment="1">
      <alignment horizontal="right"/>
    </xf>
    <xf numFmtId="170" fontId="20" fillId="3" borderId="11" xfId="846" applyFont="1" applyFill="1" applyBorder="1" applyAlignment="1">
      <alignment horizontal="right"/>
    </xf>
    <xf numFmtId="164" fontId="33" fillId="0" borderId="3" xfId="0" applyNumberFormat="1" applyFont="1" applyBorder="1"/>
    <xf numFmtId="164" fontId="47" fillId="0" borderId="3" xfId="0" applyNumberFormat="1" applyFont="1" applyBorder="1"/>
    <xf numFmtId="164" fontId="47" fillId="0" borderId="6" xfId="0" applyNumberFormat="1" applyFont="1" applyBorder="1"/>
    <xf numFmtId="171" fontId="20" fillId="3" borderId="2" xfId="846" applyNumberFormat="1" applyFont="1" applyFill="1" applyBorder="1" applyAlignment="1">
      <alignment horizontal="right"/>
    </xf>
    <xf numFmtId="171" fontId="20" fillId="3" borderId="3" xfId="846" applyNumberFormat="1" applyFont="1" applyFill="1" applyBorder="1" applyAlignment="1">
      <alignment horizontal="right"/>
    </xf>
    <xf numFmtId="171" fontId="20" fillId="3" borderId="6" xfId="846" applyNumberFormat="1" applyFont="1" applyFill="1" applyBorder="1" applyAlignment="1">
      <alignment horizontal="right"/>
    </xf>
    <xf numFmtId="164" fontId="18" fillId="0" borderId="6" xfId="1" applyNumberFormat="1" applyFont="1" applyBorder="1" applyAlignment="1">
      <alignment horizontal="center"/>
    </xf>
    <xf numFmtId="164" fontId="20" fillId="3" borderId="0" xfId="1" applyNumberFormat="1" applyFont="1" applyFill="1" applyAlignment="1">
      <alignment horizontal="right"/>
    </xf>
    <xf numFmtId="49" fontId="18" fillId="0" borderId="0" xfId="1" applyNumberFormat="1" applyFont="1" applyAlignment="1">
      <alignment horizontal="right"/>
    </xf>
    <xf numFmtId="49" fontId="18" fillId="0" borderId="0" xfId="1" applyNumberFormat="1" applyFont="1" applyAlignment="1">
      <alignment horizontal="center"/>
    </xf>
    <xf numFmtId="3" fontId="18" fillId="0" borderId="0" xfId="1" quotePrefix="1" applyNumberFormat="1" applyFont="1" applyAlignment="1">
      <alignment horizontal="center"/>
    </xf>
    <xf numFmtId="170" fontId="18" fillId="3" borderId="7" xfId="846" applyFont="1" applyFill="1" applyBorder="1" applyAlignment="1">
      <alignment horizontal="right"/>
    </xf>
    <xf numFmtId="171" fontId="18" fillId="3" borderId="2" xfId="846" applyNumberFormat="1" applyFont="1" applyFill="1" applyBorder="1" applyAlignment="1">
      <alignment horizontal="right"/>
    </xf>
    <xf numFmtId="167" fontId="18" fillId="3" borderId="7" xfId="1" applyNumberFormat="1" applyFont="1" applyFill="1" applyBorder="1" applyAlignment="1">
      <alignment horizontal="right"/>
    </xf>
    <xf numFmtId="167" fontId="18" fillId="3" borderId="3" xfId="1" applyNumberFormat="1" applyFont="1" applyFill="1" applyBorder="1" applyAlignment="1">
      <alignment horizontal="right"/>
    </xf>
    <xf numFmtId="167" fontId="18" fillId="3" borderId="6" xfId="1" applyNumberFormat="1" applyFont="1" applyFill="1" applyBorder="1" applyAlignment="1">
      <alignment horizontal="right"/>
    </xf>
    <xf numFmtId="3" fontId="18" fillId="3" borderId="0" xfId="1" applyNumberFormat="1" applyFont="1" applyFill="1" applyAlignment="1">
      <alignment horizontal="right"/>
    </xf>
    <xf numFmtId="3" fontId="18" fillId="3" borderId="1" xfId="1" applyNumberFormat="1" applyFont="1" applyFill="1" applyBorder="1" applyAlignment="1">
      <alignment horizontal="right"/>
    </xf>
    <xf numFmtId="3" fontId="18" fillId="3" borderId="4" xfId="1" applyNumberFormat="1" applyFont="1" applyFill="1" applyBorder="1" applyAlignment="1">
      <alignment horizontal="right"/>
    </xf>
    <xf numFmtId="3" fontId="18" fillId="3" borderId="11" xfId="1" applyNumberFormat="1" applyFont="1" applyFill="1" applyBorder="1" applyAlignment="1">
      <alignment horizontal="right"/>
    </xf>
    <xf numFmtId="164" fontId="18" fillId="3" borderId="0" xfId="1" applyNumberFormat="1" applyFont="1" applyFill="1" applyAlignment="1">
      <alignment horizontal="right"/>
    </xf>
    <xf numFmtId="3" fontId="62" fillId="4" borderId="3" xfId="0" applyNumberFormat="1" applyFont="1" applyFill="1" applyBorder="1" applyAlignment="1" applyProtection="1">
      <alignment horizontal="right"/>
      <protection locked="0"/>
    </xf>
    <xf numFmtId="3" fontId="33" fillId="4" borderId="4" xfId="0" applyNumberFormat="1" applyFont="1" applyFill="1" applyBorder="1" applyAlignment="1" applyProtection="1">
      <alignment horizontal="right"/>
      <protection locked="0"/>
    </xf>
    <xf numFmtId="3" fontId="47" fillId="4" borderId="3" xfId="0" applyNumberFormat="1" applyFont="1" applyFill="1" applyBorder="1" applyAlignment="1" applyProtection="1">
      <alignment horizontal="right"/>
      <protection locked="0"/>
    </xf>
    <xf numFmtId="3" fontId="47" fillId="0" borderId="3" xfId="0" applyNumberFormat="1" applyFont="1" applyBorder="1" applyAlignment="1" applyProtection="1">
      <alignment horizontal="right"/>
      <protection locked="0"/>
    </xf>
    <xf numFmtId="3" fontId="33" fillId="0" borderId="3" xfId="0" applyNumberFormat="1" applyFont="1" applyBorder="1" applyAlignment="1" applyProtection="1">
      <alignment horizontal="right"/>
      <protection locked="0"/>
    </xf>
    <xf numFmtId="3" fontId="33" fillId="4" borderId="3" xfId="845" applyNumberFormat="1" applyFont="1" applyFill="1" applyBorder="1" applyAlignment="1" applyProtection="1">
      <alignment horizontal="right"/>
      <protection locked="0"/>
    </xf>
    <xf numFmtId="3" fontId="47" fillId="4" borderId="4" xfId="0" applyNumberFormat="1" applyFont="1" applyFill="1" applyBorder="1" applyAlignment="1" applyProtection="1">
      <alignment horizontal="right"/>
      <protection locked="0"/>
    </xf>
    <xf numFmtId="3" fontId="47" fillId="4" borderId="3" xfId="845" applyNumberFormat="1" applyFont="1" applyFill="1" applyBorder="1" applyAlignment="1" applyProtection="1">
      <alignment horizontal="right"/>
      <protection locked="0"/>
    </xf>
    <xf numFmtId="3" fontId="47" fillId="0" borderId="6" xfId="0" applyNumberFormat="1" applyFont="1" applyBorder="1" applyAlignment="1" applyProtection="1">
      <alignment horizontal="right"/>
      <protection locked="0"/>
    </xf>
    <xf numFmtId="3" fontId="47" fillId="4" borderId="6" xfId="0" applyNumberFormat="1" applyFont="1" applyFill="1" applyBorder="1" applyAlignment="1" applyProtection="1">
      <alignment horizontal="right"/>
      <protection locked="0"/>
    </xf>
    <xf numFmtId="3" fontId="47" fillId="4" borderId="6" xfId="845" applyNumberFormat="1" applyFont="1" applyFill="1" applyBorder="1" applyAlignment="1" applyProtection="1">
      <alignment horizontal="right"/>
      <protection locked="0"/>
    </xf>
    <xf numFmtId="3" fontId="52" fillId="4" borderId="11" xfId="0" applyNumberFormat="1" applyFont="1" applyFill="1" applyBorder="1" applyProtection="1">
      <protection locked="0"/>
    </xf>
    <xf numFmtId="3" fontId="62" fillId="4" borderId="4" xfId="0" applyNumberFormat="1" applyFont="1" applyFill="1" applyBorder="1" applyProtection="1">
      <protection locked="0"/>
    </xf>
    <xf numFmtId="3" fontId="47" fillId="4" borderId="4" xfId="0" applyNumberFormat="1" applyFont="1" applyFill="1" applyBorder="1" applyProtection="1">
      <protection locked="0"/>
    </xf>
    <xf numFmtId="0" fontId="33" fillId="0" borderId="0" xfId="0" applyFont="1" applyProtection="1">
      <protection locked="0"/>
    </xf>
    <xf numFmtId="0" fontId="0" fillId="0" borderId="0" xfId="0" applyProtection="1">
      <protection locked="0"/>
    </xf>
    <xf numFmtId="0" fontId="22" fillId="0" borderId="0" xfId="0" applyFont="1" applyProtection="1">
      <protection locked="0"/>
    </xf>
    <xf numFmtId="0" fontId="63" fillId="0" borderId="0" xfId="0" applyFont="1" applyProtection="1">
      <protection locked="0"/>
    </xf>
    <xf numFmtId="0" fontId="43" fillId="0" borderId="0" xfId="0" applyFont="1" applyProtection="1">
      <protection locked="0"/>
    </xf>
    <xf numFmtId="0" fontId="59" fillId="0" borderId="0" xfId="0" applyFont="1" applyProtection="1">
      <protection locked="0"/>
    </xf>
    <xf numFmtId="3" fontId="60" fillId="4" borderId="12" xfId="0" applyNumberFormat="1" applyFont="1" applyFill="1" applyBorder="1" applyProtection="1">
      <protection locked="0"/>
    </xf>
    <xf numFmtId="0" fontId="20" fillId="0" borderId="8" xfId="0" applyFont="1" applyBorder="1" applyProtection="1">
      <protection locked="0"/>
    </xf>
    <xf numFmtId="0" fontId="20" fillId="0" borderId="10" xfId="0" applyFont="1" applyBorder="1" applyProtection="1">
      <protection locked="0"/>
    </xf>
    <xf numFmtId="0" fontId="20" fillId="0" borderId="9" xfId="0" applyFont="1" applyBorder="1" applyProtection="1">
      <protection locked="0"/>
    </xf>
    <xf numFmtId="0" fontId="51" fillId="0" borderId="0" xfId="0" applyFont="1" applyProtection="1">
      <protection locked="0"/>
    </xf>
    <xf numFmtId="0" fontId="65" fillId="0" borderId="0" xfId="0" applyFont="1" applyProtection="1">
      <protection locked="0"/>
    </xf>
    <xf numFmtId="3" fontId="33" fillId="4" borderId="4" xfId="15" applyNumberFormat="1" applyFont="1" applyFill="1" applyBorder="1" applyAlignment="1" applyProtection="1">
      <alignment horizontal="right"/>
      <protection locked="0"/>
    </xf>
    <xf numFmtId="165" fontId="33" fillId="0" borderId="3" xfId="847" applyNumberFormat="1" applyFont="1" applyBorder="1" applyAlignment="1" applyProtection="1">
      <alignment horizontal="right"/>
      <protection locked="0"/>
    </xf>
    <xf numFmtId="169" fontId="33" fillId="0" borderId="3" xfId="847" applyNumberFormat="1" applyFont="1" applyBorder="1" applyAlignment="1" applyProtection="1">
      <alignment horizontal="right"/>
      <protection locked="0"/>
    </xf>
    <xf numFmtId="165" fontId="33" fillId="4" borderId="4" xfId="847" applyNumberFormat="1" applyFont="1" applyFill="1" applyBorder="1" applyAlignment="1" applyProtection="1">
      <alignment horizontal="right"/>
      <protection locked="0"/>
    </xf>
    <xf numFmtId="165" fontId="33" fillId="4" borderId="3" xfId="847" applyNumberFormat="1" applyFont="1" applyFill="1" applyBorder="1" applyAlignment="1" applyProtection="1">
      <alignment horizontal="right"/>
      <protection locked="0"/>
    </xf>
    <xf numFmtId="3" fontId="47" fillId="4" borderId="4" xfId="15" applyNumberFormat="1" applyFont="1" applyFill="1" applyBorder="1" applyAlignment="1" applyProtection="1">
      <alignment horizontal="right"/>
      <protection locked="0"/>
    </xf>
    <xf numFmtId="3" fontId="47" fillId="4" borderId="11" xfId="15" applyNumberFormat="1" applyFont="1" applyFill="1" applyBorder="1" applyAlignment="1" applyProtection="1">
      <alignment horizontal="right"/>
      <protection locked="0"/>
    </xf>
    <xf numFmtId="3" fontId="20" fillId="0" borderId="3" xfId="847" applyNumberFormat="1" applyFont="1" applyBorder="1" applyAlignment="1">
      <alignment horizontal="left"/>
    </xf>
    <xf numFmtId="3" fontId="20" fillId="0" borderId="3" xfId="847" applyNumberFormat="1" applyFont="1" applyFill="1" applyBorder="1" applyAlignment="1">
      <alignment horizontal="left"/>
    </xf>
    <xf numFmtId="0" fontId="47" fillId="2" borderId="3" xfId="0" applyFont="1" applyFill="1" applyBorder="1" applyProtection="1">
      <protection locked="0"/>
    </xf>
    <xf numFmtId="0" fontId="47" fillId="2" borderId="6" xfId="0" applyFont="1" applyFill="1" applyBorder="1" applyProtection="1">
      <protection locked="0"/>
    </xf>
    <xf numFmtId="3" fontId="33" fillId="4" borderId="1" xfId="0" applyNumberFormat="1" applyFont="1" applyFill="1" applyBorder="1" applyAlignment="1" applyProtection="1">
      <alignment horizontal="right"/>
      <protection locked="0"/>
    </xf>
    <xf numFmtId="0" fontId="33" fillId="0" borderId="3" xfId="0" applyFont="1" applyBorder="1" applyAlignment="1" applyProtection="1">
      <alignment horizontal="right"/>
      <protection locked="0"/>
    </xf>
    <xf numFmtId="3" fontId="33" fillId="4" borderId="7" xfId="0" applyNumberFormat="1" applyFont="1" applyFill="1" applyBorder="1" applyAlignment="1" applyProtection="1">
      <alignment horizontal="right"/>
      <protection locked="0"/>
    </xf>
    <xf numFmtId="1" fontId="33" fillId="0" borderId="3" xfId="0" applyNumberFormat="1" applyFont="1" applyBorder="1" applyAlignment="1" applyProtection="1">
      <alignment horizontal="right"/>
      <protection locked="0"/>
    </xf>
    <xf numFmtId="4" fontId="33" fillId="4" borderId="4" xfId="7" applyNumberFormat="1" applyFont="1" applyFill="1" applyBorder="1" applyAlignment="1" applyProtection="1">
      <alignment horizontal="right"/>
      <protection locked="0"/>
    </xf>
    <xf numFmtId="3" fontId="33" fillId="4" borderId="4" xfId="7" applyNumberFormat="1" applyFont="1" applyFill="1" applyBorder="1" applyAlignment="1" applyProtection="1">
      <alignment horizontal="right"/>
      <protection locked="0"/>
    </xf>
    <xf numFmtId="3" fontId="33" fillId="4" borderId="11" xfId="7" applyNumberFormat="1" applyFont="1" applyFill="1" applyBorder="1" applyAlignment="1" applyProtection="1">
      <alignment horizontal="right"/>
      <protection locked="0"/>
    </xf>
    <xf numFmtId="170" fontId="18" fillId="0" borderId="3" xfId="846" applyFont="1" applyBorder="1" applyAlignment="1">
      <alignment horizontal="right"/>
    </xf>
    <xf numFmtId="3" fontId="33" fillId="0" borderId="4" xfId="0" applyNumberFormat="1" applyFont="1" applyBorder="1" applyAlignment="1" applyProtection="1">
      <alignment horizontal="right"/>
      <protection locked="0"/>
    </xf>
    <xf numFmtId="0" fontId="43" fillId="0" borderId="0" xfId="7" applyFont="1" applyProtection="1">
      <protection locked="0"/>
    </xf>
    <xf numFmtId="0" fontId="22" fillId="0" borderId="0" xfId="7" applyProtection="1">
      <protection locked="0"/>
    </xf>
    <xf numFmtId="3" fontId="60" fillId="4" borderId="0" xfId="7" applyNumberFormat="1" applyFont="1" applyFill="1" applyProtection="1">
      <protection locked="0"/>
    </xf>
    <xf numFmtId="14" fontId="16" fillId="0" borderId="7" xfId="7" applyNumberFormat="1" applyFont="1" applyBorder="1" applyAlignment="1" applyProtection="1">
      <alignment horizontal="left"/>
      <protection locked="0"/>
    </xf>
    <xf numFmtId="0" fontId="20" fillId="0" borderId="10" xfId="7" applyFont="1" applyBorder="1" applyProtection="1">
      <protection locked="0"/>
    </xf>
    <xf numFmtId="0" fontId="20" fillId="0" borderId="8" xfId="7" applyFont="1" applyBorder="1" applyProtection="1">
      <protection locked="0"/>
    </xf>
    <xf numFmtId="0" fontId="20" fillId="0" borderId="9" xfId="7" applyFont="1" applyBorder="1" applyProtection="1">
      <protection locked="0"/>
    </xf>
    <xf numFmtId="0" fontId="71" fillId="0" borderId="8" xfId="7" applyFont="1" applyBorder="1" applyAlignment="1" applyProtection="1">
      <alignment horizontal="center"/>
      <protection locked="0"/>
    </xf>
    <xf numFmtId="0" fontId="20" fillId="4" borderId="0" xfId="7" applyFont="1" applyFill="1" applyProtection="1">
      <protection locked="0"/>
    </xf>
    <xf numFmtId="3" fontId="47" fillId="0" borderId="1" xfId="7" applyNumberFormat="1" applyFont="1" applyBorder="1" applyProtection="1">
      <protection locked="0"/>
    </xf>
    <xf numFmtId="3" fontId="47" fillId="0" borderId="4" xfId="7" applyNumberFormat="1" applyFont="1" applyBorder="1" applyProtection="1">
      <protection locked="0"/>
    </xf>
    <xf numFmtId="0" fontId="18" fillId="0" borderId="1" xfId="7" applyFont="1" applyBorder="1" applyAlignment="1" applyProtection="1">
      <alignment horizontal="center"/>
      <protection locked="0"/>
    </xf>
    <xf numFmtId="0" fontId="18" fillId="0" borderId="7" xfId="7" applyFont="1" applyBorder="1" applyAlignment="1" applyProtection="1">
      <alignment horizontal="center"/>
      <protection locked="0"/>
    </xf>
    <xf numFmtId="3" fontId="52" fillId="4" borderId="11" xfId="7" applyNumberFormat="1" applyFont="1" applyFill="1" applyBorder="1" applyProtection="1">
      <protection locked="0"/>
    </xf>
    <xf numFmtId="0" fontId="16" fillId="0" borderId="6" xfId="7" applyFont="1" applyBorder="1" applyAlignment="1" applyProtection="1">
      <alignment horizontal="center"/>
      <protection locked="0"/>
    </xf>
    <xf numFmtId="168" fontId="18" fillId="0" borderId="6" xfId="7" applyNumberFormat="1" applyFont="1" applyBorder="1" applyAlignment="1" applyProtection="1">
      <alignment horizontal="center"/>
      <protection locked="0"/>
    </xf>
    <xf numFmtId="168" fontId="16" fillId="4" borderId="0" xfId="7" applyNumberFormat="1" applyFont="1" applyFill="1" applyAlignment="1" applyProtection="1">
      <alignment horizontal="center"/>
      <protection locked="0"/>
    </xf>
    <xf numFmtId="0" fontId="16" fillId="4" borderId="0" xfId="7" applyFont="1" applyFill="1" applyAlignment="1" applyProtection="1">
      <alignment horizontal="center"/>
      <protection locked="0"/>
    </xf>
    <xf numFmtId="0" fontId="47" fillId="0" borderId="7" xfId="7" applyFont="1" applyBorder="1" applyProtection="1">
      <protection locked="0"/>
    </xf>
    <xf numFmtId="4" fontId="33" fillId="4" borderId="7" xfId="7" applyNumberFormat="1" applyFont="1" applyFill="1" applyBorder="1" applyAlignment="1" applyProtection="1">
      <alignment horizontal="right"/>
      <protection locked="0"/>
    </xf>
    <xf numFmtId="4" fontId="33" fillId="4" borderId="3" xfId="7" applyNumberFormat="1" applyFont="1" applyFill="1" applyBorder="1" applyAlignment="1">
      <alignment horizontal="right"/>
    </xf>
    <xf numFmtId="0" fontId="33" fillId="0" borderId="3" xfId="7" applyFont="1" applyBorder="1" applyProtection="1">
      <protection locked="0"/>
    </xf>
    <xf numFmtId="0" fontId="33" fillId="0" borderId="6" xfId="7" applyFont="1" applyBorder="1" applyProtection="1">
      <protection locked="0"/>
    </xf>
    <xf numFmtId="0" fontId="16" fillId="0" borderId="6" xfId="0" applyFont="1" applyBorder="1" applyAlignment="1" applyProtection="1">
      <alignment horizontal="center"/>
      <protection locked="0"/>
    </xf>
    <xf numFmtId="0" fontId="16" fillId="0" borderId="11" xfId="0" applyFont="1" applyBorder="1" applyAlignment="1" applyProtection="1">
      <alignment horizontal="center"/>
      <protection locked="0"/>
    </xf>
    <xf numFmtId="4" fontId="33" fillId="4" borderId="3" xfId="7" applyNumberFormat="1" applyFont="1" applyFill="1" applyBorder="1" applyAlignment="1" applyProtection="1">
      <alignment horizontal="right"/>
      <protection locked="0"/>
    </xf>
    <xf numFmtId="3" fontId="33" fillId="4" borderId="3" xfId="7" applyNumberFormat="1" applyFont="1" applyFill="1" applyBorder="1" applyAlignment="1" applyProtection="1">
      <alignment horizontal="right"/>
      <protection locked="0"/>
    </xf>
    <xf numFmtId="3" fontId="33" fillId="4" borderId="6" xfId="7" applyNumberFormat="1" applyFont="1" applyFill="1" applyBorder="1" applyAlignment="1" applyProtection="1">
      <alignment horizontal="right"/>
      <protection locked="0"/>
    </xf>
    <xf numFmtId="0" fontId="58" fillId="0" borderId="0" xfId="0" applyFont="1"/>
    <xf numFmtId="3" fontId="33" fillId="0" borderId="4" xfId="7" applyNumberFormat="1" applyFont="1" applyBorder="1" applyAlignment="1" applyProtection="1">
      <alignment horizontal="right"/>
      <protection locked="0"/>
    </xf>
    <xf numFmtId="0" fontId="17" fillId="0" borderId="0" xfId="7" applyFont="1" applyAlignment="1">
      <alignment horizontal="right" vertical="top"/>
    </xf>
    <xf numFmtId="0" fontId="17" fillId="0" borderId="0" xfId="7" applyFont="1" applyAlignment="1">
      <alignment horizontal="right"/>
    </xf>
    <xf numFmtId="0" fontId="33" fillId="0" borderId="4" xfId="0" applyFont="1" applyBorder="1" applyProtection="1">
      <protection locked="0"/>
    </xf>
    <xf numFmtId="3" fontId="47" fillId="0" borderId="1" xfId="0" applyNumberFormat="1" applyFont="1" applyBorder="1" applyProtection="1">
      <protection locked="0"/>
    </xf>
    <xf numFmtId="3" fontId="47" fillId="0" borderId="4" xfId="0" applyNumberFormat="1" applyFont="1" applyBorder="1" applyProtection="1">
      <protection locked="0"/>
    </xf>
    <xf numFmtId="0" fontId="18" fillId="0" borderId="7" xfId="0" applyFont="1" applyBorder="1" applyAlignment="1" applyProtection="1">
      <alignment horizontal="center"/>
      <protection locked="0"/>
    </xf>
    <xf numFmtId="3" fontId="52" fillId="4" borderId="6" xfId="0" applyNumberFormat="1" applyFont="1" applyFill="1" applyBorder="1" applyProtection="1">
      <protection locked="0"/>
    </xf>
    <xf numFmtId="168" fontId="18" fillId="0" borderId="6" xfId="0" applyNumberFormat="1" applyFont="1" applyBorder="1" applyAlignment="1" applyProtection="1">
      <alignment horizontal="center"/>
      <protection locked="0"/>
    </xf>
    <xf numFmtId="0" fontId="33" fillId="4" borderId="7" xfId="0" applyFont="1" applyFill="1" applyBorder="1" applyAlignment="1" applyProtection="1">
      <alignment horizontal="right"/>
      <protection locked="0"/>
    </xf>
    <xf numFmtId="3" fontId="33" fillId="4" borderId="4" xfId="0" applyNumberFormat="1" applyFont="1" applyFill="1" applyBorder="1" applyAlignment="1">
      <alignment horizontal="right"/>
    </xf>
    <xf numFmtId="3" fontId="33" fillId="4" borderId="3" xfId="0" applyNumberFormat="1" applyFont="1" applyFill="1" applyBorder="1" applyAlignment="1">
      <alignment horizontal="right"/>
    </xf>
    <xf numFmtId="0" fontId="33" fillId="4" borderId="3" xfId="0" applyFont="1" applyFill="1" applyBorder="1" applyAlignment="1" applyProtection="1">
      <alignment horizontal="right"/>
      <protection locked="0"/>
    </xf>
    <xf numFmtId="3" fontId="33" fillId="10" borderId="3" xfId="0" applyNumberFormat="1" applyFont="1" applyFill="1" applyBorder="1" applyAlignment="1" applyProtection="1">
      <alignment horizontal="right"/>
      <protection locked="0"/>
    </xf>
    <xf numFmtId="0" fontId="47" fillId="0" borderId="11" xfId="0" applyFont="1" applyBorder="1" applyProtection="1">
      <protection locked="0"/>
    </xf>
    <xf numFmtId="0" fontId="47" fillId="0" borderId="4" xfId="0" applyFont="1" applyBorder="1" applyProtection="1">
      <protection locked="0"/>
    </xf>
    <xf numFmtId="3" fontId="47" fillId="4" borderId="7" xfId="0" applyNumberFormat="1" applyFont="1" applyFill="1" applyBorder="1" applyAlignment="1" applyProtection="1">
      <alignment horizontal="right"/>
      <protection locked="0"/>
    </xf>
    <xf numFmtId="0" fontId="47" fillId="4" borderId="7" xfId="0" applyFont="1" applyFill="1" applyBorder="1" applyAlignment="1" applyProtection="1">
      <alignment horizontal="right"/>
      <protection locked="0"/>
    </xf>
    <xf numFmtId="0" fontId="47" fillId="4" borderId="15" xfId="0" applyFont="1" applyFill="1" applyBorder="1" applyAlignment="1" applyProtection="1">
      <alignment horizontal="right"/>
      <protection locked="0"/>
    </xf>
    <xf numFmtId="0" fontId="51" fillId="0" borderId="7" xfId="0" applyFont="1" applyBorder="1" applyAlignment="1" applyProtection="1">
      <alignment horizontal="right"/>
      <protection locked="0"/>
    </xf>
    <xf numFmtId="0" fontId="47" fillId="4" borderId="3" xfId="0" applyFont="1" applyFill="1" applyBorder="1" applyAlignment="1" applyProtection="1">
      <alignment horizontal="right"/>
      <protection locked="0"/>
    </xf>
    <xf numFmtId="0" fontId="47" fillId="4" borderId="2" xfId="0" applyFont="1" applyFill="1" applyBorder="1" applyAlignment="1" applyProtection="1">
      <alignment horizontal="right"/>
      <protection locked="0"/>
    </xf>
    <xf numFmtId="0" fontId="51" fillId="0" borderId="3" xfId="0" applyFont="1" applyBorder="1" applyAlignment="1" applyProtection="1">
      <alignment horizontal="right"/>
      <protection locked="0"/>
    </xf>
    <xf numFmtId="0" fontId="33" fillId="4" borderId="2" xfId="0" applyFont="1" applyFill="1" applyBorder="1" applyAlignment="1" applyProtection="1">
      <alignment horizontal="right"/>
      <protection locked="0"/>
    </xf>
    <xf numFmtId="3" fontId="33" fillId="4" borderId="2" xfId="0" applyNumberFormat="1" applyFont="1" applyFill="1" applyBorder="1" applyAlignment="1" applyProtection="1">
      <alignment horizontal="right"/>
      <protection locked="0"/>
    </xf>
    <xf numFmtId="3" fontId="47" fillId="4" borderId="2" xfId="0" applyNumberFormat="1" applyFont="1" applyFill="1" applyBorder="1" applyAlignment="1" applyProtection="1">
      <alignment horizontal="right"/>
      <protection locked="0"/>
    </xf>
    <xf numFmtId="0" fontId="47" fillId="0" borderId="0" xfId="0" applyFont="1" applyProtection="1">
      <protection locked="0"/>
    </xf>
    <xf numFmtId="0" fontId="47" fillId="4" borderId="6" xfId="0" applyFont="1" applyFill="1" applyBorder="1" applyAlignment="1" applyProtection="1">
      <alignment horizontal="right"/>
      <protection locked="0"/>
    </xf>
    <xf numFmtId="0" fontId="47" fillId="4" borderId="5" xfId="0" applyFont="1" applyFill="1" applyBorder="1" applyAlignment="1" applyProtection="1">
      <alignment horizontal="right"/>
      <protection locked="0"/>
    </xf>
    <xf numFmtId="0" fontId="47" fillId="0" borderId="6" xfId="0" applyFont="1" applyBorder="1" applyAlignment="1" applyProtection="1">
      <alignment horizontal="right"/>
      <protection locked="0"/>
    </xf>
    <xf numFmtId="0" fontId="47" fillId="0" borderId="7" xfId="0" applyFont="1" applyBorder="1" applyProtection="1">
      <protection locked="0"/>
    </xf>
    <xf numFmtId="3" fontId="47" fillId="4" borderId="1" xfId="15" applyNumberFormat="1" applyFont="1" applyFill="1" applyBorder="1" applyAlignment="1" applyProtection="1">
      <alignment horizontal="right"/>
      <protection locked="0"/>
    </xf>
    <xf numFmtId="3" fontId="47" fillId="4" borderId="1" xfId="0" applyNumberFormat="1" applyFont="1" applyFill="1" applyBorder="1" applyAlignment="1" applyProtection="1">
      <alignment horizontal="right"/>
      <protection locked="0"/>
    </xf>
    <xf numFmtId="0" fontId="47" fillId="4" borderId="1" xfId="0" applyFont="1" applyFill="1" applyBorder="1" applyAlignment="1" applyProtection="1">
      <alignment horizontal="right"/>
      <protection locked="0"/>
    </xf>
    <xf numFmtId="0" fontId="47" fillId="0" borderId="7" xfId="0" applyFont="1" applyBorder="1" applyAlignment="1" applyProtection="1">
      <alignment horizontal="right"/>
      <protection locked="0"/>
    </xf>
    <xf numFmtId="0" fontId="33" fillId="2" borderId="3" xfId="0" applyFont="1" applyFill="1" applyBorder="1" applyProtection="1">
      <protection locked="0"/>
    </xf>
    <xf numFmtId="0" fontId="33" fillId="2" borderId="6" xfId="0" applyFont="1" applyFill="1" applyBorder="1" applyProtection="1">
      <protection locked="0"/>
    </xf>
    <xf numFmtId="3" fontId="62" fillId="4" borderId="3" xfId="0" applyNumberFormat="1" applyFont="1" applyFill="1" applyBorder="1" applyAlignment="1">
      <alignment horizontal="right"/>
    </xf>
    <xf numFmtId="3" fontId="47" fillId="4" borderId="3" xfId="0" applyNumberFormat="1" applyFont="1" applyFill="1" applyBorder="1" applyAlignment="1">
      <alignment horizontal="right"/>
    </xf>
    <xf numFmtId="0" fontId="33" fillId="0" borderId="3" xfId="0" applyFont="1" applyBorder="1" applyProtection="1">
      <protection locked="0"/>
    </xf>
    <xf numFmtId="3" fontId="33" fillId="0" borderId="3" xfId="845" applyNumberFormat="1" applyFont="1" applyBorder="1" applyAlignment="1" applyProtection="1">
      <alignment horizontal="right"/>
      <protection locked="0"/>
    </xf>
    <xf numFmtId="0" fontId="22" fillId="0" borderId="3" xfId="0" applyFont="1" applyBorder="1" applyProtection="1">
      <protection locked="0"/>
    </xf>
    <xf numFmtId="3" fontId="47" fillId="0" borderId="4" xfId="0" applyNumberFormat="1" applyFont="1" applyBorder="1" applyAlignment="1" applyProtection="1">
      <alignment horizontal="right"/>
      <protection locked="0"/>
    </xf>
    <xf numFmtId="3" fontId="33" fillId="0" borderId="0" xfId="0" applyNumberFormat="1" applyFont="1" applyProtection="1">
      <protection locked="0"/>
    </xf>
    <xf numFmtId="3" fontId="64" fillId="0" borderId="0" xfId="0" applyNumberFormat="1" applyFont="1" applyProtection="1">
      <protection locked="0"/>
    </xf>
    <xf numFmtId="0" fontId="22" fillId="0" borderId="0" xfId="852"/>
    <xf numFmtId="0" fontId="29" fillId="0" borderId="0" xfId="852" applyFont="1"/>
    <xf numFmtId="0" fontId="0" fillId="0" borderId="0" xfId="852" applyFont="1"/>
    <xf numFmtId="0" fontId="30" fillId="0" borderId="0" xfId="852" applyFont="1" applyAlignment="1">
      <alignment horizontal="right"/>
    </xf>
    <xf numFmtId="0" fontId="22" fillId="0" borderId="0" xfId="20"/>
    <xf numFmtId="0" fontId="31" fillId="0" borderId="0" xfId="852" applyFont="1" applyAlignment="1">
      <alignment horizontal="left"/>
    </xf>
    <xf numFmtId="0" fontId="32" fillId="0" borderId="0" xfId="852" applyFont="1" applyAlignment="1">
      <alignment horizontal="left"/>
    </xf>
    <xf numFmtId="0" fontId="33" fillId="0" borderId="0" xfId="20" applyFont="1" applyAlignment="1">
      <alignment horizontal="left"/>
    </xf>
    <xf numFmtId="0" fontId="34" fillId="0" borderId="0" xfId="852" applyFont="1" applyAlignment="1">
      <alignment horizontal="right"/>
    </xf>
    <xf numFmtId="0" fontId="22" fillId="0" borderId="0" xfId="852" applyAlignment="1">
      <alignment horizontal="right"/>
    </xf>
    <xf numFmtId="0" fontId="35" fillId="0" borderId="0" xfId="852" applyFont="1" applyAlignment="1">
      <alignment horizontal="left"/>
    </xf>
    <xf numFmtId="14" fontId="36" fillId="0" borderId="0" xfId="852" applyNumberFormat="1" applyFont="1" applyAlignment="1">
      <alignment horizontal="left"/>
    </xf>
    <xf numFmtId="0" fontId="36" fillId="0" borderId="0" xfId="852" applyFont="1" applyAlignment="1">
      <alignment horizontal="left"/>
    </xf>
    <xf numFmtId="0" fontId="37" fillId="0" borderId="0" xfId="20" applyFont="1" applyAlignment="1">
      <alignment vertical="center"/>
    </xf>
    <xf numFmtId="0" fontId="38" fillId="0" borderId="0" xfId="20" applyFont="1" applyAlignment="1">
      <alignment vertical="center"/>
    </xf>
    <xf numFmtId="0" fontId="76" fillId="0" borderId="0" xfId="0" applyFont="1" applyProtection="1">
      <protection locked="0"/>
    </xf>
    <xf numFmtId="0" fontId="73" fillId="0" borderId="0" xfId="848" applyFont="1" applyProtection="1">
      <protection locked="0"/>
    </xf>
    <xf numFmtId="0" fontId="24" fillId="0" borderId="0" xfId="848" applyFont="1" applyProtection="1">
      <protection locked="0"/>
    </xf>
    <xf numFmtId="0" fontId="75" fillId="0" borderId="0" xfId="0" applyFont="1" applyProtection="1">
      <protection locked="0"/>
    </xf>
    <xf numFmtId="3" fontId="47" fillId="4" borderId="0" xfId="0" applyNumberFormat="1" applyFont="1" applyFill="1" applyProtection="1">
      <protection locked="0"/>
    </xf>
    <xf numFmtId="3" fontId="18" fillId="4" borderId="0" xfId="0" applyNumberFormat="1" applyFont="1" applyFill="1" applyProtection="1">
      <protection locked="0"/>
    </xf>
    <xf numFmtId="14" fontId="16" fillId="0" borderId="7" xfId="0" applyNumberFormat="1" applyFont="1" applyBorder="1" applyAlignment="1" applyProtection="1">
      <alignment horizontal="left"/>
      <protection locked="0"/>
    </xf>
    <xf numFmtId="3" fontId="16" fillId="0" borderId="10" xfId="0" quotePrefix="1" applyNumberFormat="1" applyFont="1" applyBorder="1" applyAlignment="1" applyProtection="1">
      <alignment horizontal="center"/>
      <protection locked="0"/>
    </xf>
    <xf numFmtId="3" fontId="16" fillId="0" borderId="8" xfId="0" quotePrefix="1" applyNumberFormat="1" applyFont="1" applyBorder="1" applyAlignment="1" applyProtection="1">
      <alignment horizontal="center"/>
      <protection locked="0"/>
    </xf>
    <xf numFmtId="3" fontId="16" fillId="0" borderId="9" xfId="0" quotePrefix="1" applyNumberFormat="1" applyFont="1" applyBorder="1" applyAlignment="1" applyProtection="1">
      <alignment horizontal="center"/>
      <protection locked="0"/>
    </xf>
    <xf numFmtId="0" fontId="20" fillId="4" borderId="10" xfId="0" applyFont="1" applyFill="1" applyBorder="1" applyProtection="1">
      <protection locked="0"/>
    </xf>
    <xf numFmtId="0" fontId="20" fillId="4" borderId="8" xfId="0" applyFont="1" applyFill="1" applyBorder="1" applyProtection="1">
      <protection locked="0"/>
    </xf>
    <xf numFmtId="0" fontId="20" fillId="4" borderId="9" xfId="0" applyFont="1" applyFill="1" applyBorder="1" applyProtection="1">
      <protection locked="0"/>
    </xf>
    <xf numFmtId="0" fontId="22" fillId="0" borderId="9" xfId="0" applyFont="1" applyBorder="1" applyProtection="1">
      <protection locked="0"/>
    </xf>
    <xf numFmtId="3" fontId="61" fillId="4" borderId="0" xfId="0" applyNumberFormat="1" applyFont="1" applyFill="1" applyProtection="1">
      <protection locked="0"/>
    </xf>
    <xf numFmtId="3" fontId="16" fillId="0" borderId="8" xfId="0" quotePrefix="1" applyNumberFormat="1" applyFont="1" applyBorder="1" applyProtection="1">
      <protection locked="0"/>
    </xf>
    <xf numFmtId="3" fontId="16" fillId="0" borderId="9" xfId="0" quotePrefix="1" applyNumberFormat="1" applyFont="1" applyBorder="1" applyProtection="1">
      <protection locked="0"/>
    </xf>
    <xf numFmtId="3" fontId="16" fillId="0" borderId="10" xfId="0" quotePrefix="1" applyNumberFormat="1" applyFont="1" applyBorder="1" applyProtection="1">
      <protection locked="0"/>
    </xf>
    <xf numFmtId="0" fontId="20" fillId="4" borderId="0" xfId="0" applyFont="1" applyFill="1" applyProtection="1">
      <protection locked="0"/>
    </xf>
    <xf numFmtId="0" fontId="18" fillId="0" borderId="1" xfId="0" applyFont="1" applyBorder="1" applyAlignment="1" applyProtection="1">
      <alignment horizontal="center"/>
      <protection locked="0"/>
    </xf>
    <xf numFmtId="0" fontId="16" fillId="4" borderId="0" xfId="0" applyFont="1" applyFill="1" applyAlignment="1" applyProtection="1">
      <alignment horizontal="center"/>
      <protection locked="0"/>
    </xf>
    <xf numFmtId="168" fontId="16" fillId="4" borderId="0" xfId="0" applyNumberFormat="1" applyFont="1" applyFill="1" applyAlignment="1" applyProtection="1">
      <alignment horizontal="center"/>
      <protection locked="0"/>
    </xf>
    <xf numFmtId="3" fontId="47" fillId="4" borderId="11" xfId="0" applyNumberFormat="1" applyFont="1" applyFill="1" applyBorder="1" applyAlignment="1" applyProtection="1">
      <alignment horizontal="right"/>
      <protection locked="0"/>
    </xf>
    <xf numFmtId="0" fontId="78" fillId="0" borderId="0" xfId="0" applyFont="1"/>
    <xf numFmtId="14" fontId="16" fillId="0" borderId="6" xfId="0" applyNumberFormat="1" applyFont="1" applyBorder="1" applyAlignment="1">
      <alignment horizontal="left"/>
    </xf>
    <xf numFmtId="14" fontId="16" fillId="0" borderId="3" xfId="0" applyNumberFormat="1" applyFont="1" applyBorder="1" applyAlignment="1">
      <alignment horizontal="center"/>
    </xf>
    <xf numFmtId="0" fontId="47" fillId="0" borderId="14" xfId="7" applyFont="1" applyBorder="1" applyAlignment="1" applyProtection="1">
      <alignment horizontal="center"/>
      <protection locked="0"/>
    </xf>
    <xf numFmtId="0" fontId="47" fillId="0" borderId="15" xfId="7" applyFont="1" applyBorder="1" applyAlignment="1" applyProtection="1">
      <alignment horizontal="center"/>
      <protection locked="0"/>
    </xf>
    <xf numFmtId="0" fontId="47" fillId="4" borderId="0" xfId="0" applyFont="1" applyFill="1" applyAlignment="1" applyProtection="1">
      <alignment horizontal="center"/>
      <protection locked="0"/>
    </xf>
    <xf numFmtId="0" fontId="47" fillId="4" borderId="0" xfId="7" applyFont="1" applyFill="1" applyAlignment="1" applyProtection="1">
      <alignment horizontal="center"/>
      <protection locked="0"/>
    </xf>
    <xf numFmtId="0" fontId="71" fillId="0" borderId="0" xfId="0" applyFont="1"/>
    <xf numFmtId="0" fontId="21" fillId="0" borderId="0" xfId="0" applyFont="1"/>
    <xf numFmtId="0" fontId="17" fillId="0" borderId="0" xfId="7" applyFont="1" applyAlignment="1">
      <alignment wrapText="1"/>
    </xf>
    <xf numFmtId="3" fontId="19" fillId="0" borderId="0" xfId="1" applyNumberFormat="1" applyFont="1" applyAlignment="1">
      <alignment horizontal="left"/>
    </xf>
    <xf numFmtId="3" fontId="18" fillId="0" borderId="0" xfId="1" applyNumberFormat="1" applyFont="1" applyAlignment="1">
      <alignment horizontal="left"/>
    </xf>
    <xf numFmtId="3" fontId="21" fillId="0" borderId="0" xfId="1" applyNumberFormat="1" applyFont="1" applyAlignment="1">
      <alignment horizontal="left"/>
    </xf>
    <xf numFmtId="0" fontId="33" fillId="0" borderId="3" xfId="7" applyFont="1" applyBorder="1" applyAlignment="1" applyProtection="1">
      <alignment wrapText="1"/>
      <protection locked="0"/>
    </xf>
    <xf numFmtId="3" fontId="73" fillId="0" borderId="0" xfId="1" applyNumberFormat="1" applyFont="1" applyAlignment="1">
      <alignment horizontal="center"/>
    </xf>
    <xf numFmtId="0" fontId="17" fillId="0" borderId="0" xfId="7" applyFont="1" applyAlignment="1">
      <alignment vertical="top" wrapText="1"/>
    </xf>
    <xf numFmtId="3" fontId="33" fillId="4" borderId="1" xfId="0" applyNumberFormat="1" applyFont="1" applyFill="1" applyBorder="1" applyAlignment="1">
      <alignment horizontal="right"/>
    </xf>
    <xf numFmtId="165" fontId="33" fillId="0" borderId="3" xfId="847" applyNumberFormat="1" applyFont="1" applyBorder="1" applyAlignment="1" applyProtection="1">
      <alignment horizontal="right"/>
    </xf>
    <xf numFmtId="165" fontId="33" fillId="4" borderId="4" xfId="847" applyNumberFormat="1" applyFont="1" applyFill="1" applyBorder="1" applyAlignment="1" applyProtection="1">
      <alignment horizontal="right"/>
    </xf>
    <xf numFmtId="165" fontId="33" fillId="4" borderId="3" xfId="847" applyNumberFormat="1" applyFont="1" applyFill="1" applyBorder="1" applyAlignment="1" applyProtection="1">
      <alignment horizontal="right"/>
    </xf>
    <xf numFmtId="0" fontId="33" fillId="0" borderId="3" xfId="0" applyFont="1" applyBorder="1" applyAlignment="1">
      <alignment horizontal="right"/>
    </xf>
    <xf numFmtId="3" fontId="47" fillId="4" borderId="4" xfId="15" applyNumberFormat="1" applyFont="1" applyFill="1" applyBorder="1" applyAlignment="1" applyProtection="1">
      <alignment horizontal="right"/>
    </xf>
    <xf numFmtId="3" fontId="33" fillId="4" borderId="4" xfId="15" applyNumberFormat="1" applyFont="1" applyFill="1" applyBorder="1" applyAlignment="1" applyProtection="1">
      <alignment horizontal="right"/>
    </xf>
    <xf numFmtId="3" fontId="47" fillId="4" borderId="11" xfId="15" applyNumberFormat="1" applyFont="1" applyFill="1" applyBorder="1" applyAlignment="1" applyProtection="1">
      <alignment horizontal="right"/>
    </xf>
    <xf numFmtId="0" fontId="25" fillId="0" borderId="6" xfId="0" applyFont="1" applyBorder="1"/>
    <xf numFmtId="3" fontId="18" fillId="0" borderId="0" xfId="0" applyNumberFormat="1" applyFont="1" applyProtection="1">
      <protection locked="0"/>
    </xf>
    <xf numFmtId="0" fontId="47" fillId="0" borderId="1" xfId="0" applyFont="1" applyBorder="1" applyAlignment="1" applyProtection="1">
      <alignment horizontal="center"/>
      <protection locked="0"/>
    </xf>
    <xf numFmtId="0" fontId="47" fillId="0" borderId="14" xfId="0" applyFont="1" applyBorder="1" applyAlignment="1" applyProtection="1">
      <alignment horizontal="center"/>
      <protection locked="0"/>
    </xf>
    <xf numFmtId="0" fontId="47" fillId="0" borderId="15" xfId="0" applyFont="1" applyBorder="1" applyAlignment="1" applyProtection="1">
      <alignment horizontal="center"/>
      <protection locked="0"/>
    </xf>
    <xf numFmtId="0" fontId="47" fillId="0" borderId="1" xfId="7" applyFont="1" applyBorder="1" applyAlignment="1" applyProtection="1">
      <alignment horizontal="center"/>
      <protection locked="0"/>
    </xf>
    <xf numFmtId="169" fontId="33" fillId="0" borderId="3" xfId="847" applyNumberFormat="1" applyFont="1" applyBorder="1" applyAlignment="1" applyProtection="1">
      <alignment horizontal="right"/>
    </xf>
    <xf numFmtId="165" fontId="33" fillId="0" borderId="3" xfId="847" applyNumberFormat="1" applyFont="1" applyFill="1" applyBorder="1" applyAlignment="1" applyProtection="1">
      <alignment horizontal="right"/>
    </xf>
    <xf numFmtId="165" fontId="33" fillId="0" borderId="3" xfId="847" applyNumberFormat="1" applyFont="1" applyFill="1" applyBorder="1" applyAlignment="1" applyProtection="1">
      <alignment horizontal="right"/>
      <protection locked="0"/>
    </xf>
    <xf numFmtId="2" fontId="33" fillId="4" borderId="4" xfId="853" applyNumberFormat="1" applyFont="1" applyFill="1" applyBorder="1" applyAlignment="1" applyProtection="1">
      <alignment horizontal="right"/>
      <protection locked="0"/>
    </xf>
    <xf numFmtId="3" fontId="33" fillId="11" borderId="3" xfId="0" applyNumberFormat="1" applyFont="1" applyFill="1" applyBorder="1" applyAlignment="1" applyProtection="1">
      <alignment horizontal="right"/>
      <protection locked="0"/>
    </xf>
    <xf numFmtId="3" fontId="33" fillId="11" borderId="4" xfId="0" applyNumberFormat="1" applyFont="1" applyFill="1" applyBorder="1" applyAlignment="1" applyProtection="1">
      <alignment horizontal="right"/>
      <protection locked="0"/>
    </xf>
    <xf numFmtId="3" fontId="33" fillId="0" borderId="3" xfId="7" applyNumberFormat="1" applyFont="1" applyBorder="1" applyAlignment="1" applyProtection="1">
      <alignment horizontal="right"/>
      <protection locked="0"/>
    </xf>
    <xf numFmtId="3" fontId="33" fillId="4" borderId="7" xfId="0" applyNumberFormat="1" applyFont="1" applyFill="1" applyBorder="1" applyAlignment="1">
      <alignment horizontal="right"/>
    </xf>
    <xf numFmtId="4" fontId="33" fillId="4" borderId="3" xfId="0" applyNumberFormat="1" applyFont="1" applyFill="1" applyBorder="1" applyAlignment="1" applyProtection="1">
      <alignment horizontal="right"/>
      <protection locked="0"/>
    </xf>
    <xf numFmtId="3" fontId="33" fillId="4" borderId="3" xfId="0" quotePrefix="1" applyNumberFormat="1" applyFont="1" applyFill="1" applyBorder="1" applyAlignment="1" applyProtection="1">
      <alignment horizontal="right"/>
      <protection locked="0"/>
    </xf>
    <xf numFmtId="3" fontId="33" fillId="4" borderId="6" xfId="0" applyNumberFormat="1" applyFont="1" applyFill="1" applyBorder="1" applyAlignment="1" applyProtection="1">
      <alignment horizontal="right"/>
      <protection locked="0"/>
    </xf>
    <xf numFmtId="1" fontId="33" fillId="0" borderId="3" xfId="0" applyNumberFormat="1" applyFont="1" applyBorder="1" applyAlignment="1">
      <alignment horizontal="right"/>
    </xf>
    <xf numFmtId="4" fontId="33" fillId="0" borderId="3" xfId="7" applyNumberFormat="1" applyFont="1" applyBorder="1" applyAlignment="1" applyProtection="1">
      <alignment horizontal="right"/>
      <protection locked="0"/>
    </xf>
    <xf numFmtId="164" fontId="33" fillId="0" borderId="6" xfId="7" applyNumberFormat="1" applyFont="1" applyBorder="1" applyAlignment="1" applyProtection="1">
      <alignment horizontal="right"/>
      <protection locked="0"/>
    </xf>
    <xf numFmtId="4" fontId="33" fillId="4" borderId="6" xfId="7" applyNumberFormat="1" applyFont="1" applyFill="1" applyBorder="1" applyAlignment="1" applyProtection="1">
      <alignment horizontal="right"/>
      <protection locked="0"/>
    </xf>
    <xf numFmtId="0" fontId="70" fillId="0" borderId="0" xfId="1694" applyFont="1" applyAlignment="1">
      <alignment horizontal="left" vertical="center" wrapText="1" readingOrder="1"/>
    </xf>
    <xf numFmtId="0" fontId="20" fillId="0" borderId="4" xfId="1" applyFont="1" applyBorder="1" applyAlignment="1">
      <alignment vertical="center"/>
    </xf>
    <xf numFmtId="0" fontId="20" fillId="0" borderId="0" xfId="1" applyFont="1" applyAlignment="1">
      <alignment vertical="center"/>
    </xf>
    <xf numFmtId="3" fontId="20" fillId="0" borderId="3" xfId="2" applyNumberFormat="1" applyFont="1" applyFill="1" applyBorder="1" applyAlignment="1">
      <alignment horizontal="left"/>
    </xf>
    <xf numFmtId="3" fontId="18" fillId="0" borderId="6" xfId="1" applyNumberFormat="1" applyFont="1" applyBorder="1"/>
    <xf numFmtId="3" fontId="18" fillId="0" borderId="11" xfId="1" applyNumberFormat="1" applyFont="1" applyBorder="1"/>
    <xf numFmtId="3" fontId="20" fillId="0" borderId="8" xfId="1" applyNumberFormat="1" applyFont="1" applyBorder="1"/>
    <xf numFmtId="164" fontId="18" fillId="3" borderId="7" xfId="1" applyNumberFormat="1" applyFont="1" applyFill="1" applyBorder="1" applyAlignment="1">
      <alignment horizontal="right"/>
    </xf>
    <xf numFmtId="3" fontId="69" fillId="0" borderId="7" xfId="1" applyNumberFormat="1" applyFont="1" applyBorder="1" applyAlignment="1">
      <alignment horizontal="right"/>
    </xf>
    <xf numFmtId="3" fontId="21" fillId="2" borderId="3" xfId="1" applyNumberFormat="1" applyFont="1" applyFill="1" applyBorder="1" applyAlignment="1">
      <alignment horizontal="right"/>
    </xf>
    <xf numFmtId="170" fontId="69" fillId="0" borderId="7" xfId="846" applyFont="1" applyFill="1" applyBorder="1" applyAlignment="1">
      <alignment horizontal="right"/>
    </xf>
    <xf numFmtId="170" fontId="25" fillId="0" borderId="3" xfId="846" applyFont="1" applyFill="1" applyBorder="1" applyAlignment="1">
      <alignment horizontal="right"/>
    </xf>
    <xf numFmtId="170" fontId="21" fillId="2" borderId="3" xfId="846" applyFont="1" applyFill="1" applyBorder="1" applyAlignment="1">
      <alignment horizontal="right"/>
    </xf>
    <xf numFmtId="170" fontId="69" fillId="0" borderId="3" xfId="846" applyFont="1" applyFill="1" applyBorder="1" applyAlignment="1">
      <alignment horizontal="right"/>
    </xf>
    <xf numFmtId="0" fontId="33" fillId="0" borderId="4" xfId="1694" applyFont="1" applyBorder="1" applyAlignment="1" applyProtection="1">
      <alignment wrapText="1"/>
      <protection locked="0"/>
    </xf>
    <xf numFmtId="0" fontId="75" fillId="0" borderId="0" xfId="7" applyFont="1" applyProtection="1">
      <protection locked="0"/>
    </xf>
    <xf numFmtId="0" fontId="77" fillId="0" borderId="4" xfId="0" applyFont="1" applyBorder="1" applyProtection="1">
      <protection locked="0"/>
    </xf>
    <xf numFmtId="0" fontId="77" fillId="0" borderId="4" xfId="1694" applyFont="1" applyBorder="1" applyProtection="1">
      <protection locked="0"/>
    </xf>
    <xf numFmtId="3" fontId="18" fillId="0" borderId="10" xfId="1" applyNumberFormat="1" applyFont="1" applyBorder="1" applyAlignment="1">
      <alignment horizontal="center"/>
    </xf>
    <xf numFmtId="3" fontId="18" fillId="0" borderId="8" xfId="1" applyNumberFormat="1" applyFont="1" applyBorder="1" applyAlignment="1">
      <alignment horizontal="center"/>
    </xf>
    <xf numFmtId="3" fontId="18" fillId="0" borderId="9" xfId="1" applyNumberFormat="1" applyFont="1" applyBorder="1" applyAlignment="1">
      <alignment horizontal="center"/>
    </xf>
    <xf numFmtId="3" fontId="16" fillId="0" borderId="12" xfId="1" applyNumberFormat="1" applyFont="1" applyBorder="1" applyAlignment="1">
      <alignment horizontal="center"/>
    </xf>
    <xf numFmtId="3" fontId="16" fillId="0" borderId="0" xfId="1" applyNumberFormat="1" applyFont="1" applyAlignment="1">
      <alignment horizontal="center"/>
    </xf>
    <xf numFmtId="3" fontId="16" fillId="0" borderId="14" xfId="1" applyNumberFormat="1" applyFont="1" applyBorder="1" applyAlignment="1">
      <alignment horizontal="center"/>
    </xf>
    <xf numFmtId="0" fontId="18" fillId="8" borderId="0" xfId="0" applyFont="1" applyFill="1" applyAlignment="1">
      <alignment horizontal="center"/>
    </xf>
    <xf numFmtId="0" fontId="18" fillId="8" borderId="2" xfId="0" applyFont="1" applyFill="1" applyBorder="1" applyAlignment="1">
      <alignment horizontal="center"/>
    </xf>
    <xf numFmtId="0" fontId="47" fillId="0" borderId="12" xfId="0" applyFont="1" applyBorder="1" applyAlignment="1">
      <alignment horizontal="left"/>
    </xf>
    <xf numFmtId="0" fontId="47" fillId="0" borderId="10" xfId="0" applyFont="1" applyBorder="1" applyAlignment="1">
      <alignment horizontal="center"/>
    </xf>
    <xf numFmtId="0" fontId="47" fillId="0" borderId="8" xfId="0" applyFont="1" applyBorder="1" applyAlignment="1">
      <alignment horizontal="center"/>
    </xf>
    <xf numFmtId="0" fontId="47" fillId="0" borderId="9" xfId="0" applyFont="1" applyBorder="1" applyAlignment="1">
      <alignment horizontal="center"/>
    </xf>
    <xf numFmtId="0" fontId="18" fillId="8" borderId="4" xfId="0" applyFont="1" applyFill="1" applyBorder="1" applyAlignment="1">
      <alignment horizontal="center"/>
    </xf>
    <xf numFmtId="0" fontId="47" fillId="0" borderId="14" xfId="0" applyFont="1" applyBorder="1" applyAlignment="1">
      <alignment horizontal="center"/>
    </xf>
    <xf numFmtId="0" fontId="47" fillId="0" borderId="15" xfId="0" applyFont="1" applyBorder="1" applyAlignment="1">
      <alignment horizontal="center"/>
    </xf>
    <xf numFmtId="0" fontId="47" fillId="0" borderId="1" xfId="0" applyFont="1" applyBorder="1" applyAlignment="1">
      <alignment horizontal="center"/>
    </xf>
    <xf numFmtId="14" fontId="16" fillId="0" borderId="11" xfId="0" applyNumberFormat="1" applyFont="1" applyBorder="1" applyAlignment="1">
      <alignment horizontal="center"/>
    </xf>
    <xf numFmtId="14" fontId="16" fillId="0" borderId="12" xfId="0" applyNumberFormat="1" applyFont="1" applyBorder="1" applyAlignment="1">
      <alignment horizontal="center"/>
    </xf>
    <xf numFmtId="14" fontId="16" fillId="0" borderId="5" xfId="0" applyNumberFormat="1" applyFont="1" applyBorder="1" applyAlignment="1">
      <alignment horizontal="center"/>
    </xf>
    <xf numFmtId="3" fontId="47" fillId="0" borderId="11" xfId="0" applyNumberFormat="1" applyFont="1" applyBorder="1" applyAlignment="1">
      <alignment horizontal="center"/>
    </xf>
    <xf numFmtId="3" fontId="47" fillId="0" borderId="12" xfId="0" applyNumberFormat="1" applyFont="1" applyBorder="1" applyAlignment="1">
      <alignment horizontal="center"/>
    </xf>
    <xf numFmtId="3" fontId="47" fillId="0" borderId="5" xfId="0" applyNumberFormat="1" applyFont="1" applyBorder="1" applyAlignment="1">
      <alignment horizontal="center"/>
    </xf>
    <xf numFmtId="0" fontId="18" fillId="0" borderId="10" xfId="1" applyFont="1" applyBorder="1" applyAlignment="1">
      <alignment horizontal="center"/>
    </xf>
    <xf numFmtId="0" fontId="18" fillId="0" borderId="8" xfId="1" applyFont="1" applyBorder="1" applyAlignment="1">
      <alignment horizontal="center"/>
    </xf>
    <xf numFmtId="0" fontId="18" fillId="0" borderId="9" xfId="1" applyFont="1" applyBorder="1" applyAlignment="1">
      <alignment horizontal="center"/>
    </xf>
    <xf numFmtId="0" fontId="16" fillId="0" borderId="0" xfId="1" applyFont="1" applyAlignment="1">
      <alignment horizontal="center"/>
    </xf>
    <xf numFmtId="0" fontId="47" fillId="0" borderId="1" xfId="0" applyFont="1" applyBorder="1" applyAlignment="1" applyProtection="1">
      <alignment horizontal="center"/>
      <protection locked="0"/>
    </xf>
    <xf numFmtId="0" fontId="47" fillId="0" borderId="14" xfId="0" applyFont="1" applyBorder="1" applyAlignment="1" applyProtection="1">
      <alignment horizontal="center"/>
      <protection locked="0"/>
    </xf>
    <xf numFmtId="0" fontId="47" fillId="0" borderId="15" xfId="0" applyFont="1" applyBorder="1" applyAlignment="1" applyProtection="1">
      <alignment horizontal="center"/>
      <protection locked="0"/>
    </xf>
    <xf numFmtId="0" fontId="47" fillId="0" borderId="11" xfId="0" applyFont="1" applyBorder="1" applyAlignment="1" applyProtection="1">
      <alignment horizontal="center"/>
      <protection locked="0"/>
    </xf>
    <xf numFmtId="0" fontId="47" fillId="0" borderId="12" xfId="0" applyFont="1" applyBorder="1" applyAlignment="1" applyProtection="1">
      <alignment horizontal="center"/>
      <protection locked="0"/>
    </xf>
    <xf numFmtId="0" fontId="47" fillId="0" borderId="5" xfId="0" applyFont="1" applyBorder="1" applyAlignment="1" applyProtection="1">
      <alignment horizontal="center"/>
      <protection locked="0"/>
    </xf>
    <xf numFmtId="0" fontId="47" fillId="4" borderId="0" xfId="0" applyFont="1" applyFill="1" applyAlignment="1" applyProtection="1">
      <alignment horizontal="center"/>
      <protection locked="0"/>
    </xf>
    <xf numFmtId="0" fontId="47" fillId="0" borderId="1" xfId="7" applyFont="1" applyBorder="1" applyAlignment="1" applyProtection="1">
      <alignment horizontal="center"/>
      <protection locked="0"/>
    </xf>
    <xf numFmtId="0" fontId="47" fillId="0" borderId="14" xfId="7" applyFont="1" applyBorder="1" applyAlignment="1" applyProtection="1">
      <alignment horizontal="center"/>
      <protection locked="0"/>
    </xf>
    <xf numFmtId="0" fontId="47" fillId="0" borderId="15" xfId="7" applyFont="1" applyBorder="1" applyAlignment="1" applyProtection="1">
      <alignment horizontal="center"/>
      <protection locked="0"/>
    </xf>
    <xf numFmtId="0" fontId="47" fillId="4" borderId="0" xfId="7" applyFont="1" applyFill="1" applyAlignment="1" applyProtection="1">
      <alignment horizontal="center"/>
      <protection locked="0"/>
    </xf>
    <xf numFmtId="0" fontId="47" fillId="0" borderId="11" xfId="7" applyFont="1" applyBorder="1" applyAlignment="1" applyProtection="1">
      <alignment horizontal="center"/>
      <protection locked="0"/>
    </xf>
    <xf numFmtId="0" fontId="47" fillId="0" borderId="12" xfId="7" applyFont="1" applyBorder="1" applyAlignment="1" applyProtection="1">
      <alignment horizontal="center"/>
      <protection locked="0"/>
    </xf>
    <xf numFmtId="0" fontId="47" fillId="0" borderId="5" xfId="7" applyFont="1" applyBorder="1" applyAlignment="1" applyProtection="1">
      <alignment horizontal="center"/>
      <protection locked="0"/>
    </xf>
    <xf numFmtId="0" fontId="70" fillId="0" borderId="0" xfId="0" applyFont="1" applyAlignment="1">
      <alignment horizontal="left" vertical="top" wrapText="1" readingOrder="1"/>
    </xf>
    <xf numFmtId="3" fontId="18" fillId="0" borderId="4" xfId="1" applyNumberFormat="1" applyFont="1" applyFill="1" applyBorder="1" applyAlignment="1">
      <alignment horizontal="right"/>
    </xf>
  </cellXfs>
  <cellStyles count="4193">
    <cellStyle name="20 % – uthevingsfarge 2" xfId="844" builtinId="34"/>
    <cellStyle name="20 % – uthevingsfarge 2 2" xfId="2520" xr:uid="{CC37CBE0-4929-42A4-896B-4CC8E9659CC2}"/>
    <cellStyle name="20 % – uthevingsfarge 2 2 2" xfId="4188" xr:uid="{3A5CD20D-E6C1-4C39-A531-047AE1F169CE}"/>
    <cellStyle name="20 % – uthevingsfarge 2 3" xfId="1684" xr:uid="{D95D5D27-20EC-4EE0-9B7B-28A2AC0B8086}"/>
    <cellStyle name="20 % – uthevingsfarge 2 4" xfId="3354" xr:uid="{A54C1E95-F79D-4D79-BFB2-7171F7E93507}"/>
    <cellStyle name="40% - uthevingsfarge 4 2" xfId="38" xr:uid="{00000000-0005-0000-0000-000001000000}"/>
    <cellStyle name="40% - uthevingsfarge 4 2 10" xfId="771" xr:uid="{00000000-0005-0000-0000-000002000000}"/>
    <cellStyle name="40% - uthevingsfarge 4 2 10 2" xfId="2447" xr:uid="{019DAADE-2794-4D87-BF1D-686669C4E35F}"/>
    <cellStyle name="40% - uthevingsfarge 4 2 10 2 2" xfId="4115" xr:uid="{4BA0D1D1-863F-402A-846E-F991A763704D}"/>
    <cellStyle name="40% - uthevingsfarge 4 2 10 3" xfId="1611" xr:uid="{6159DB24-559A-4198-9297-C1A45119E476}"/>
    <cellStyle name="40% - uthevingsfarge 4 2 10 4" xfId="3281" xr:uid="{1D4590FB-9225-456D-BB41-6EDB6E7AC831}"/>
    <cellStyle name="40% - uthevingsfarge 4 2 11" xfId="1718" xr:uid="{75F06EAE-337C-40DF-8827-EE1367A0BA19}"/>
    <cellStyle name="40% - uthevingsfarge 4 2 11 2" xfId="3386" xr:uid="{684481AD-E29D-49F9-9236-738747CFF48E}"/>
    <cellStyle name="40% - uthevingsfarge 4 2 12" xfId="882" xr:uid="{E5562A1F-FAF3-4A18-B1E9-A1B5622C658E}"/>
    <cellStyle name="40% - uthevingsfarge 4 2 13" xfId="2552" xr:uid="{546F08C1-83AC-4211-8EBA-1E3C7C90D24A}"/>
    <cellStyle name="40% - uthevingsfarge 4 2 2" xfId="80" xr:uid="{00000000-0005-0000-0000-000003000000}"/>
    <cellStyle name="40% - uthevingsfarge 4 2 2 10" xfId="1757" xr:uid="{F2B42AA5-7FE2-4D4B-AE47-C14387AED870}"/>
    <cellStyle name="40% - uthevingsfarge 4 2 2 10 2" xfId="3425" xr:uid="{F86C8D2E-998E-497A-B74E-66EE4B0B1AB6}"/>
    <cellStyle name="40% - uthevingsfarge 4 2 2 11" xfId="921" xr:uid="{AC191122-E778-4A22-8EEC-7ED420247B83}"/>
    <cellStyle name="40% - uthevingsfarge 4 2 2 12" xfId="2591" xr:uid="{DD4D3AC9-6955-45D7-B13D-FBF92ABAA0D7}"/>
    <cellStyle name="40% - uthevingsfarge 4 2 2 2" xfId="173" xr:uid="{00000000-0005-0000-0000-000004000000}"/>
    <cellStyle name="40% - uthevingsfarge 4 2 2 2 2" xfId="1849" xr:uid="{71F6C914-FC33-4AC8-9FF4-C1A26F7474D7}"/>
    <cellStyle name="40% - uthevingsfarge 4 2 2 2 2 2" xfId="3517" xr:uid="{28A0671D-414E-4396-BF82-4D2A60B95D48}"/>
    <cellStyle name="40% - uthevingsfarge 4 2 2 2 3" xfId="1013" xr:uid="{6B7D10A5-C82A-4B19-9B48-30BAC09F9EA3}"/>
    <cellStyle name="40% - uthevingsfarge 4 2 2 2 4" xfId="2683" xr:uid="{F5224C4E-B2FF-4E22-9210-A8D440B09585}"/>
    <cellStyle name="40% - uthevingsfarge 4 2 2 3" xfId="263" xr:uid="{00000000-0005-0000-0000-000005000000}"/>
    <cellStyle name="40% - uthevingsfarge 4 2 2 3 2" xfId="1939" xr:uid="{F39FB073-F440-4A76-96B1-DEB4A9E0D037}"/>
    <cellStyle name="40% - uthevingsfarge 4 2 2 3 2 2" xfId="3607" xr:uid="{70D962D2-FB5A-4F5F-8DAD-45873853F357}"/>
    <cellStyle name="40% - uthevingsfarge 4 2 2 3 3" xfId="1103" xr:uid="{94ECE575-DBA1-4D84-A03B-5A84012D713A}"/>
    <cellStyle name="40% - uthevingsfarge 4 2 2 3 4" xfId="2773" xr:uid="{5192F65F-BAE7-4E10-92A8-905999775979}"/>
    <cellStyle name="40% - uthevingsfarge 4 2 2 4" xfId="353" xr:uid="{00000000-0005-0000-0000-000006000000}"/>
    <cellStyle name="40% - uthevingsfarge 4 2 2 4 2" xfId="2029" xr:uid="{4F6C5AD9-BC10-49FA-8F2B-971FEC972401}"/>
    <cellStyle name="40% - uthevingsfarge 4 2 2 4 2 2" xfId="3697" xr:uid="{8947473D-E5D9-4452-B6B3-CC90BC7C2BCC}"/>
    <cellStyle name="40% - uthevingsfarge 4 2 2 4 3" xfId="1193" xr:uid="{07432EA6-617A-4AF6-8CB2-AE2446C3FC22}"/>
    <cellStyle name="40% - uthevingsfarge 4 2 2 4 4" xfId="2863" xr:uid="{0D551843-C848-46C0-B41C-1061FE3C7C6D}"/>
    <cellStyle name="40% - uthevingsfarge 4 2 2 5" xfId="443" xr:uid="{00000000-0005-0000-0000-000007000000}"/>
    <cellStyle name="40% - uthevingsfarge 4 2 2 5 2" xfId="2119" xr:uid="{3AC1B63A-E004-4550-99A1-3ABE90885A3A}"/>
    <cellStyle name="40% - uthevingsfarge 4 2 2 5 2 2" xfId="3787" xr:uid="{F3EB5B8B-BD8D-418C-8830-55025989236C}"/>
    <cellStyle name="40% - uthevingsfarge 4 2 2 5 3" xfId="1283" xr:uid="{C90FD9BD-628E-4A36-A333-58BBB11BFA87}"/>
    <cellStyle name="40% - uthevingsfarge 4 2 2 5 4" xfId="2953" xr:uid="{902F0453-D719-4FFC-B17F-2C6E8EFF5D7F}"/>
    <cellStyle name="40% - uthevingsfarge 4 2 2 6" xfId="533" xr:uid="{00000000-0005-0000-0000-000008000000}"/>
    <cellStyle name="40% - uthevingsfarge 4 2 2 6 2" xfId="2209" xr:uid="{6BAA92F1-613C-4493-B63E-4ADFA03A0739}"/>
    <cellStyle name="40% - uthevingsfarge 4 2 2 6 2 2" xfId="3877" xr:uid="{E6E77992-7A39-48ED-9F61-99A3D2591042}"/>
    <cellStyle name="40% - uthevingsfarge 4 2 2 6 3" xfId="1373" xr:uid="{522D1FD2-775F-47F0-A29A-C23D0D46AB7F}"/>
    <cellStyle name="40% - uthevingsfarge 4 2 2 6 4" xfId="3043" xr:uid="{F4DED5F0-4AE4-44AF-8E9B-3A652E51FEF5}"/>
    <cellStyle name="40% - uthevingsfarge 4 2 2 7" xfId="623" xr:uid="{00000000-0005-0000-0000-000009000000}"/>
    <cellStyle name="40% - uthevingsfarge 4 2 2 7 2" xfId="2299" xr:uid="{31CA27EF-666A-42D3-8695-E462676F1A67}"/>
    <cellStyle name="40% - uthevingsfarge 4 2 2 7 2 2" xfId="3967" xr:uid="{06BF4146-5AA3-41E8-86BF-F5EA4AA01071}"/>
    <cellStyle name="40% - uthevingsfarge 4 2 2 7 3" xfId="1463" xr:uid="{EEB129A0-6DE6-4DD8-8AF7-CA4CC7E3B0BF}"/>
    <cellStyle name="40% - uthevingsfarge 4 2 2 7 4" xfId="3133" xr:uid="{66132557-4AA0-42DC-AEEF-2FD1B8994C3F}"/>
    <cellStyle name="40% - uthevingsfarge 4 2 2 8" xfId="713" xr:uid="{00000000-0005-0000-0000-00000A000000}"/>
    <cellStyle name="40% - uthevingsfarge 4 2 2 8 2" xfId="2389" xr:uid="{E214A77D-AD41-40C1-A8FB-423012E5AD64}"/>
    <cellStyle name="40% - uthevingsfarge 4 2 2 8 2 2" xfId="4057" xr:uid="{6E5E8050-0531-4D2C-BBB4-0C5E0C69ED46}"/>
    <cellStyle name="40% - uthevingsfarge 4 2 2 8 3" xfId="1553" xr:uid="{0CB0A606-C149-470D-8514-2A7DF1632AB7}"/>
    <cellStyle name="40% - uthevingsfarge 4 2 2 8 4" xfId="3223" xr:uid="{3A830AFA-CC05-4F2B-80F7-BD142BA58512}"/>
    <cellStyle name="40% - uthevingsfarge 4 2 2 9" xfId="810" xr:uid="{00000000-0005-0000-0000-00000B000000}"/>
    <cellStyle name="40% - uthevingsfarge 4 2 2 9 2" xfId="2486" xr:uid="{4ACB2D91-38F2-4582-BBB4-11E8EAD8FCC5}"/>
    <cellStyle name="40% - uthevingsfarge 4 2 2 9 2 2" xfId="4154" xr:uid="{75BE583E-024C-49F0-9AA5-CBB64B958BA2}"/>
    <cellStyle name="40% - uthevingsfarge 4 2 2 9 3" xfId="1650" xr:uid="{343B86F6-57E0-442D-AFD2-4395FA820497}"/>
    <cellStyle name="40% - uthevingsfarge 4 2 2 9 4" xfId="3320" xr:uid="{F730064F-3FB2-4941-9925-445DC7C856CA}"/>
    <cellStyle name="40% - uthevingsfarge 4 2 3" xfId="136" xr:uid="{00000000-0005-0000-0000-00000C000000}"/>
    <cellStyle name="40% - uthevingsfarge 4 2 3 2" xfId="1812" xr:uid="{DE30C190-228A-4340-8B80-BBDA10E259A7}"/>
    <cellStyle name="40% - uthevingsfarge 4 2 3 2 2" xfId="3480" xr:uid="{2DE4E140-3CE1-4A64-8062-BA40AE476A8C}"/>
    <cellStyle name="40% - uthevingsfarge 4 2 3 3" xfId="976" xr:uid="{D7ACB880-609A-472D-8D89-F12D8651494E}"/>
    <cellStyle name="40% - uthevingsfarge 4 2 3 4" xfId="2646" xr:uid="{A1745B65-AE5E-41FB-992A-B2FB9F8A0726}"/>
    <cellStyle name="40% - uthevingsfarge 4 2 4" xfId="226" xr:uid="{00000000-0005-0000-0000-00000D000000}"/>
    <cellStyle name="40% - uthevingsfarge 4 2 4 2" xfId="1902" xr:uid="{7DD3CE45-B7BB-4066-8A38-70D7C18F9D29}"/>
    <cellStyle name="40% - uthevingsfarge 4 2 4 2 2" xfId="3570" xr:uid="{4580505B-F6CD-4BAB-8785-CE594AB6F9F9}"/>
    <cellStyle name="40% - uthevingsfarge 4 2 4 3" xfId="1066" xr:uid="{C1349843-C730-45F8-B346-C97191D5DE2C}"/>
    <cellStyle name="40% - uthevingsfarge 4 2 4 4" xfId="2736" xr:uid="{59177608-9BC9-4818-BB59-51604FEF517D}"/>
    <cellStyle name="40% - uthevingsfarge 4 2 5" xfId="316" xr:uid="{00000000-0005-0000-0000-00000E000000}"/>
    <cellStyle name="40% - uthevingsfarge 4 2 5 2" xfId="1992" xr:uid="{681568CC-B641-44BF-A87D-416672A682F6}"/>
    <cellStyle name="40% - uthevingsfarge 4 2 5 2 2" xfId="3660" xr:uid="{106F58AA-2465-4624-AB2D-0793409F10B7}"/>
    <cellStyle name="40% - uthevingsfarge 4 2 5 3" xfId="1156" xr:uid="{45A13B5A-4BEA-4814-8E7A-0B8A9634C51C}"/>
    <cellStyle name="40% - uthevingsfarge 4 2 5 4" xfId="2826" xr:uid="{11B4837E-28C8-4A44-963F-8A667F565348}"/>
    <cellStyle name="40% - uthevingsfarge 4 2 6" xfId="406" xr:uid="{00000000-0005-0000-0000-00000F000000}"/>
    <cellStyle name="40% - uthevingsfarge 4 2 6 2" xfId="2082" xr:uid="{DBD23181-D520-4087-A5BF-F4E2B162976F}"/>
    <cellStyle name="40% - uthevingsfarge 4 2 6 2 2" xfId="3750" xr:uid="{90BA3BF5-9908-4502-BF34-338797B343C2}"/>
    <cellStyle name="40% - uthevingsfarge 4 2 6 3" xfId="1246" xr:uid="{67AE5F62-A044-4D34-B173-5A69575EA7F9}"/>
    <cellStyle name="40% - uthevingsfarge 4 2 6 4" xfId="2916" xr:uid="{A1D7A1F6-F547-4EB6-B724-1EE6D8BED04E}"/>
    <cellStyle name="40% - uthevingsfarge 4 2 7" xfId="496" xr:uid="{00000000-0005-0000-0000-000010000000}"/>
    <cellStyle name="40% - uthevingsfarge 4 2 7 2" xfId="2172" xr:uid="{570894A4-C855-4203-B66B-56641D40E251}"/>
    <cellStyle name="40% - uthevingsfarge 4 2 7 2 2" xfId="3840" xr:uid="{259960C6-1406-4BDA-9272-CE66AA5D2758}"/>
    <cellStyle name="40% - uthevingsfarge 4 2 7 3" xfId="1336" xr:uid="{79C3AE76-889A-462A-99B8-77E5BEFB4C76}"/>
    <cellStyle name="40% - uthevingsfarge 4 2 7 4" xfId="3006" xr:uid="{AF95AD70-3ADC-4BDA-B22E-F6BB724C9002}"/>
    <cellStyle name="40% - uthevingsfarge 4 2 8" xfId="586" xr:uid="{00000000-0005-0000-0000-000011000000}"/>
    <cellStyle name="40% - uthevingsfarge 4 2 8 2" xfId="2262" xr:uid="{88BE8676-7E0B-4F64-881F-C1B1D4AD4131}"/>
    <cellStyle name="40% - uthevingsfarge 4 2 8 2 2" xfId="3930" xr:uid="{2C040B55-26F2-4CDD-B098-AB2685386892}"/>
    <cellStyle name="40% - uthevingsfarge 4 2 8 3" xfId="1426" xr:uid="{3FA7DD8C-7592-40DF-BB23-9BE55F19F15C}"/>
    <cellStyle name="40% - uthevingsfarge 4 2 8 4" xfId="3096" xr:uid="{E892FB0B-74AC-49DF-8B56-2835288F805F}"/>
    <cellStyle name="40% - uthevingsfarge 4 2 9" xfId="676" xr:uid="{00000000-0005-0000-0000-000012000000}"/>
    <cellStyle name="40% - uthevingsfarge 4 2 9 2" xfId="2352" xr:uid="{D11CBF15-24B5-4A54-BF45-2AD5D8C1F6BA}"/>
    <cellStyle name="40% - uthevingsfarge 4 2 9 2 2" xfId="4020" xr:uid="{3A6C192A-B1E2-465C-8F44-A4F817C25C4E}"/>
    <cellStyle name="40% - uthevingsfarge 4 2 9 3" xfId="1516" xr:uid="{6FA483F7-424C-43B1-BE45-85ACD1A441B7}"/>
    <cellStyle name="40% - uthevingsfarge 4 2 9 4" xfId="3186" xr:uid="{0622DE43-C6CB-472B-AAE7-43E0C6EDAD20}"/>
    <cellStyle name="Hyperkobling" xfId="3" builtinId="8"/>
    <cellStyle name="Komma" xfId="2" builtinId="3"/>
    <cellStyle name="Komma 2" xfId="847" xr:uid="{00000000-0005-0000-0000-000015000000}"/>
    <cellStyle name="Komma 2 2" xfId="2521" xr:uid="{F6266B88-B14A-488C-8522-8B6083653686}"/>
    <cellStyle name="Komma 2 2 2" xfId="4189" xr:uid="{1342C49F-EFDF-4CFB-8F85-F3673A63D74D}"/>
    <cellStyle name="Komma 2 3" xfId="850" xr:uid="{0D7BB789-C0BC-4F58-B366-11FD845789ED}"/>
    <cellStyle name="Komma 2 3 2" xfId="2523" xr:uid="{EC9122AC-2192-4985-BA83-38687FE1FA2B}"/>
    <cellStyle name="Komma 2 3 2 2" xfId="4191" xr:uid="{4DC255E1-8D4F-43DD-AF16-EF839A0940CA}"/>
    <cellStyle name="Komma 2 3 3" xfId="1687" xr:uid="{6DDACE2F-E24A-4762-B11E-885D2216A6EC}"/>
    <cellStyle name="Komma 2 3 4" xfId="3357" xr:uid="{D3578C70-DC0C-40E7-9ADC-238F81F164F8}"/>
    <cellStyle name="Komma 2 4" xfId="1685" xr:uid="{B47E5518-4867-4DA6-8F8A-20DD785497EA}"/>
    <cellStyle name="Komma 2 5" xfId="3355" xr:uid="{9C4FD3D6-8059-4222-A352-C4D8B63D5329}"/>
    <cellStyle name="Komma 3" xfId="1690" xr:uid="{2F4CA53D-FAD8-41BD-9BC6-8A4A0EE78612}"/>
    <cellStyle name="Komma 3 2" xfId="3359" xr:uid="{FDAD5C9B-6160-48A7-BE2B-DBD17851DE39}"/>
    <cellStyle name="Komma 4" xfId="854" xr:uid="{6D8984C6-44B6-470F-B612-A3CAACE30CAD}"/>
    <cellStyle name="Komma 5" xfId="2525" xr:uid="{53DA198A-A535-4FB6-BE16-4BB8EF7FCD9C}"/>
    <cellStyle name="Merknad 2" xfId="94" xr:uid="{00000000-0005-0000-0000-000016000000}"/>
    <cellStyle name="Normal" xfId="0" builtinId="0"/>
    <cellStyle name="Normal 10" xfId="31" xr:uid="{00000000-0005-0000-0000-000018000000}"/>
    <cellStyle name="Normal 10 10" xfId="670" xr:uid="{00000000-0005-0000-0000-000019000000}"/>
    <cellStyle name="Normal 10 10 2" xfId="2346" xr:uid="{37FC8AEF-7A67-41AB-B956-0CEE9F6ED897}"/>
    <cellStyle name="Normal 10 10 2 2" xfId="4014" xr:uid="{32EAC325-1FC3-486B-AAEB-9F2414149620}"/>
    <cellStyle name="Normal 10 10 3" xfId="1510" xr:uid="{FACF1D90-EE44-401C-AE6C-5210B26CD34F}"/>
    <cellStyle name="Normal 10 10 4" xfId="3180" xr:uid="{4E301469-EF4D-4B26-83BB-41BD25F1937F}"/>
    <cellStyle name="Normal 10 11" xfId="765" xr:uid="{00000000-0005-0000-0000-00001A000000}"/>
    <cellStyle name="Normal 10 11 2" xfId="2441" xr:uid="{4B910EA5-E8F9-4E61-A114-D589D0356ED8}"/>
    <cellStyle name="Normal 10 11 2 2" xfId="4109" xr:uid="{DB6CEF00-2A04-4EDA-AEBC-A792478333FD}"/>
    <cellStyle name="Normal 10 11 3" xfId="1605" xr:uid="{6F972398-7049-4020-A63D-A437276BE521}"/>
    <cellStyle name="Normal 10 11 4" xfId="3275" xr:uid="{4C98E017-4B34-4120-BC7F-9D2B7AB6A866}"/>
    <cellStyle name="Normal 10 12" xfId="1712" xr:uid="{516DE043-B086-4FCC-8C2C-EC9E1EAE45E7}"/>
    <cellStyle name="Normal 10 12 2" xfId="3380" xr:uid="{6FE8123E-0EC1-4B22-8506-340D29E3EAB9}"/>
    <cellStyle name="Normal 10 13" xfId="876" xr:uid="{44EA5CF8-5915-4E91-AD5D-4DC8170F0E10}"/>
    <cellStyle name="Normal 10 14" xfId="2546" xr:uid="{D2D474D7-4525-4D62-BB81-D50AF99BD011}"/>
    <cellStyle name="Normal 10 2" xfId="53" xr:uid="{00000000-0005-0000-0000-00001B000000}"/>
    <cellStyle name="Normal 10 2 10" xfId="785" xr:uid="{00000000-0005-0000-0000-00001C000000}"/>
    <cellStyle name="Normal 10 2 10 2" xfId="2461" xr:uid="{1C9A9255-C2CC-4232-889E-F4EA956F95FB}"/>
    <cellStyle name="Normal 10 2 10 2 2" xfId="4129" xr:uid="{AB2F3CB5-4B21-4E39-A23A-FCE212EC98C6}"/>
    <cellStyle name="Normal 10 2 10 3" xfId="1625" xr:uid="{A08387B3-B3DE-4CA3-8DE3-21F71610DEB2}"/>
    <cellStyle name="Normal 10 2 10 4" xfId="3295" xr:uid="{0866201D-84DF-401C-9AD2-E71CD0C58115}"/>
    <cellStyle name="Normal 10 2 11" xfId="1732" xr:uid="{40B0FF37-D94D-4554-A48A-D03A7981E459}"/>
    <cellStyle name="Normal 10 2 11 2" xfId="3400" xr:uid="{070E93BB-9633-46FA-A381-B6FA703BFEDF}"/>
    <cellStyle name="Normal 10 2 12" xfId="896" xr:uid="{73ED9B67-CBB4-4B80-9411-F6F49270D675}"/>
    <cellStyle name="Normal 10 2 13" xfId="2566" xr:uid="{02EAFF37-E3E9-4736-A85E-935028C8DA8C}"/>
    <cellStyle name="Normal 10 2 2" xfId="93" xr:uid="{00000000-0005-0000-0000-00001D000000}"/>
    <cellStyle name="Normal 10 2 2 10" xfId="823" xr:uid="{00000000-0005-0000-0000-00001E000000}"/>
    <cellStyle name="Normal 10 2 2 10 2" xfId="2499" xr:uid="{C5A8B86A-86DA-4197-AB34-1BBA46D39126}"/>
    <cellStyle name="Normal 10 2 2 10 2 2" xfId="4167" xr:uid="{FF8722C4-90ED-4386-86CB-8664147698B1}"/>
    <cellStyle name="Normal 10 2 2 10 3" xfId="1663" xr:uid="{A55833BD-05FB-4A25-B7AB-C81925041593}"/>
    <cellStyle name="Normal 10 2 2 10 4" xfId="3333" xr:uid="{98EFCFF1-B4E0-42F7-98FE-BF01549A17EF}"/>
    <cellStyle name="Normal 10 2 2 11" xfId="1770" xr:uid="{25682FA6-352A-423E-8402-3FA73DD92032}"/>
    <cellStyle name="Normal 10 2 2 11 2" xfId="3438" xr:uid="{6E27C5B6-8C81-4A79-9787-6C8D6651F8CD}"/>
    <cellStyle name="Normal 10 2 2 12" xfId="934" xr:uid="{D63817A4-71EC-4EA9-836D-99046A372DB5}"/>
    <cellStyle name="Normal 10 2 2 13" xfId="2604" xr:uid="{EAAE98C1-CDBE-4A70-B280-1EE7E3958C72}"/>
    <cellStyle name="Normal 10 2 2 2" xfId="6" xr:uid="{00000000-0005-0000-0000-00001F000000}"/>
    <cellStyle name="Normal 10 2 2 2 2" xfId="116" xr:uid="{00000000-0005-0000-0000-000020000000}"/>
    <cellStyle name="Normal 10 2 2 2 2 2" xfId="1792" xr:uid="{9671B889-0DE0-4EFC-864E-FF22A76F88A0}"/>
    <cellStyle name="Normal 10 2 2 2 2 2 2" xfId="3460" xr:uid="{8A4411C9-2ACF-449D-BEDB-7C1A7A15948B}"/>
    <cellStyle name="Normal 10 2 2 2 2 3" xfId="956" xr:uid="{BA07945F-607D-46A5-87B2-00A1B6861ABE}"/>
    <cellStyle name="Normal 10 2 2 2 2 4" xfId="2626" xr:uid="{210279A7-6911-4584-BFD4-06C68DEB84B4}"/>
    <cellStyle name="Normal 10 2 2 2 3" xfId="1692" xr:uid="{F6041435-D245-41EB-8CCB-AE74FF625F4C}"/>
    <cellStyle name="Normal 10 2 2 2 3 2" xfId="3361" xr:uid="{0F678F9E-8AB9-46C6-BD77-75A70053BD89}"/>
    <cellStyle name="Normal 10 2 2 2 4" xfId="856" xr:uid="{2BB2F7C1-3668-49C0-9BD1-BC720D581AD5}"/>
    <cellStyle name="Normal 10 2 2 2 5" xfId="2527" xr:uid="{0EA7D9AC-070C-4EE2-A6D1-E03D55D08936}"/>
    <cellStyle name="Normal 10 2 2 3" xfId="186" xr:uid="{00000000-0005-0000-0000-000021000000}"/>
    <cellStyle name="Normal 10 2 2 3 2" xfId="1862" xr:uid="{DC30E11C-18F2-4318-89C0-6C247FAC678C}"/>
    <cellStyle name="Normal 10 2 2 3 2 2" xfId="3530" xr:uid="{3E60F10E-E492-4E63-928A-77F813F07D4E}"/>
    <cellStyle name="Normal 10 2 2 3 3" xfId="1026" xr:uid="{F38A850F-4BF9-47FC-B8E7-DC48B85BA23F}"/>
    <cellStyle name="Normal 10 2 2 3 4" xfId="2696" xr:uid="{D3C4EDF1-E350-4664-BD9E-86817981AECC}"/>
    <cellStyle name="Normal 10 2 2 4" xfId="276" xr:uid="{00000000-0005-0000-0000-000022000000}"/>
    <cellStyle name="Normal 10 2 2 4 2" xfId="1952" xr:uid="{15C6939E-4992-4233-A1A4-C0E580BEFDD3}"/>
    <cellStyle name="Normal 10 2 2 4 2 2" xfId="3620" xr:uid="{790231E3-60FF-4E91-874C-37C278CE3340}"/>
    <cellStyle name="Normal 10 2 2 4 3" xfId="1116" xr:uid="{262B095C-A464-4461-A19A-E82B1F61597A}"/>
    <cellStyle name="Normal 10 2 2 4 4" xfId="2786" xr:uid="{3AC8E683-ED69-44FD-8BF0-ED35A0CDCED9}"/>
    <cellStyle name="Normal 10 2 2 5" xfId="366" xr:uid="{00000000-0005-0000-0000-000023000000}"/>
    <cellStyle name="Normal 10 2 2 5 2" xfId="2042" xr:uid="{44FA7724-D629-4D0F-82C4-9B7EA48C3957}"/>
    <cellStyle name="Normal 10 2 2 5 2 2" xfId="3710" xr:uid="{B1D7E7CD-A626-4FC0-8949-96B96CF72D78}"/>
    <cellStyle name="Normal 10 2 2 5 3" xfId="1206" xr:uid="{B17AFF55-9704-41CB-BAB6-AB0D4FEE6F09}"/>
    <cellStyle name="Normal 10 2 2 5 4" xfId="2876" xr:uid="{08B92D9B-DFD1-4C7F-A95B-9F894C5E8D50}"/>
    <cellStyle name="Normal 10 2 2 6" xfId="456" xr:uid="{00000000-0005-0000-0000-000024000000}"/>
    <cellStyle name="Normal 10 2 2 6 2" xfId="2132" xr:uid="{AB3C966C-915E-4968-B2C0-8539A407FFAC}"/>
    <cellStyle name="Normal 10 2 2 6 2 2" xfId="3800" xr:uid="{819F1A8D-CFA4-4766-965B-5C0ACD3A743D}"/>
    <cellStyle name="Normal 10 2 2 6 3" xfId="1296" xr:uid="{31D69E81-8C69-4B43-9056-8D359805927B}"/>
    <cellStyle name="Normal 10 2 2 6 4" xfId="2966" xr:uid="{7F29C62E-E902-4798-9513-4BA8BF7BDA5B}"/>
    <cellStyle name="Normal 10 2 2 7" xfId="546" xr:uid="{00000000-0005-0000-0000-000025000000}"/>
    <cellStyle name="Normal 10 2 2 7 2" xfId="2222" xr:uid="{757B00CB-B6BD-407D-BEF2-182936AF8965}"/>
    <cellStyle name="Normal 10 2 2 7 2 2" xfId="3890" xr:uid="{9AA47BA4-E393-482D-B168-5350F1EC619A}"/>
    <cellStyle name="Normal 10 2 2 7 3" xfId="1386" xr:uid="{970D282B-E9C7-4834-B814-E0A1C523C317}"/>
    <cellStyle name="Normal 10 2 2 7 4" xfId="3056" xr:uid="{91B57E29-6457-44C8-AB49-35DACDC93243}"/>
    <cellStyle name="Normal 10 2 2 8" xfId="636" xr:uid="{00000000-0005-0000-0000-000026000000}"/>
    <cellStyle name="Normal 10 2 2 8 2" xfId="2312" xr:uid="{FF5B3308-7104-4E39-8ECE-3AFE1D644C1E}"/>
    <cellStyle name="Normal 10 2 2 8 2 2" xfId="3980" xr:uid="{E22D81E6-2BE1-4D7F-B14C-CEB261E07E8E}"/>
    <cellStyle name="Normal 10 2 2 8 3" xfId="1476" xr:uid="{28DC4043-872D-469E-8214-330715CD79AB}"/>
    <cellStyle name="Normal 10 2 2 8 4" xfId="3146" xr:uid="{08270ADB-D212-4DCF-8A67-EEF52A26ED0B}"/>
    <cellStyle name="Normal 10 2 2 9" xfId="726" xr:uid="{00000000-0005-0000-0000-000027000000}"/>
    <cellStyle name="Normal 10 2 2 9 2" xfId="2402" xr:uid="{C775A222-88EA-4237-AB4F-746CD895F9F9}"/>
    <cellStyle name="Normal 10 2 2 9 2 2" xfId="4070" xr:uid="{C3D49DD4-11A7-4BEB-8D29-99B9D341B1A4}"/>
    <cellStyle name="Normal 10 2 2 9 3" xfId="1566" xr:uid="{E385E1AA-2D5D-4F21-A9CF-17F66123AD8B}"/>
    <cellStyle name="Normal 10 2 2 9 4" xfId="3236" xr:uid="{69F21BAB-0B15-4BA6-9AF3-459024ABC660}"/>
    <cellStyle name="Normal 10 2 3" xfId="149" xr:uid="{00000000-0005-0000-0000-000028000000}"/>
    <cellStyle name="Normal 10 2 3 2" xfId="1825" xr:uid="{A5DC9BD1-6A59-4489-AAE5-84037D87E475}"/>
    <cellStyle name="Normal 10 2 3 2 2" xfId="3493" xr:uid="{2A28BFC2-D6DB-46DE-AC4A-EAFA5ACC713E}"/>
    <cellStyle name="Normal 10 2 3 3" xfId="989" xr:uid="{3962657B-BAE4-4297-9023-8FD4DF20A14A}"/>
    <cellStyle name="Normal 10 2 3 4" xfId="2659" xr:uid="{CFC1AA95-DDB9-49F4-B138-B912A1351D2C}"/>
    <cellStyle name="Normal 10 2 4" xfId="239" xr:uid="{00000000-0005-0000-0000-000029000000}"/>
    <cellStyle name="Normal 10 2 4 2" xfId="1915" xr:uid="{2601553F-D3C0-4275-B6C5-AA7FD9CBA07A}"/>
    <cellStyle name="Normal 10 2 4 2 2" xfId="3583" xr:uid="{014FD6DB-F864-4F1B-8633-04E0C61859C8}"/>
    <cellStyle name="Normal 10 2 4 3" xfId="1079" xr:uid="{934A112F-8425-4E51-BEF4-28C3CBF4E2C8}"/>
    <cellStyle name="Normal 10 2 4 4" xfId="2749" xr:uid="{9815170A-34C3-4FD8-AC76-35BB87CE677D}"/>
    <cellStyle name="Normal 10 2 5" xfId="329" xr:uid="{00000000-0005-0000-0000-00002A000000}"/>
    <cellStyle name="Normal 10 2 5 2" xfId="2005" xr:uid="{719D3AB5-FFCD-4EEE-A393-54060796B2AB}"/>
    <cellStyle name="Normal 10 2 5 2 2" xfId="3673" xr:uid="{1A4D6FBF-F887-4EC9-A1DA-BA150E6CFB61}"/>
    <cellStyle name="Normal 10 2 5 3" xfId="1169" xr:uid="{11565F43-3954-4964-82BD-D418072297D1}"/>
    <cellStyle name="Normal 10 2 5 4" xfId="2839" xr:uid="{3C60A2E8-A272-4F17-8D3C-BF69FAC34080}"/>
    <cellStyle name="Normal 10 2 6" xfId="419" xr:uid="{00000000-0005-0000-0000-00002B000000}"/>
    <cellStyle name="Normal 10 2 6 2" xfId="2095" xr:uid="{ACB3AF44-AC81-4272-8B10-4BFF43995AC3}"/>
    <cellStyle name="Normal 10 2 6 2 2" xfId="3763" xr:uid="{76029F65-A8FD-46CE-B365-BAE083F33610}"/>
    <cellStyle name="Normal 10 2 6 3" xfId="1259" xr:uid="{A2B2097D-1004-428C-948A-259D6A04910A}"/>
    <cellStyle name="Normal 10 2 6 4" xfId="2929" xr:uid="{B5614637-5AC3-464F-8019-EB07912B7C44}"/>
    <cellStyle name="Normal 10 2 7" xfId="509" xr:uid="{00000000-0005-0000-0000-00002C000000}"/>
    <cellStyle name="Normal 10 2 7 2" xfId="2185" xr:uid="{07478000-A838-41D5-9DA8-12718286F07E}"/>
    <cellStyle name="Normal 10 2 7 2 2" xfId="3853" xr:uid="{7F94AE32-AA28-4FA2-A3C0-6CCD08C87CC3}"/>
    <cellStyle name="Normal 10 2 7 3" xfId="1349" xr:uid="{C8E28BDE-6EC6-4DCE-9D13-B13745AD4177}"/>
    <cellStyle name="Normal 10 2 7 4" xfId="3019" xr:uid="{EE6AFE68-ECCE-4F5B-9A0D-74D6682E88E3}"/>
    <cellStyle name="Normal 10 2 8" xfId="599" xr:uid="{00000000-0005-0000-0000-00002D000000}"/>
    <cellStyle name="Normal 10 2 8 2" xfId="2275" xr:uid="{D1F0FCCA-790E-4712-94E9-F6D7936E3D81}"/>
    <cellStyle name="Normal 10 2 8 2 2" xfId="3943" xr:uid="{9DD2B8D4-BB88-4630-88F5-3DDBBED825AF}"/>
    <cellStyle name="Normal 10 2 8 3" xfId="1439" xr:uid="{81DE2223-3267-4AFC-B80F-44D4859D70D8}"/>
    <cellStyle name="Normal 10 2 8 4" xfId="3109" xr:uid="{0DAA7837-F24F-4122-9990-FF69EF0142A5}"/>
    <cellStyle name="Normal 10 2 9" xfId="689" xr:uid="{00000000-0005-0000-0000-00002E000000}"/>
    <cellStyle name="Normal 10 2 9 2" xfId="2365" xr:uid="{9385CCF1-4BA8-41AE-974B-354AF36F5DFB}"/>
    <cellStyle name="Normal 10 2 9 2 2" xfId="4033" xr:uid="{1CE851AF-09AF-4705-BF45-E533A0927B02}"/>
    <cellStyle name="Normal 10 2 9 3" xfId="1529" xr:uid="{94B61157-1717-4A24-93C0-6D2B3517AF9F}"/>
    <cellStyle name="Normal 10 2 9 4" xfId="3199" xr:uid="{28685789-A77C-45E0-B8F4-551DA72917DE}"/>
    <cellStyle name="Normal 10 3" xfId="74" xr:uid="{00000000-0005-0000-0000-00002F000000}"/>
    <cellStyle name="Normal 10 3 10" xfId="1751" xr:uid="{A2BE3AFC-F22A-4F89-A4D3-72D3DC903854}"/>
    <cellStyle name="Normal 10 3 10 2" xfId="3419" xr:uid="{D80E717A-14D9-45E9-BD21-BC4093C7B8F0}"/>
    <cellStyle name="Normal 10 3 11" xfId="915" xr:uid="{77412FEC-BBBA-446C-90A4-11845D97FA5C}"/>
    <cellStyle name="Normal 10 3 12" xfId="2585" xr:uid="{C4CB8E8D-B13A-46C0-9C94-D4155AB5011E}"/>
    <cellStyle name="Normal 10 3 2" xfId="167" xr:uid="{00000000-0005-0000-0000-000030000000}"/>
    <cellStyle name="Normal 10 3 2 2" xfId="1843" xr:uid="{739725EE-0A15-4ED5-A939-D195722198D1}"/>
    <cellStyle name="Normal 10 3 2 2 2" xfId="3511" xr:uid="{18F470F2-A9C9-4952-BB19-E7B47424376F}"/>
    <cellStyle name="Normal 10 3 2 3" xfId="1007" xr:uid="{5674C72A-8E60-4E07-A154-E62858003B91}"/>
    <cellStyle name="Normal 10 3 2 4" xfId="2677" xr:uid="{BDA09EED-C067-4322-B074-6854A69534C6}"/>
    <cellStyle name="Normal 10 3 3" xfId="257" xr:uid="{00000000-0005-0000-0000-000031000000}"/>
    <cellStyle name="Normal 10 3 3 2" xfId="1933" xr:uid="{052D547D-4762-4659-8792-0A9C6371B4ED}"/>
    <cellStyle name="Normal 10 3 3 2 2" xfId="3601" xr:uid="{2FC7524B-10A9-494B-8923-97CCAC860B13}"/>
    <cellStyle name="Normal 10 3 3 3" xfId="1097" xr:uid="{7196858E-74E6-447D-BA43-BECFE38C8403}"/>
    <cellStyle name="Normal 10 3 3 4" xfId="2767" xr:uid="{C1DED60C-8DE4-4EEF-A094-68DA6D16C7BC}"/>
    <cellStyle name="Normal 10 3 4" xfId="347" xr:uid="{00000000-0005-0000-0000-000032000000}"/>
    <cellStyle name="Normal 10 3 4 2" xfId="2023" xr:uid="{F6588F74-1E5E-4537-8257-4483DFF00451}"/>
    <cellStyle name="Normal 10 3 4 2 2" xfId="3691" xr:uid="{7BBE6E40-2A98-41AA-A3C3-7C5249012248}"/>
    <cellStyle name="Normal 10 3 4 3" xfId="1187" xr:uid="{88D007BF-45F5-45EF-A25C-C9854B230C4E}"/>
    <cellStyle name="Normal 10 3 4 4" xfId="2857" xr:uid="{81C36A7C-0E0B-4836-9BAB-7BEC735844FD}"/>
    <cellStyle name="Normal 10 3 5" xfId="437" xr:uid="{00000000-0005-0000-0000-000033000000}"/>
    <cellStyle name="Normal 10 3 5 2" xfId="2113" xr:uid="{34629FB7-05C6-46D9-AF30-05B28CD730CB}"/>
    <cellStyle name="Normal 10 3 5 2 2" xfId="3781" xr:uid="{8551CFEA-C5CA-45EE-A177-B6C967B2D483}"/>
    <cellStyle name="Normal 10 3 5 3" xfId="1277" xr:uid="{31750885-532B-43EB-AF59-DC418B5B32DE}"/>
    <cellStyle name="Normal 10 3 5 4" xfId="2947" xr:uid="{364E5308-0715-45ED-A0AB-D6F20D6FCEB3}"/>
    <cellStyle name="Normal 10 3 6" xfId="527" xr:uid="{00000000-0005-0000-0000-000034000000}"/>
    <cellStyle name="Normal 10 3 6 2" xfId="2203" xr:uid="{DB5A3271-CC83-4360-BB62-8B716B85F02F}"/>
    <cellStyle name="Normal 10 3 6 2 2" xfId="3871" xr:uid="{46D490FD-A2A6-4F2E-A44C-DF018619F13A}"/>
    <cellStyle name="Normal 10 3 6 3" xfId="1367" xr:uid="{C124BA2E-29C3-4BDD-81F2-0D64A71552D6}"/>
    <cellStyle name="Normal 10 3 6 4" xfId="3037" xr:uid="{4DE94831-2AB7-4578-BE46-DD50A36B501E}"/>
    <cellStyle name="Normal 10 3 7" xfId="617" xr:uid="{00000000-0005-0000-0000-000035000000}"/>
    <cellStyle name="Normal 10 3 7 2" xfId="2293" xr:uid="{4ED23F18-1FE9-435B-8EEF-1F41B6C6DE41}"/>
    <cellStyle name="Normal 10 3 7 2 2" xfId="3961" xr:uid="{410A9BD3-8280-4E11-810C-94BB1FFA1428}"/>
    <cellStyle name="Normal 10 3 7 3" xfId="1457" xr:uid="{20894FBC-8666-43B5-BF32-6A26C294E9CE}"/>
    <cellStyle name="Normal 10 3 7 4" xfId="3127" xr:uid="{9F63579B-3F2C-49F4-9AAD-D9C10DE94EC9}"/>
    <cellStyle name="Normal 10 3 8" xfId="707" xr:uid="{00000000-0005-0000-0000-000036000000}"/>
    <cellStyle name="Normal 10 3 8 2" xfId="2383" xr:uid="{4A71A649-EF88-4939-997A-B956C0929D82}"/>
    <cellStyle name="Normal 10 3 8 2 2" xfId="4051" xr:uid="{04C24E23-A6AD-43E7-93D1-47E7F966EB21}"/>
    <cellStyle name="Normal 10 3 8 3" xfId="1547" xr:uid="{FDEF93CB-91AE-443B-8CC6-04045DB77E16}"/>
    <cellStyle name="Normal 10 3 8 4" xfId="3217" xr:uid="{D9D27BBE-4573-4C30-8EE9-116B902F4A41}"/>
    <cellStyle name="Normal 10 3 9" xfId="804" xr:uid="{00000000-0005-0000-0000-000037000000}"/>
    <cellStyle name="Normal 10 3 9 2" xfId="2480" xr:uid="{9941E8DB-DC89-4143-9AD3-474432B80692}"/>
    <cellStyle name="Normal 10 3 9 2 2" xfId="4148" xr:uid="{8FD90F2A-C2AC-4CD8-94E0-93E5B944A7A2}"/>
    <cellStyle name="Normal 10 3 9 3" xfId="1644" xr:uid="{426FE3C2-5064-48D7-90BA-363AFA1A0E1C}"/>
    <cellStyle name="Normal 10 3 9 4" xfId="3314" xr:uid="{FD68D18F-5A1B-4856-B7D3-E7FB13CC5E94}"/>
    <cellStyle name="Normal 10 4" xfId="130" xr:uid="{00000000-0005-0000-0000-000038000000}"/>
    <cellStyle name="Normal 10 4 2" xfId="1806" xr:uid="{B5D4ED3F-E100-43EA-9FE9-44EEEE88A508}"/>
    <cellStyle name="Normal 10 4 2 2" xfId="3474" xr:uid="{82C864EA-80F0-424B-ADAE-82A335C702DF}"/>
    <cellStyle name="Normal 10 4 3" xfId="970" xr:uid="{D916DEEE-5860-4A3C-BE4E-08A5524B9F30}"/>
    <cellStyle name="Normal 10 4 4" xfId="2640" xr:uid="{71C90C3B-3826-4658-8432-F9084D1239AD}"/>
    <cellStyle name="Normal 10 5" xfId="220" xr:uid="{00000000-0005-0000-0000-000039000000}"/>
    <cellStyle name="Normal 10 5 2" xfId="1896" xr:uid="{42C37792-0A0A-4D29-82BC-60E329B68F10}"/>
    <cellStyle name="Normal 10 5 2 2" xfId="3564" xr:uid="{E71C2B2A-2635-4D7F-A200-E6FB14843012}"/>
    <cellStyle name="Normal 10 5 3" xfId="1060" xr:uid="{0ED7FAA4-4860-4B91-94A8-CC503B08C603}"/>
    <cellStyle name="Normal 10 5 4" xfId="2730" xr:uid="{9B62D4B3-438E-4AC0-B294-AC47D0B1B23F}"/>
    <cellStyle name="Normal 10 6" xfId="310" xr:uid="{00000000-0005-0000-0000-00003A000000}"/>
    <cellStyle name="Normal 10 6 2" xfId="1986" xr:uid="{8115A1D3-D936-4627-89A1-BFB5FBBBF4B4}"/>
    <cellStyle name="Normal 10 6 2 2" xfId="3654" xr:uid="{8D4007AB-4CD5-49FB-8BB7-6A64AF8461F3}"/>
    <cellStyle name="Normal 10 6 3" xfId="1150" xr:uid="{6A5ACA6C-BAFE-449B-A8FA-D5112F8082F3}"/>
    <cellStyle name="Normal 10 6 4" xfId="2820" xr:uid="{BC2CF2B6-A3F2-49FF-AA38-EB5ABC6C1725}"/>
    <cellStyle name="Normal 10 7" xfId="400" xr:uid="{00000000-0005-0000-0000-00003B000000}"/>
    <cellStyle name="Normal 10 7 2" xfId="2076" xr:uid="{2BED5B19-36BF-4DAC-8017-882A253E625B}"/>
    <cellStyle name="Normal 10 7 2 2" xfId="3744" xr:uid="{7883AA5E-275D-43D7-B40B-4AE4AC204FAC}"/>
    <cellStyle name="Normal 10 7 3" xfId="1240" xr:uid="{C0E4B0A5-B826-4B7A-B330-6E08421FBBD1}"/>
    <cellStyle name="Normal 10 7 4" xfId="2910" xr:uid="{AED07807-5FF4-443C-ACF3-06C709EEE9FB}"/>
    <cellStyle name="Normal 10 8" xfId="490" xr:uid="{00000000-0005-0000-0000-00003C000000}"/>
    <cellStyle name="Normal 10 8 2" xfId="2166" xr:uid="{6FA0FDEA-59CA-454F-ADC3-17A25906DC68}"/>
    <cellStyle name="Normal 10 8 2 2" xfId="3834" xr:uid="{3B4CF22A-42A7-4407-884E-0047910198D1}"/>
    <cellStyle name="Normal 10 8 3" xfId="1330" xr:uid="{5D09643F-D27D-4F3A-9BFD-5D7AF4D2ADBE}"/>
    <cellStyle name="Normal 10 8 4" xfId="3000" xr:uid="{65E4FBE0-9995-4353-BA93-4C4AF211C424}"/>
    <cellStyle name="Normal 10 9" xfId="580" xr:uid="{00000000-0005-0000-0000-00003D000000}"/>
    <cellStyle name="Normal 10 9 2" xfId="2256" xr:uid="{C5EBEC4B-DF58-47FA-B209-5531A6D930A1}"/>
    <cellStyle name="Normal 10 9 2 2" xfId="3924" xr:uid="{2953CAB3-D141-4634-A401-7BAAECFB4A2B}"/>
    <cellStyle name="Normal 10 9 3" xfId="1420" xr:uid="{4AC55703-12D3-44EC-B5C5-9D37BC46F0C0}"/>
    <cellStyle name="Normal 10 9 4" xfId="3090" xr:uid="{60F53AB5-4707-41EE-999A-FF666A40A37B}"/>
    <cellStyle name="Normal 11" xfId="35" xr:uid="{00000000-0005-0000-0000-00003E000000}"/>
    <cellStyle name="Normal 11 10" xfId="673" xr:uid="{00000000-0005-0000-0000-00003F000000}"/>
    <cellStyle name="Normal 11 10 2" xfId="2349" xr:uid="{76F42DEC-2998-4089-8062-13C000F3504E}"/>
    <cellStyle name="Normal 11 10 2 2" xfId="4017" xr:uid="{59BA5B0A-2EDC-4FE6-8509-B4B85D9EA87D}"/>
    <cellStyle name="Normal 11 10 3" xfId="1513" xr:uid="{AE53641A-E58B-4F68-A499-5CCEAD5C1121}"/>
    <cellStyle name="Normal 11 10 4" xfId="3183" xr:uid="{A4DE2182-EB7B-423D-A9FE-DC6F9CFE3169}"/>
    <cellStyle name="Normal 11 11" xfId="768" xr:uid="{00000000-0005-0000-0000-000040000000}"/>
    <cellStyle name="Normal 11 11 2" xfId="2444" xr:uid="{FAB5EB5D-C8F1-4629-A4D0-6DA9489B2411}"/>
    <cellStyle name="Normal 11 11 2 2" xfId="4112" xr:uid="{7C576CF3-D6B9-48E3-AB2D-EF3B67FC6244}"/>
    <cellStyle name="Normal 11 11 3" xfId="1608" xr:uid="{5C1FC9E3-CA0F-422A-96E5-AFAD6FB68165}"/>
    <cellStyle name="Normal 11 11 4" xfId="3278" xr:uid="{183356F1-5EBF-4369-9FB8-5064F758FB7E}"/>
    <cellStyle name="Normal 11 12" xfId="1715" xr:uid="{19DDF265-E403-4B81-A754-26425F3168B2}"/>
    <cellStyle name="Normal 11 12 2" xfId="3383" xr:uid="{C734B7EB-2386-4D97-BF4B-E73C74D29D14}"/>
    <cellStyle name="Normal 11 13" xfId="879" xr:uid="{1F2B0F8A-D55E-4959-943D-4DB794707185}"/>
    <cellStyle name="Normal 11 14" xfId="2549" xr:uid="{EA2AA282-B07E-446E-BF51-76EF5D10BD07}"/>
    <cellStyle name="Normal 11 2" xfId="57" xr:uid="{00000000-0005-0000-0000-000041000000}"/>
    <cellStyle name="Normal 11 2 10" xfId="788" xr:uid="{00000000-0005-0000-0000-000042000000}"/>
    <cellStyle name="Normal 11 2 10 2" xfId="2464" xr:uid="{48119D07-591C-4D89-BC09-CD4093BB6918}"/>
    <cellStyle name="Normal 11 2 10 2 2" xfId="4132" xr:uid="{1F258AD2-7E32-46B6-8515-3DBDD820EDB8}"/>
    <cellStyle name="Normal 11 2 10 3" xfId="1628" xr:uid="{A3072905-5CCD-4B02-ACCE-C5F76E969E3A}"/>
    <cellStyle name="Normal 11 2 10 4" xfId="3298" xr:uid="{FD091881-4A75-4214-A273-62528BDEBD83}"/>
    <cellStyle name="Normal 11 2 11" xfId="1735" xr:uid="{818CDE7E-CDAE-41C7-9C31-FC395E83314D}"/>
    <cellStyle name="Normal 11 2 11 2" xfId="3403" xr:uid="{82B42008-58E7-497C-9CF8-AB3D84A64E18}"/>
    <cellStyle name="Normal 11 2 12" xfId="899" xr:uid="{C62B7EE5-0D36-449D-9B6A-501DF62AF90B}"/>
    <cellStyle name="Normal 11 2 13" xfId="2569" xr:uid="{986DF5B7-127A-4695-A8D1-BCA8FB5AF516}"/>
    <cellStyle name="Normal 11 2 2" xfId="97" xr:uid="{00000000-0005-0000-0000-000043000000}"/>
    <cellStyle name="Normal 11 2 2 10" xfId="1773" xr:uid="{2A805EC3-E073-426A-B573-71B1E632D187}"/>
    <cellStyle name="Normal 11 2 2 10 2" xfId="3441" xr:uid="{03AAD4C8-8085-40E6-8CC9-E39E9C6793B6}"/>
    <cellStyle name="Normal 11 2 2 11" xfId="937" xr:uid="{7B49C69D-CEB0-435C-AA45-029CA5954E29}"/>
    <cellStyle name="Normal 11 2 2 12" xfId="2607" xr:uid="{241CFCA2-0762-4CCD-93B0-A7DA35DB63BD}"/>
    <cellStyle name="Normal 11 2 2 2" xfId="189" xr:uid="{00000000-0005-0000-0000-000044000000}"/>
    <cellStyle name="Normal 11 2 2 2 2" xfId="1865" xr:uid="{D451FD22-CDCE-4D85-8BA7-259C673D29B7}"/>
    <cellStyle name="Normal 11 2 2 2 2 2" xfId="3533" xr:uid="{72B4C485-ED7E-49AC-B249-3F8F77544EC0}"/>
    <cellStyle name="Normal 11 2 2 2 3" xfId="1029" xr:uid="{15E08F44-3880-467D-8509-8ACBA3120F53}"/>
    <cellStyle name="Normal 11 2 2 2 4" xfId="2699" xr:uid="{F63BFECC-1E59-46F7-ADC2-1FC079598BC8}"/>
    <cellStyle name="Normal 11 2 2 3" xfId="279" xr:uid="{00000000-0005-0000-0000-000045000000}"/>
    <cellStyle name="Normal 11 2 2 3 2" xfId="1955" xr:uid="{33E390A3-4D5C-4DF5-9334-68397A65A6D1}"/>
    <cellStyle name="Normal 11 2 2 3 2 2" xfId="3623" xr:uid="{FFB45FFE-5234-44EB-AC39-4CD3ADCDEA10}"/>
    <cellStyle name="Normal 11 2 2 3 3" xfId="1119" xr:uid="{D50E0980-3538-4179-89ED-AA363699BCF9}"/>
    <cellStyle name="Normal 11 2 2 3 4" xfId="2789" xr:uid="{F8BC6025-99D2-4072-87C6-0EFA741B6393}"/>
    <cellStyle name="Normal 11 2 2 4" xfId="369" xr:uid="{00000000-0005-0000-0000-000046000000}"/>
    <cellStyle name="Normal 11 2 2 4 2" xfId="2045" xr:uid="{999BD285-2F57-443C-9C6B-AACACC7A14AA}"/>
    <cellStyle name="Normal 11 2 2 4 2 2" xfId="3713" xr:uid="{BFA0C38D-B175-4984-BB33-EBE9799745BC}"/>
    <cellStyle name="Normal 11 2 2 4 3" xfId="1209" xr:uid="{99E9886B-B22A-48A4-B713-7E19EAB9AF7A}"/>
    <cellStyle name="Normal 11 2 2 4 4" xfId="2879" xr:uid="{1C64A6D9-6A95-4C62-9782-1EFB2421EC82}"/>
    <cellStyle name="Normal 11 2 2 5" xfId="459" xr:uid="{00000000-0005-0000-0000-000047000000}"/>
    <cellStyle name="Normal 11 2 2 5 2" xfId="2135" xr:uid="{B090ABF0-6071-4E5F-A660-27704DA0334A}"/>
    <cellStyle name="Normal 11 2 2 5 2 2" xfId="3803" xr:uid="{19FF1538-B158-433A-A66F-76AB738314CA}"/>
    <cellStyle name="Normal 11 2 2 5 3" xfId="1299" xr:uid="{CBBF5075-473A-4189-BE3C-E1F56E22224A}"/>
    <cellStyle name="Normal 11 2 2 5 4" xfId="2969" xr:uid="{BD8D7706-C4D1-4A2B-85D8-A134C4D4636F}"/>
    <cellStyle name="Normal 11 2 2 6" xfId="549" xr:uid="{00000000-0005-0000-0000-000048000000}"/>
    <cellStyle name="Normal 11 2 2 6 2" xfId="2225" xr:uid="{EEEB3B9E-90B0-4425-8288-923C21EC00EF}"/>
    <cellStyle name="Normal 11 2 2 6 2 2" xfId="3893" xr:uid="{38986806-83AD-4D47-ACBE-688A8142A18D}"/>
    <cellStyle name="Normal 11 2 2 6 3" xfId="1389" xr:uid="{25141F30-23C7-47CC-948E-55CC7AB14201}"/>
    <cellStyle name="Normal 11 2 2 6 4" xfId="3059" xr:uid="{C4A40531-5A96-41EC-9166-0D1E87877DBD}"/>
    <cellStyle name="Normal 11 2 2 7" xfId="639" xr:uid="{00000000-0005-0000-0000-000049000000}"/>
    <cellStyle name="Normal 11 2 2 7 2" xfId="2315" xr:uid="{CE11BDCA-5FEF-4DB2-A35C-B321CAE390E6}"/>
    <cellStyle name="Normal 11 2 2 7 2 2" xfId="3983" xr:uid="{098D465B-1640-41D4-8A45-8213E1F33654}"/>
    <cellStyle name="Normal 11 2 2 7 3" xfId="1479" xr:uid="{FECB1926-C512-4BCC-ADC5-E71A029B7BA1}"/>
    <cellStyle name="Normal 11 2 2 7 4" xfId="3149" xr:uid="{0F42723D-8521-4629-A55F-083A80E42BF3}"/>
    <cellStyle name="Normal 11 2 2 8" xfId="729" xr:uid="{00000000-0005-0000-0000-00004A000000}"/>
    <cellStyle name="Normal 11 2 2 8 2" xfId="2405" xr:uid="{928AB46E-A35B-42B1-87D7-1E01632506F2}"/>
    <cellStyle name="Normal 11 2 2 8 2 2" xfId="4073" xr:uid="{B643E0A5-6995-4576-AD2D-BA489DC66B58}"/>
    <cellStyle name="Normal 11 2 2 8 3" xfId="1569" xr:uid="{9C0AFF44-4C74-4A7D-8715-6B37D750295D}"/>
    <cellStyle name="Normal 11 2 2 8 4" xfId="3239" xr:uid="{6572DEC4-01BF-4BC0-9C7A-9ABCF4BB5EE2}"/>
    <cellStyle name="Normal 11 2 2 9" xfId="826" xr:uid="{00000000-0005-0000-0000-00004B000000}"/>
    <cellStyle name="Normal 11 2 2 9 2" xfId="2502" xr:uid="{5FBD43C3-10CE-452E-9BD1-8D835DAD8E3F}"/>
    <cellStyle name="Normal 11 2 2 9 2 2" xfId="4170" xr:uid="{D91118F9-9063-4F86-8391-392C6045D393}"/>
    <cellStyle name="Normal 11 2 2 9 3" xfId="1666" xr:uid="{E0FAA7EB-B587-4A72-99BD-61EFC8DC699E}"/>
    <cellStyle name="Normal 11 2 2 9 4" xfId="3336" xr:uid="{A06AEC90-6FBD-4E6D-AE93-C572E9D433DB}"/>
    <cellStyle name="Normal 11 2 3" xfId="152" xr:uid="{00000000-0005-0000-0000-00004C000000}"/>
    <cellStyle name="Normal 11 2 3 2" xfId="1828" xr:uid="{56A8E807-FD32-4E22-A981-5A214C593C05}"/>
    <cellStyle name="Normal 11 2 3 2 2" xfId="3496" xr:uid="{58184FB5-A245-4AC3-84F0-3ABCEE5D1DDA}"/>
    <cellStyle name="Normal 11 2 3 3" xfId="992" xr:uid="{CB88165A-529E-42B1-BE6D-FDCFED7A8C64}"/>
    <cellStyle name="Normal 11 2 3 4" xfId="2662" xr:uid="{A0C676BA-EA50-46E4-864C-CA3AA550471A}"/>
    <cellStyle name="Normal 11 2 4" xfId="242" xr:uid="{00000000-0005-0000-0000-00004D000000}"/>
    <cellStyle name="Normal 11 2 4 2" xfId="1918" xr:uid="{2801E564-01A2-47A6-8CAB-700A2741A6D7}"/>
    <cellStyle name="Normal 11 2 4 2 2" xfId="3586" xr:uid="{19EFD93D-4EE1-4EDB-8615-813103F0602E}"/>
    <cellStyle name="Normal 11 2 4 3" xfId="1082" xr:uid="{7B1F3AAD-85DC-4A16-89FF-13C58370EFE8}"/>
    <cellStyle name="Normal 11 2 4 4" xfId="2752" xr:uid="{14EDA9C8-F530-4A60-AB67-BE0C9F0C5C4F}"/>
    <cellStyle name="Normal 11 2 5" xfId="332" xr:uid="{00000000-0005-0000-0000-00004E000000}"/>
    <cellStyle name="Normal 11 2 5 2" xfId="2008" xr:uid="{12437CC0-B9DC-4AB4-ABAB-196EE5567001}"/>
    <cellStyle name="Normal 11 2 5 2 2" xfId="3676" xr:uid="{08093B87-08B3-4FD8-9377-F3CB65DF03B7}"/>
    <cellStyle name="Normal 11 2 5 3" xfId="1172" xr:uid="{6F3385E0-D39C-4D13-BE74-6D5CA094F05C}"/>
    <cellStyle name="Normal 11 2 5 4" xfId="2842" xr:uid="{14871258-AC9B-4EEB-87B7-9C89A06C4C9C}"/>
    <cellStyle name="Normal 11 2 6" xfId="422" xr:uid="{00000000-0005-0000-0000-00004F000000}"/>
    <cellStyle name="Normal 11 2 6 2" xfId="2098" xr:uid="{8A8CE147-8F6F-4CA3-B7F3-69DF6688CE9C}"/>
    <cellStyle name="Normal 11 2 6 2 2" xfId="3766" xr:uid="{A3E2927B-B24C-4C2F-9806-1E51149762F5}"/>
    <cellStyle name="Normal 11 2 6 3" xfId="1262" xr:uid="{5D623CC3-261E-4D18-AC52-C9C33740A788}"/>
    <cellStyle name="Normal 11 2 6 4" xfId="2932" xr:uid="{A2BE0FD5-10EE-4FAF-8DC6-FC03B8843195}"/>
    <cellStyle name="Normal 11 2 7" xfId="512" xr:uid="{00000000-0005-0000-0000-000050000000}"/>
    <cellStyle name="Normal 11 2 7 2" xfId="2188" xr:uid="{0860BBF2-113E-4814-A985-A1C04A6F8CFD}"/>
    <cellStyle name="Normal 11 2 7 2 2" xfId="3856" xr:uid="{C941DC4A-E409-4251-AA1D-5C154E55190F}"/>
    <cellStyle name="Normal 11 2 7 3" xfId="1352" xr:uid="{8284DACF-64C0-434D-8786-8A636600D80B}"/>
    <cellStyle name="Normal 11 2 7 4" xfId="3022" xr:uid="{8097A656-4381-4BBE-95BB-D633C24BD757}"/>
    <cellStyle name="Normal 11 2 8" xfId="602" xr:uid="{00000000-0005-0000-0000-000051000000}"/>
    <cellStyle name="Normal 11 2 8 2" xfId="2278" xr:uid="{FF40FE60-020B-4522-A3DE-5977F7F35BC0}"/>
    <cellStyle name="Normal 11 2 8 2 2" xfId="3946" xr:uid="{BD8FFC78-5407-44A8-A4A5-7B448BBE9961}"/>
    <cellStyle name="Normal 11 2 8 3" xfId="1442" xr:uid="{F3C8CF28-22DA-4D85-A886-56D66CFDEBB8}"/>
    <cellStyle name="Normal 11 2 8 4" xfId="3112" xr:uid="{8115E78A-051D-476E-8D7C-E96AD8978A74}"/>
    <cellStyle name="Normal 11 2 9" xfId="692" xr:uid="{00000000-0005-0000-0000-000052000000}"/>
    <cellStyle name="Normal 11 2 9 2" xfId="2368" xr:uid="{F67DA984-6528-49D7-8343-F08D5F1E2CA4}"/>
    <cellStyle name="Normal 11 2 9 2 2" xfId="4036" xr:uid="{C9742676-C2CD-46AF-9312-B97FCBCD4905}"/>
    <cellStyle name="Normal 11 2 9 3" xfId="1532" xr:uid="{1FDB572F-39E2-462B-9B95-47DB315072F9}"/>
    <cellStyle name="Normal 11 2 9 4" xfId="3202" xr:uid="{E1A9EC68-FAE9-484F-B30F-78FC005A9867}"/>
    <cellStyle name="Normal 11 3" xfId="77" xr:uid="{00000000-0005-0000-0000-000053000000}"/>
    <cellStyle name="Normal 11 3 10" xfId="1754" xr:uid="{A399EFCB-49DA-4FBB-B0E4-97F4D8C23EDF}"/>
    <cellStyle name="Normal 11 3 10 2" xfId="3422" xr:uid="{2321E506-D627-4AE5-9EB8-E8A8E6375DFA}"/>
    <cellStyle name="Normal 11 3 11" xfId="918" xr:uid="{3770E38F-985A-4011-9871-872E6E618E79}"/>
    <cellStyle name="Normal 11 3 12" xfId="2588" xr:uid="{9E3EACEA-BDC8-4100-B735-82085C8B0E74}"/>
    <cellStyle name="Normal 11 3 2" xfId="170" xr:uid="{00000000-0005-0000-0000-000054000000}"/>
    <cellStyle name="Normal 11 3 2 2" xfId="1846" xr:uid="{151F0529-7C06-4194-B0C1-6D2489AE0BB9}"/>
    <cellStyle name="Normal 11 3 2 2 2" xfId="3514" xr:uid="{41D6A6EA-414A-488B-85D6-959112178229}"/>
    <cellStyle name="Normal 11 3 2 3" xfId="1010" xr:uid="{31F41D91-76CF-49EC-BFAC-96B1F499D1EE}"/>
    <cellStyle name="Normal 11 3 2 4" xfId="2680" xr:uid="{1F6A7D78-1AC7-45B8-BDAB-AC08AA4513F7}"/>
    <cellStyle name="Normal 11 3 3" xfId="260" xr:uid="{00000000-0005-0000-0000-000055000000}"/>
    <cellStyle name="Normal 11 3 3 2" xfId="1936" xr:uid="{C061D279-F22E-41A5-976D-25B4D4CB7E9D}"/>
    <cellStyle name="Normal 11 3 3 2 2" xfId="3604" xr:uid="{FE4DF423-EB4F-4DDB-95E6-C437CBDC2EB8}"/>
    <cellStyle name="Normal 11 3 3 3" xfId="1100" xr:uid="{C0D7E8C6-A92B-4317-9BD0-10023438BC87}"/>
    <cellStyle name="Normal 11 3 3 4" xfId="2770" xr:uid="{C0D5C3A2-48C6-4562-AC08-D8BB87060EBC}"/>
    <cellStyle name="Normal 11 3 4" xfId="350" xr:uid="{00000000-0005-0000-0000-000056000000}"/>
    <cellStyle name="Normal 11 3 4 2" xfId="2026" xr:uid="{CB1C6700-6C44-4AB8-B751-B56845DA36B8}"/>
    <cellStyle name="Normal 11 3 4 2 2" xfId="3694" xr:uid="{431D3082-F09E-4F5F-BF81-69B9EB8A3544}"/>
    <cellStyle name="Normal 11 3 4 3" xfId="1190" xr:uid="{8F9BECE4-6A09-4FAD-9E66-6C5F0E92963C}"/>
    <cellStyle name="Normal 11 3 4 4" xfId="2860" xr:uid="{2A9868FD-5083-4BFF-BD9B-10458B6A0A9A}"/>
    <cellStyle name="Normal 11 3 5" xfId="440" xr:uid="{00000000-0005-0000-0000-000057000000}"/>
    <cellStyle name="Normal 11 3 5 2" xfId="2116" xr:uid="{16758C6D-D486-4D81-8A5E-1186CE347A4F}"/>
    <cellStyle name="Normal 11 3 5 2 2" xfId="3784" xr:uid="{3578FDC8-A6C5-402C-9DEA-6000852E031D}"/>
    <cellStyle name="Normal 11 3 5 3" xfId="1280" xr:uid="{3AA4A175-F95D-4ADD-9C1D-33BB3E559DD1}"/>
    <cellStyle name="Normal 11 3 5 4" xfId="2950" xr:uid="{C4A2AB47-0EFF-4761-8CDA-74227C721D70}"/>
    <cellStyle name="Normal 11 3 6" xfId="530" xr:uid="{00000000-0005-0000-0000-000058000000}"/>
    <cellStyle name="Normal 11 3 6 2" xfId="2206" xr:uid="{DA44549E-4A28-4AB1-9DE7-6F80E8BB9FB0}"/>
    <cellStyle name="Normal 11 3 6 2 2" xfId="3874" xr:uid="{FF32E578-4405-428D-8ECF-5334857FC804}"/>
    <cellStyle name="Normal 11 3 6 3" xfId="1370" xr:uid="{3FD56F6A-947B-423D-9B1E-54E43E82E603}"/>
    <cellStyle name="Normal 11 3 6 4" xfId="3040" xr:uid="{1C39C790-1AD8-49AC-91B1-418D08E5C0A0}"/>
    <cellStyle name="Normal 11 3 7" xfId="620" xr:uid="{00000000-0005-0000-0000-000059000000}"/>
    <cellStyle name="Normal 11 3 7 2" xfId="2296" xr:uid="{5BC9FC07-F1A5-47D7-990D-EF25AD91E78C}"/>
    <cellStyle name="Normal 11 3 7 2 2" xfId="3964" xr:uid="{F2C49768-7AD0-4627-BDC3-00F00F7B6618}"/>
    <cellStyle name="Normal 11 3 7 3" xfId="1460" xr:uid="{4598FD69-6AD4-4709-8AA2-D99AA63DC2AF}"/>
    <cellStyle name="Normal 11 3 7 4" xfId="3130" xr:uid="{D0D8954E-8854-4F5D-B00B-5E4C622B5945}"/>
    <cellStyle name="Normal 11 3 8" xfId="710" xr:uid="{00000000-0005-0000-0000-00005A000000}"/>
    <cellStyle name="Normal 11 3 8 2" xfId="2386" xr:uid="{BEF71F14-BCA4-46AD-8D5A-61CB4F2F8B32}"/>
    <cellStyle name="Normal 11 3 8 2 2" xfId="4054" xr:uid="{6933B9DF-E577-4017-8251-DC5414D78AEB}"/>
    <cellStyle name="Normal 11 3 8 3" xfId="1550" xr:uid="{DE97BB8B-E562-487D-B79D-A16F633FD7EF}"/>
    <cellStyle name="Normal 11 3 8 4" xfId="3220" xr:uid="{53362B16-06E3-4B22-AE07-84E6D67F075C}"/>
    <cellStyle name="Normal 11 3 9" xfId="807" xr:uid="{00000000-0005-0000-0000-00005B000000}"/>
    <cellStyle name="Normal 11 3 9 2" xfId="2483" xr:uid="{22321D26-13A0-46D4-98C2-728F5A7305DD}"/>
    <cellStyle name="Normal 11 3 9 2 2" xfId="4151" xr:uid="{BF25AA4E-BA3B-4E0B-898A-047E069AC03E}"/>
    <cellStyle name="Normal 11 3 9 3" xfId="1647" xr:uid="{9FB0FE74-7321-4372-9B8D-C4A1E78BBBFD}"/>
    <cellStyle name="Normal 11 3 9 4" xfId="3317" xr:uid="{25A52DD7-025D-4B06-9AC7-33E86362A323}"/>
    <cellStyle name="Normal 11 4" xfId="133" xr:uid="{00000000-0005-0000-0000-00005C000000}"/>
    <cellStyle name="Normal 11 4 2" xfId="1809" xr:uid="{9514677A-526B-4681-AA4D-CC95F90A2A40}"/>
    <cellStyle name="Normal 11 4 2 2" xfId="3477" xr:uid="{93F04CCC-4A43-4830-BAF0-022EB1ECFAD0}"/>
    <cellStyle name="Normal 11 4 3" xfId="973" xr:uid="{9F4D41B7-B17B-42B2-A09D-B8F9D931FEDD}"/>
    <cellStyle name="Normal 11 4 4" xfId="2643" xr:uid="{FDE32117-80DA-4977-A2D4-391DA4D4F1DB}"/>
    <cellStyle name="Normal 11 5" xfId="223" xr:uid="{00000000-0005-0000-0000-00005D000000}"/>
    <cellStyle name="Normal 11 5 2" xfId="1899" xr:uid="{569F97DA-BCF1-4ADC-BDAF-E6418570C902}"/>
    <cellStyle name="Normal 11 5 2 2" xfId="3567" xr:uid="{A14E1C3B-60EF-402E-8880-A11005AEE7A0}"/>
    <cellStyle name="Normal 11 5 3" xfId="1063" xr:uid="{3D5EBF5B-0056-432E-988B-146EB891554C}"/>
    <cellStyle name="Normal 11 5 4" xfId="2733" xr:uid="{E21114DC-435B-492E-9B63-3BF6F2295CF4}"/>
    <cellStyle name="Normal 11 6" xfId="313" xr:uid="{00000000-0005-0000-0000-00005E000000}"/>
    <cellStyle name="Normal 11 6 2" xfId="1989" xr:uid="{09AE4AAA-DD6A-4B18-9AEE-C3F61D0F165A}"/>
    <cellStyle name="Normal 11 6 2 2" xfId="3657" xr:uid="{344807BB-6E29-47B6-9869-314EFBFB5222}"/>
    <cellStyle name="Normal 11 6 3" xfId="1153" xr:uid="{DF1234AA-EAEA-4B86-8DD3-CDEFFB53BF25}"/>
    <cellStyle name="Normal 11 6 4" xfId="2823" xr:uid="{426E640E-015E-47BC-BF5E-E3D2FBF8F47C}"/>
    <cellStyle name="Normal 11 7" xfId="403" xr:uid="{00000000-0005-0000-0000-00005F000000}"/>
    <cellStyle name="Normal 11 7 2" xfId="2079" xr:uid="{16098AB0-FBA7-4155-9939-4E7C61C3EA51}"/>
    <cellStyle name="Normal 11 7 2 2" xfId="3747" xr:uid="{68BA7B99-3139-4147-A45A-1E849E07F853}"/>
    <cellStyle name="Normal 11 7 3" xfId="1243" xr:uid="{6FA69B96-457E-4F29-A224-77ABF300C252}"/>
    <cellStyle name="Normal 11 7 4" xfId="2913" xr:uid="{2BA9FE98-7EA4-4A2A-9845-57CEDFB5B458}"/>
    <cellStyle name="Normal 11 8" xfId="493" xr:uid="{00000000-0005-0000-0000-000060000000}"/>
    <cellStyle name="Normal 11 8 2" xfId="2169" xr:uid="{58B631FB-D17A-43C3-8EFD-4F58774464A2}"/>
    <cellStyle name="Normal 11 8 2 2" xfId="3837" xr:uid="{F6A4EA86-68FB-4D4C-81D3-1B3401F83228}"/>
    <cellStyle name="Normal 11 8 3" xfId="1333" xr:uid="{0E0258E4-AE1D-40DE-B46D-AE447E0C00A8}"/>
    <cellStyle name="Normal 11 8 4" xfId="3003" xr:uid="{2076A2F6-8704-4A1A-B34E-A5A3CB2DE9E0}"/>
    <cellStyle name="Normal 11 9" xfId="583" xr:uid="{00000000-0005-0000-0000-000061000000}"/>
    <cellStyle name="Normal 11 9 2" xfId="2259" xr:uid="{D5BC01D5-CB86-4D3B-B3B3-B1E99A90E645}"/>
    <cellStyle name="Normal 11 9 2 2" xfId="3927" xr:uid="{34C7C758-1A82-4A5A-816F-99BBAC87DDFA}"/>
    <cellStyle name="Normal 11 9 3" xfId="1423" xr:uid="{6618E30D-C2A1-473B-BED5-01FA2FD097BC}"/>
    <cellStyle name="Normal 11 9 4" xfId="3093" xr:uid="{6BA4BF4A-E279-4054-9C84-E847F0BA580B}"/>
    <cellStyle name="Normal 12" xfId="100" xr:uid="{00000000-0005-0000-0000-000062000000}"/>
    <cellStyle name="Normal 12 10" xfId="1776" xr:uid="{E13A9392-4854-45D6-A8A1-147F4F26270B}"/>
    <cellStyle name="Normal 12 10 2" xfId="3444" xr:uid="{1762504B-6EAE-4C2C-8786-8BF2326EDBD6}"/>
    <cellStyle name="Normal 12 11" xfId="940" xr:uid="{EAD93AD4-BC03-4DB0-BF8A-8BB9CF36209D}"/>
    <cellStyle name="Normal 12 12" xfId="2610" xr:uid="{98A474EF-0A61-4421-A23D-639B81484EA8}"/>
    <cellStyle name="Normal 12 2" xfId="192" xr:uid="{00000000-0005-0000-0000-000063000000}"/>
    <cellStyle name="Normal 12 2 2" xfId="1868" xr:uid="{235D5B0F-16A5-42B8-B6F6-BFA404175E59}"/>
    <cellStyle name="Normal 12 2 2 2" xfId="3536" xr:uid="{6ED9E15D-255C-493F-91AC-498AAA4A7482}"/>
    <cellStyle name="Normal 12 2 3" xfId="1032" xr:uid="{11E10221-B9A1-4C7D-BA9E-9F77D67C6191}"/>
    <cellStyle name="Normal 12 2 4" xfId="2702" xr:uid="{EB10660F-FF1E-442F-BA4E-E7ABF25FC48E}"/>
    <cellStyle name="Normal 12 3" xfId="282" xr:uid="{00000000-0005-0000-0000-000064000000}"/>
    <cellStyle name="Normal 12 3 2" xfId="1958" xr:uid="{0AD46CC0-72DF-4CB8-A2E4-8C0FE9307D77}"/>
    <cellStyle name="Normal 12 3 2 2" xfId="3626" xr:uid="{6199091C-7449-4CAD-85ED-C69F0BEC486D}"/>
    <cellStyle name="Normal 12 3 3" xfId="1122" xr:uid="{EE6E5DFA-6BBD-46D1-957C-02B6936AEC43}"/>
    <cellStyle name="Normal 12 3 4" xfId="2792" xr:uid="{28F0D639-D4FC-40A8-966C-08E901986653}"/>
    <cellStyle name="Normal 12 4" xfId="372" xr:uid="{00000000-0005-0000-0000-000065000000}"/>
    <cellStyle name="Normal 12 4 2" xfId="2048" xr:uid="{FC14AFBD-EE7B-4021-A9B5-E0E82933BF33}"/>
    <cellStyle name="Normal 12 4 2 2" xfId="3716" xr:uid="{D90FB607-CD4B-48DE-B98C-A9BA9DCD60CE}"/>
    <cellStyle name="Normal 12 4 3" xfId="1212" xr:uid="{8AB4CBE8-019E-4B28-A4FC-0BEF4215C528}"/>
    <cellStyle name="Normal 12 4 4" xfId="2882" xr:uid="{CC89DCB0-2EC8-41DF-9799-F5FC4A30C654}"/>
    <cellStyle name="Normal 12 5" xfId="462" xr:uid="{00000000-0005-0000-0000-000066000000}"/>
    <cellStyle name="Normal 12 5 2" xfId="2138" xr:uid="{FC8C8CDA-F54F-4975-BDC8-ED0822673F46}"/>
    <cellStyle name="Normal 12 5 2 2" xfId="3806" xr:uid="{B3D2CEF3-D28E-4DFD-B0EE-277CFE0B6429}"/>
    <cellStyle name="Normal 12 5 3" xfId="1302" xr:uid="{595151CF-A766-4480-A0F1-46A79AEB3D7A}"/>
    <cellStyle name="Normal 12 5 4" xfId="2972" xr:uid="{F2DC82ED-99B5-47CA-A029-C1E4A839A416}"/>
    <cellStyle name="Normal 12 6" xfId="552" xr:uid="{00000000-0005-0000-0000-000067000000}"/>
    <cellStyle name="Normal 12 6 2" xfId="2228" xr:uid="{08C604AC-88E5-4FD9-8392-3BCA996B37F5}"/>
    <cellStyle name="Normal 12 6 2 2" xfId="3896" xr:uid="{090D66D2-5E0A-47E9-9820-86BADDB468E9}"/>
    <cellStyle name="Normal 12 6 3" xfId="1392" xr:uid="{485AACEF-6DF7-43C3-851E-917C5DEA4176}"/>
    <cellStyle name="Normal 12 6 4" xfId="3062" xr:uid="{7B3C278A-49E8-4342-9A52-9C92BD297FB6}"/>
    <cellStyle name="Normal 12 7" xfId="642" xr:uid="{00000000-0005-0000-0000-000068000000}"/>
    <cellStyle name="Normal 12 7 2" xfId="2318" xr:uid="{733BC917-E86E-4046-9D26-F151290200C8}"/>
    <cellStyle name="Normal 12 7 2 2" xfId="3986" xr:uid="{82CE6BEF-3886-45A2-98BD-1F569EC10D63}"/>
    <cellStyle name="Normal 12 7 3" xfId="1482" xr:uid="{276DB0ED-2853-4563-82F7-D26AA8E7D2FE}"/>
    <cellStyle name="Normal 12 7 4" xfId="3152" xr:uid="{031E4616-BB45-452D-A9FF-4F6CDE7C200B}"/>
    <cellStyle name="Normal 12 8" xfId="732" xr:uid="{00000000-0005-0000-0000-000069000000}"/>
    <cellStyle name="Normal 12 8 2" xfId="2408" xr:uid="{47B8D348-C05E-4A27-A76E-F582FF431640}"/>
    <cellStyle name="Normal 12 8 2 2" xfId="4076" xr:uid="{757CC0F8-0FFD-4FBF-8A4C-0EBB39456C7B}"/>
    <cellStyle name="Normal 12 8 3" xfId="1572" xr:uid="{4A301E23-3D05-421B-8B0B-99DEE7968ABD}"/>
    <cellStyle name="Normal 12 8 4" xfId="3242" xr:uid="{1276933E-C2D3-444B-8EF8-2C23B9418DD6}"/>
    <cellStyle name="Normal 12 9" xfId="829" xr:uid="{00000000-0005-0000-0000-00006A000000}"/>
    <cellStyle name="Normal 12 9 2" xfId="2505" xr:uid="{4534766D-1C35-4238-84FE-83CF4BEA2992}"/>
    <cellStyle name="Normal 12 9 2 2" xfId="4173" xr:uid="{A20A56DD-AEC0-448A-B527-433CFC79BA94}"/>
    <cellStyle name="Normal 12 9 3" xfId="1669" xr:uid="{2B3FF8B6-52AF-406D-934C-0721013F9E6E}"/>
    <cellStyle name="Normal 12 9 4" xfId="3339" xr:uid="{6EC4227D-DD4A-4C9D-97E4-D613CFA9B592}"/>
    <cellStyle name="Normal 13" xfId="103" xr:uid="{00000000-0005-0000-0000-00006B000000}"/>
    <cellStyle name="Normal 13 10" xfId="1779" xr:uid="{1A69C1FF-855F-41A0-8EC5-7D4A32C55769}"/>
    <cellStyle name="Normal 13 10 2" xfId="3447" xr:uid="{3B9FF09E-EC41-4DE7-B166-97D4B093A40B}"/>
    <cellStyle name="Normal 13 11" xfId="943" xr:uid="{4BE39938-23CC-4BB8-B5C7-D90AC2148EC4}"/>
    <cellStyle name="Normal 13 12" xfId="2613" xr:uid="{7AB601C1-2252-4CFD-8440-FE2091152EB4}"/>
    <cellStyle name="Normal 13 2" xfId="195" xr:uid="{00000000-0005-0000-0000-00006C000000}"/>
    <cellStyle name="Normal 13 2 2" xfId="1871" xr:uid="{8A44465C-FF30-430B-98F3-DDDA40C9B648}"/>
    <cellStyle name="Normal 13 2 2 2" xfId="3539" xr:uid="{D64D1D7F-04A3-4011-B46E-C95554146979}"/>
    <cellStyle name="Normal 13 2 3" xfId="1035" xr:uid="{0B5B3383-70E5-4478-8B6A-7639B29831D3}"/>
    <cellStyle name="Normal 13 2 4" xfId="2705" xr:uid="{715A3597-2960-4DB0-83E7-1148026E7B91}"/>
    <cellStyle name="Normal 13 3" xfId="285" xr:uid="{00000000-0005-0000-0000-00006D000000}"/>
    <cellStyle name="Normal 13 3 2" xfId="1961" xr:uid="{3360BC91-58E3-4EE4-AE6C-9DD5B91479FF}"/>
    <cellStyle name="Normal 13 3 2 2" xfId="3629" xr:uid="{658A3F8C-D43B-4D8C-8066-9F8C5FFB2CAC}"/>
    <cellStyle name="Normal 13 3 3" xfId="1125" xr:uid="{44F372CE-4037-4389-9D56-C1EF07278DAF}"/>
    <cellStyle name="Normal 13 3 4" xfId="2795" xr:uid="{2B0B0A78-84A7-4709-BB87-A2CD73BC5546}"/>
    <cellStyle name="Normal 13 4" xfId="375" xr:uid="{00000000-0005-0000-0000-00006E000000}"/>
    <cellStyle name="Normal 13 4 2" xfId="2051" xr:uid="{BED51AFD-25CE-4462-85BA-8D6CBC803680}"/>
    <cellStyle name="Normal 13 4 2 2" xfId="3719" xr:uid="{DE7C6EFA-00DF-46D1-9AB6-1A2F538374BA}"/>
    <cellStyle name="Normal 13 4 3" xfId="1215" xr:uid="{627A5BD1-3CF0-4F66-99BB-9B3DCCA7C895}"/>
    <cellStyle name="Normal 13 4 4" xfId="2885" xr:uid="{919774F4-A00B-46B0-937C-9DBF7A403210}"/>
    <cellStyle name="Normal 13 5" xfId="465" xr:uid="{00000000-0005-0000-0000-00006F000000}"/>
    <cellStyle name="Normal 13 5 2" xfId="2141" xr:uid="{527A61D3-AF50-41D4-BC3E-60E6ED490C24}"/>
    <cellStyle name="Normal 13 5 2 2" xfId="3809" xr:uid="{9A20D1FF-D466-439D-A182-223E48B786C1}"/>
    <cellStyle name="Normal 13 5 3" xfId="1305" xr:uid="{345F1CC9-D640-4A21-A52A-2F18397DEBE0}"/>
    <cellStyle name="Normal 13 5 4" xfId="2975" xr:uid="{96F8484B-02B4-4B0B-B025-862C2C406DE1}"/>
    <cellStyle name="Normal 13 6" xfId="555" xr:uid="{00000000-0005-0000-0000-000070000000}"/>
    <cellStyle name="Normal 13 6 2" xfId="2231" xr:uid="{A21EAE1A-F5DD-4A84-BC2C-957B88091F26}"/>
    <cellStyle name="Normal 13 6 2 2" xfId="3899" xr:uid="{1D8AC43C-DF30-4B26-8560-78CE6591443C}"/>
    <cellStyle name="Normal 13 6 3" xfId="1395" xr:uid="{E7E49097-CADD-492C-B8C6-A124DBD57769}"/>
    <cellStyle name="Normal 13 6 4" xfId="3065" xr:uid="{987B37AF-5BFD-4628-8863-EF4BD02DC29E}"/>
    <cellStyle name="Normal 13 7" xfId="645" xr:uid="{00000000-0005-0000-0000-000071000000}"/>
    <cellStyle name="Normal 13 7 2" xfId="2321" xr:uid="{A5627F2D-C3E2-4731-A661-5F5ECC44E0D6}"/>
    <cellStyle name="Normal 13 7 2 2" xfId="3989" xr:uid="{5AA0E9C5-27D1-452A-84FF-4B4BDD995C50}"/>
    <cellStyle name="Normal 13 7 3" xfId="1485" xr:uid="{4264553B-C157-4A92-AFE1-E8E8078035B9}"/>
    <cellStyle name="Normal 13 7 4" xfId="3155" xr:uid="{4AFBBF4B-381F-4809-B5C2-6B590DBBB400}"/>
    <cellStyle name="Normal 13 8" xfId="735" xr:uid="{00000000-0005-0000-0000-000072000000}"/>
    <cellStyle name="Normal 13 8 2" xfId="2411" xr:uid="{BC35EA53-CDF8-4AF7-8805-2BDDEA007E6F}"/>
    <cellStyle name="Normal 13 8 2 2" xfId="4079" xr:uid="{86860CBE-2455-4AFF-B6F2-BB2212C04076}"/>
    <cellStyle name="Normal 13 8 3" xfId="1575" xr:uid="{6A48BFC0-1396-452A-B98B-D864EE2A8A14}"/>
    <cellStyle name="Normal 13 8 4" xfId="3245" xr:uid="{A15042D0-34D1-4C56-A260-907391C787C8}"/>
    <cellStyle name="Normal 13 9" xfId="832" xr:uid="{00000000-0005-0000-0000-000073000000}"/>
    <cellStyle name="Normal 13 9 2" xfId="2508" xr:uid="{02EE0E89-C3AE-4096-92DF-28F203F33B2F}"/>
    <cellStyle name="Normal 13 9 2 2" xfId="4176" xr:uid="{B3845B22-4F8D-496E-878B-0EEE657EE3DA}"/>
    <cellStyle name="Normal 13 9 3" xfId="1672" xr:uid="{A1059523-8C88-4A9E-A770-557E1BA52FD6}"/>
    <cellStyle name="Normal 13 9 4" xfId="3342" xr:uid="{B4193E67-E793-476D-A3C6-3781E7DD857F}"/>
    <cellStyle name="Normal 14" xfId="106" xr:uid="{00000000-0005-0000-0000-000074000000}"/>
    <cellStyle name="Normal 14 10" xfId="1782" xr:uid="{572AF341-8B62-48FE-BF9A-FE638B9EE9CC}"/>
    <cellStyle name="Normal 14 10 2" xfId="3450" xr:uid="{DE87F40E-E6A4-485A-B978-47885D3E1655}"/>
    <cellStyle name="Normal 14 11" xfId="946" xr:uid="{546FE999-B481-4C43-B4D0-FCAB810C7F48}"/>
    <cellStyle name="Normal 14 12" xfId="2616" xr:uid="{40357F1A-C4DD-40EE-8754-EC62B68731BF}"/>
    <cellStyle name="Normal 14 2" xfId="198" xr:uid="{00000000-0005-0000-0000-000075000000}"/>
    <cellStyle name="Normal 14 2 2" xfId="1874" xr:uid="{DC38DDFB-A3F1-479B-9708-4124851E9252}"/>
    <cellStyle name="Normal 14 2 2 2" xfId="3542" xr:uid="{6A3E46B5-4CFA-4CE2-B936-E61DB38EB484}"/>
    <cellStyle name="Normal 14 2 3" xfId="1038" xr:uid="{9E88CC83-0F70-4A15-9F1F-7F5E39AD71C9}"/>
    <cellStyle name="Normal 14 2 4" xfId="2708" xr:uid="{547DB4EF-E57D-419B-8EA9-3E9B72A29759}"/>
    <cellStyle name="Normal 14 3" xfId="288" xr:uid="{00000000-0005-0000-0000-000076000000}"/>
    <cellStyle name="Normal 14 3 2" xfId="1964" xr:uid="{C00196C8-9FE8-44F9-8D19-ADFE072B57B4}"/>
    <cellStyle name="Normal 14 3 2 2" xfId="3632" xr:uid="{5B52652C-40BF-43B9-A0B3-878847CA5722}"/>
    <cellStyle name="Normal 14 3 3" xfId="1128" xr:uid="{F26DA5A8-A110-4EE0-A12F-6D61C9C9AA68}"/>
    <cellStyle name="Normal 14 3 4" xfId="2798" xr:uid="{EFFF4CE4-D566-4B1B-AB90-1BED0285F7A7}"/>
    <cellStyle name="Normal 14 4" xfId="378" xr:uid="{00000000-0005-0000-0000-000077000000}"/>
    <cellStyle name="Normal 14 4 2" xfId="2054" xr:uid="{06297FDD-2818-42F7-9C37-B922D25BB196}"/>
    <cellStyle name="Normal 14 4 2 2" xfId="3722" xr:uid="{5017283D-9F99-4185-8E47-C66DA0EBAE02}"/>
    <cellStyle name="Normal 14 4 3" xfId="1218" xr:uid="{5D1C9AB5-1E57-4878-B477-0BA8E7CF230B}"/>
    <cellStyle name="Normal 14 4 4" xfId="2888" xr:uid="{1FE8C8E4-A228-4F91-BF31-4C5511ACCD55}"/>
    <cellStyle name="Normal 14 5" xfId="468" xr:uid="{00000000-0005-0000-0000-000078000000}"/>
    <cellStyle name="Normal 14 5 2" xfId="2144" xr:uid="{0B267FB7-51F3-4B76-8089-835DBEEC5390}"/>
    <cellStyle name="Normal 14 5 2 2" xfId="3812" xr:uid="{EF2F5EB5-B661-4C81-8FB7-E1E32133D919}"/>
    <cellStyle name="Normal 14 5 3" xfId="1308" xr:uid="{DCA05DD8-EC45-4476-A9F5-FA8E067EEC06}"/>
    <cellStyle name="Normal 14 5 4" xfId="2978" xr:uid="{722D8EBF-2D10-477B-813E-2FA2324F7D7B}"/>
    <cellStyle name="Normal 14 6" xfId="558" xr:uid="{00000000-0005-0000-0000-000079000000}"/>
    <cellStyle name="Normal 14 6 2" xfId="2234" xr:uid="{9E5D530C-9285-404F-AEF1-943415719934}"/>
    <cellStyle name="Normal 14 6 2 2" xfId="3902" xr:uid="{A2A53AA2-7977-4379-B4B5-86F079A86E87}"/>
    <cellStyle name="Normal 14 6 3" xfId="1398" xr:uid="{76A65925-1B33-4ED0-A595-9CD62DF52778}"/>
    <cellStyle name="Normal 14 6 4" xfId="3068" xr:uid="{F037C497-8D5D-4E9A-8C48-2C0CF9870DB7}"/>
    <cellStyle name="Normal 14 7" xfId="648" xr:uid="{00000000-0005-0000-0000-00007A000000}"/>
    <cellStyle name="Normal 14 7 2" xfId="2324" xr:uid="{09419AA7-5DCD-4F38-973B-1EBD8481F37B}"/>
    <cellStyle name="Normal 14 7 2 2" xfId="3992" xr:uid="{57443E9E-C980-465D-A2B6-C26473B7708B}"/>
    <cellStyle name="Normal 14 7 3" xfId="1488" xr:uid="{89B56D18-F6CF-44AA-B21D-D18A4AFE4CC2}"/>
    <cellStyle name="Normal 14 7 4" xfId="3158" xr:uid="{91D1D530-C412-4CFB-84D0-A2DCFED0F164}"/>
    <cellStyle name="Normal 14 8" xfId="738" xr:uid="{00000000-0005-0000-0000-00007B000000}"/>
    <cellStyle name="Normal 14 8 2" xfId="2414" xr:uid="{245F2767-9488-4760-9A73-FCC5EC2362A0}"/>
    <cellStyle name="Normal 14 8 2 2" xfId="4082" xr:uid="{685CF3BD-A87E-4533-9FD4-B52928E0C4ED}"/>
    <cellStyle name="Normal 14 8 3" xfId="1578" xr:uid="{3597A6E6-1176-4A56-A704-BA302E770459}"/>
    <cellStyle name="Normal 14 8 4" xfId="3248" xr:uid="{0300CAFD-4B5A-42CE-98D6-BF8805996AA0}"/>
    <cellStyle name="Normal 14 9" xfId="835" xr:uid="{00000000-0005-0000-0000-00007C000000}"/>
    <cellStyle name="Normal 14 9 2" xfId="2511" xr:uid="{590A3B62-21ED-49D8-BCB5-534301A3BE89}"/>
    <cellStyle name="Normal 14 9 2 2" xfId="4179" xr:uid="{38118B48-4519-415D-B030-E15DC4894B69}"/>
    <cellStyle name="Normal 14 9 3" xfId="1675" xr:uid="{5479A617-51BF-472B-B858-FCDCE5B85313}"/>
    <cellStyle name="Normal 14 9 4" xfId="3345" xr:uid="{7D2040B7-87BB-4B6F-8762-514EE47E6DBB}"/>
    <cellStyle name="Normal 15" xfId="109" xr:uid="{00000000-0005-0000-0000-00007D000000}"/>
    <cellStyle name="Normal 15 10" xfId="1785" xr:uid="{EDC4BCB0-8FBB-4830-8F70-2E9550BA1130}"/>
    <cellStyle name="Normal 15 10 2" xfId="3453" xr:uid="{DFEC62E2-380F-4A0E-82FF-B506C61AACAF}"/>
    <cellStyle name="Normal 15 11" xfId="949" xr:uid="{3F2E7615-A357-47C1-9D19-4665DCE5F457}"/>
    <cellStyle name="Normal 15 12" xfId="2619" xr:uid="{2E3D3E0F-C6F7-4FCB-81A2-215FEECB7326}"/>
    <cellStyle name="Normal 15 2" xfId="201" xr:uid="{00000000-0005-0000-0000-00007E000000}"/>
    <cellStyle name="Normal 15 2 2" xfId="1877" xr:uid="{79D11970-710C-4896-9716-354494F1F434}"/>
    <cellStyle name="Normal 15 2 2 2" xfId="3545" xr:uid="{99378CC0-5E1E-46F7-802C-A453ADCED7C7}"/>
    <cellStyle name="Normal 15 2 3" xfId="1041" xr:uid="{D07093F6-E5E0-4471-B56E-A54D7495023F}"/>
    <cellStyle name="Normal 15 2 4" xfId="2711" xr:uid="{9300560F-B4A9-4051-8074-C832459480E9}"/>
    <cellStyle name="Normal 15 3" xfId="291" xr:uid="{00000000-0005-0000-0000-00007F000000}"/>
    <cellStyle name="Normal 15 3 2" xfId="1967" xr:uid="{6823259D-0B06-43E7-BFAB-83783F0305D7}"/>
    <cellStyle name="Normal 15 3 2 2" xfId="3635" xr:uid="{0C362858-C4F2-4784-9D6F-F1DCF61CC5C0}"/>
    <cellStyle name="Normal 15 3 3" xfId="1131" xr:uid="{D94B9962-6129-46BC-BCCE-11B0F9B2C5FD}"/>
    <cellStyle name="Normal 15 3 4" xfId="2801" xr:uid="{6E80AD99-64C1-4CF3-85E7-54553835BD56}"/>
    <cellStyle name="Normal 15 4" xfId="381" xr:uid="{00000000-0005-0000-0000-000080000000}"/>
    <cellStyle name="Normal 15 4 2" xfId="2057" xr:uid="{F31E7133-060E-48FD-A770-098ECBDEFEA7}"/>
    <cellStyle name="Normal 15 4 2 2" xfId="3725" xr:uid="{9D99BD64-085A-4B4B-9D9E-1A0FE9C7FEDB}"/>
    <cellStyle name="Normal 15 4 3" xfId="1221" xr:uid="{C7D6CF2E-00B0-4379-B0A5-26750A7C5865}"/>
    <cellStyle name="Normal 15 4 4" xfId="2891" xr:uid="{EE36BDE0-4279-4F57-950E-7AA858B4A484}"/>
    <cellStyle name="Normal 15 5" xfId="471" xr:uid="{00000000-0005-0000-0000-000081000000}"/>
    <cellStyle name="Normal 15 5 2" xfId="2147" xr:uid="{1158E458-704E-4081-B33B-4F86C45F7220}"/>
    <cellStyle name="Normal 15 5 2 2" xfId="3815" xr:uid="{5694A92D-29C0-491E-A0F8-CC27696A1D7A}"/>
    <cellStyle name="Normal 15 5 3" xfId="1311" xr:uid="{9C4DFBFB-CBB9-40F0-89DE-B1862EA89B09}"/>
    <cellStyle name="Normal 15 5 4" xfId="2981" xr:uid="{4B22D00E-17AA-48D2-9FA7-89BFEAC8FA1D}"/>
    <cellStyle name="Normal 15 6" xfId="561" xr:uid="{00000000-0005-0000-0000-000082000000}"/>
    <cellStyle name="Normal 15 6 2" xfId="2237" xr:uid="{D1930606-F750-490B-A6A0-3F45C110A087}"/>
    <cellStyle name="Normal 15 6 2 2" xfId="3905" xr:uid="{938C67F0-B19B-4C12-81E3-5AC65FAE48E4}"/>
    <cellStyle name="Normal 15 6 3" xfId="1401" xr:uid="{17A65920-CF38-463F-81C7-DC839455C069}"/>
    <cellStyle name="Normal 15 6 4" xfId="3071" xr:uid="{3AEC3984-38E1-4125-9CB2-778DF767FFE0}"/>
    <cellStyle name="Normal 15 7" xfId="651" xr:uid="{00000000-0005-0000-0000-000083000000}"/>
    <cellStyle name="Normal 15 7 2" xfId="2327" xr:uid="{D920D00D-BB1A-43DC-A761-AF667064ED44}"/>
    <cellStyle name="Normal 15 7 2 2" xfId="3995" xr:uid="{6E2FF502-2A3A-46CD-A279-0E0EA24842DC}"/>
    <cellStyle name="Normal 15 7 3" xfId="1491" xr:uid="{59596FB5-A4C7-4223-8180-DA6B7794170C}"/>
    <cellStyle name="Normal 15 7 4" xfId="3161" xr:uid="{9375529A-D12E-475B-80DD-17DB8919BF74}"/>
    <cellStyle name="Normal 15 8" xfId="741" xr:uid="{00000000-0005-0000-0000-000084000000}"/>
    <cellStyle name="Normal 15 8 2" xfId="2417" xr:uid="{0A7BE08E-477F-4694-B3E1-0267144FB6B3}"/>
    <cellStyle name="Normal 15 8 2 2" xfId="4085" xr:uid="{F72AFBA3-98D3-435D-883E-01170D27D273}"/>
    <cellStyle name="Normal 15 8 3" xfId="1581" xr:uid="{0F861CB5-07FF-4EAC-87EC-A307AB9D9771}"/>
    <cellStyle name="Normal 15 8 4" xfId="3251" xr:uid="{B57B4FE6-AEA4-4D6D-A061-1FBA8BFCB1EF}"/>
    <cellStyle name="Normal 15 9" xfId="838" xr:uid="{00000000-0005-0000-0000-000085000000}"/>
    <cellStyle name="Normal 15 9 2" xfId="2514" xr:uid="{93C333A5-D6B8-452F-BBA7-C9F8F3C8D8EA}"/>
    <cellStyle name="Normal 15 9 2 2" xfId="4182" xr:uid="{826154E4-D5C1-409F-824E-8056617FC7FD}"/>
    <cellStyle name="Normal 15 9 3" xfId="1678" xr:uid="{53D420FF-37B4-4CF2-8F5A-5C8402ACFA57}"/>
    <cellStyle name="Normal 15 9 4" xfId="3348" xr:uid="{4505E0B9-EF09-45FE-99A1-B5C73AFA5ED4}"/>
    <cellStyle name="Normal 16" xfId="112" xr:uid="{00000000-0005-0000-0000-000086000000}"/>
    <cellStyle name="Normal 16 10" xfId="1788" xr:uid="{32905E31-9940-4ABD-96A0-93C8006E83D1}"/>
    <cellStyle name="Normal 16 10 2" xfId="3456" xr:uid="{C7B12601-3559-4F1D-84FB-7E232C39CA7A}"/>
    <cellStyle name="Normal 16 11" xfId="952" xr:uid="{EB2E1AAE-8974-402F-BE9B-FF3BAC2EC2FB}"/>
    <cellStyle name="Normal 16 12" xfId="2622" xr:uid="{503E2885-412B-4A0F-B30A-6AEA30FDE047}"/>
    <cellStyle name="Normal 16 2" xfId="204" xr:uid="{00000000-0005-0000-0000-000087000000}"/>
    <cellStyle name="Normal 16 2 2" xfId="1880" xr:uid="{0D17F9C8-47AC-4A6C-B151-4F44A7B576D8}"/>
    <cellStyle name="Normal 16 2 2 2" xfId="3548" xr:uid="{D4BDC6C7-BE76-49F0-912C-D208A4663411}"/>
    <cellStyle name="Normal 16 2 3" xfId="1044" xr:uid="{49917D5F-44C2-4E6E-AFCC-393A9087F097}"/>
    <cellStyle name="Normal 16 2 4" xfId="2714" xr:uid="{2EC6366D-5C63-46ED-94BB-8B4F8DD7A299}"/>
    <cellStyle name="Normal 16 3" xfId="294" xr:uid="{00000000-0005-0000-0000-000088000000}"/>
    <cellStyle name="Normal 16 3 2" xfId="1970" xr:uid="{C76B49FC-845A-4222-8517-C6A9E1FA9371}"/>
    <cellStyle name="Normal 16 3 2 2" xfId="3638" xr:uid="{A773ED06-9FDA-4573-B9E4-2675EAB59ABE}"/>
    <cellStyle name="Normal 16 3 3" xfId="1134" xr:uid="{9DC57341-05BB-496E-BFC9-2EB484CC76B9}"/>
    <cellStyle name="Normal 16 3 4" xfId="2804" xr:uid="{1B7B7D76-D0A0-426C-811E-FD06C058C5C7}"/>
    <cellStyle name="Normal 16 4" xfId="384" xr:uid="{00000000-0005-0000-0000-000089000000}"/>
    <cellStyle name="Normal 16 4 2" xfId="2060" xr:uid="{FD8D08C4-EB9F-49A0-BCED-2FA8A2D47E23}"/>
    <cellStyle name="Normal 16 4 2 2" xfId="3728" xr:uid="{A15FE0BC-EC97-4FB9-AEB4-7DD61979B099}"/>
    <cellStyle name="Normal 16 4 3" xfId="1224" xr:uid="{56BBCD7A-3CF4-488D-A0DC-6E46F104FFB8}"/>
    <cellStyle name="Normal 16 4 4" xfId="2894" xr:uid="{8FA56CD3-8E24-4F93-B6A8-12406FE9B2A1}"/>
    <cellStyle name="Normal 16 5" xfId="474" xr:uid="{00000000-0005-0000-0000-00008A000000}"/>
    <cellStyle name="Normal 16 5 2" xfId="2150" xr:uid="{D754B0A1-F05D-4001-9DA5-F74DE980CB3B}"/>
    <cellStyle name="Normal 16 5 2 2" xfId="3818" xr:uid="{D3BCE4B0-7E1D-4A7F-A684-A782F01D1358}"/>
    <cellStyle name="Normal 16 5 3" xfId="1314" xr:uid="{B5D29DA3-CD83-4D22-9A53-687E87069F73}"/>
    <cellStyle name="Normal 16 5 4" xfId="2984" xr:uid="{3E311881-19F8-4F93-B21B-5B924D435F1A}"/>
    <cellStyle name="Normal 16 6" xfId="564" xr:uid="{00000000-0005-0000-0000-00008B000000}"/>
    <cellStyle name="Normal 16 6 2" xfId="2240" xr:uid="{C4FA269E-B17F-46A5-ADF4-3B19B7DC49BB}"/>
    <cellStyle name="Normal 16 6 2 2" xfId="3908" xr:uid="{A611887B-7E18-4BF2-A5AA-9EAC225172D1}"/>
    <cellStyle name="Normal 16 6 3" xfId="1404" xr:uid="{034E5DDA-221E-40EE-8435-0D40B17A1A96}"/>
    <cellStyle name="Normal 16 6 4" xfId="3074" xr:uid="{9CB1E35E-52F9-4DD6-8C86-5EB7A64F4419}"/>
    <cellStyle name="Normal 16 7" xfId="654" xr:uid="{00000000-0005-0000-0000-00008C000000}"/>
    <cellStyle name="Normal 16 7 2" xfId="2330" xr:uid="{65E6C14A-576E-4AEE-A04A-A4AF04FA5F09}"/>
    <cellStyle name="Normal 16 7 2 2" xfId="3998" xr:uid="{0D217A25-FC5A-4272-BFD9-9AD83E841E6C}"/>
    <cellStyle name="Normal 16 7 3" xfId="1494" xr:uid="{B4547FC2-3021-45B5-9A3E-77482C4BADFC}"/>
    <cellStyle name="Normal 16 7 4" xfId="3164" xr:uid="{8E641920-B8CE-466A-8B57-340EC24179D3}"/>
    <cellStyle name="Normal 16 8" xfId="744" xr:uid="{00000000-0005-0000-0000-00008D000000}"/>
    <cellStyle name="Normal 16 8 2" xfId="2420" xr:uid="{AF92547C-2049-4C44-834A-EF5A99C41FE2}"/>
    <cellStyle name="Normal 16 8 2 2" xfId="4088" xr:uid="{2D42BE3F-C979-47E8-A742-1D3B9D84B3FE}"/>
    <cellStyle name="Normal 16 8 3" xfId="1584" xr:uid="{9BAF1CCF-6417-4305-9103-601D0E36A047}"/>
    <cellStyle name="Normal 16 8 4" xfId="3254" xr:uid="{F3637C5C-88B9-474A-945F-33AFFDFD0588}"/>
    <cellStyle name="Normal 16 9" xfId="841" xr:uid="{00000000-0005-0000-0000-00008E000000}"/>
    <cellStyle name="Normal 16 9 2" xfId="2517" xr:uid="{B57BF8AC-13D3-45C0-9752-42E8102B990D}"/>
    <cellStyle name="Normal 16 9 2 2" xfId="4185" xr:uid="{C9279932-ECEA-4544-A236-B1CE0533AEEF}"/>
    <cellStyle name="Normal 16 9 3" xfId="1681" xr:uid="{EF297BD8-6C50-4A8C-AD94-D27EC4BEE5CB}"/>
    <cellStyle name="Normal 16 9 4" xfId="3351" xr:uid="{F8B7F1EB-297E-4F18-ABB6-2599F4CF8DBD}"/>
    <cellStyle name="Normal 17" xfId="8" xr:uid="{00000000-0005-0000-0000-00008F000000}"/>
    <cellStyle name="Normal 17 2" xfId="1693" xr:uid="{1C7CFDB3-E77B-4A70-9DE1-95034F4D82C2}"/>
    <cellStyle name="Normal 17 2 2" xfId="3362" xr:uid="{EA8E8E87-232E-49BD-BC95-EED0AF9C1CBC}"/>
    <cellStyle name="Normal 17 3" xfId="857" xr:uid="{16596520-E55A-4059-9CC6-1CF2C4DE89DF}"/>
    <cellStyle name="Normal 17 4" xfId="2528" xr:uid="{4BA6E2B3-0E70-4FC6-886B-4FA697E56A5C}"/>
    <cellStyle name="Normal 18" xfId="10" xr:uid="{00000000-0005-0000-0000-000090000000}"/>
    <cellStyle name="Normal 18 2" xfId="1694" xr:uid="{3AC3339D-7FF3-4CCE-B487-145CEB56E5F6}"/>
    <cellStyle name="Normal 18 3" xfId="858" xr:uid="{428A7227-8647-4A74-903E-3804256024CA}"/>
    <cellStyle name="Normal 19" xfId="117" xr:uid="{00000000-0005-0000-0000-000091000000}"/>
    <cellStyle name="Normal 19 2" xfId="1793" xr:uid="{EBAF69C2-4CEF-4B77-8493-EB6C7156493B}"/>
    <cellStyle name="Normal 19 2 2" xfId="3461" xr:uid="{BA690FF3-943E-453D-AD1A-AD16BDB0AC47}"/>
    <cellStyle name="Normal 19 3" xfId="957" xr:uid="{C4CFE9BA-4D1E-40DD-9C61-117A832A3E6F}"/>
    <cellStyle name="Normal 19 4" xfId="2627" xr:uid="{01EDC3EF-5638-4033-9339-E8B51B1278F9}"/>
    <cellStyle name="Normal 2" xfId="1" xr:uid="{00000000-0005-0000-0000-000092000000}"/>
    <cellStyle name="Normal 2 2" xfId="7" xr:uid="{00000000-0005-0000-0000-000093000000}"/>
    <cellStyle name="Normal 2 2 2" xfId="852" xr:uid="{1C7488BD-D0A7-4BD6-89BE-682016A3202E}"/>
    <cellStyle name="Normal 2 3" xfId="20" xr:uid="{00000000-0005-0000-0000-000094000000}"/>
    <cellStyle name="Normal 2 4" xfId="39" xr:uid="{00000000-0005-0000-0000-000095000000}"/>
    <cellStyle name="Normal 2 5" xfId="60" xr:uid="{00000000-0005-0000-0000-000096000000}"/>
    <cellStyle name="Normal 20" xfId="207" xr:uid="{00000000-0005-0000-0000-000097000000}"/>
    <cellStyle name="Normal 20 2" xfId="1883" xr:uid="{19AD40AA-CBA6-4495-A60E-955C83D7A178}"/>
    <cellStyle name="Normal 20 2 2" xfId="3551" xr:uid="{60A96C50-3991-4A37-8CA2-B92F4DB397C1}"/>
    <cellStyle name="Normal 20 3" xfId="1047" xr:uid="{6D8AFE77-8E55-4EC5-9122-083516DD44CC}"/>
    <cellStyle name="Normal 20 4" xfId="2717" xr:uid="{A4C09621-2CB0-4BBA-95B6-52BEA7970871}"/>
    <cellStyle name="Normal 21" xfId="297" xr:uid="{00000000-0005-0000-0000-000098000000}"/>
    <cellStyle name="Normal 21 2" xfId="1973" xr:uid="{2391312B-CECD-4FF3-A42E-8AEB99D0F962}"/>
    <cellStyle name="Normal 21 2 2" xfId="3641" xr:uid="{9691A663-BCC8-4846-BD02-8BE454E46C46}"/>
    <cellStyle name="Normal 21 3" xfId="1137" xr:uid="{5444B16B-E887-4A2B-9492-8ED3BD148B2F}"/>
    <cellStyle name="Normal 21 4" xfId="2807" xr:uid="{A3F67B01-994D-4AD1-8E01-EF5FF7E398E6}"/>
    <cellStyle name="Normal 22" xfId="387" xr:uid="{00000000-0005-0000-0000-000099000000}"/>
    <cellStyle name="Normal 22 2" xfId="2063" xr:uid="{9DC32965-0B5E-4CC0-813A-B0D726A0CE4D}"/>
    <cellStyle name="Normal 22 2 2" xfId="3731" xr:uid="{B2BFA10E-BD51-4D47-85B2-FCB375E191CF}"/>
    <cellStyle name="Normal 22 3" xfId="1227" xr:uid="{CC57B772-016E-4D51-ACFF-F6DC0AE339A4}"/>
    <cellStyle name="Normal 22 4" xfId="2897" xr:uid="{4D5D9B8F-53F4-4A7C-B42F-EF9019EBAC6F}"/>
    <cellStyle name="Normal 23" xfId="477" xr:uid="{00000000-0005-0000-0000-00009A000000}"/>
    <cellStyle name="Normal 23 2" xfId="2153" xr:uid="{72EAF528-AA1B-4EE9-8ADB-FC67888F593E}"/>
    <cellStyle name="Normal 23 2 2" xfId="3821" xr:uid="{140B361A-2205-43A7-98F3-2A2CC2BFA27F}"/>
    <cellStyle name="Normal 23 3" xfId="1317" xr:uid="{459DDF39-C87A-44A0-A3DF-C8D63624264E}"/>
    <cellStyle name="Normal 23 4" xfId="2987" xr:uid="{A5AE60FF-90B6-44D0-86B2-C4D15CDA68E4}"/>
    <cellStyle name="Normal 24" xfId="567" xr:uid="{00000000-0005-0000-0000-00009B000000}"/>
    <cellStyle name="Normal 24 2" xfId="2243" xr:uid="{FA34A5CF-47BD-4973-A2AE-17F1FE0024E0}"/>
    <cellStyle name="Normal 24 2 2" xfId="3911" xr:uid="{8D5BC120-EEA8-4652-9174-799873528FA4}"/>
    <cellStyle name="Normal 24 3" xfId="1407" xr:uid="{343C6B5A-9E12-4AF0-BF21-A854FE1136E8}"/>
    <cellStyle name="Normal 24 4" xfId="3077" xr:uid="{2A9CDB8B-650B-40BF-911B-34CEBCA8B0A5}"/>
    <cellStyle name="Normal 25" xfId="657" xr:uid="{00000000-0005-0000-0000-00009C000000}"/>
    <cellStyle name="Normal 25 2" xfId="2333" xr:uid="{88FF089F-04B1-4FD6-B50C-B694CB9DAD67}"/>
    <cellStyle name="Normal 25 2 2" xfId="4001" xr:uid="{3010904F-42A6-4E79-BD9B-AD6EAFAF8076}"/>
    <cellStyle name="Normal 25 3" xfId="1497" xr:uid="{6471B66C-A9EF-4488-8A3A-CFAE6E4312ED}"/>
    <cellStyle name="Normal 25 4" xfId="3167" xr:uid="{D29062D5-D4B2-4A07-B912-65612C542562}"/>
    <cellStyle name="Normal 26" xfId="747" xr:uid="{00000000-0005-0000-0000-00009D000000}"/>
    <cellStyle name="Normal 26 2" xfId="2423" xr:uid="{17464379-6734-4544-9444-D084D0D63B94}"/>
    <cellStyle name="Normal 26 2 2" xfId="4091" xr:uid="{9EE103A2-DFFD-4E65-A585-38514AC55AA2}"/>
    <cellStyle name="Normal 26 3" xfId="1587" xr:uid="{454760F9-5A17-4F9B-AD49-A58265AB85AF}"/>
    <cellStyle name="Normal 26 4" xfId="3257" xr:uid="{444BEFE9-A331-4D90-B85D-A07738690671}"/>
    <cellStyle name="Normal 27" xfId="851" xr:uid="{ED50C316-25E5-4ED7-8355-A3104735F1B2}"/>
    <cellStyle name="Normal 27 2" xfId="2524" xr:uid="{839025B2-217D-4F10-8C8A-176093AAE8DD}"/>
    <cellStyle name="Normal 27 2 2" xfId="4192" xr:uid="{9CC50D17-AB0C-4918-8E97-6E950E8DE342}"/>
    <cellStyle name="Normal 27 3" xfId="1688" xr:uid="{97777047-B31A-46CB-968E-11F12E8C843E}"/>
    <cellStyle name="Normal 27 4" xfId="3358" xr:uid="{9B5D5391-2AD1-49D6-91E8-F4A3D58E3EEB}"/>
    <cellStyle name="Normal 3" xfId="4" xr:uid="{00000000-0005-0000-0000-00009E000000}"/>
    <cellStyle name="Normal 3 10" xfId="104" xr:uid="{00000000-0005-0000-0000-00009F000000}"/>
    <cellStyle name="Normal 3 10 10" xfId="1780" xr:uid="{901B818F-2C36-4ADB-9119-ABDA1BB6CA10}"/>
    <cellStyle name="Normal 3 10 10 2" xfId="3448" xr:uid="{C597E1E1-52BB-448B-B9CA-1ADC120C4874}"/>
    <cellStyle name="Normal 3 10 11" xfId="944" xr:uid="{1DEB7E05-0484-4A88-AB83-D12A97225C84}"/>
    <cellStyle name="Normal 3 10 12" xfId="2614" xr:uid="{2EF2AE4E-3246-40A3-92BC-14D520E1AB47}"/>
    <cellStyle name="Normal 3 10 2" xfId="196" xr:uid="{00000000-0005-0000-0000-0000A0000000}"/>
    <cellStyle name="Normal 3 10 2 2" xfId="1872" xr:uid="{08D987C5-62C2-488D-8649-94E85120D111}"/>
    <cellStyle name="Normal 3 10 2 2 2" xfId="3540" xr:uid="{2F78A71F-2B19-41CC-9686-31F91D7FC2F1}"/>
    <cellStyle name="Normal 3 10 2 3" xfId="1036" xr:uid="{ADE74A6B-D112-4836-8AC3-FFBA01C129F6}"/>
    <cellStyle name="Normal 3 10 2 4" xfId="2706" xr:uid="{E1BAA199-5891-498D-9B1C-84350AA24DB0}"/>
    <cellStyle name="Normal 3 10 3" xfId="286" xr:uid="{00000000-0005-0000-0000-0000A1000000}"/>
    <cellStyle name="Normal 3 10 3 2" xfId="1962" xr:uid="{F26C56DC-EC51-4AD7-9B0A-9D19CE25796C}"/>
    <cellStyle name="Normal 3 10 3 2 2" xfId="3630" xr:uid="{D362A15C-83E8-4ED8-A384-839104825D84}"/>
    <cellStyle name="Normal 3 10 3 3" xfId="1126" xr:uid="{7FF3DD97-9946-4B93-9BD5-74E25B0414C1}"/>
    <cellStyle name="Normal 3 10 3 4" xfId="2796" xr:uid="{14F875E9-6C73-4A76-823B-0DC80160891E}"/>
    <cellStyle name="Normal 3 10 4" xfId="376" xr:uid="{00000000-0005-0000-0000-0000A2000000}"/>
    <cellStyle name="Normal 3 10 4 2" xfId="2052" xr:uid="{65F40802-63A7-4398-9026-3782B9137031}"/>
    <cellStyle name="Normal 3 10 4 2 2" xfId="3720" xr:uid="{9613D2A9-D25B-41A3-8E77-5540D7022770}"/>
    <cellStyle name="Normal 3 10 4 3" xfId="1216" xr:uid="{F1AE06D3-B896-469F-8D0F-B1400503FEB8}"/>
    <cellStyle name="Normal 3 10 4 4" xfId="2886" xr:uid="{CD518227-9110-4E89-858B-0326D3A625A8}"/>
    <cellStyle name="Normal 3 10 5" xfId="466" xr:uid="{00000000-0005-0000-0000-0000A3000000}"/>
    <cellStyle name="Normal 3 10 5 2" xfId="2142" xr:uid="{891EFD62-1C67-434E-9AC8-B217A56BC159}"/>
    <cellStyle name="Normal 3 10 5 2 2" xfId="3810" xr:uid="{D2A46B54-DDC2-4F22-9CE6-C3196CD3C25A}"/>
    <cellStyle name="Normal 3 10 5 3" xfId="1306" xr:uid="{441C5665-16CE-4E37-83A3-E746E8301EE7}"/>
    <cellStyle name="Normal 3 10 5 4" xfId="2976" xr:uid="{E9620315-801E-4FA4-95CB-AD1FE8031897}"/>
    <cellStyle name="Normal 3 10 6" xfId="556" xr:uid="{00000000-0005-0000-0000-0000A4000000}"/>
    <cellStyle name="Normal 3 10 6 2" xfId="2232" xr:uid="{DD2CBA45-DC14-4CE2-AB51-ABF8E6713E6B}"/>
    <cellStyle name="Normal 3 10 6 2 2" xfId="3900" xr:uid="{027CACDA-CED4-433E-9DA7-0AD279554B7F}"/>
    <cellStyle name="Normal 3 10 6 3" xfId="1396" xr:uid="{F8DD8613-90A9-462A-BA29-AD7526F56D15}"/>
    <cellStyle name="Normal 3 10 6 4" xfId="3066" xr:uid="{CD986232-FDBC-4C81-BB0C-7FA8D6252065}"/>
    <cellStyle name="Normal 3 10 7" xfId="646" xr:uid="{00000000-0005-0000-0000-0000A5000000}"/>
    <cellStyle name="Normal 3 10 7 2" xfId="2322" xr:uid="{4F3FF594-2915-4F67-9225-10E96B368380}"/>
    <cellStyle name="Normal 3 10 7 2 2" xfId="3990" xr:uid="{C96DA32A-5981-4057-A765-BE375A7F4069}"/>
    <cellStyle name="Normal 3 10 7 3" xfId="1486" xr:uid="{1460E349-4ACA-46DD-BC78-B94D23B48982}"/>
    <cellStyle name="Normal 3 10 7 4" xfId="3156" xr:uid="{68E45D99-5123-466B-9BCE-7187EB674AC0}"/>
    <cellStyle name="Normal 3 10 8" xfId="736" xr:uid="{00000000-0005-0000-0000-0000A6000000}"/>
    <cellStyle name="Normal 3 10 8 2" xfId="2412" xr:uid="{E441254D-B103-4594-B6AE-485663E8ED16}"/>
    <cellStyle name="Normal 3 10 8 2 2" xfId="4080" xr:uid="{2620E8FB-6053-4417-9E0A-60950A633881}"/>
    <cellStyle name="Normal 3 10 8 3" xfId="1576" xr:uid="{2BDED288-4517-4E3D-A93D-699B5AE96BBF}"/>
    <cellStyle name="Normal 3 10 8 4" xfId="3246" xr:uid="{41158290-8731-4A80-A33E-E848493557D4}"/>
    <cellStyle name="Normal 3 10 9" xfId="833" xr:uid="{00000000-0005-0000-0000-0000A7000000}"/>
    <cellStyle name="Normal 3 10 9 2" xfId="2509" xr:uid="{0E4C3A79-1AB8-48B1-8241-0F007C05138C}"/>
    <cellStyle name="Normal 3 10 9 2 2" xfId="4177" xr:uid="{DD3C14A1-3E93-4578-A1D4-54E878A69267}"/>
    <cellStyle name="Normal 3 10 9 3" xfId="1673" xr:uid="{D72E79B6-054B-4A6F-8479-D7898040D37E}"/>
    <cellStyle name="Normal 3 10 9 4" xfId="3343" xr:uid="{28F39387-75D0-40B8-92D7-F82CE5DDF0E8}"/>
    <cellStyle name="Normal 3 11" xfId="107" xr:uid="{00000000-0005-0000-0000-0000A8000000}"/>
    <cellStyle name="Normal 3 11 10" xfId="1783" xr:uid="{F40044E6-DCB8-4130-89CC-FD37B4BA0B73}"/>
    <cellStyle name="Normal 3 11 10 2" xfId="3451" xr:uid="{8045DDC7-A3E0-4D63-9C81-FCDB76B25AF1}"/>
    <cellStyle name="Normal 3 11 11" xfId="947" xr:uid="{62BFF7D2-7E2C-4EAA-9966-F29EE73E0708}"/>
    <cellStyle name="Normal 3 11 12" xfId="2617" xr:uid="{022B0DAC-33E5-4212-AF7F-30102EF76F85}"/>
    <cellStyle name="Normal 3 11 2" xfId="199" xr:uid="{00000000-0005-0000-0000-0000A9000000}"/>
    <cellStyle name="Normal 3 11 2 2" xfId="1875" xr:uid="{BDB6F500-8C9B-471B-BB2B-95990EDC0C15}"/>
    <cellStyle name="Normal 3 11 2 2 2" xfId="3543" xr:uid="{00AE6B2A-E03D-49AB-9FDB-B6190A6E436E}"/>
    <cellStyle name="Normal 3 11 2 3" xfId="1039" xr:uid="{240AA27D-51AE-4FA1-A3D3-6C5E03AD88C6}"/>
    <cellStyle name="Normal 3 11 2 4" xfId="2709" xr:uid="{D72FE79A-4A7E-443D-BAF2-E423ABE978C8}"/>
    <cellStyle name="Normal 3 11 3" xfId="289" xr:uid="{00000000-0005-0000-0000-0000AA000000}"/>
    <cellStyle name="Normal 3 11 3 2" xfId="1965" xr:uid="{37CAAB6A-E322-472D-AF76-3CC8B2314F18}"/>
    <cellStyle name="Normal 3 11 3 2 2" xfId="3633" xr:uid="{379D573E-6976-4E3D-B605-BFA31A47FB00}"/>
    <cellStyle name="Normal 3 11 3 3" xfId="1129" xr:uid="{30B274C1-AEC2-4BFC-A0F5-7BEF1EE70873}"/>
    <cellStyle name="Normal 3 11 3 4" xfId="2799" xr:uid="{95A9BA3C-5A65-44F6-948B-CF98458926C6}"/>
    <cellStyle name="Normal 3 11 4" xfId="379" xr:uid="{00000000-0005-0000-0000-0000AB000000}"/>
    <cellStyle name="Normal 3 11 4 2" xfId="2055" xr:uid="{BBA694DB-B463-487E-8774-6A6F3E80AEC0}"/>
    <cellStyle name="Normal 3 11 4 2 2" xfId="3723" xr:uid="{A4A0BA7A-F11F-4494-BC26-81026B8FA4C9}"/>
    <cellStyle name="Normal 3 11 4 3" xfId="1219" xr:uid="{5A566736-B902-4C1D-9170-DB8C7E375A15}"/>
    <cellStyle name="Normal 3 11 4 4" xfId="2889" xr:uid="{9FD84CDA-4362-4059-99C8-D2CA8FB07BB3}"/>
    <cellStyle name="Normal 3 11 5" xfId="469" xr:uid="{00000000-0005-0000-0000-0000AC000000}"/>
    <cellStyle name="Normal 3 11 5 2" xfId="2145" xr:uid="{4161B145-EECF-437F-9F5C-E16C4D702728}"/>
    <cellStyle name="Normal 3 11 5 2 2" xfId="3813" xr:uid="{69BE499A-D36B-478E-8E1A-66BCDCD8E9FC}"/>
    <cellStyle name="Normal 3 11 5 3" xfId="1309" xr:uid="{E850EA8E-E489-4F0D-AB86-1A7395F3548C}"/>
    <cellStyle name="Normal 3 11 5 4" xfId="2979" xr:uid="{16CA9B9D-A484-4C2B-990F-15EAF5A80E43}"/>
    <cellStyle name="Normal 3 11 6" xfId="559" xr:uid="{00000000-0005-0000-0000-0000AD000000}"/>
    <cellStyle name="Normal 3 11 6 2" xfId="2235" xr:uid="{7EC28EBA-5E77-4036-BBC5-F7CC7E841A80}"/>
    <cellStyle name="Normal 3 11 6 2 2" xfId="3903" xr:uid="{9F4179ED-6DC5-4A4A-ACB6-660CEF6F9CDF}"/>
    <cellStyle name="Normal 3 11 6 3" xfId="1399" xr:uid="{DD98D823-7A6D-4734-BA99-3DBD9385E693}"/>
    <cellStyle name="Normal 3 11 6 4" xfId="3069" xr:uid="{29431CEB-A13D-421D-AD13-38530A5D1B38}"/>
    <cellStyle name="Normal 3 11 7" xfId="649" xr:uid="{00000000-0005-0000-0000-0000AE000000}"/>
    <cellStyle name="Normal 3 11 7 2" xfId="2325" xr:uid="{B39202AF-4D68-4A2C-81B6-EA7D3C1379FE}"/>
    <cellStyle name="Normal 3 11 7 2 2" xfId="3993" xr:uid="{9CFDFFFC-BB11-4A83-A7AF-037EB9D4304B}"/>
    <cellStyle name="Normal 3 11 7 3" xfId="1489" xr:uid="{252E6C95-40CE-4DC1-9882-A57F89CF45A1}"/>
    <cellStyle name="Normal 3 11 7 4" xfId="3159" xr:uid="{7F412877-C74F-495B-B2D5-107CE1E53ABB}"/>
    <cellStyle name="Normal 3 11 8" xfId="739" xr:uid="{00000000-0005-0000-0000-0000AF000000}"/>
    <cellStyle name="Normal 3 11 8 2" xfId="2415" xr:uid="{652C6779-E50E-4C9A-8DDF-23C257B77D34}"/>
    <cellStyle name="Normal 3 11 8 2 2" xfId="4083" xr:uid="{E93647CC-F697-4DE2-8F8E-7E233632D06F}"/>
    <cellStyle name="Normal 3 11 8 3" xfId="1579" xr:uid="{AF200D67-3D92-45EE-AE2C-A0AAA19915E1}"/>
    <cellStyle name="Normal 3 11 8 4" xfId="3249" xr:uid="{3108B349-6D1F-46B9-89E0-7AE4F43C93DF}"/>
    <cellStyle name="Normal 3 11 9" xfId="836" xr:uid="{00000000-0005-0000-0000-0000B0000000}"/>
    <cellStyle name="Normal 3 11 9 2" xfId="2512" xr:uid="{D2A85DCE-6631-40E8-B4A2-B8CFC6F1A514}"/>
    <cellStyle name="Normal 3 11 9 2 2" xfId="4180" xr:uid="{9CE0C0D8-09CC-4867-B78D-F75468636368}"/>
    <cellStyle name="Normal 3 11 9 3" xfId="1676" xr:uid="{0643C3A3-CDE3-4EA0-9255-CE6E0BB40AF1}"/>
    <cellStyle name="Normal 3 11 9 4" xfId="3346" xr:uid="{D22E29D3-A2FE-42AE-9F8E-27ACDE36BE8D}"/>
    <cellStyle name="Normal 3 12" xfId="110" xr:uid="{00000000-0005-0000-0000-0000B1000000}"/>
    <cellStyle name="Normal 3 12 10" xfId="1786" xr:uid="{CDED2E18-7BDB-4F81-8547-2F87FA35D266}"/>
    <cellStyle name="Normal 3 12 10 2" xfId="3454" xr:uid="{6E14A7C7-8486-4F10-B5D4-170DD4869203}"/>
    <cellStyle name="Normal 3 12 11" xfId="950" xr:uid="{E6DDEDAF-1302-434F-A2E8-014E2D71C30A}"/>
    <cellStyle name="Normal 3 12 12" xfId="2620" xr:uid="{510A5D4D-F076-432C-8FB8-74BC80E3A6E7}"/>
    <cellStyle name="Normal 3 12 2" xfId="202" xr:uid="{00000000-0005-0000-0000-0000B2000000}"/>
    <cellStyle name="Normal 3 12 2 2" xfId="1878" xr:uid="{7FCB0C5B-BDBD-4A1A-93D3-3DF80FC5836A}"/>
    <cellStyle name="Normal 3 12 2 2 2" xfId="3546" xr:uid="{1524F824-289C-487C-8910-D5C104E76C04}"/>
    <cellStyle name="Normal 3 12 2 3" xfId="1042" xr:uid="{6570AC77-D3F9-4159-BD99-4BEC92AABAF4}"/>
    <cellStyle name="Normal 3 12 2 4" xfId="2712" xr:uid="{67219C33-1A65-4A45-936E-1B0456563052}"/>
    <cellStyle name="Normal 3 12 3" xfId="292" xr:uid="{00000000-0005-0000-0000-0000B3000000}"/>
    <cellStyle name="Normal 3 12 3 2" xfId="1968" xr:uid="{0590105A-C77F-49CD-8492-2A4A7FDE93E6}"/>
    <cellStyle name="Normal 3 12 3 2 2" xfId="3636" xr:uid="{F01AAF9C-F997-4D74-97E8-18FB46EE5DD1}"/>
    <cellStyle name="Normal 3 12 3 3" xfId="1132" xr:uid="{ED16FDCB-9414-4B1E-BF61-5B9969CD0E63}"/>
    <cellStyle name="Normal 3 12 3 4" xfId="2802" xr:uid="{E60FE788-FA16-4B9E-8197-57F76C38E513}"/>
    <cellStyle name="Normal 3 12 4" xfId="382" xr:uid="{00000000-0005-0000-0000-0000B4000000}"/>
    <cellStyle name="Normal 3 12 4 2" xfId="2058" xr:uid="{0E487A1D-3F7C-4F9F-AE6E-C687C3F4E683}"/>
    <cellStyle name="Normal 3 12 4 2 2" xfId="3726" xr:uid="{D543AF05-5782-4884-A9CD-82F2C241DAB3}"/>
    <cellStyle name="Normal 3 12 4 3" xfId="1222" xr:uid="{9FD2AE89-258D-49AE-9063-28E28D5DD592}"/>
    <cellStyle name="Normal 3 12 4 4" xfId="2892" xr:uid="{3864851F-D0DA-478E-AFB8-5FB4237F79EE}"/>
    <cellStyle name="Normal 3 12 5" xfId="472" xr:uid="{00000000-0005-0000-0000-0000B5000000}"/>
    <cellStyle name="Normal 3 12 5 2" xfId="2148" xr:uid="{7A80FF37-3AD3-4BCF-92AA-35CEF2AE9078}"/>
    <cellStyle name="Normal 3 12 5 2 2" xfId="3816" xr:uid="{BC47FFBE-5058-449B-A7AA-681965A6CC19}"/>
    <cellStyle name="Normal 3 12 5 3" xfId="1312" xr:uid="{4A25BF23-85C9-457A-8018-73D85151DFFD}"/>
    <cellStyle name="Normal 3 12 5 4" xfId="2982" xr:uid="{4A0EDAFD-F6EA-4064-9AD3-192C9D8016A0}"/>
    <cellStyle name="Normal 3 12 6" xfId="562" xr:uid="{00000000-0005-0000-0000-0000B6000000}"/>
    <cellStyle name="Normal 3 12 6 2" xfId="2238" xr:uid="{7622AA2E-5F01-4EF1-A058-2A1B52CE887A}"/>
    <cellStyle name="Normal 3 12 6 2 2" xfId="3906" xr:uid="{F937366E-CA93-42FF-BBA0-00043963B592}"/>
    <cellStyle name="Normal 3 12 6 3" xfId="1402" xr:uid="{6B325A6F-0562-4EC2-87BE-13AAA3051D8D}"/>
    <cellStyle name="Normal 3 12 6 4" xfId="3072" xr:uid="{6475D64A-54BC-40B7-8944-8ED85A098E9C}"/>
    <cellStyle name="Normal 3 12 7" xfId="652" xr:uid="{00000000-0005-0000-0000-0000B7000000}"/>
    <cellStyle name="Normal 3 12 7 2" xfId="2328" xr:uid="{12168F64-0EF1-4B67-AE4E-B6289CA57930}"/>
    <cellStyle name="Normal 3 12 7 2 2" xfId="3996" xr:uid="{03DCAA6B-6216-4ED9-A20F-D18FE7B183B1}"/>
    <cellStyle name="Normal 3 12 7 3" xfId="1492" xr:uid="{6DD515D6-A64F-40D8-8C55-55CE0914799C}"/>
    <cellStyle name="Normal 3 12 7 4" xfId="3162" xr:uid="{93C0BCD8-33C9-4B32-A773-160F04726EF2}"/>
    <cellStyle name="Normal 3 12 8" xfId="742" xr:uid="{00000000-0005-0000-0000-0000B8000000}"/>
    <cellStyle name="Normal 3 12 8 2" xfId="2418" xr:uid="{5DEE25B7-BC85-4248-97E5-881D240775C3}"/>
    <cellStyle name="Normal 3 12 8 2 2" xfId="4086" xr:uid="{00F8311C-685D-4642-ABC5-0F2B567D5574}"/>
    <cellStyle name="Normal 3 12 8 3" xfId="1582" xr:uid="{97D0430C-7DA7-49F5-BF64-482913F23B66}"/>
    <cellStyle name="Normal 3 12 8 4" xfId="3252" xr:uid="{14C71205-66E2-43C4-B5EE-EDCCB4525CB8}"/>
    <cellStyle name="Normal 3 12 9" xfId="839" xr:uid="{00000000-0005-0000-0000-0000B9000000}"/>
    <cellStyle name="Normal 3 12 9 2" xfId="2515" xr:uid="{9028B712-14E3-4CD5-8C98-98B4B5EAE703}"/>
    <cellStyle name="Normal 3 12 9 2 2" xfId="4183" xr:uid="{8AF58802-0D2D-46DC-86C8-EE822C1F869E}"/>
    <cellStyle name="Normal 3 12 9 3" xfId="1679" xr:uid="{65D90B5E-F2FB-4ECC-ACB1-DA18A046F876}"/>
    <cellStyle name="Normal 3 12 9 4" xfId="3349" xr:uid="{2BD91ECF-CD1F-4217-A948-56FEF053FCAA}"/>
    <cellStyle name="Normal 3 13" xfId="113" xr:uid="{00000000-0005-0000-0000-0000BA000000}"/>
    <cellStyle name="Normal 3 13 10" xfId="1789" xr:uid="{E026E9E7-E44C-43BA-BDF7-1A7D6F90E04C}"/>
    <cellStyle name="Normal 3 13 10 2" xfId="3457" xr:uid="{86BBDD6F-C051-4984-82FF-93F04996AE35}"/>
    <cellStyle name="Normal 3 13 11" xfId="953" xr:uid="{CDE5C9F7-BED2-4212-BE23-A76FA7912BBD}"/>
    <cellStyle name="Normal 3 13 12" xfId="2623" xr:uid="{59C5899B-F163-47AA-9D3C-71C4C0BA3D72}"/>
    <cellStyle name="Normal 3 13 2" xfId="205" xr:uid="{00000000-0005-0000-0000-0000BB000000}"/>
    <cellStyle name="Normal 3 13 2 2" xfId="1881" xr:uid="{922E9A81-9079-408F-B120-4A25D659BE00}"/>
    <cellStyle name="Normal 3 13 2 2 2" xfId="3549" xr:uid="{32311B1D-9D43-4699-8B07-B055379AF6FE}"/>
    <cellStyle name="Normal 3 13 2 3" xfId="1045" xr:uid="{2F1D5DB4-D8B3-48C2-8960-641D6D0C99BD}"/>
    <cellStyle name="Normal 3 13 2 4" xfId="2715" xr:uid="{F28E5F9A-52EE-4CF1-A99C-90C0E5F5FAC4}"/>
    <cellStyle name="Normal 3 13 3" xfId="295" xr:uid="{00000000-0005-0000-0000-0000BC000000}"/>
    <cellStyle name="Normal 3 13 3 2" xfId="1971" xr:uid="{23691953-01E8-491F-941F-65E08E8EF076}"/>
    <cellStyle name="Normal 3 13 3 2 2" xfId="3639" xr:uid="{7AAD66C5-A09B-49C2-AF56-FD4CBDDCA0A2}"/>
    <cellStyle name="Normal 3 13 3 3" xfId="1135" xr:uid="{99772267-83BA-42E8-9CC3-353A4CEF6358}"/>
    <cellStyle name="Normal 3 13 3 4" xfId="2805" xr:uid="{60E9DBF9-EB74-439B-9833-F6F4AEF941F6}"/>
    <cellStyle name="Normal 3 13 4" xfId="385" xr:uid="{00000000-0005-0000-0000-0000BD000000}"/>
    <cellStyle name="Normal 3 13 4 2" xfId="2061" xr:uid="{323A7FA6-14EA-4967-AED5-88F16CF289F4}"/>
    <cellStyle name="Normal 3 13 4 2 2" xfId="3729" xr:uid="{CB1E6435-0508-4127-AC13-8796BC63272A}"/>
    <cellStyle name="Normal 3 13 4 3" xfId="1225" xr:uid="{8E7036A2-B84F-45F9-94BB-AF274E72B8DA}"/>
    <cellStyle name="Normal 3 13 4 4" xfId="2895" xr:uid="{523C0DEC-5B69-41C2-944E-D486F7D5BF9A}"/>
    <cellStyle name="Normal 3 13 5" xfId="475" xr:uid="{00000000-0005-0000-0000-0000BE000000}"/>
    <cellStyle name="Normal 3 13 5 2" xfId="2151" xr:uid="{71F9FF28-4BBE-4BB3-A4B6-54392887DA76}"/>
    <cellStyle name="Normal 3 13 5 2 2" xfId="3819" xr:uid="{DA1B3707-BD38-4F26-8B63-C361AF0B7B4F}"/>
    <cellStyle name="Normal 3 13 5 3" xfId="1315" xr:uid="{B1D459BF-D633-470A-A26F-CAA355273E7A}"/>
    <cellStyle name="Normal 3 13 5 4" xfId="2985" xr:uid="{A8B0A8D8-3FCC-421B-BDCC-4E3F40D6ED1C}"/>
    <cellStyle name="Normal 3 13 6" xfId="565" xr:uid="{00000000-0005-0000-0000-0000BF000000}"/>
    <cellStyle name="Normal 3 13 6 2" xfId="2241" xr:uid="{A4EA5C4B-CC87-4325-9B4B-7CD83F285F81}"/>
    <cellStyle name="Normal 3 13 6 2 2" xfId="3909" xr:uid="{078E6018-5E90-4BA8-8B8B-C1625FEC3FC9}"/>
    <cellStyle name="Normal 3 13 6 3" xfId="1405" xr:uid="{19811BEB-1D59-4043-862C-F5BF20859A60}"/>
    <cellStyle name="Normal 3 13 6 4" xfId="3075" xr:uid="{5ED89752-13BE-41DC-95E0-366BD64F1F9F}"/>
    <cellStyle name="Normal 3 13 7" xfId="655" xr:uid="{00000000-0005-0000-0000-0000C0000000}"/>
    <cellStyle name="Normal 3 13 7 2" xfId="2331" xr:uid="{FF976193-A779-4637-A084-864605F961B0}"/>
    <cellStyle name="Normal 3 13 7 2 2" xfId="3999" xr:uid="{AD4BB154-9AD0-460B-87F8-495E79361310}"/>
    <cellStyle name="Normal 3 13 7 3" xfId="1495" xr:uid="{45D59E9A-2382-40C7-905E-6469E3BDC638}"/>
    <cellStyle name="Normal 3 13 7 4" xfId="3165" xr:uid="{1F92F3CA-76FD-4FAC-927D-E9D889980BCD}"/>
    <cellStyle name="Normal 3 13 8" xfId="745" xr:uid="{00000000-0005-0000-0000-0000C1000000}"/>
    <cellStyle name="Normal 3 13 8 2" xfId="2421" xr:uid="{6CFF37AD-2D44-44A0-A471-A74917456E00}"/>
    <cellStyle name="Normal 3 13 8 2 2" xfId="4089" xr:uid="{728C423A-0BCC-4521-9412-6A5C21645DA4}"/>
    <cellStyle name="Normal 3 13 8 3" xfId="1585" xr:uid="{FFDF6ABC-B1AF-4DEF-9678-42E27E5EF0AA}"/>
    <cellStyle name="Normal 3 13 8 4" xfId="3255" xr:uid="{66975DCA-B3B2-4087-A49E-27E0A75FBD91}"/>
    <cellStyle name="Normal 3 13 9" xfId="842" xr:uid="{00000000-0005-0000-0000-0000C2000000}"/>
    <cellStyle name="Normal 3 13 9 2" xfId="2518" xr:uid="{1AF73EE8-85D4-45B2-8CBD-B49BD5EC780D}"/>
    <cellStyle name="Normal 3 13 9 2 2" xfId="4186" xr:uid="{F2C45195-FFB4-439B-9609-8F03DE8E3445}"/>
    <cellStyle name="Normal 3 13 9 3" xfId="1682" xr:uid="{66008D5E-49CC-4EDF-8D1F-E1B7175D92B4}"/>
    <cellStyle name="Normal 3 13 9 4" xfId="3352" xr:uid="{425CC7E5-11E6-4650-BBC2-C23822B762A0}"/>
    <cellStyle name="Normal 3 14" xfId="11" xr:uid="{00000000-0005-0000-0000-0000C3000000}"/>
    <cellStyle name="Normal 3 14 2" xfId="1695" xr:uid="{DC7316BF-F209-4076-AE66-7A900D166369}"/>
    <cellStyle name="Normal 3 14 2 2" xfId="3363" xr:uid="{071C3772-C33B-464C-B960-0AE54580B968}"/>
    <cellStyle name="Normal 3 14 3" xfId="859" xr:uid="{AD963832-16D6-4381-9518-8B6CEC8BAFFF}"/>
    <cellStyle name="Normal 3 14 4" xfId="2529" xr:uid="{467CDB6C-8F5F-48BD-BB95-232F807B8189}"/>
    <cellStyle name="Normal 3 15" xfId="118" xr:uid="{00000000-0005-0000-0000-0000C4000000}"/>
    <cellStyle name="Normal 3 15 2" xfId="1794" xr:uid="{B5CB47BB-B2BD-4C93-910F-1A155A67E95F}"/>
    <cellStyle name="Normal 3 15 2 2" xfId="3462" xr:uid="{24B66232-7C6A-432B-A501-4E4F78A77917}"/>
    <cellStyle name="Normal 3 15 3" xfId="958" xr:uid="{E9773A83-DF7C-4CEA-AA62-6E1B9E8DAC1C}"/>
    <cellStyle name="Normal 3 15 4" xfId="2628" xr:uid="{97444E33-853D-4C32-8A48-5DA80AFAC9DA}"/>
    <cellStyle name="Normal 3 16" xfId="208" xr:uid="{00000000-0005-0000-0000-0000C5000000}"/>
    <cellStyle name="Normal 3 16 2" xfId="1884" xr:uid="{1C410A76-56A9-4B47-ACC1-C923C11DDD42}"/>
    <cellStyle name="Normal 3 16 2 2" xfId="3552" xr:uid="{DE9AF112-3A9D-4863-A477-77B5FF27B440}"/>
    <cellStyle name="Normal 3 16 3" xfId="1048" xr:uid="{4DF59A62-C877-4764-A642-B86E9301F493}"/>
    <cellStyle name="Normal 3 16 4" xfId="2718" xr:uid="{4CD6A3A5-06C7-4D38-915B-C344706F6E06}"/>
    <cellStyle name="Normal 3 17" xfId="298" xr:uid="{00000000-0005-0000-0000-0000C6000000}"/>
    <cellStyle name="Normal 3 17 2" xfId="1974" xr:uid="{3ACF4BC4-7416-43EE-B1B9-D59F3477832C}"/>
    <cellStyle name="Normal 3 17 2 2" xfId="3642" xr:uid="{BF20E7A7-4AE9-4E6D-A0BD-01B96F9EE6FC}"/>
    <cellStyle name="Normal 3 17 3" xfId="1138" xr:uid="{E38AE619-E4BF-446C-8E58-33DFB6010A9A}"/>
    <cellStyle name="Normal 3 17 4" xfId="2808" xr:uid="{5342D945-16E6-45E5-8209-CB89F9E15FA8}"/>
    <cellStyle name="Normal 3 18" xfId="388" xr:uid="{00000000-0005-0000-0000-0000C7000000}"/>
    <cellStyle name="Normal 3 18 2" xfId="2064" xr:uid="{F2D15B7A-37C9-4A58-A894-8A14B3A81BDC}"/>
    <cellStyle name="Normal 3 18 2 2" xfId="3732" xr:uid="{1B892A52-8BA9-401A-95E6-06AF36503E1C}"/>
    <cellStyle name="Normal 3 18 3" xfId="1228" xr:uid="{263352E5-511C-44B2-B6A5-2182125B5153}"/>
    <cellStyle name="Normal 3 18 4" xfId="2898" xr:uid="{8B354B70-CA98-4BD9-9574-FE6CBB91F68C}"/>
    <cellStyle name="Normal 3 19" xfId="478" xr:uid="{00000000-0005-0000-0000-0000C8000000}"/>
    <cellStyle name="Normal 3 19 2" xfId="2154" xr:uid="{33695AC7-BE76-4B13-BF44-E0BC8120D32B}"/>
    <cellStyle name="Normal 3 19 2 2" xfId="3822" xr:uid="{C13A0AB3-0DFC-4731-B106-D207E0618959}"/>
    <cellStyle name="Normal 3 19 3" xfId="1318" xr:uid="{B89D1208-5E79-42D7-8AC4-504DAA7114AF}"/>
    <cellStyle name="Normal 3 19 4" xfId="2988" xr:uid="{BC0B72ED-36E9-4806-9F6E-95566D8DEE6E}"/>
    <cellStyle name="Normal 3 2" xfId="23" xr:uid="{00000000-0005-0000-0000-0000C9000000}"/>
    <cellStyle name="Normal 3 2 10" xfId="662" xr:uid="{00000000-0005-0000-0000-0000CA000000}"/>
    <cellStyle name="Normal 3 2 10 2" xfId="2338" xr:uid="{F4D1031D-263C-40FC-BE28-AD98139B9FB9}"/>
    <cellStyle name="Normal 3 2 10 2 2" xfId="4006" xr:uid="{38B76C1C-C82B-4204-89D9-2769D8626955}"/>
    <cellStyle name="Normal 3 2 10 3" xfId="1502" xr:uid="{C496775B-14D3-468D-AFD5-B34912677084}"/>
    <cellStyle name="Normal 3 2 10 4" xfId="3172" xr:uid="{63E8CBD0-4965-4CD4-A0FF-94E49D68E2C2}"/>
    <cellStyle name="Normal 3 2 11" xfId="757" xr:uid="{00000000-0005-0000-0000-0000CB000000}"/>
    <cellStyle name="Normal 3 2 11 2" xfId="2433" xr:uid="{A209496D-BEC9-4350-B585-1DC220F22DAE}"/>
    <cellStyle name="Normal 3 2 11 2 2" xfId="4101" xr:uid="{4F70F717-BE92-4D63-A2D4-050B42FBC178}"/>
    <cellStyle name="Normal 3 2 11 3" xfId="1597" xr:uid="{A4C89B72-995B-4645-8D8B-35A148A21FF0}"/>
    <cellStyle name="Normal 3 2 11 4" xfId="3267" xr:uid="{6C3E09E0-5EF8-4751-857A-730A447E25CD}"/>
    <cellStyle name="Normal 3 2 12" xfId="1704" xr:uid="{4A631DBA-878A-4CA3-BF78-842E5931FEB4}"/>
    <cellStyle name="Normal 3 2 12 2" xfId="3372" xr:uid="{10CC1BBF-4B17-4D86-B249-42EE9E801DCC}"/>
    <cellStyle name="Normal 3 2 13" xfId="868" xr:uid="{4004738F-E12B-49AF-8365-A241BEC70BD3}"/>
    <cellStyle name="Normal 3 2 14" xfId="2538" xr:uid="{8D6FFF13-EF97-4CCA-9797-178579D48732}"/>
    <cellStyle name="Normal 3 2 2" xfId="45" xr:uid="{00000000-0005-0000-0000-0000CC000000}"/>
    <cellStyle name="Normal 3 2 2 10" xfId="777" xr:uid="{00000000-0005-0000-0000-0000CD000000}"/>
    <cellStyle name="Normal 3 2 2 10 2" xfId="2453" xr:uid="{42CA2358-F2B4-4197-9DB8-F56BD0F11C3F}"/>
    <cellStyle name="Normal 3 2 2 10 2 2" xfId="4121" xr:uid="{5BDD78EB-36D0-45E2-91E9-71E4C7D184E8}"/>
    <cellStyle name="Normal 3 2 2 10 3" xfId="1617" xr:uid="{4BE9957C-57AD-43C9-97BB-6A860FD6DF03}"/>
    <cellStyle name="Normal 3 2 2 10 4" xfId="3287" xr:uid="{66F27839-85D3-45EB-B0B6-8AD23E9CED62}"/>
    <cellStyle name="Normal 3 2 2 11" xfId="1724" xr:uid="{810E5A85-89A0-4664-B585-146C562E6C02}"/>
    <cellStyle name="Normal 3 2 2 11 2" xfId="3392" xr:uid="{08EDD7FE-DC84-4495-9FDA-B5F6C9AC5628}"/>
    <cellStyle name="Normal 3 2 2 12" xfId="888" xr:uid="{AA5CFED4-B7F8-495C-A265-C76E47EA1155}"/>
    <cellStyle name="Normal 3 2 2 13" xfId="2558" xr:uid="{09C9C679-F7A5-4052-B4D8-A8E1660DE644}"/>
    <cellStyle name="Normal 3 2 2 2" xfId="85" xr:uid="{00000000-0005-0000-0000-0000CE000000}"/>
    <cellStyle name="Normal 3 2 2 2 10" xfId="1762" xr:uid="{74C7DE71-BD35-4B69-99E3-A85E62F7D271}"/>
    <cellStyle name="Normal 3 2 2 2 10 2" xfId="3430" xr:uid="{0C0AECA2-8E23-43EA-8929-5620A783B113}"/>
    <cellStyle name="Normal 3 2 2 2 11" xfId="926" xr:uid="{B2D0DE47-04CC-40C6-93EC-9A112090991A}"/>
    <cellStyle name="Normal 3 2 2 2 12" xfId="2596" xr:uid="{2475C5E5-6F8D-4C51-896A-7C5D3BF26917}"/>
    <cellStyle name="Normal 3 2 2 2 2" xfId="178" xr:uid="{00000000-0005-0000-0000-0000CF000000}"/>
    <cellStyle name="Normal 3 2 2 2 2 2" xfId="1854" xr:uid="{E3353230-3C28-4A4F-B611-A1019F5FC8A5}"/>
    <cellStyle name="Normal 3 2 2 2 2 2 2" xfId="3522" xr:uid="{2FC2D4E8-3D32-4789-96B4-4CF99836767B}"/>
    <cellStyle name="Normal 3 2 2 2 2 3" xfId="1018" xr:uid="{4D560E31-09F9-4042-BFBC-D0FC020E5CE2}"/>
    <cellStyle name="Normal 3 2 2 2 2 4" xfId="2688" xr:uid="{2C6AB265-596E-4035-B74A-C94979E38104}"/>
    <cellStyle name="Normal 3 2 2 2 3" xfId="268" xr:uid="{00000000-0005-0000-0000-0000D0000000}"/>
    <cellStyle name="Normal 3 2 2 2 3 2" xfId="1944" xr:uid="{7C1726A2-C469-420D-BA46-C3B833995136}"/>
    <cellStyle name="Normal 3 2 2 2 3 2 2" xfId="3612" xr:uid="{558000FF-A16D-41E6-91E9-A5D7ED25B909}"/>
    <cellStyle name="Normal 3 2 2 2 3 3" xfId="1108" xr:uid="{1F032EC3-1237-4294-AD6F-396A970035A3}"/>
    <cellStyle name="Normal 3 2 2 2 3 4" xfId="2778" xr:uid="{3A1C3F76-01DC-4A3B-A5B3-8020FE0F75FC}"/>
    <cellStyle name="Normal 3 2 2 2 4" xfId="358" xr:uid="{00000000-0005-0000-0000-0000D1000000}"/>
    <cellStyle name="Normal 3 2 2 2 4 2" xfId="2034" xr:uid="{0213473E-5448-4453-AD75-151074E69A12}"/>
    <cellStyle name="Normal 3 2 2 2 4 2 2" xfId="3702" xr:uid="{09D2157D-3F38-4ED7-A79C-AD8E8ADBEE76}"/>
    <cellStyle name="Normal 3 2 2 2 4 3" xfId="1198" xr:uid="{D75C19CA-25D4-420E-B4D1-982CDB13B69F}"/>
    <cellStyle name="Normal 3 2 2 2 4 4" xfId="2868" xr:uid="{33A3CD81-89DF-4620-A2FC-A7382105571B}"/>
    <cellStyle name="Normal 3 2 2 2 5" xfId="448" xr:uid="{00000000-0005-0000-0000-0000D2000000}"/>
    <cellStyle name="Normal 3 2 2 2 5 2" xfId="2124" xr:uid="{88A8AC5E-11C0-4B38-BA5D-ECBC5EF1EDE3}"/>
    <cellStyle name="Normal 3 2 2 2 5 2 2" xfId="3792" xr:uid="{C903E491-9394-4683-87F7-C6DEF4B54D9A}"/>
    <cellStyle name="Normal 3 2 2 2 5 3" xfId="1288" xr:uid="{164ECEBF-6FFF-476D-93DD-1A9EB8D6E913}"/>
    <cellStyle name="Normal 3 2 2 2 5 4" xfId="2958" xr:uid="{B6DB81D0-A351-4B27-9650-9D326A10EF03}"/>
    <cellStyle name="Normal 3 2 2 2 6" xfId="538" xr:uid="{00000000-0005-0000-0000-0000D3000000}"/>
    <cellStyle name="Normal 3 2 2 2 6 2" xfId="2214" xr:uid="{291645BD-1595-44C5-8CF9-C50428E9E789}"/>
    <cellStyle name="Normal 3 2 2 2 6 2 2" xfId="3882" xr:uid="{20036AA7-21F6-48DD-8FB2-4A6C4D06F8C5}"/>
    <cellStyle name="Normal 3 2 2 2 6 3" xfId="1378" xr:uid="{A0B350B5-ECA4-4584-B3DC-CA5EC16846DE}"/>
    <cellStyle name="Normal 3 2 2 2 6 4" xfId="3048" xr:uid="{57D6DB5D-CA17-4162-A5A5-E935CC0B06D1}"/>
    <cellStyle name="Normal 3 2 2 2 7" xfId="628" xr:uid="{00000000-0005-0000-0000-0000D4000000}"/>
    <cellStyle name="Normal 3 2 2 2 7 2" xfId="2304" xr:uid="{C5F258D6-44C5-48AE-9601-3F78D4959A1F}"/>
    <cellStyle name="Normal 3 2 2 2 7 2 2" xfId="3972" xr:uid="{52F4450B-AC96-4B3C-A4AC-41B6B9CF0CAF}"/>
    <cellStyle name="Normal 3 2 2 2 7 3" xfId="1468" xr:uid="{DEDA64A3-C419-4978-9387-352C118A9FFE}"/>
    <cellStyle name="Normal 3 2 2 2 7 4" xfId="3138" xr:uid="{DDD1EB02-897F-49D7-A0EE-0A1856FD81F2}"/>
    <cellStyle name="Normal 3 2 2 2 8" xfId="718" xr:uid="{00000000-0005-0000-0000-0000D5000000}"/>
    <cellStyle name="Normal 3 2 2 2 8 2" xfId="2394" xr:uid="{F9D8458F-9A49-4115-8417-B49C36967E33}"/>
    <cellStyle name="Normal 3 2 2 2 8 2 2" xfId="4062" xr:uid="{05101D43-84F8-4653-A435-41F95D85F445}"/>
    <cellStyle name="Normal 3 2 2 2 8 3" xfId="1558" xr:uid="{046ECF15-D336-4317-BF32-8267F41E4E98}"/>
    <cellStyle name="Normal 3 2 2 2 8 4" xfId="3228" xr:uid="{C09E084F-A6A3-442E-94AC-8D3526E7450E}"/>
    <cellStyle name="Normal 3 2 2 2 9" xfId="815" xr:uid="{00000000-0005-0000-0000-0000D6000000}"/>
    <cellStyle name="Normal 3 2 2 2 9 2" xfId="2491" xr:uid="{8008F642-7EF2-496B-B556-DCA1078A7A8A}"/>
    <cellStyle name="Normal 3 2 2 2 9 2 2" xfId="4159" xr:uid="{8DC6C364-4443-4306-ACF9-4B5EDC5AFD86}"/>
    <cellStyle name="Normal 3 2 2 2 9 3" xfId="1655" xr:uid="{A40B4AC5-264C-4E7F-B868-5C8314F1D226}"/>
    <cellStyle name="Normal 3 2 2 2 9 4" xfId="3325" xr:uid="{90479730-8984-460C-8D00-FE392C837228}"/>
    <cellStyle name="Normal 3 2 2 3" xfId="141" xr:uid="{00000000-0005-0000-0000-0000D7000000}"/>
    <cellStyle name="Normal 3 2 2 3 2" xfId="1817" xr:uid="{EDB3408D-B319-442A-8286-8193E994BFCF}"/>
    <cellStyle name="Normal 3 2 2 3 2 2" xfId="3485" xr:uid="{851619CA-3932-401F-8CDE-C05D6D136088}"/>
    <cellStyle name="Normal 3 2 2 3 3" xfId="981" xr:uid="{EBA82542-CD03-4AFA-8F27-9491BEE4D2C8}"/>
    <cellStyle name="Normal 3 2 2 3 4" xfId="2651" xr:uid="{9F989491-A2A4-4638-8B6E-FFB1D0F6087F}"/>
    <cellStyle name="Normal 3 2 2 4" xfId="231" xr:uid="{00000000-0005-0000-0000-0000D8000000}"/>
    <cellStyle name="Normal 3 2 2 4 2" xfId="1907" xr:uid="{16E8EB3B-E14A-411A-AF0B-966323FB0774}"/>
    <cellStyle name="Normal 3 2 2 4 2 2" xfId="3575" xr:uid="{1169EA30-5350-4EAF-B2BF-F0D97E376A07}"/>
    <cellStyle name="Normal 3 2 2 4 3" xfId="1071" xr:uid="{89D6259D-6C54-4B2A-8730-AAF83D17F071}"/>
    <cellStyle name="Normal 3 2 2 4 4" xfId="2741" xr:uid="{562FE422-00C6-43B2-9ACF-6449B1439E7A}"/>
    <cellStyle name="Normal 3 2 2 5" xfId="321" xr:uid="{00000000-0005-0000-0000-0000D9000000}"/>
    <cellStyle name="Normal 3 2 2 5 2" xfId="1997" xr:uid="{EF065727-B573-4862-89B1-DE38B2CD8EEE}"/>
    <cellStyle name="Normal 3 2 2 5 2 2" xfId="3665" xr:uid="{9DF2D5B6-EE28-4CA2-BAA9-25BBB58AA689}"/>
    <cellStyle name="Normal 3 2 2 5 3" xfId="1161" xr:uid="{6EBC4415-59E9-4B7E-A53A-C76A5FED94A0}"/>
    <cellStyle name="Normal 3 2 2 5 4" xfId="2831" xr:uid="{49039B01-6903-48FF-BD84-6C88984FBEBC}"/>
    <cellStyle name="Normal 3 2 2 6" xfId="411" xr:uid="{00000000-0005-0000-0000-0000DA000000}"/>
    <cellStyle name="Normal 3 2 2 6 2" xfId="2087" xr:uid="{7E5CDE48-907C-4BB9-883F-1623C4A6B63F}"/>
    <cellStyle name="Normal 3 2 2 6 2 2" xfId="3755" xr:uid="{8A3A7D8E-BE8C-4329-B3C6-F0CCF13827F0}"/>
    <cellStyle name="Normal 3 2 2 6 3" xfId="1251" xr:uid="{1820EF27-48C4-4CDC-AC21-8D81EC9E5FDB}"/>
    <cellStyle name="Normal 3 2 2 6 4" xfId="2921" xr:uid="{BD95722C-E4CC-4E7F-BBE1-EC62E7F827E5}"/>
    <cellStyle name="Normal 3 2 2 7" xfId="501" xr:uid="{00000000-0005-0000-0000-0000DB000000}"/>
    <cellStyle name="Normal 3 2 2 7 2" xfId="2177" xr:uid="{E69BAE34-4C2E-48A9-AB00-8751476F406D}"/>
    <cellStyle name="Normal 3 2 2 7 2 2" xfId="3845" xr:uid="{04F63C4B-13F7-49E4-93BD-017435168DA0}"/>
    <cellStyle name="Normal 3 2 2 7 3" xfId="1341" xr:uid="{DBDC2BBB-05B8-4E9E-A77D-F2DCC1827D82}"/>
    <cellStyle name="Normal 3 2 2 7 4" xfId="3011" xr:uid="{C62B0A12-02ED-4041-BC32-1B4D633B2D1B}"/>
    <cellStyle name="Normal 3 2 2 8" xfId="591" xr:uid="{00000000-0005-0000-0000-0000DC000000}"/>
    <cellStyle name="Normal 3 2 2 8 2" xfId="2267" xr:uid="{766F5AE8-1DC0-4EB5-8C90-471A7D73F352}"/>
    <cellStyle name="Normal 3 2 2 8 2 2" xfId="3935" xr:uid="{4AEAE403-CDBC-4C67-8CB4-7D3434E0FEC0}"/>
    <cellStyle name="Normal 3 2 2 8 3" xfId="1431" xr:uid="{19879B87-9B80-48E0-A4A4-AF31F0E30186}"/>
    <cellStyle name="Normal 3 2 2 8 4" xfId="3101" xr:uid="{0A9C33BA-8AA3-4AD7-90AB-C4ACB3DF0D23}"/>
    <cellStyle name="Normal 3 2 2 9" xfId="681" xr:uid="{00000000-0005-0000-0000-0000DD000000}"/>
    <cellStyle name="Normal 3 2 2 9 2" xfId="2357" xr:uid="{D74FB094-6D47-4BE7-B490-E27BA355B6A4}"/>
    <cellStyle name="Normal 3 2 2 9 2 2" xfId="4025" xr:uid="{F02A14FA-1688-4C30-B5AC-0F9BCFDA598C}"/>
    <cellStyle name="Normal 3 2 2 9 3" xfId="1521" xr:uid="{07C6561F-0C92-439D-B340-B4014B7F20F3}"/>
    <cellStyle name="Normal 3 2 2 9 4" xfId="3191" xr:uid="{C2770197-179F-4F9F-88A3-DAFEECE8B37C}"/>
    <cellStyle name="Normal 3 2 3" xfId="66" xr:uid="{00000000-0005-0000-0000-0000DE000000}"/>
    <cellStyle name="Normal 3 2 3 10" xfId="1743" xr:uid="{9EE04BDE-814B-431F-A1EC-76667762C271}"/>
    <cellStyle name="Normal 3 2 3 10 2" xfId="3411" xr:uid="{70C0371D-B786-48C7-9E8C-AD6B1522663F}"/>
    <cellStyle name="Normal 3 2 3 11" xfId="907" xr:uid="{3A07983B-FFFD-400E-8FDD-414343E7611E}"/>
    <cellStyle name="Normal 3 2 3 12" xfId="2577" xr:uid="{409D01E6-0A9B-4278-B4EF-16C1945FB664}"/>
    <cellStyle name="Normal 3 2 3 2" xfId="159" xr:uid="{00000000-0005-0000-0000-0000DF000000}"/>
    <cellStyle name="Normal 3 2 3 2 2" xfId="1835" xr:uid="{E28B1DE7-9E4F-4BC7-8555-201F1EBEC911}"/>
    <cellStyle name="Normal 3 2 3 2 2 2" xfId="3503" xr:uid="{B582C6C5-7CF2-4779-A4CC-129E14E0FBEB}"/>
    <cellStyle name="Normal 3 2 3 2 3" xfId="999" xr:uid="{A14ABA77-EEA9-4CCB-A57D-FA52EC3A3B07}"/>
    <cellStyle name="Normal 3 2 3 2 4" xfId="2669" xr:uid="{36C92387-EE32-4A16-B7A8-5842CF9FAC56}"/>
    <cellStyle name="Normal 3 2 3 3" xfId="249" xr:uid="{00000000-0005-0000-0000-0000E0000000}"/>
    <cellStyle name="Normal 3 2 3 3 2" xfId="1925" xr:uid="{F7C86769-F960-4C11-8772-373E9794AC34}"/>
    <cellStyle name="Normal 3 2 3 3 2 2" xfId="3593" xr:uid="{FA827E19-A330-45D2-A0BF-073388FF2B50}"/>
    <cellStyle name="Normal 3 2 3 3 3" xfId="1089" xr:uid="{E06EA35E-D351-4B49-BBED-0CA7413A79E3}"/>
    <cellStyle name="Normal 3 2 3 3 4" xfId="2759" xr:uid="{F2D576FF-7FBB-49FE-AC6F-AB2FC32515A7}"/>
    <cellStyle name="Normal 3 2 3 4" xfId="339" xr:uid="{00000000-0005-0000-0000-0000E1000000}"/>
    <cellStyle name="Normal 3 2 3 4 2" xfId="2015" xr:uid="{E50CB36E-14F9-4211-835F-64FB6F34B525}"/>
    <cellStyle name="Normal 3 2 3 4 2 2" xfId="3683" xr:uid="{87C1B258-7903-4B63-8623-09C860694C2D}"/>
    <cellStyle name="Normal 3 2 3 4 3" xfId="1179" xr:uid="{EBEA645C-6B07-4B0A-ADC2-441DF7279191}"/>
    <cellStyle name="Normal 3 2 3 4 4" xfId="2849" xr:uid="{C6B313AC-3D8C-4AAA-B36C-CAFFC8048C39}"/>
    <cellStyle name="Normal 3 2 3 5" xfId="429" xr:uid="{00000000-0005-0000-0000-0000E2000000}"/>
    <cellStyle name="Normal 3 2 3 5 2" xfId="2105" xr:uid="{47581287-37A6-4CDE-A383-6B93BAC9A23D}"/>
    <cellStyle name="Normal 3 2 3 5 2 2" xfId="3773" xr:uid="{13470C12-B22D-439A-B86D-8E84B3CD240C}"/>
    <cellStyle name="Normal 3 2 3 5 3" xfId="1269" xr:uid="{37EE973E-EE6E-47BE-A69E-7B00D44C971A}"/>
    <cellStyle name="Normal 3 2 3 5 4" xfId="2939" xr:uid="{81417723-4560-4C6F-AF49-56E864AAEC0E}"/>
    <cellStyle name="Normal 3 2 3 6" xfId="519" xr:uid="{00000000-0005-0000-0000-0000E3000000}"/>
    <cellStyle name="Normal 3 2 3 6 2" xfId="2195" xr:uid="{58A39003-DB47-451C-A713-12D99AF81EB3}"/>
    <cellStyle name="Normal 3 2 3 6 2 2" xfId="3863" xr:uid="{DDCA7108-05AC-4E4A-8588-4FC12A6193AB}"/>
    <cellStyle name="Normal 3 2 3 6 3" xfId="1359" xr:uid="{731D7E24-5248-460C-807B-E124E318960D}"/>
    <cellStyle name="Normal 3 2 3 6 4" xfId="3029" xr:uid="{F152F895-6136-4EBD-8426-E0FB2DB22823}"/>
    <cellStyle name="Normal 3 2 3 7" xfId="609" xr:uid="{00000000-0005-0000-0000-0000E4000000}"/>
    <cellStyle name="Normal 3 2 3 7 2" xfId="2285" xr:uid="{39EA9BAA-FBB0-4725-B4C2-537005ADDA46}"/>
    <cellStyle name="Normal 3 2 3 7 2 2" xfId="3953" xr:uid="{E7899BD0-B57D-4276-B534-3121AED4BD69}"/>
    <cellStyle name="Normal 3 2 3 7 3" xfId="1449" xr:uid="{DDEE0612-8DA8-49FE-B839-06871D758D29}"/>
    <cellStyle name="Normal 3 2 3 7 4" xfId="3119" xr:uid="{D762BDFE-7D5F-4EDC-B15D-564640F934C1}"/>
    <cellStyle name="Normal 3 2 3 8" xfId="699" xr:uid="{00000000-0005-0000-0000-0000E5000000}"/>
    <cellStyle name="Normal 3 2 3 8 2" xfId="2375" xr:uid="{9546F81E-330A-4782-92EB-62569F3C7F38}"/>
    <cellStyle name="Normal 3 2 3 8 2 2" xfId="4043" xr:uid="{85B76184-9251-43E9-A057-7DB853F480A4}"/>
    <cellStyle name="Normal 3 2 3 8 3" xfId="1539" xr:uid="{CF60AFCC-0895-4A5E-AE2E-B9E1055870A5}"/>
    <cellStyle name="Normal 3 2 3 8 4" xfId="3209" xr:uid="{F1CF9A9E-A677-4B7B-80BF-207875FF05A8}"/>
    <cellStyle name="Normal 3 2 3 9" xfId="796" xr:uid="{00000000-0005-0000-0000-0000E6000000}"/>
    <cellStyle name="Normal 3 2 3 9 2" xfId="2472" xr:uid="{B4F2375E-540B-4A1E-BD9B-1B0558E4E79B}"/>
    <cellStyle name="Normal 3 2 3 9 2 2" xfId="4140" xr:uid="{6D56C8C7-1CA2-4301-9B7D-7E83D3DE6176}"/>
    <cellStyle name="Normal 3 2 3 9 3" xfId="1636" xr:uid="{A6ED4520-DB55-4A96-B092-DBF414E11F26}"/>
    <cellStyle name="Normal 3 2 3 9 4" xfId="3306" xr:uid="{E9DA20DE-5CD7-456F-96B7-2CEBCC77F89A}"/>
    <cellStyle name="Normal 3 2 4" xfId="122" xr:uid="{00000000-0005-0000-0000-0000E7000000}"/>
    <cellStyle name="Normal 3 2 4 2" xfId="1798" xr:uid="{C0BD54DA-B491-4799-BCA2-706AEFE40C99}"/>
    <cellStyle name="Normal 3 2 4 2 2" xfId="3466" xr:uid="{4E8D0B3C-4EBA-48D8-B74F-3092489DA592}"/>
    <cellStyle name="Normal 3 2 4 3" xfId="962" xr:uid="{F2D67B61-79D2-470D-ACD8-984567871EB7}"/>
    <cellStyle name="Normal 3 2 4 4" xfId="2632" xr:uid="{338662AE-0CCE-40E1-8796-F4C750F7E356}"/>
    <cellStyle name="Normal 3 2 5" xfId="212" xr:uid="{00000000-0005-0000-0000-0000E8000000}"/>
    <cellStyle name="Normal 3 2 5 2" xfId="1888" xr:uid="{57F2D2DA-80AE-41E2-8A2D-EC7831312FAC}"/>
    <cellStyle name="Normal 3 2 5 2 2" xfId="3556" xr:uid="{13B4DB39-96A8-4171-A2E6-62A974848997}"/>
    <cellStyle name="Normal 3 2 5 3" xfId="1052" xr:uid="{7A368802-19B5-409F-8FBD-A852F7BF766D}"/>
    <cellStyle name="Normal 3 2 5 4" xfId="2722" xr:uid="{97FF96FC-98BC-4E22-B01B-E4525C7573A5}"/>
    <cellStyle name="Normal 3 2 6" xfId="302" xr:uid="{00000000-0005-0000-0000-0000E9000000}"/>
    <cellStyle name="Normal 3 2 6 2" xfId="1978" xr:uid="{DAE05EAE-B7A5-4E5C-8923-0E9840702680}"/>
    <cellStyle name="Normal 3 2 6 2 2" xfId="3646" xr:uid="{A42002BC-A2B9-4B91-B9C2-6C9B439999E8}"/>
    <cellStyle name="Normal 3 2 6 3" xfId="1142" xr:uid="{A259A8D6-2817-456F-8D8B-387DCDE99FF4}"/>
    <cellStyle name="Normal 3 2 6 4" xfId="2812" xr:uid="{39391032-4A93-4A26-962A-C3CAFF5734FC}"/>
    <cellStyle name="Normal 3 2 7" xfId="392" xr:uid="{00000000-0005-0000-0000-0000EA000000}"/>
    <cellStyle name="Normal 3 2 7 2" xfId="2068" xr:uid="{6BF7A93A-2400-4F1B-B042-EB199BAB2BAB}"/>
    <cellStyle name="Normal 3 2 7 2 2" xfId="3736" xr:uid="{2C2235AA-2214-48EE-9ADF-23E93722598F}"/>
    <cellStyle name="Normal 3 2 7 3" xfId="1232" xr:uid="{CCE9B5D1-338E-4B50-A011-36D0B4BFB7C8}"/>
    <cellStyle name="Normal 3 2 7 4" xfId="2902" xr:uid="{4CE598A9-9022-40B1-8F45-3C902DB8433E}"/>
    <cellStyle name="Normal 3 2 8" xfId="482" xr:uid="{00000000-0005-0000-0000-0000EB000000}"/>
    <cellStyle name="Normal 3 2 8 2" xfId="2158" xr:uid="{7E85717B-8F71-496E-A669-D7F52738C0D2}"/>
    <cellStyle name="Normal 3 2 8 2 2" xfId="3826" xr:uid="{9A91AD9F-2F40-4A99-97BF-538F9FFD9F0F}"/>
    <cellStyle name="Normal 3 2 8 3" xfId="1322" xr:uid="{26EB3FEF-276C-4FB0-A719-A2D55AB5E0B5}"/>
    <cellStyle name="Normal 3 2 8 4" xfId="2992" xr:uid="{E68BDDCE-A8E4-420A-9CF3-66AFAD72A335}"/>
    <cellStyle name="Normal 3 2 9" xfId="572" xr:uid="{00000000-0005-0000-0000-0000EC000000}"/>
    <cellStyle name="Normal 3 2 9 2" xfId="2248" xr:uid="{889BD4ED-0024-46B4-A097-8E0E1D0CD81C}"/>
    <cellStyle name="Normal 3 2 9 2 2" xfId="3916" xr:uid="{BB9106A6-3D12-4CE1-AA7D-9C1BC8EDC715}"/>
    <cellStyle name="Normal 3 2 9 3" xfId="1412" xr:uid="{D23F02A3-D9A1-43DB-B38A-763FC1F969DB}"/>
    <cellStyle name="Normal 3 2 9 4" xfId="3082" xr:uid="{32B73C95-A898-4F11-8AFD-62AD8FF69C5F}"/>
    <cellStyle name="Normal 3 20" xfId="568" xr:uid="{00000000-0005-0000-0000-0000ED000000}"/>
    <cellStyle name="Normal 3 20 2" xfId="2244" xr:uid="{5789FCE5-51B8-46B8-BA8F-1E52149EF0E2}"/>
    <cellStyle name="Normal 3 20 2 2" xfId="3912" xr:uid="{B3C7D7FA-D673-4E52-97C0-DE4BE50C5BEA}"/>
    <cellStyle name="Normal 3 20 3" xfId="1408" xr:uid="{C7416E4F-4532-47BC-A6B9-55345BCF546D}"/>
    <cellStyle name="Normal 3 20 4" xfId="3078" xr:uid="{69CF6935-057C-4917-B74C-E7D71FAB1AE9}"/>
    <cellStyle name="Normal 3 21" xfId="658" xr:uid="{00000000-0005-0000-0000-0000EE000000}"/>
    <cellStyle name="Normal 3 21 2" xfId="2334" xr:uid="{2246B8C8-4261-4273-82E6-2189BA40FA61}"/>
    <cellStyle name="Normal 3 21 2 2" xfId="4002" xr:uid="{4AC98910-A3B1-4005-B11C-B5FE0E0587E6}"/>
    <cellStyle name="Normal 3 21 3" xfId="1498" xr:uid="{89D3DCB0-B241-4983-912A-9B0F6B5C39FE}"/>
    <cellStyle name="Normal 3 21 4" xfId="3168" xr:uid="{A5FB3771-B923-46F0-AF50-E613ABDDC591}"/>
    <cellStyle name="Normal 3 22" xfId="748" xr:uid="{00000000-0005-0000-0000-0000EF000000}"/>
    <cellStyle name="Normal 3 22 2" xfId="2424" xr:uid="{5BD8839B-83C9-4671-B2A3-2FDB295DF053}"/>
    <cellStyle name="Normal 3 22 2 2" xfId="4092" xr:uid="{36EC6FE2-4460-42C3-B5F0-9BC6FCC75BE7}"/>
    <cellStyle name="Normal 3 22 3" xfId="1588" xr:uid="{95937BDF-9729-4A30-824B-53E165A07DD4}"/>
    <cellStyle name="Normal 3 22 4" xfId="3258" xr:uid="{1DE037E0-AEE0-4709-9B50-B57B442FBB5B}"/>
    <cellStyle name="Normal 3 23" xfId="1691" xr:uid="{BAAD0A79-327A-4B85-ADBC-1758B5AD35DF}"/>
    <cellStyle name="Normal 3 23 2" xfId="3360" xr:uid="{2075050A-D6B0-48B5-A332-1A65B1B427C3}"/>
    <cellStyle name="Normal 3 24" xfId="855" xr:uid="{2CC2D7B5-A5D0-4426-94FA-FC2EED932078}"/>
    <cellStyle name="Normal 3 25" xfId="2526" xr:uid="{BC4DF45F-2796-40C2-A159-AE501340C025}"/>
    <cellStyle name="Normal 3 3" xfId="26" xr:uid="{00000000-0005-0000-0000-0000F0000000}"/>
    <cellStyle name="Normal 3 3 10" xfId="665" xr:uid="{00000000-0005-0000-0000-0000F1000000}"/>
    <cellStyle name="Normal 3 3 10 2" xfId="2341" xr:uid="{A3756F6B-F625-4B44-BD10-469397B9CDC2}"/>
    <cellStyle name="Normal 3 3 10 2 2" xfId="4009" xr:uid="{BF03B2F5-7266-49E1-B72A-01A2125FA964}"/>
    <cellStyle name="Normal 3 3 10 3" xfId="1505" xr:uid="{D602E87F-42D1-4901-9932-8F7568DEE627}"/>
    <cellStyle name="Normal 3 3 10 4" xfId="3175" xr:uid="{F26E9136-4D58-45D8-9374-050643B32CA8}"/>
    <cellStyle name="Normal 3 3 11" xfId="760" xr:uid="{00000000-0005-0000-0000-0000F2000000}"/>
    <cellStyle name="Normal 3 3 11 2" xfId="2436" xr:uid="{07D5FD4D-3845-454C-9EE9-61CC86878DD7}"/>
    <cellStyle name="Normal 3 3 11 2 2" xfId="4104" xr:uid="{2142F72E-0548-4BB7-830C-9E0FD9ABE28B}"/>
    <cellStyle name="Normal 3 3 11 3" xfId="1600" xr:uid="{BA685171-EF43-4141-BF18-CFECB3CA03DE}"/>
    <cellStyle name="Normal 3 3 11 4" xfId="3270" xr:uid="{3C7D3E1D-EB41-4553-9A77-9C39811D3014}"/>
    <cellStyle name="Normal 3 3 12" xfId="1707" xr:uid="{C79D45C6-2550-4EDF-B452-611D01C41D01}"/>
    <cellStyle name="Normal 3 3 12 2" xfId="3375" xr:uid="{9A6E903D-7623-4191-AF4F-4358E93E8AB5}"/>
    <cellStyle name="Normal 3 3 13" xfId="871" xr:uid="{6649238B-DA58-4853-973E-64AD8F34B137}"/>
    <cellStyle name="Normal 3 3 14" xfId="2541" xr:uid="{1EAD4F67-A797-404F-8E80-CD59DD99C157}"/>
    <cellStyle name="Normal 3 3 2" xfId="48" xr:uid="{00000000-0005-0000-0000-0000F3000000}"/>
    <cellStyle name="Normal 3 3 2 10" xfId="780" xr:uid="{00000000-0005-0000-0000-0000F4000000}"/>
    <cellStyle name="Normal 3 3 2 10 2" xfId="2456" xr:uid="{1C812599-15EC-449A-A3E8-2A918E929481}"/>
    <cellStyle name="Normal 3 3 2 10 2 2" xfId="4124" xr:uid="{81B52F23-F9A7-43D5-9C9F-6D06493CF72C}"/>
    <cellStyle name="Normal 3 3 2 10 3" xfId="1620" xr:uid="{9D4B7708-6DC2-4468-94F1-592125F60B5E}"/>
    <cellStyle name="Normal 3 3 2 10 4" xfId="3290" xr:uid="{DC185CFC-8E82-4B2C-969A-DC8641921D25}"/>
    <cellStyle name="Normal 3 3 2 11" xfId="1727" xr:uid="{8E0A4A5C-5D67-4D31-8750-1D15E9F67637}"/>
    <cellStyle name="Normal 3 3 2 11 2" xfId="3395" xr:uid="{FBFF417E-6BE4-4F9B-972B-58ED25CF6E1F}"/>
    <cellStyle name="Normal 3 3 2 12" xfId="891" xr:uid="{ED0C8956-7426-4547-B697-5323D565BFC7}"/>
    <cellStyle name="Normal 3 3 2 13" xfId="2561" xr:uid="{8943FF3E-47F7-4252-A919-4085FD91C4C2}"/>
    <cellStyle name="Normal 3 3 2 2" xfId="88" xr:uid="{00000000-0005-0000-0000-0000F5000000}"/>
    <cellStyle name="Normal 3 3 2 2 10" xfId="1765" xr:uid="{46EF4559-A19C-4354-9BDF-766DC722D3C6}"/>
    <cellStyle name="Normal 3 3 2 2 10 2" xfId="3433" xr:uid="{AD80C9F4-44E0-4780-A0AB-C29CD91C007D}"/>
    <cellStyle name="Normal 3 3 2 2 11" xfId="929" xr:uid="{92C1F104-72C3-410E-97BF-8665C2AB35E6}"/>
    <cellStyle name="Normal 3 3 2 2 12" xfId="2599" xr:uid="{7051229E-4CEF-4B56-B393-53BB314BFC80}"/>
    <cellStyle name="Normal 3 3 2 2 2" xfId="181" xr:uid="{00000000-0005-0000-0000-0000F6000000}"/>
    <cellStyle name="Normal 3 3 2 2 2 2" xfId="1857" xr:uid="{7D3848BE-BE3A-475C-9187-76FE3A3C8B91}"/>
    <cellStyle name="Normal 3 3 2 2 2 2 2" xfId="3525" xr:uid="{931676F8-40D8-4F21-ABA4-D41CB38733AB}"/>
    <cellStyle name="Normal 3 3 2 2 2 3" xfId="1021" xr:uid="{D65D83A9-0D9A-444A-849D-4DE50E65DF8F}"/>
    <cellStyle name="Normal 3 3 2 2 2 4" xfId="2691" xr:uid="{4BB1F060-F988-4D00-8925-7AC6034CC4A3}"/>
    <cellStyle name="Normal 3 3 2 2 3" xfId="271" xr:uid="{00000000-0005-0000-0000-0000F7000000}"/>
    <cellStyle name="Normal 3 3 2 2 3 2" xfId="1947" xr:uid="{F8F6621C-0B0E-44A6-96BB-544A92D91E85}"/>
    <cellStyle name="Normal 3 3 2 2 3 2 2" xfId="3615" xr:uid="{033F8856-84FC-43EE-B9C3-D620C7F7D402}"/>
    <cellStyle name="Normal 3 3 2 2 3 3" xfId="1111" xr:uid="{6A09415C-3662-4592-9324-C7F9EFE0AD2A}"/>
    <cellStyle name="Normal 3 3 2 2 3 4" xfId="2781" xr:uid="{B40DEF8A-DD45-4B01-9766-9D2AD8646DC0}"/>
    <cellStyle name="Normal 3 3 2 2 4" xfId="361" xr:uid="{00000000-0005-0000-0000-0000F8000000}"/>
    <cellStyle name="Normal 3 3 2 2 4 2" xfId="2037" xr:uid="{BBC0B810-04CC-4B5A-9924-B1B35A3E4D85}"/>
    <cellStyle name="Normal 3 3 2 2 4 2 2" xfId="3705" xr:uid="{1083C60D-5E70-4A27-BE75-AEF92199F29C}"/>
    <cellStyle name="Normal 3 3 2 2 4 3" xfId="1201" xr:uid="{99FC7940-C066-4374-B5D0-E2C462F35429}"/>
    <cellStyle name="Normal 3 3 2 2 4 4" xfId="2871" xr:uid="{014F46C0-A07D-4C7C-97CA-67ACB6370108}"/>
    <cellStyle name="Normal 3 3 2 2 5" xfId="451" xr:uid="{00000000-0005-0000-0000-0000F9000000}"/>
    <cellStyle name="Normal 3 3 2 2 5 2" xfId="2127" xr:uid="{91F06817-0DF3-4730-9A45-F33CF887D545}"/>
    <cellStyle name="Normal 3 3 2 2 5 2 2" xfId="3795" xr:uid="{D4FDCE23-D041-4ED9-8BEE-03E133CB3648}"/>
    <cellStyle name="Normal 3 3 2 2 5 3" xfId="1291" xr:uid="{6D6D144A-A475-4D1E-A40C-8E42572549D3}"/>
    <cellStyle name="Normal 3 3 2 2 5 4" xfId="2961" xr:uid="{77D86F3D-3F93-41BF-8340-0A580643E41E}"/>
    <cellStyle name="Normal 3 3 2 2 6" xfId="541" xr:uid="{00000000-0005-0000-0000-0000FA000000}"/>
    <cellStyle name="Normal 3 3 2 2 6 2" xfId="2217" xr:uid="{2DB6CBDC-83E9-4634-8722-215452366B9C}"/>
    <cellStyle name="Normal 3 3 2 2 6 2 2" xfId="3885" xr:uid="{32006B7A-35DD-4A12-8310-87FAE5297718}"/>
    <cellStyle name="Normal 3 3 2 2 6 3" xfId="1381" xr:uid="{871705AA-60A2-4293-9443-2F7F18AC2CFC}"/>
    <cellStyle name="Normal 3 3 2 2 6 4" xfId="3051" xr:uid="{0D114354-B40E-4DE1-BE79-DC5E17B72111}"/>
    <cellStyle name="Normal 3 3 2 2 7" xfId="631" xr:uid="{00000000-0005-0000-0000-0000FB000000}"/>
    <cellStyle name="Normal 3 3 2 2 7 2" xfId="2307" xr:uid="{35B3186F-6A69-4F13-B625-9AC9E43B07D9}"/>
    <cellStyle name="Normal 3 3 2 2 7 2 2" xfId="3975" xr:uid="{C0E9A360-3E81-45BB-9C73-A789F2766B00}"/>
    <cellStyle name="Normal 3 3 2 2 7 3" xfId="1471" xr:uid="{59969097-8AFF-4E58-9E9D-4102EC574058}"/>
    <cellStyle name="Normal 3 3 2 2 7 4" xfId="3141" xr:uid="{48014318-2418-464A-8622-C4A499DCF326}"/>
    <cellStyle name="Normal 3 3 2 2 8" xfId="721" xr:uid="{00000000-0005-0000-0000-0000FC000000}"/>
    <cellStyle name="Normal 3 3 2 2 8 2" xfId="2397" xr:uid="{D04EFDCC-A316-4142-8BDF-655171C41707}"/>
    <cellStyle name="Normal 3 3 2 2 8 2 2" xfId="4065" xr:uid="{A113CD80-FD04-418B-8DDC-F2E23472884C}"/>
    <cellStyle name="Normal 3 3 2 2 8 3" xfId="1561" xr:uid="{9BF9FB15-E1D9-482F-B258-E66C7DB2C386}"/>
    <cellStyle name="Normal 3 3 2 2 8 4" xfId="3231" xr:uid="{093A85A1-11F4-41D9-9840-2CC41D2D5B49}"/>
    <cellStyle name="Normal 3 3 2 2 9" xfId="818" xr:uid="{00000000-0005-0000-0000-0000FD000000}"/>
    <cellStyle name="Normal 3 3 2 2 9 2" xfId="2494" xr:uid="{974B80C2-355F-4962-9B20-B1323F5BADCE}"/>
    <cellStyle name="Normal 3 3 2 2 9 2 2" xfId="4162" xr:uid="{D4BE3173-2D39-4890-82D4-50891C399D99}"/>
    <cellStyle name="Normal 3 3 2 2 9 3" xfId="1658" xr:uid="{E83BE126-3784-4227-83EE-914D67465450}"/>
    <cellStyle name="Normal 3 3 2 2 9 4" xfId="3328" xr:uid="{B20F670E-6422-4303-888C-D7588AA48BD5}"/>
    <cellStyle name="Normal 3 3 2 3" xfId="144" xr:uid="{00000000-0005-0000-0000-0000FE000000}"/>
    <cellStyle name="Normal 3 3 2 3 2" xfId="1820" xr:uid="{ED17CB7C-079C-4EA9-9945-A4219C6DE95D}"/>
    <cellStyle name="Normal 3 3 2 3 2 2" xfId="3488" xr:uid="{7EF9CF5E-7897-43CF-AA34-B8CBDD9A072E}"/>
    <cellStyle name="Normal 3 3 2 3 3" xfId="984" xr:uid="{20B25AE4-1A2D-4104-B4F4-6E6B9A3328A5}"/>
    <cellStyle name="Normal 3 3 2 3 4" xfId="2654" xr:uid="{725A6DB2-CE45-454D-8EAE-9BC7303F3198}"/>
    <cellStyle name="Normal 3 3 2 4" xfId="234" xr:uid="{00000000-0005-0000-0000-0000FF000000}"/>
    <cellStyle name="Normal 3 3 2 4 2" xfId="1910" xr:uid="{11F3F281-A260-49B1-8A17-7066D7AC3A81}"/>
    <cellStyle name="Normal 3 3 2 4 2 2" xfId="3578" xr:uid="{8D2B242F-AABD-4D7F-980A-053B9B9F2901}"/>
    <cellStyle name="Normal 3 3 2 4 3" xfId="1074" xr:uid="{AA3E5AE1-12A8-44A1-93D1-2F3FCCECFC73}"/>
    <cellStyle name="Normal 3 3 2 4 4" xfId="2744" xr:uid="{E3D8B954-FE90-41B1-B3EB-1CC9F6630FDE}"/>
    <cellStyle name="Normal 3 3 2 5" xfId="324" xr:uid="{00000000-0005-0000-0000-000000010000}"/>
    <cellStyle name="Normal 3 3 2 5 2" xfId="2000" xr:uid="{0F388944-74C9-42AC-A692-70C78B3451C9}"/>
    <cellStyle name="Normal 3 3 2 5 2 2" xfId="3668" xr:uid="{880BBD9F-1C49-4DAD-835C-77619515E8DB}"/>
    <cellStyle name="Normal 3 3 2 5 3" xfId="1164" xr:uid="{C48DDFCC-4852-4CF7-AE58-6D8AC5475F2C}"/>
    <cellStyle name="Normal 3 3 2 5 4" xfId="2834" xr:uid="{27B9E735-5F19-4DEB-B9FF-B258C67DC0D9}"/>
    <cellStyle name="Normal 3 3 2 6" xfId="414" xr:uid="{00000000-0005-0000-0000-000001010000}"/>
    <cellStyle name="Normal 3 3 2 6 2" xfId="2090" xr:uid="{8C4BAC62-981C-4552-9BF2-67041F0E4288}"/>
    <cellStyle name="Normal 3 3 2 6 2 2" xfId="3758" xr:uid="{86CB1074-CFE6-4B92-80C3-5B665A806826}"/>
    <cellStyle name="Normal 3 3 2 6 3" xfId="1254" xr:uid="{6E16EA22-8B15-47A4-8110-82C06E44436E}"/>
    <cellStyle name="Normal 3 3 2 6 4" xfId="2924" xr:uid="{45C55530-9988-4E09-A804-E6DA27246AB8}"/>
    <cellStyle name="Normal 3 3 2 7" xfId="504" xr:uid="{00000000-0005-0000-0000-000002010000}"/>
    <cellStyle name="Normal 3 3 2 7 2" xfId="2180" xr:uid="{CA8D77F3-0735-4C3B-ADD4-ED2836B57EAC}"/>
    <cellStyle name="Normal 3 3 2 7 2 2" xfId="3848" xr:uid="{ED101818-71FE-4FFE-BF9C-A91853C1BE2E}"/>
    <cellStyle name="Normal 3 3 2 7 3" xfId="1344" xr:uid="{64DED870-1621-47E5-9E6B-DE6C71E1312C}"/>
    <cellStyle name="Normal 3 3 2 7 4" xfId="3014" xr:uid="{5F12ECB7-FEB2-4BC4-9A25-200B68F306B8}"/>
    <cellStyle name="Normal 3 3 2 8" xfId="594" xr:uid="{00000000-0005-0000-0000-000003010000}"/>
    <cellStyle name="Normal 3 3 2 8 2" xfId="2270" xr:uid="{9B1184BC-1309-4ED5-B80C-FAB30CFCAAF1}"/>
    <cellStyle name="Normal 3 3 2 8 2 2" xfId="3938" xr:uid="{CD925A2B-D0BA-4536-BC86-E09735771662}"/>
    <cellStyle name="Normal 3 3 2 8 3" xfId="1434" xr:uid="{AA41F1FC-608D-4DBF-871F-D9842CA92462}"/>
    <cellStyle name="Normal 3 3 2 8 4" xfId="3104" xr:uid="{DD56BEBE-15D8-46E7-BDFF-ADD1FADB9F28}"/>
    <cellStyle name="Normal 3 3 2 9" xfId="684" xr:uid="{00000000-0005-0000-0000-000004010000}"/>
    <cellStyle name="Normal 3 3 2 9 2" xfId="2360" xr:uid="{5A141D50-D354-4CDB-87CD-1042611B2FB4}"/>
    <cellStyle name="Normal 3 3 2 9 2 2" xfId="4028" xr:uid="{52CAA066-D356-4AC1-BEEB-CFB6A3141CA3}"/>
    <cellStyle name="Normal 3 3 2 9 3" xfId="1524" xr:uid="{5BEBE9D0-682E-4027-996E-0BF5818D3EFF}"/>
    <cellStyle name="Normal 3 3 2 9 4" xfId="3194" xr:uid="{A896C91D-1389-41F0-B6E6-0D283B363014}"/>
    <cellStyle name="Normal 3 3 3" xfId="69" xr:uid="{00000000-0005-0000-0000-000005010000}"/>
    <cellStyle name="Normal 3 3 3 10" xfId="1746" xr:uid="{9A442400-6B89-43A6-8554-9F5949EA25EC}"/>
    <cellStyle name="Normal 3 3 3 10 2" xfId="3414" xr:uid="{A31DD802-7D44-4C09-8BD4-84E89A116E8F}"/>
    <cellStyle name="Normal 3 3 3 11" xfId="910" xr:uid="{A8C16B14-2286-4042-8B55-F77C76B1CB2E}"/>
    <cellStyle name="Normal 3 3 3 12" xfId="2580" xr:uid="{4188A9EF-23CB-49B8-A73F-39EF480BDBDE}"/>
    <cellStyle name="Normal 3 3 3 2" xfId="162" xr:uid="{00000000-0005-0000-0000-000006010000}"/>
    <cellStyle name="Normal 3 3 3 2 2" xfId="1838" xr:uid="{D8FDDBBB-CEAF-463C-9179-7633FA561E0C}"/>
    <cellStyle name="Normal 3 3 3 2 2 2" xfId="3506" xr:uid="{3C689F2E-7D21-4AE5-AE23-2C8558C2BBA7}"/>
    <cellStyle name="Normal 3 3 3 2 3" xfId="1002" xr:uid="{7540CD64-2053-4E19-B2F7-7A9534F74F01}"/>
    <cellStyle name="Normal 3 3 3 2 4" xfId="2672" xr:uid="{1D7F4343-CD5E-45EE-BAE2-E9679103E415}"/>
    <cellStyle name="Normal 3 3 3 3" xfId="252" xr:uid="{00000000-0005-0000-0000-000007010000}"/>
    <cellStyle name="Normal 3 3 3 3 2" xfId="1928" xr:uid="{E0C0B6A7-191F-4053-8DD8-47DEA58DA630}"/>
    <cellStyle name="Normal 3 3 3 3 2 2" xfId="3596" xr:uid="{47A071AC-F00B-4DDD-A83E-779769A0B97E}"/>
    <cellStyle name="Normal 3 3 3 3 3" xfId="1092" xr:uid="{E9C34143-FD2B-4B43-AF6E-673F4497BC0F}"/>
    <cellStyle name="Normal 3 3 3 3 4" xfId="2762" xr:uid="{F19B9C27-035D-4C8F-9C3D-67A877750C9E}"/>
    <cellStyle name="Normal 3 3 3 4" xfId="342" xr:uid="{00000000-0005-0000-0000-000008010000}"/>
    <cellStyle name="Normal 3 3 3 4 2" xfId="2018" xr:uid="{B0FEA2E4-00C2-46D6-9E21-155074A99F0E}"/>
    <cellStyle name="Normal 3 3 3 4 2 2" xfId="3686" xr:uid="{5101BD03-248C-466B-92B4-B03646027EC8}"/>
    <cellStyle name="Normal 3 3 3 4 3" xfId="1182" xr:uid="{71A7C66F-E260-4C13-AB51-E462D00A97E6}"/>
    <cellStyle name="Normal 3 3 3 4 4" xfId="2852" xr:uid="{611A8F4F-4414-4172-BF92-133D827CD325}"/>
    <cellStyle name="Normal 3 3 3 5" xfId="432" xr:uid="{00000000-0005-0000-0000-000009010000}"/>
    <cellStyle name="Normal 3 3 3 5 2" xfId="2108" xr:uid="{CE019754-D33C-44F9-9B8F-B86E7E76A399}"/>
    <cellStyle name="Normal 3 3 3 5 2 2" xfId="3776" xr:uid="{B7C557CE-4C89-4500-A89E-703ECE114B57}"/>
    <cellStyle name="Normal 3 3 3 5 3" xfId="1272" xr:uid="{1E68EF03-07EA-4AB9-93C3-57308B88D6EA}"/>
    <cellStyle name="Normal 3 3 3 5 4" xfId="2942" xr:uid="{D47E30FE-1E62-46B0-88CA-E6C60617D2E4}"/>
    <cellStyle name="Normal 3 3 3 6" xfId="522" xr:uid="{00000000-0005-0000-0000-00000A010000}"/>
    <cellStyle name="Normal 3 3 3 6 2" xfId="2198" xr:uid="{C5FFC6DF-EE21-44F4-9B5C-54843C355981}"/>
    <cellStyle name="Normal 3 3 3 6 2 2" xfId="3866" xr:uid="{4CF8CA65-0CCA-4E8F-95A0-F8928EA2D54C}"/>
    <cellStyle name="Normal 3 3 3 6 3" xfId="1362" xr:uid="{31BA6287-42D4-4B19-83D1-FDB53EDA0B7B}"/>
    <cellStyle name="Normal 3 3 3 6 4" xfId="3032" xr:uid="{5879E9F4-0279-4B22-B6BE-EC39E64560A3}"/>
    <cellStyle name="Normal 3 3 3 7" xfId="612" xr:uid="{00000000-0005-0000-0000-00000B010000}"/>
    <cellStyle name="Normal 3 3 3 7 2" xfId="2288" xr:uid="{180531D6-4CE6-4FE2-B446-F354AABC0735}"/>
    <cellStyle name="Normal 3 3 3 7 2 2" xfId="3956" xr:uid="{A28E5F1F-5DA7-4483-A2B6-7F81C8720278}"/>
    <cellStyle name="Normal 3 3 3 7 3" xfId="1452" xr:uid="{68A86A45-E494-40EA-9F33-102B793B7844}"/>
    <cellStyle name="Normal 3 3 3 7 4" xfId="3122" xr:uid="{A63D5CB8-FC3E-41EF-9EE0-7E3D2EBD44A7}"/>
    <cellStyle name="Normal 3 3 3 8" xfId="702" xr:uid="{00000000-0005-0000-0000-00000C010000}"/>
    <cellStyle name="Normal 3 3 3 8 2" xfId="2378" xr:uid="{52C46F0D-12F4-4A34-88A8-988EC238DAB0}"/>
    <cellStyle name="Normal 3 3 3 8 2 2" xfId="4046" xr:uid="{EB79FF60-7B51-4E5F-A8DB-75F6914AE1C3}"/>
    <cellStyle name="Normal 3 3 3 8 3" xfId="1542" xr:uid="{06F1F3DA-8556-47EF-A6AA-2F917FDD9287}"/>
    <cellStyle name="Normal 3 3 3 8 4" xfId="3212" xr:uid="{EA46E7B7-C445-40B9-B0F4-11BB36BD6146}"/>
    <cellStyle name="Normal 3 3 3 9" xfId="799" xr:uid="{00000000-0005-0000-0000-00000D010000}"/>
    <cellStyle name="Normal 3 3 3 9 2" xfId="2475" xr:uid="{F21E0287-197B-46CD-B27B-B852C2C03E07}"/>
    <cellStyle name="Normal 3 3 3 9 2 2" xfId="4143" xr:uid="{BC34609D-D5D9-4A4D-B225-961A88FE32FF}"/>
    <cellStyle name="Normal 3 3 3 9 3" xfId="1639" xr:uid="{7649BCB5-E4E4-4DC8-95EA-BA3EE15B9597}"/>
    <cellStyle name="Normal 3 3 3 9 4" xfId="3309" xr:uid="{0BB50A98-BAA9-4D6B-A7B5-AB8B46021506}"/>
    <cellStyle name="Normal 3 3 4" xfId="125" xr:uid="{00000000-0005-0000-0000-00000E010000}"/>
    <cellStyle name="Normal 3 3 4 2" xfId="1801" xr:uid="{4FB2F05B-B827-457E-88E3-48AD8098AD57}"/>
    <cellStyle name="Normal 3 3 4 2 2" xfId="3469" xr:uid="{D7AEE23B-DE4E-4E43-B243-E788797AFD07}"/>
    <cellStyle name="Normal 3 3 4 3" xfId="965" xr:uid="{EA250E77-3D38-4231-AA37-61F75EDD6D04}"/>
    <cellStyle name="Normal 3 3 4 4" xfId="2635" xr:uid="{90EDBF71-B1E4-4314-B9DC-7BAC61C5A767}"/>
    <cellStyle name="Normal 3 3 5" xfId="215" xr:uid="{00000000-0005-0000-0000-00000F010000}"/>
    <cellStyle name="Normal 3 3 5 2" xfId="1891" xr:uid="{38E60609-DEA5-47B9-B6B8-2FA0C4AF86CC}"/>
    <cellStyle name="Normal 3 3 5 2 2" xfId="3559" xr:uid="{CCB4B50B-1353-4411-855E-ED7FCBFFBE27}"/>
    <cellStyle name="Normal 3 3 5 3" xfId="1055" xr:uid="{6996012D-EEF3-4FBE-A10C-B815ECE0D1D5}"/>
    <cellStyle name="Normal 3 3 5 4" xfId="2725" xr:uid="{65153965-BC21-40EA-87C9-3C430E34C6F9}"/>
    <cellStyle name="Normal 3 3 6" xfId="305" xr:uid="{00000000-0005-0000-0000-000010010000}"/>
    <cellStyle name="Normal 3 3 6 2" xfId="1981" xr:uid="{17A66DA1-2CA3-42F2-A95C-6149A49A16CF}"/>
    <cellStyle name="Normal 3 3 6 2 2" xfId="3649" xr:uid="{ECE012CE-0A7D-4392-B9A3-6FFB4E368D37}"/>
    <cellStyle name="Normal 3 3 6 3" xfId="1145" xr:uid="{BF0297DF-1E48-4455-9132-BD71AB604BD9}"/>
    <cellStyle name="Normal 3 3 6 4" xfId="2815" xr:uid="{2BED4D05-E5B0-4709-9D67-84CB8481016C}"/>
    <cellStyle name="Normal 3 3 7" xfId="395" xr:uid="{00000000-0005-0000-0000-000011010000}"/>
    <cellStyle name="Normal 3 3 7 2" xfId="2071" xr:uid="{6318D358-23A6-4ED5-899B-9D853A98267F}"/>
    <cellStyle name="Normal 3 3 7 2 2" xfId="3739" xr:uid="{F1BC6877-1BFB-4C54-A886-2BB6ACBDA210}"/>
    <cellStyle name="Normal 3 3 7 3" xfId="1235" xr:uid="{CC6DB02F-B573-4F3C-8608-91461E71CA06}"/>
    <cellStyle name="Normal 3 3 7 4" xfId="2905" xr:uid="{7BC43FC8-2AFB-4FE0-B463-E2A56CA3D100}"/>
    <cellStyle name="Normal 3 3 8" xfId="485" xr:uid="{00000000-0005-0000-0000-000012010000}"/>
    <cellStyle name="Normal 3 3 8 2" xfId="2161" xr:uid="{D2267F7D-9CE7-43F1-A1C0-3D8872228969}"/>
    <cellStyle name="Normal 3 3 8 2 2" xfId="3829" xr:uid="{526A2DC9-80BC-4EEF-9DBC-4E7549233E07}"/>
    <cellStyle name="Normal 3 3 8 3" xfId="1325" xr:uid="{6EEB0A86-221A-4160-BC4C-3419490538B4}"/>
    <cellStyle name="Normal 3 3 8 4" xfId="2995" xr:uid="{0307B229-18B0-4F21-8BFD-4B8C4A771C2E}"/>
    <cellStyle name="Normal 3 3 9" xfId="575" xr:uid="{00000000-0005-0000-0000-000013010000}"/>
    <cellStyle name="Normal 3 3 9 2" xfId="2251" xr:uid="{8CE7501D-22D9-4175-A5EB-43D9943716E8}"/>
    <cellStyle name="Normal 3 3 9 2 2" xfId="3919" xr:uid="{31189EE8-4F40-4AF5-9DAB-797D36B6F787}"/>
    <cellStyle name="Normal 3 3 9 3" xfId="1415" xr:uid="{CE135FD0-2B8C-4E76-9FDB-3D6C7C9F515E}"/>
    <cellStyle name="Normal 3 3 9 4" xfId="3085" xr:uid="{51926658-6145-48C9-AB3B-C94F625A96E1}"/>
    <cellStyle name="Normal 3 4" xfId="29" xr:uid="{00000000-0005-0000-0000-000014010000}"/>
    <cellStyle name="Normal 3 4 10" xfId="668" xr:uid="{00000000-0005-0000-0000-000015010000}"/>
    <cellStyle name="Normal 3 4 10 2" xfId="2344" xr:uid="{78C72814-8D36-4FD2-8CC3-1828AAFB56E0}"/>
    <cellStyle name="Normal 3 4 10 2 2" xfId="4012" xr:uid="{B1B0A7FB-209C-49F6-A1F2-E1AF536F48AF}"/>
    <cellStyle name="Normal 3 4 10 3" xfId="1508" xr:uid="{51F9426B-7190-487E-B3E8-1E18B59C22DD}"/>
    <cellStyle name="Normal 3 4 10 4" xfId="3178" xr:uid="{E4B3BD6C-5356-4B6E-B7EF-D21A25402681}"/>
    <cellStyle name="Normal 3 4 11" xfId="763" xr:uid="{00000000-0005-0000-0000-000016010000}"/>
    <cellStyle name="Normal 3 4 11 2" xfId="2439" xr:uid="{F1414470-93A6-4F55-8080-A1CB61B6E1FB}"/>
    <cellStyle name="Normal 3 4 11 2 2" xfId="4107" xr:uid="{8D0B14B0-86CA-421D-9306-EEF04E446F16}"/>
    <cellStyle name="Normal 3 4 11 3" xfId="1603" xr:uid="{DD23BEA5-7718-45E1-BA33-D8DFDBDA7C4D}"/>
    <cellStyle name="Normal 3 4 11 4" xfId="3273" xr:uid="{757AED8E-BB73-4E75-8EC8-0214D9315F4A}"/>
    <cellStyle name="Normal 3 4 12" xfId="1710" xr:uid="{C102FF31-411B-41A5-83EA-9B3306FBC647}"/>
    <cellStyle name="Normal 3 4 12 2" xfId="3378" xr:uid="{4CE59BC2-2D63-4C73-8BA7-8CE50891E732}"/>
    <cellStyle name="Normal 3 4 13" xfId="874" xr:uid="{4544B71E-3646-45E0-B865-64EC793E6CF8}"/>
    <cellStyle name="Normal 3 4 14" xfId="2544" xr:uid="{84F6CD51-CC74-455B-AD52-3A2255A07C32}"/>
    <cellStyle name="Normal 3 4 2" xfId="51" xr:uid="{00000000-0005-0000-0000-000017010000}"/>
    <cellStyle name="Normal 3 4 2 10" xfId="783" xr:uid="{00000000-0005-0000-0000-000018010000}"/>
    <cellStyle name="Normal 3 4 2 10 2" xfId="2459" xr:uid="{22D7B894-E70D-4264-A239-F3D7C90B7FD3}"/>
    <cellStyle name="Normal 3 4 2 10 2 2" xfId="4127" xr:uid="{C862C63B-5043-4C24-9E4B-2EC95EA42E7C}"/>
    <cellStyle name="Normal 3 4 2 10 3" xfId="1623" xr:uid="{2BDD8989-339F-4D58-8641-3BB432B09F9C}"/>
    <cellStyle name="Normal 3 4 2 10 4" xfId="3293" xr:uid="{DB74733E-4DB8-46AA-BB88-878D81366C0C}"/>
    <cellStyle name="Normal 3 4 2 11" xfId="1730" xr:uid="{A1D74F7B-C652-4B38-B034-94B2DA8CBD34}"/>
    <cellStyle name="Normal 3 4 2 11 2" xfId="3398" xr:uid="{38AFD54C-B146-4AAC-B39B-66A25500D9F1}"/>
    <cellStyle name="Normal 3 4 2 12" xfId="894" xr:uid="{886BD63A-778B-473C-86D0-4E166B3665EA}"/>
    <cellStyle name="Normal 3 4 2 13" xfId="2564" xr:uid="{1A65739A-1F4C-41FB-BA5F-A7D6682CA68E}"/>
    <cellStyle name="Normal 3 4 2 2" xfId="91" xr:uid="{00000000-0005-0000-0000-000019010000}"/>
    <cellStyle name="Normal 3 4 2 2 10" xfId="1768" xr:uid="{24B411BF-E984-4709-B1EE-85D6C2E8FE7B}"/>
    <cellStyle name="Normal 3 4 2 2 10 2" xfId="3436" xr:uid="{6E01EECA-5E30-4257-B81F-DFCC2BB5A7B1}"/>
    <cellStyle name="Normal 3 4 2 2 11" xfId="932" xr:uid="{462048BA-91D5-40CB-A42F-85B9499F3684}"/>
    <cellStyle name="Normal 3 4 2 2 12" xfId="2602" xr:uid="{BD5F7732-19DF-4606-819C-ED12C50F8FE3}"/>
    <cellStyle name="Normal 3 4 2 2 2" xfId="184" xr:uid="{00000000-0005-0000-0000-00001A010000}"/>
    <cellStyle name="Normal 3 4 2 2 2 2" xfId="1860" xr:uid="{91657955-62B8-4DD6-845D-433580F3F143}"/>
    <cellStyle name="Normal 3 4 2 2 2 2 2" xfId="3528" xr:uid="{7010F5B6-6D9E-42BA-AE7B-4117BF9C7A46}"/>
    <cellStyle name="Normal 3 4 2 2 2 3" xfId="1024" xr:uid="{7EBD5CC0-2D12-49CE-B22B-3E83E88907DB}"/>
    <cellStyle name="Normal 3 4 2 2 2 4" xfId="2694" xr:uid="{F17738FF-B119-42FC-9A07-D23B858082C7}"/>
    <cellStyle name="Normal 3 4 2 2 3" xfId="274" xr:uid="{00000000-0005-0000-0000-00001B010000}"/>
    <cellStyle name="Normal 3 4 2 2 3 2" xfId="1950" xr:uid="{9CA19F86-2521-4A42-9315-A4494BCBA487}"/>
    <cellStyle name="Normal 3 4 2 2 3 2 2" xfId="3618" xr:uid="{9EA68902-6306-4060-94B9-7049D159912B}"/>
    <cellStyle name="Normal 3 4 2 2 3 3" xfId="1114" xr:uid="{CC978CDC-DF1A-4D42-9A9F-BC83AE5D4CF6}"/>
    <cellStyle name="Normal 3 4 2 2 3 4" xfId="2784" xr:uid="{7329D47A-E2F0-4C2B-9DF1-DE458AF04EBD}"/>
    <cellStyle name="Normal 3 4 2 2 4" xfId="364" xr:uid="{00000000-0005-0000-0000-00001C010000}"/>
    <cellStyle name="Normal 3 4 2 2 4 2" xfId="2040" xr:uid="{54EFDF61-0FB5-443D-A1D2-284B27E5F4DC}"/>
    <cellStyle name="Normal 3 4 2 2 4 2 2" xfId="3708" xr:uid="{A2124A67-A03F-45CF-9BB3-6FAC344D0A72}"/>
    <cellStyle name="Normal 3 4 2 2 4 3" xfId="1204" xr:uid="{95CA9452-C7F8-4D79-BEDB-1367CF8801BD}"/>
    <cellStyle name="Normal 3 4 2 2 4 4" xfId="2874" xr:uid="{2D836F3B-AA55-4A86-802B-11A9AEA8B3D6}"/>
    <cellStyle name="Normal 3 4 2 2 5" xfId="454" xr:uid="{00000000-0005-0000-0000-00001D010000}"/>
    <cellStyle name="Normal 3 4 2 2 5 2" xfId="2130" xr:uid="{5685E377-59A1-474D-A2D4-64151B4CFE2C}"/>
    <cellStyle name="Normal 3 4 2 2 5 2 2" xfId="3798" xr:uid="{1CE63792-373D-4026-B25D-8CCB750EACC9}"/>
    <cellStyle name="Normal 3 4 2 2 5 3" xfId="1294" xr:uid="{30BF3156-C15D-4DCF-92D5-DDD4373B2C39}"/>
    <cellStyle name="Normal 3 4 2 2 5 4" xfId="2964" xr:uid="{BE0264B0-6AEE-4E03-B9F0-DBC0F7007A8F}"/>
    <cellStyle name="Normal 3 4 2 2 6" xfId="544" xr:uid="{00000000-0005-0000-0000-00001E010000}"/>
    <cellStyle name="Normal 3 4 2 2 6 2" xfId="2220" xr:uid="{3042B109-5172-48E0-8EC2-37CF0AC75A4E}"/>
    <cellStyle name="Normal 3 4 2 2 6 2 2" xfId="3888" xr:uid="{59D168ED-6174-4103-8D00-01A2668386B1}"/>
    <cellStyle name="Normal 3 4 2 2 6 3" xfId="1384" xr:uid="{D08CADD1-F5E4-46D6-9C76-B2B00C8CB97C}"/>
    <cellStyle name="Normal 3 4 2 2 6 4" xfId="3054" xr:uid="{354B5437-7FF1-43C4-A835-1F630002D1BE}"/>
    <cellStyle name="Normal 3 4 2 2 7" xfId="634" xr:uid="{00000000-0005-0000-0000-00001F010000}"/>
    <cellStyle name="Normal 3 4 2 2 7 2" xfId="2310" xr:uid="{8EC90591-63F0-41B9-9E2E-AB1783EF5050}"/>
    <cellStyle name="Normal 3 4 2 2 7 2 2" xfId="3978" xr:uid="{B4E92950-447F-4C29-88A8-2EDD47311D49}"/>
    <cellStyle name="Normal 3 4 2 2 7 3" xfId="1474" xr:uid="{13CE33BB-270D-4E4B-BD04-FC2F7B2C879A}"/>
    <cellStyle name="Normal 3 4 2 2 7 4" xfId="3144" xr:uid="{FFFB4557-4FFA-4F2E-9094-5A09BAF5CE43}"/>
    <cellStyle name="Normal 3 4 2 2 8" xfId="724" xr:uid="{00000000-0005-0000-0000-000020010000}"/>
    <cellStyle name="Normal 3 4 2 2 8 2" xfId="2400" xr:uid="{2DD151C6-5005-4537-9252-CC5BEF8B27E3}"/>
    <cellStyle name="Normal 3 4 2 2 8 2 2" xfId="4068" xr:uid="{A2EB0154-51BA-4101-8246-4977BFE0A3F5}"/>
    <cellStyle name="Normal 3 4 2 2 8 3" xfId="1564" xr:uid="{73AE718F-5C12-4452-A8E9-A6A3021A582E}"/>
    <cellStyle name="Normal 3 4 2 2 8 4" xfId="3234" xr:uid="{F728F292-6B97-4773-9479-F45C2C9CE5B2}"/>
    <cellStyle name="Normal 3 4 2 2 9" xfId="821" xr:uid="{00000000-0005-0000-0000-000021010000}"/>
    <cellStyle name="Normal 3 4 2 2 9 2" xfId="2497" xr:uid="{CF5C1957-42CB-4915-B37A-DC55793B6756}"/>
    <cellStyle name="Normal 3 4 2 2 9 2 2" xfId="4165" xr:uid="{6CBEAF68-3A6F-47BB-A241-B6A71EF5DA23}"/>
    <cellStyle name="Normal 3 4 2 2 9 3" xfId="1661" xr:uid="{3C2199E8-9B85-4B65-8208-F4EDF4AAFAFF}"/>
    <cellStyle name="Normal 3 4 2 2 9 4" xfId="3331" xr:uid="{89BFBC26-0B9C-4E90-ABD1-894C4A56D55E}"/>
    <cellStyle name="Normal 3 4 2 3" xfId="147" xr:uid="{00000000-0005-0000-0000-000022010000}"/>
    <cellStyle name="Normal 3 4 2 3 2" xfId="1823" xr:uid="{29628F1D-D491-4572-818E-91891FCF302A}"/>
    <cellStyle name="Normal 3 4 2 3 2 2" xfId="3491" xr:uid="{F2FFA1D8-EE47-485E-9BD1-F5D0C5766620}"/>
    <cellStyle name="Normal 3 4 2 3 3" xfId="987" xr:uid="{E5193E65-7731-4356-BE83-FC8D89AA3642}"/>
    <cellStyle name="Normal 3 4 2 3 4" xfId="2657" xr:uid="{0A0D6653-6B49-49B5-9983-751A30508812}"/>
    <cellStyle name="Normal 3 4 2 4" xfId="237" xr:uid="{00000000-0005-0000-0000-000023010000}"/>
    <cellStyle name="Normal 3 4 2 4 2" xfId="1913" xr:uid="{5CDEDF42-C4D5-4451-9870-11C758B510F7}"/>
    <cellStyle name="Normal 3 4 2 4 2 2" xfId="3581" xr:uid="{C8B24304-92CC-437C-8CA8-862D831CE180}"/>
    <cellStyle name="Normal 3 4 2 4 3" xfId="1077" xr:uid="{1ED5B3FE-A9CB-4732-A105-C1DA9C865EF1}"/>
    <cellStyle name="Normal 3 4 2 4 4" xfId="2747" xr:uid="{E94C4C8F-B92C-4305-A102-6B29966935FA}"/>
    <cellStyle name="Normal 3 4 2 5" xfId="327" xr:uid="{00000000-0005-0000-0000-000024010000}"/>
    <cellStyle name="Normal 3 4 2 5 2" xfId="2003" xr:uid="{D48E434C-CD9F-4908-9245-6A09F510A90B}"/>
    <cellStyle name="Normal 3 4 2 5 2 2" xfId="3671" xr:uid="{EB6E0531-AEED-47C6-93A3-CB6A4AA566D7}"/>
    <cellStyle name="Normal 3 4 2 5 3" xfId="1167" xr:uid="{72531BB9-0AC6-4797-B571-605DFF9FE8CD}"/>
    <cellStyle name="Normal 3 4 2 5 4" xfId="2837" xr:uid="{5DF1EFDF-153B-4C78-BDFF-AE81F6B306FD}"/>
    <cellStyle name="Normal 3 4 2 6" xfId="417" xr:uid="{00000000-0005-0000-0000-000025010000}"/>
    <cellStyle name="Normal 3 4 2 6 2" xfId="2093" xr:uid="{34B05786-A441-447C-9890-EDB2DF64AF76}"/>
    <cellStyle name="Normal 3 4 2 6 2 2" xfId="3761" xr:uid="{2A3C0DED-CE5A-4799-AA43-3921B4FAEF9E}"/>
    <cellStyle name="Normal 3 4 2 6 3" xfId="1257" xr:uid="{D85715A9-69E5-4266-9398-423113B458C9}"/>
    <cellStyle name="Normal 3 4 2 6 4" xfId="2927" xr:uid="{9CCF04AC-76C4-44F9-9E3F-3088043D5FD4}"/>
    <cellStyle name="Normal 3 4 2 7" xfId="507" xr:uid="{00000000-0005-0000-0000-000026010000}"/>
    <cellStyle name="Normal 3 4 2 7 2" xfId="2183" xr:uid="{EFA25874-1B0E-4AF9-87CE-345FABAF04FB}"/>
    <cellStyle name="Normal 3 4 2 7 2 2" xfId="3851" xr:uid="{30C362A0-A030-464F-9CEA-FC2916B74054}"/>
    <cellStyle name="Normal 3 4 2 7 3" xfId="1347" xr:uid="{E424D070-B158-479F-98EC-E2B0B976DA68}"/>
    <cellStyle name="Normal 3 4 2 7 4" xfId="3017" xr:uid="{1FAC986B-1C70-41FD-AB5B-EEAC67D81256}"/>
    <cellStyle name="Normal 3 4 2 8" xfId="597" xr:uid="{00000000-0005-0000-0000-000027010000}"/>
    <cellStyle name="Normal 3 4 2 8 2" xfId="2273" xr:uid="{635655E5-4A91-4DCF-AD4C-C2B046C861FB}"/>
    <cellStyle name="Normal 3 4 2 8 2 2" xfId="3941" xr:uid="{C79E1C26-F23C-4A59-849C-465B141B060D}"/>
    <cellStyle name="Normal 3 4 2 8 3" xfId="1437" xr:uid="{762709E7-BBE3-414A-BBB7-283AEB2C0E5E}"/>
    <cellStyle name="Normal 3 4 2 8 4" xfId="3107" xr:uid="{5B5812E2-D39D-49FE-BE69-F3C31B4D0DE3}"/>
    <cellStyle name="Normal 3 4 2 9" xfId="687" xr:uid="{00000000-0005-0000-0000-000028010000}"/>
    <cellStyle name="Normal 3 4 2 9 2" xfId="2363" xr:uid="{55865985-9B64-4F20-AB9E-FD54A78AE53A}"/>
    <cellStyle name="Normal 3 4 2 9 2 2" xfId="4031" xr:uid="{30B8B83E-E077-4CC6-99D7-39AEE9A46A1C}"/>
    <cellStyle name="Normal 3 4 2 9 3" xfId="1527" xr:uid="{FF15299D-E419-4278-A882-103C3FA0F0C4}"/>
    <cellStyle name="Normal 3 4 2 9 4" xfId="3197" xr:uid="{762AB5B6-20BA-4292-BDB9-AA1A843615D1}"/>
    <cellStyle name="Normal 3 4 3" xfId="72" xr:uid="{00000000-0005-0000-0000-000029010000}"/>
    <cellStyle name="Normal 3 4 3 10" xfId="1749" xr:uid="{FB3C603C-E132-4B71-866B-B14295070B40}"/>
    <cellStyle name="Normal 3 4 3 10 2" xfId="3417" xr:uid="{F3594BAE-81F6-4B7C-9C1A-D21F1CA31286}"/>
    <cellStyle name="Normal 3 4 3 11" xfId="913" xr:uid="{3C22A609-5AF0-402F-A206-34C6B242FFCA}"/>
    <cellStyle name="Normal 3 4 3 12" xfId="2583" xr:uid="{9B7B0B98-AEFF-4946-81FD-866BC4433FCD}"/>
    <cellStyle name="Normal 3 4 3 2" xfId="165" xr:uid="{00000000-0005-0000-0000-00002A010000}"/>
    <cellStyle name="Normal 3 4 3 2 2" xfId="1841" xr:uid="{C436F063-1921-4415-A410-A5E3A84BFBBF}"/>
    <cellStyle name="Normal 3 4 3 2 2 2" xfId="3509" xr:uid="{A4028B04-6E41-45BC-8C45-6CEF69298F04}"/>
    <cellStyle name="Normal 3 4 3 2 3" xfId="1005" xr:uid="{6376BFAA-39E1-4F52-8466-F65CEE65AE80}"/>
    <cellStyle name="Normal 3 4 3 2 4" xfId="2675" xr:uid="{CC9CBBE4-7927-4805-B0DF-89858912D695}"/>
    <cellStyle name="Normal 3 4 3 3" xfId="255" xr:uid="{00000000-0005-0000-0000-00002B010000}"/>
    <cellStyle name="Normal 3 4 3 3 2" xfId="1931" xr:uid="{5FFFE603-F36B-45B9-88B5-D3FB794D8CAD}"/>
    <cellStyle name="Normal 3 4 3 3 2 2" xfId="3599" xr:uid="{D3F97E03-4391-45FF-8ED2-040EB9DEA64D}"/>
    <cellStyle name="Normal 3 4 3 3 3" xfId="1095" xr:uid="{5F5E21C8-506D-45E5-BD8D-AF2666416023}"/>
    <cellStyle name="Normal 3 4 3 3 4" xfId="2765" xr:uid="{F0856A3D-7201-440A-B707-F3DA21730757}"/>
    <cellStyle name="Normal 3 4 3 4" xfId="345" xr:uid="{00000000-0005-0000-0000-00002C010000}"/>
    <cellStyle name="Normal 3 4 3 4 2" xfId="2021" xr:uid="{420F371F-6A4C-46F3-8A5C-16188445AD0E}"/>
    <cellStyle name="Normal 3 4 3 4 2 2" xfId="3689" xr:uid="{9A961E04-7AC5-4809-8316-CD2E4819CDCB}"/>
    <cellStyle name="Normal 3 4 3 4 3" xfId="1185" xr:uid="{6DAB577F-EF2C-4FF8-B234-8D0F573F55D8}"/>
    <cellStyle name="Normal 3 4 3 4 4" xfId="2855" xr:uid="{589E4690-963F-4E6F-872C-C544AF1C14A9}"/>
    <cellStyle name="Normal 3 4 3 5" xfId="435" xr:uid="{00000000-0005-0000-0000-00002D010000}"/>
    <cellStyle name="Normal 3 4 3 5 2" xfId="2111" xr:uid="{B32D8CB8-BCCD-4BFC-8843-0FE654F1080B}"/>
    <cellStyle name="Normal 3 4 3 5 2 2" xfId="3779" xr:uid="{58B8A25E-0F24-4055-9F0F-BF296B8FA73F}"/>
    <cellStyle name="Normal 3 4 3 5 3" xfId="1275" xr:uid="{A10AF0E0-A864-4D1A-AB49-9E133D794A98}"/>
    <cellStyle name="Normal 3 4 3 5 4" xfId="2945" xr:uid="{55E8DF7B-FE68-49CF-B4E2-B759FC4F7181}"/>
    <cellStyle name="Normal 3 4 3 6" xfId="525" xr:uid="{00000000-0005-0000-0000-00002E010000}"/>
    <cellStyle name="Normal 3 4 3 6 2" xfId="2201" xr:uid="{A9CC4202-6228-43A5-BDFA-B29DD9BE9AB7}"/>
    <cellStyle name="Normal 3 4 3 6 2 2" xfId="3869" xr:uid="{A562E377-A9BD-498C-91B6-EAF4E409EB67}"/>
    <cellStyle name="Normal 3 4 3 6 3" xfId="1365" xr:uid="{103BE579-817F-4B33-B2C5-310B74B7A75F}"/>
    <cellStyle name="Normal 3 4 3 6 4" xfId="3035" xr:uid="{B29827AA-7A06-40A0-A43B-412FE7245B1A}"/>
    <cellStyle name="Normal 3 4 3 7" xfId="615" xr:uid="{00000000-0005-0000-0000-00002F010000}"/>
    <cellStyle name="Normal 3 4 3 7 2" xfId="2291" xr:uid="{A3117C3E-3F49-4122-8416-277186BED286}"/>
    <cellStyle name="Normal 3 4 3 7 2 2" xfId="3959" xr:uid="{1322BDD6-5684-4054-BAE9-B6A44A4156DA}"/>
    <cellStyle name="Normal 3 4 3 7 3" xfId="1455" xr:uid="{3F1FC5AA-8666-4C94-B8AC-5C07BDED0EF0}"/>
    <cellStyle name="Normal 3 4 3 7 4" xfId="3125" xr:uid="{37EFDBE4-D316-40C2-90BD-D979C2DAD674}"/>
    <cellStyle name="Normal 3 4 3 8" xfId="705" xr:uid="{00000000-0005-0000-0000-000030010000}"/>
    <cellStyle name="Normal 3 4 3 8 2" xfId="2381" xr:uid="{D82ADF5D-E460-442C-8B1A-F8014CCCFCD6}"/>
    <cellStyle name="Normal 3 4 3 8 2 2" xfId="4049" xr:uid="{006D3D96-46C4-40E5-99ED-793E76476160}"/>
    <cellStyle name="Normal 3 4 3 8 3" xfId="1545" xr:uid="{95E2B38A-9330-437C-B83F-E49B175F6C87}"/>
    <cellStyle name="Normal 3 4 3 8 4" xfId="3215" xr:uid="{FCB38F3B-89CE-4310-B2AC-D932E5DEE1A9}"/>
    <cellStyle name="Normal 3 4 3 9" xfId="802" xr:uid="{00000000-0005-0000-0000-000031010000}"/>
    <cellStyle name="Normal 3 4 3 9 2" xfId="2478" xr:uid="{98E4EA9F-54A0-4931-B409-3BC0A1200B7E}"/>
    <cellStyle name="Normal 3 4 3 9 2 2" xfId="4146" xr:uid="{9D30B914-9898-4C0C-984C-C50A1B7D5D7D}"/>
    <cellStyle name="Normal 3 4 3 9 3" xfId="1642" xr:uid="{9F7DFE22-2BC0-4452-81C8-2591069C58FE}"/>
    <cellStyle name="Normal 3 4 3 9 4" xfId="3312" xr:uid="{B163DFB4-0834-4D0F-A122-9485A65BDE45}"/>
    <cellStyle name="Normal 3 4 4" xfId="128" xr:uid="{00000000-0005-0000-0000-000032010000}"/>
    <cellStyle name="Normal 3 4 4 2" xfId="1804" xr:uid="{FFD9DF34-C398-4383-AA49-41DD99B7B8B7}"/>
    <cellStyle name="Normal 3 4 4 2 2" xfId="3472" xr:uid="{77683F00-72BB-4A19-9FCB-B5605A596ED5}"/>
    <cellStyle name="Normal 3 4 4 3" xfId="968" xr:uid="{3EAC60C8-721D-46F8-BE6E-3E4836260FAA}"/>
    <cellStyle name="Normal 3 4 4 4" xfId="2638" xr:uid="{2F65FA14-2DB5-4A8E-A761-3F4CB7521B9F}"/>
    <cellStyle name="Normal 3 4 5" xfId="218" xr:uid="{00000000-0005-0000-0000-000033010000}"/>
    <cellStyle name="Normal 3 4 5 2" xfId="1894" xr:uid="{F7184062-ABF2-4095-AEFD-067BB0F3C093}"/>
    <cellStyle name="Normal 3 4 5 2 2" xfId="3562" xr:uid="{982E4BB9-D8D2-42C8-A820-32842E6E6C7D}"/>
    <cellStyle name="Normal 3 4 5 3" xfId="1058" xr:uid="{49E1CDE2-970C-40FB-B5C6-F5B2AF66F202}"/>
    <cellStyle name="Normal 3 4 5 4" xfId="2728" xr:uid="{6EA902EA-15B0-47C2-AFDC-DAE07BCE8F4F}"/>
    <cellStyle name="Normal 3 4 6" xfId="308" xr:uid="{00000000-0005-0000-0000-000034010000}"/>
    <cellStyle name="Normal 3 4 6 2" xfId="1984" xr:uid="{8C46BF73-C71E-4A7A-8D14-36773FB3F8D3}"/>
    <cellStyle name="Normal 3 4 6 2 2" xfId="3652" xr:uid="{6837F6BE-A16D-4AE0-81A7-A94363074BF0}"/>
    <cellStyle name="Normal 3 4 6 3" xfId="1148" xr:uid="{27FE3B2F-DC06-4D8F-85BC-79024C338B02}"/>
    <cellStyle name="Normal 3 4 6 4" xfId="2818" xr:uid="{99C64F1E-EBB7-4F74-8DCC-9A8637D98F67}"/>
    <cellStyle name="Normal 3 4 7" xfId="398" xr:uid="{00000000-0005-0000-0000-000035010000}"/>
    <cellStyle name="Normal 3 4 7 2" xfId="2074" xr:uid="{E07ADEFF-3D64-4C16-9CC6-9867A439B640}"/>
    <cellStyle name="Normal 3 4 7 2 2" xfId="3742" xr:uid="{849E55E3-1ACE-4D5B-9B89-EBB3E48EC271}"/>
    <cellStyle name="Normal 3 4 7 3" xfId="1238" xr:uid="{370EA6C9-F080-4705-99D7-C63D5E64AB36}"/>
    <cellStyle name="Normal 3 4 7 4" xfId="2908" xr:uid="{8E707590-FC32-419F-AE17-9339EE4C77BC}"/>
    <cellStyle name="Normal 3 4 8" xfId="488" xr:uid="{00000000-0005-0000-0000-000036010000}"/>
    <cellStyle name="Normal 3 4 8 2" xfId="2164" xr:uid="{8CEF6E2F-D7D3-40CC-B6BC-D8F2E31410B1}"/>
    <cellStyle name="Normal 3 4 8 2 2" xfId="3832" xr:uid="{3468E206-143E-405C-8BA0-72212F579B68}"/>
    <cellStyle name="Normal 3 4 8 3" xfId="1328" xr:uid="{13E6212E-3F54-4DA3-A176-DA4D8C3375F9}"/>
    <cellStyle name="Normal 3 4 8 4" xfId="2998" xr:uid="{19519E6A-5757-4DDE-A996-5FFA2502E33B}"/>
    <cellStyle name="Normal 3 4 9" xfId="578" xr:uid="{00000000-0005-0000-0000-000037010000}"/>
    <cellStyle name="Normal 3 4 9 2" xfId="2254" xr:uid="{DA688FAD-36EB-44F7-8BB9-0BC61B4D860D}"/>
    <cellStyle name="Normal 3 4 9 2 2" xfId="3922" xr:uid="{133EA0DF-1AE9-4F1E-A5C6-E7B65E960B70}"/>
    <cellStyle name="Normal 3 4 9 3" xfId="1418" xr:uid="{BC339470-66CE-40C3-B629-174D1ED4FBF8}"/>
    <cellStyle name="Normal 3 4 9 4" xfId="3088" xr:uid="{CB839F77-4563-4062-B64A-77EA75EA69EA}"/>
    <cellStyle name="Normal 3 5" xfId="33" xr:uid="{00000000-0005-0000-0000-000038010000}"/>
    <cellStyle name="Normal 3 5 10" xfId="671" xr:uid="{00000000-0005-0000-0000-000039010000}"/>
    <cellStyle name="Normal 3 5 10 2" xfId="2347" xr:uid="{666E509E-1055-49ED-9AFC-3FBA33BC983D}"/>
    <cellStyle name="Normal 3 5 10 2 2" xfId="4015" xr:uid="{EABD9D3A-5685-471E-A880-488C280E6460}"/>
    <cellStyle name="Normal 3 5 10 3" xfId="1511" xr:uid="{69E44813-62C0-4692-956F-F11E0ABA21D6}"/>
    <cellStyle name="Normal 3 5 10 4" xfId="3181" xr:uid="{B9163E89-2378-4EEE-BDA2-C67DD3EBA6D2}"/>
    <cellStyle name="Normal 3 5 11" xfId="766" xr:uid="{00000000-0005-0000-0000-00003A010000}"/>
    <cellStyle name="Normal 3 5 11 2" xfId="2442" xr:uid="{06046C6E-0EA7-45C6-A27D-E3578EE904B1}"/>
    <cellStyle name="Normal 3 5 11 2 2" xfId="4110" xr:uid="{A803A05C-A3E5-44B7-AA98-54710010567F}"/>
    <cellStyle name="Normal 3 5 11 3" xfId="1606" xr:uid="{269596A4-DC58-4E3D-A17C-2ED698539670}"/>
    <cellStyle name="Normal 3 5 11 4" xfId="3276" xr:uid="{F6BE7196-0A8B-435A-B32B-1C9187DFD083}"/>
    <cellStyle name="Normal 3 5 12" xfId="1713" xr:uid="{6B8CD659-BF43-40D0-A24E-8858FFC6FE1E}"/>
    <cellStyle name="Normal 3 5 12 2" xfId="3381" xr:uid="{8E1A2EF9-3664-47CB-B881-39B65E2B9234}"/>
    <cellStyle name="Normal 3 5 13" xfId="877" xr:uid="{EEC26381-7804-4B37-A390-3594B77AA87F}"/>
    <cellStyle name="Normal 3 5 14" xfId="2547" xr:uid="{AD71328F-31B8-47FC-93C4-605A694D35A6}"/>
    <cellStyle name="Normal 3 5 2" xfId="55" xr:uid="{00000000-0005-0000-0000-00003B010000}"/>
    <cellStyle name="Normal 3 5 2 10" xfId="786" xr:uid="{00000000-0005-0000-0000-00003C010000}"/>
    <cellStyle name="Normal 3 5 2 10 2" xfId="2462" xr:uid="{05DCB9BC-D055-490F-A988-E9DEBF0FBA7C}"/>
    <cellStyle name="Normal 3 5 2 10 2 2" xfId="4130" xr:uid="{691E775B-5DC2-40A2-B230-08FA3063CAA8}"/>
    <cellStyle name="Normal 3 5 2 10 3" xfId="1626" xr:uid="{522E5AA6-451A-4235-8607-0C556A02A705}"/>
    <cellStyle name="Normal 3 5 2 10 4" xfId="3296" xr:uid="{7ED9D64E-C408-4638-B709-D93E9425EE8E}"/>
    <cellStyle name="Normal 3 5 2 11" xfId="1733" xr:uid="{5F705628-240D-45B0-A000-8D0DF5C89A6E}"/>
    <cellStyle name="Normal 3 5 2 11 2" xfId="3401" xr:uid="{7C1FB632-0998-4B5B-B045-4B6DA45CD72A}"/>
    <cellStyle name="Normal 3 5 2 12" xfId="897" xr:uid="{C64A1D46-47EE-4AE1-81AC-D75993F944D5}"/>
    <cellStyle name="Normal 3 5 2 13" xfId="2567" xr:uid="{9C89EB99-6094-47B8-A011-8BAA3647AB50}"/>
    <cellStyle name="Normal 3 5 2 2" xfId="95" xr:uid="{00000000-0005-0000-0000-00003D010000}"/>
    <cellStyle name="Normal 3 5 2 2 10" xfId="1771" xr:uid="{208C92C4-53BD-4841-869B-368DD3D36F92}"/>
    <cellStyle name="Normal 3 5 2 2 10 2" xfId="3439" xr:uid="{FD7F52EA-FA5B-4402-A5CD-056BE4F1A63B}"/>
    <cellStyle name="Normal 3 5 2 2 11" xfId="935" xr:uid="{311073A0-8C9F-4D27-96E1-E6CA6C551E47}"/>
    <cellStyle name="Normal 3 5 2 2 12" xfId="2605" xr:uid="{A5BF2800-965B-4F15-B9EC-F65966368374}"/>
    <cellStyle name="Normal 3 5 2 2 2" xfId="187" xr:uid="{00000000-0005-0000-0000-00003E010000}"/>
    <cellStyle name="Normal 3 5 2 2 2 2" xfId="1863" xr:uid="{7B6BAC8A-79D1-44C7-B715-CC57FC86EC85}"/>
    <cellStyle name="Normal 3 5 2 2 2 2 2" xfId="3531" xr:uid="{4C0EA777-EFF9-4CBA-8732-FC7DF9FB9EA5}"/>
    <cellStyle name="Normal 3 5 2 2 2 3" xfId="1027" xr:uid="{AA708F5A-1E09-4D74-9E41-ADDC448F70E8}"/>
    <cellStyle name="Normal 3 5 2 2 2 4" xfId="2697" xr:uid="{2D604093-E6C8-4850-8468-A5C82D5B0514}"/>
    <cellStyle name="Normal 3 5 2 2 3" xfId="277" xr:uid="{00000000-0005-0000-0000-00003F010000}"/>
    <cellStyle name="Normal 3 5 2 2 3 2" xfId="1953" xr:uid="{3AE7376E-AFAE-47FA-B8F2-B53C41CA0FF4}"/>
    <cellStyle name="Normal 3 5 2 2 3 2 2" xfId="3621" xr:uid="{D669CC3D-31FC-4B74-AFEF-A9458EB906F7}"/>
    <cellStyle name="Normal 3 5 2 2 3 3" xfId="1117" xr:uid="{6706DEB5-05F8-4CBC-9A62-32869B2FB69E}"/>
    <cellStyle name="Normal 3 5 2 2 3 4" xfId="2787" xr:uid="{47C67453-BD44-43CB-B620-C60A919FAF8A}"/>
    <cellStyle name="Normal 3 5 2 2 4" xfId="367" xr:uid="{00000000-0005-0000-0000-000040010000}"/>
    <cellStyle name="Normal 3 5 2 2 4 2" xfId="2043" xr:uid="{46BD7D99-7941-4888-B8C4-65B941B3D995}"/>
    <cellStyle name="Normal 3 5 2 2 4 2 2" xfId="3711" xr:uid="{D175F189-3C0F-49A1-98BD-62A03AEB7294}"/>
    <cellStyle name="Normal 3 5 2 2 4 3" xfId="1207" xr:uid="{8F35F69E-F7DB-4366-8CE2-B70EB3774A9F}"/>
    <cellStyle name="Normal 3 5 2 2 4 4" xfId="2877" xr:uid="{9A413EA6-D0B4-43E7-BC53-4104FB52701E}"/>
    <cellStyle name="Normal 3 5 2 2 5" xfId="457" xr:uid="{00000000-0005-0000-0000-000041010000}"/>
    <cellStyle name="Normal 3 5 2 2 5 2" xfId="2133" xr:uid="{5C7C2110-DDD9-4640-9297-61C05A3F9699}"/>
    <cellStyle name="Normal 3 5 2 2 5 2 2" xfId="3801" xr:uid="{FD363BA8-779C-4B82-B919-5FDE11BB3912}"/>
    <cellStyle name="Normal 3 5 2 2 5 3" xfId="1297" xr:uid="{E5A2E2E3-BBA3-46A8-AD66-EE4ACCF14D2C}"/>
    <cellStyle name="Normal 3 5 2 2 5 4" xfId="2967" xr:uid="{6A8E5C63-523C-4DBF-BAE6-D7700043B807}"/>
    <cellStyle name="Normal 3 5 2 2 6" xfId="547" xr:uid="{00000000-0005-0000-0000-000042010000}"/>
    <cellStyle name="Normal 3 5 2 2 6 2" xfId="2223" xr:uid="{E5E0D658-61EC-445E-B36D-9924F702E268}"/>
    <cellStyle name="Normal 3 5 2 2 6 2 2" xfId="3891" xr:uid="{52C72DF6-3B0F-4289-9ACA-BB815E0E53BD}"/>
    <cellStyle name="Normal 3 5 2 2 6 3" xfId="1387" xr:uid="{58DB78E9-7658-4BF5-99EB-76E3E5341C0F}"/>
    <cellStyle name="Normal 3 5 2 2 6 4" xfId="3057" xr:uid="{913A02B8-A85A-4913-BBCD-AEEEE9CC81B9}"/>
    <cellStyle name="Normal 3 5 2 2 7" xfId="637" xr:uid="{00000000-0005-0000-0000-000043010000}"/>
    <cellStyle name="Normal 3 5 2 2 7 2" xfId="2313" xr:uid="{51822749-0EAB-4CE0-89B2-62994F40A818}"/>
    <cellStyle name="Normal 3 5 2 2 7 2 2" xfId="3981" xr:uid="{95C302CB-8D70-4210-917A-0F3B1293739D}"/>
    <cellStyle name="Normal 3 5 2 2 7 3" xfId="1477" xr:uid="{7BBE1D58-5CB3-43F6-AC77-E39EC2F1383A}"/>
    <cellStyle name="Normal 3 5 2 2 7 4" xfId="3147" xr:uid="{EEDE0856-5EB6-42E9-8226-D7AED11B3C42}"/>
    <cellStyle name="Normal 3 5 2 2 8" xfId="727" xr:uid="{00000000-0005-0000-0000-000044010000}"/>
    <cellStyle name="Normal 3 5 2 2 8 2" xfId="2403" xr:uid="{36A201E8-71AA-4CC6-9AEC-E6B2B9DE3519}"/>
    <cellStyle name="Normal 3 5 2 2 8 2 2" xfId="4071" xr:uid="{2A476DFD-8FED-4FB0-B0BD-A48542C56A0B}"/>
    <cellStyle name="Normal 3 5 2 2 8 3" xfId="1567" xr:uid="{35F74AAD-C49C-4908-A4F9-EAD557B9B969}"/>
    <cellStyle name="Normal 3 5 2 2 8 4" xfId="3237" xr:uid="{AF86F452-4A6D-4992-9672-3AAB17B5B3A8}"/>
    <cellStyle name="Normal 3 5 2 2 9" xfId="824" xr:uid="{00000000-0005-0000-0000-000045010000}"/>
    <cellStyle name="Normal 3 5 2 2 9 2" xfId="2500" xr:uid="{7130C753-DBF9-452D-8CEF-3B8004959B17}"/>
    <cellStyle name="Normal 3 5 2 2 9 2 2" xfId="4168" xr:uid="{65043AD1-C8E4-4EDB-A9FC-4BCF19219E2A}"/>
    <cellStyle name="Normal 3 5 2 2 9 3" xfId="1664" xr:uid="{378BEDCB-B0FB-46A8-AADB-A812A655CF49}"/>
    <cellStyle name="Normal 3 5 2 2 9 4" xfId="3334" xr:uid="{F15A059E-238F-4C78-A89C-0D92B84F6893}"/>
    <cellStyle name="Normal 3 5 2 3" xfId="150" xr:uid="{00000000-0005-0000-0000-000046010000}"/>
    <cellStyle name="Normal 3 5 2 3 2" xfId="1826" xr:uid="{831D6BA1-E8FB-44A3-8146-43204715DCBE}"/>
    <cellStyle name="Normal 3 5 2 3 2 2" xfId="3494" xr:uid="{12DEEE0B-0CEC-40E6-9CF3-50ED1DFFE848}"/>
    <cellStyle name="Normal 3 5 2 3 3" xfId="990" xr:uid="{8022B7F6-3D7A-4E1F-86F7-29FE3958CBA8}"/>
    <cellStyle name="Normal 3 5 2 3 4" xfId="2660" xr:uid="{85004AAD-B468-4849-994B-0313CDF36FF9}"/>
    <cellStyle name="Normal 3 5 2 4" xfId="240" xr:uid="{00000000-0005-0000-0000-000047010000}"/>
    <cellStyle name="Normal 3 5 2 4 2" xfId="1916" xr:uid="{C435933C-945F-4B1B-AA62-ADAB89140FE7}"/>
    <cellStyle name="Normal 3 5 2 4 2 2" xfId="3584" xr:uid="{95462170-7D55-4BFC-A822-44B20157BCCF}"/>
    <cellStyle name="Normal 3 5 2 4 3" xfId="1080" xr:uid="{430DF8D2-9DAE-48FE-A3E0-33707116E312}"/>
    <cellStyle name="Normal 3 5 2 4 4" xfId="2750" xr:uid="{A27436AA-F555-4506-8718-732B4ABF95C1}"/>
    <cellStyle name="Normal 3 5 2 5" xfId="330" xr:uid="{00000000-0005-0000-0000-000048010000}"/>
    <cellStyle name="Normal 3 5 2 5 2" xfId="2006" xr:uid="{25CE4225-710A-4BB4-B24C-61C98D0EEDC1}"/>
    <cellStyle name="Normal 3 5 2 5 2 2" xfId="3674" xr:uid="{F8A0D690-83FF-431D-86B3-18A4D89D1331}"/>
    <cellStyle name="Normal 3 5 2 5 3" xfId="1170" xr:uid="{396CA01D-3ECD-4361-9816-8457893AAE5C}"/>
    <cellStyle name="Normal 3 5 2 5 4" xfId="2840" xr:uid="{45C1FB09-8996-44AE-89C0-9F134CFB73D0}"/>
    <cellStyle name="Normal 3 5 2 6" xfId="420" xr:uid="{00000000-0005-0000-0000-000049010000}"/>
    <cellStyle name="Normal 3 5 2 6 2" xfId="2096" xr:uid="{9FC71356-E704-4C34-B12E-6CB40AC05233}"/>
    <cellStyle name="Normal 3 5 2 6 2 2" xfId="3764" xr:uid="{30F2B7D1-7900-45C2-B090-B9B2C0DF2C40}"/>
    <cellStyle name="Normal 3 5 2 6 3" xfId="1260" xr:uid="{6338F038-FB05-4D1D-A0FA-F690ACEFD319}"/>
    <cellStyle name="Normal 3 5 2 6 4" xfId="2930" xr:uid="{8411CEF1-2313-4D41-A9CD-12820CE6D6EA}"/>
    <cellStyle name="Normal 3 5 2 7" xfId="510" xr:uid="{00000000-0005-0000-0000-00004A010000}"/>
    <cellStyle name="Normal 3 5 2 7 2" xfId="2186" xr:uid="{E8DE63D4-6246-47FF-AA33-1B59BCD003ED}"/>
    <cellStyle name="Normal 3 5 2 7 2 2" xfId="3854" xr:uid="{9BDC66EE-6E35-46FB-8364-85A0A2708749}"/>
    <cellStyle name="Normal 3 5 2 7 3" xfId="1350" xr:uid="{F6B171A8-5B09-4F6F-9151-BECB4D4E58D4}"/>
    <cellStyle name="Normal 3 5 2 7 4" xfId="3020" xr:uid="{7801AF9C-C70F-4DF0-A011-DF64AA6DBB56}"/>
    <cellStyle name="Normal 3 5 2 8" xfId="600" xr:uid="{00000000-0005-0000-0000-00004B010000}"/>
    <cellStyle name="Normal 3 5 2 8 2" xfId="2276" xr:uid="{71846536-8384-455E-AC10-4852353B7FE6}"/>
    <cellStyle name="Normal 3 5 2 8 2 2" xfId="3944" xr:uid="{6F6A03FF-113F-4AF5-8D37-26AC8F014F74}"/>
    <cellStyle name="Normal 3 5 2 8 3" xfId="1440" xr:uid="{8C88DFE9-65FC-4446-9D1D-D7C56648B2F4}"/>
    <cellStyle name="Normal 3 5 2 8 4" xfId="3110" xr:uid="{E194694D-BF93-482B-A800-746432272450}"/>
    <cellStyle name="Normal 3 5 2 9" xfId="690" xr:uid="{00000000-0005-0000-0000-00004C010000}"/>
    <cellStyle name="Normal 3 5 2 9 2" xfId="2366" xr:uid="{F1E6BA87-6773-44C0-83A4-26C111CB8F0D}"/>
    <cellStyle name="Normal 3 5 2 9 2 2" xfId="4034" xr:uid="{3654343D-3AD1-4D21-ADC5-885D2B3DF546}"/>
    <cellStyle name="Normal 3 5 2 9 3" xfId="1530" xr:uid="{31AA0D20-D6DD-4055-AF27-682E586044C5}"/>
    <cellStyle name="Normal 3 5 2 9 4" xfId="3200" xr:uid="{A2A9F08D-E50D-46DE-B44D-A1AF1BC08347}"/>
    <cellStyle name="Normal 3 5 3" xfId="75" xr:uid="{00000000-0005-0000-0000-00004D010000}"/>
    <cellStyle name="Normal 3 5 3 10" xfId="1752" xr:uid="{984F073A-317A-4895-9CCF-278D8EE69F29}"/>
    <cellStyle name="Normal 3 5 3 10 2" xfId="3420" xr:uid="{0D8819AE-6B00-472E-80C9-9733591728DF}"/>
    <cellStyle name="Normal 3 5 3 11" xfId="916" xr:uid="{FB7512E0-1B4A-4FD7-858E-53DE001A9CC8}"/>
    <cellStyle name="Normal 3 5 3 12" xfId="2586" xr:uid="{2ACF43FA-27BF-4F05-BEC5-2E709747B524}"/>
    <cellStyle name="Normal 3 5 3 2" xfId="168" xr:uid="{00000000-0005-0000-0000-00004E010000}"/>
    <cellStyle name="Normal 3 5 3 2 2" xfId="1844" xr:uid="{C082A5FA-AD50-4919-97F4-EE0D6BF2F073}"/>
    <cellStyle name="Normal 3 5 3 2 2 2" xfId="3512" xr:uid="{94FAC9BC-CF40-4B16-AC15-AA2CDB8E1C72}"/>
    <cellStyle name="Normal 3 5 3 2 3" xfId="1008" xr:uid="{30BA1FB4-14E7-4037-BE20-146ADFC405BF}"/>
    <cellStyle name="Normal 3 5 3 2 4" xfId="2678" xr:uid="{65DB9F50-50DB-4E63-B7F8-68AA02A5D8C8}"/>
    <cellStyle name="Normal 3 5 3 3" xfId="258" xr:uid="{00000000-0005-0000-0000-00004F010000}"/>
    <cellStyle name="Normal 3 5 3 3 2" xfId="1934" xr:uid="{8106635F-1936-49A0-AD30-6CC2DA2018A7}"/>
    <cellStyle name="Normal 3 5 3 3 2 2" xfId="3602" xr:uid="{5E496BAE-AF75-44A6-A543-C980FCC5A44F}"/>
    <cellStyle name="Normal 3 5 3 3 3" xfId="1098" xr:uid="{25DE0508-F1CC-4712-B708-A7A523E7B0A4}"/>
    <cellStyle name="Normal 3 5 3 3 4" xfId="2768" xr:uid="{7AF51B04-D30C-49C4-85EC-BA5DB0C5986B}"/>
    <cellStyle name="Normal 3 5 3 4" xfId="348" xr:uid="{00000000-0005-0000-0000-000050010000}"/>
    <cellStyle name="Normal 3 5 3 4 2" xfId="2024" xr:uid="{20FF5CFB-8AB1-4C87-B10F-9DE878F3303B}"/>
    <cellStyle name="Normal 3 5 3 4 2 2" xfId="3692" xr:uid="{321E8EB0-BCBD-42AB-99A8-F27F1C367511}"/>
    <cellStyle name="Normal 3 5 3 4 3" xfId="1188" xr:uid="{5179EC62-75EC-4E94-BFB0-4B1288CE95A8}"/>
    <cellStyle name="Normal 3 5 3 4 4" xfId="2858" xr:uid="{DEC1C348-E5D2-4F46-90D9-84E5902AB4C9}"/>
    <cellStyle name="Normal 3 5 3 5" xfId="438" xr:uid="{00000000-0005-0000-0000-000051010000}"/>
    <cellStyle name="Normal 3 5 3 5 2" xfId="2114" xr:uid="{95F99CC5-DE90-4A19-A61E-82E7AF7980E7}"/>
    <cellStyle name="Normal 3 5 3 5 2 2" xfId="3782" xr:uid="{33FA40B1-C13B-467A-B6D4-842BF270094D}"/>
    <cellStyle name="Normal 3 5 3 5 3" xfId="1278" xr:uid="{B8E231FB-0BB9-4FAE-974D-43DF60B12357}"/>
    <cellStyle name="Normal 3 5 3 5 4" xfId="2948" xr:uid="{22770DA2-1464-4B65-8E29-688F2BCC2FB0}"/>
    <cellStyle name="Normal 3 5 3 6" xfId="528" xr:uid="{00000000-0005-0000-0000-000052010000}"/>
    <cellStyle name="Normal 3 5 3 6 2" xfId="2204" xr:uid="{DB5D4D3D-98BA-44C0-8344-063D6B70E19A}"/>
    <cellStyle name="Normal 3 5 3 6 2 2" xfId="3872" xr:uid="{B8D47AE2-ABEC-4BD8-A66B-583EA8267C74}"/>
    <cellStyle name="Normal 3 5 3 6 3" xfId="1368" xr:uid="{A99E8027-A04F-4A68-888E-A55400CB658A}"/>
    <cellStyle name="Normal 3 5 3 6 4" xfId="3038" xr:uid="{55FF5AF2-B671-4FCD-BC79-F4A0902B5ECE}"/>
    <cellStyle name="Normal 3 5 3 7" xfId="618" xr:uid="{00000000-0005-0000-0000-000053010000}"/>
    <cellStyle name="Normal 3 5 3 7 2" xfId="2294" xr:uid="{0D7688C9-84EF-4B0E-8179-5E39BCEAE0B1}"/>
    <cellStyle name="Normal 3 5 3 7 2 2" xfId="3962" xr:uid="{44355F19-797A-4C2C-8386-00285651255E}"/>
    <cellStyle name="Normal 3 5 3 7 3" xfId="1458" xr:uid="{831ED6B1-2591-4AE1-9A93-1370F0E75A79}"/>
    <cellStyle name="Normal 3 5 3 7 4" xfId="3128" xr:uid="{CDDF6BBB-9113-4010-8BA6-CED34A184EE9}"/>
    <cellStyle name="Normal 3 5 3 8" xfId="708" xr:uid="{00000000-0005-0000-0000-000054010000}"/>
    <cellStyle name="Normal 3 5 3 8 2" xfId="2384" xr:uid="{13532034-FA89-4DB8-8BB8-D3AE7D25CB57}"/>
    <cellStyle name="Normal 3 5 3 8 2 2" xfId="4052" xr:uid="{BB06149B-9132-452A-854C-3DF6EB51B02A}"/>
    <cellStyle name="Normal 3 5 3 8 3" xfId="1548" xr:uid="{28072B0E-CCEF-4B55-8B87-74624A16182D}"/>
    <cellStyle name="Normal 3 5 3 8 4" xfId="3218" xr:uid="{CDA0C36E-D472-46DB-9758-59F99E7D0E11}"/>
    <cellStyle name="Normal 3 5 3 9" xfId="805" xr:uid="{00000000-0005-0000-0000-000055010000}"/>
    <cellStyle name="Normal 3 5 3 9 2" xfId="2481" xr:uid="{FAD3308B-0E0E-4E46-95AD-65625A397758}"/>
    <cellStyle name="Normal 3 5 3 9 2 2" xfId="4149" xr:uid="{BF398BC2-44A0-43A0-8C73-4131A2566A14}"/>
    <cellStyle name="Normal 3 5 3 9 3" xfId="1645" xr:uid="{8F19CF3E-BB0A-4025-BF83-99B1BE6E6D91}"/>
    <cellStyle name="Normal 3 5 3 9 4" xfId="3315" xr:uid="{3E4CE8A4-F8FC-494E-8FE2-B6DD39300E76}"/>
    <cellStyle name="Normal 3 5 4" xfId="131" xr:uid="{00000000-0005-0000-0000-000056010000}"/>
    <cellStyle name="Normal 3 5 4 2" xfId="1807" xr:uid="{269A79ED-5B87-452E-B28E-3CF0B04F3D1F}"/>
    <cellStyle name="Normal 3 5 4 2 2" xfId="3475" xr:uid="{03758ED9-119C-4688-A281-693D24CC06C5}"/>
    <cellStyle name="Normal 3 5 4 3" xfId="971" xr:uid="{A6967C34-EA3B-48B2-9ECA-7BCA6EAEA9F8}"/>
    <cellStyle name="Normal 3 5 4 4" xfId="2641" xr:uid="{06BB84E6-DCB9-4C00-8664-6253DC7AB514}"/>
    <cellStyle name="Normal 3 5 5" xfId="221" xr:uid="{00000000-0005-0000-0000-000057010000}"/>
    <cellStyle name="Normal 3 5 5 2" xfId="1897" xr:uid="{537139A5-765A-4404-A5D5-D7C24E22D91C}"/>
    <cellStyle name="Normal 3 5 5 2 2" xfId="3565" xr:uid="{2249AC37-80ED-4CEF-9B1A-47F982E20EC4}"/>
    <cellStyle name="Normal 3 5 5 3" xfId="1061" xr:uid="{ED61D68A-BAE5-4129-9AF9-48611C09DFA3}"/>
    <cellStyle name="Normal 3 5 5 4" xfId="2731" xr:uid="{6467173F-0A1F-401E-8F59-6946F0038718}"/>
    <cellStyle name="Normal 3 5 6" xfId="311" xr:uid="{00000000-0005-0000-0000-000058010000}"/>
    <cellStyle name="Normal 3 5 6 2" xfId="1987" xr:uid="{041F55B6-8D8E-448A-9258-4C5320DD473C}"/>
    <cellStyle name="Normal 3 5 6 2 2" xfId="3655" xr:uid="{313F5E42-A069-4657-8FA6-13F06BA6B9FF}"/>
    <cellStyle name="Normal 3 5 6 3" xfId="1151" xr:uid="{DBC64B2C-B9E0-4A2B-9CC1-08E4EEAD880F}"/>
    <cellStyle name="Normal 3 5 6 4" xfId="2821" xr:uid="{D124B9F7-10B1-47EC-AE58-EDBE74DE10BB}"/>
    <cellStyle name="Normal 3 5 7" xfId="401" xr:uid="{00000000-0005-0000-0000-000059010000}"/>
    <cellStyle name="Normal 3 5 7 2" xfId="2077" xr:uid="{F24C50C0-2A01-4809-BC1B-67AD77312DC4}"/>
    <cellStyle name="Normal 3 5 7 2 2" xfId="3745" xr:uid="{36E1315C-F8B0-4BDB-9B25-139D9AD4B53B}"/>
    <cellStyle name="Normal 3 5 7 3" xfId="1241" xr:uid="{38AA8124-9235-4D5D-A300-66FD0496F2FD}"/>
    <cellStyle name="Normal 3 5 7 4" xfId="2911" xr:uid="{30BD0B06-670E-458C-98B7-8F286B60EA91}"/>
    <cellStyle name="Normal 3 5 8" xfId="491" xr:uid="{00000000-0005-0000-0000-00005A010000}"/>
    <cellStyle name="Normal 3 5 8 2" xfId="2167" xr:uid="{80280E84-BE71-4283-B348-A14EDE310676}"/>
    <cellStyle name="Normal 3 5 8 2 2" xfId="3835" xr:uid="{12431BB8-D245-4EE6-B7D8-B8A84D0C79B2}"/>
    <cellStyle name="Normal 3 5 8 3" xfId="1331" xr:uid="{34E3E657-D6B4-4C02-9FBA-BFC4E5A24781}"/>
    <cellStyle name="Normal 3 5 8 4" xfId="3001" xr:uid="{C24636C1-A1E8-444D-9461-E90DA37701FB}"/>
    <cellStyle name="Normal 3 5 9" xfId="581" xr:uid="{00000000-0005-0000-0000-00005B010000}"/>
    <cellStyle name="Normal 3 5 9 2" xfId="2257" xr:uid="{6D859455-DEFE-470C-BCFB-56AE72D2FBF6}"/>
    <cellStyle name="Normal 3 5 9 2 2" xfId="3925" xr:uid="{28B70807-388C-4208-965E-EBA2F1832BE9}"/>
    <cellStyle name="Normal 3 5 9 3" xfId="1421" xr:uid="{3D04507D-B064-4317-9EF4-616BC4B4E950}"/>
    <cellStyle name="Normal 3 5 9 4" xfId="3091" xr:uid="{7ED3F18A-FC10-42A6-9A82-C5604721C58A}"/>
    <cellStyle name="Normal 3 6" xfId="36" xr:uid="{00000000-0005-0000-0000-00005C010000}"/>
    <cellStyle name="Normal 3 6 10" xfId="674" xr:uid="{00000000-0005-0000-0000-00005D010000}"/>
    <cellStyle name="Normal 3 6 10 2" xfId="2350" xr:uid="{3435B8BA-6D64-4D07-B508-EE896093D8ED}"/>
    <cellStyle name="Normal 3 6 10 2 2" xfId="4018" xr:uid="{0EA27F76-1519-4C9C-BC4D-3D22CC8B7577}"/>
    <cellStyle name="Normal 3 6 10 3" xfId="1514" xr:uid="{7775F080-65F2-46D4-9AA5-DCD7A7FC1D45}"/>
    <cellStyle name="Normal 3 6 10 4" xfId="3184" xr:uid="{86C1F8FF-7E41-480D-8A94-ADEDAF6B766B}"/>
    <cellStyle name="Normal 3 6 11" xfId="769" xr:uid="{00000000-0005-0000-0000-00005E010000}"/>
    <cellStyle name="Normal 3 6 11 2" xfId="2445" xr:uid="{CFDD8027-2917-413C-9778-AA126BC6436C}"/>
    <cellStyle name="Normal 3 6 11 2 2" xfId="4113" xr:uid="{552BB346-BA67-48A7-AF47-9CDF06603CC8}"/>
    <cellStyle name="Normal 3 6 11 3" xfId="1609" xr:uid="{8F375D41-A519-4112-BBE1-5FAA9F2C4800}"/>
    <cellStyle name="Normal 3 6 11 4" xfId="3279" xr:uid="{FB319402-C325-4A75-80CF-A98A1B44B1DC}"/>
    <cellStyle name="Normal 3 6 12" xfId="1716" xr:uid="{C53B48B8-6C4E-40A6-A5E2-BA729FDA6DA7}"/>
    <cellStyle name="Normal 3 6 12 2" xfId="3384" xr:uid="{51AECEB7-B1E2-4E8F-A876-AB41E5467741}"/>
    <cellStyle name="Normal 3 6 13" xfId="880" xr:uid="{9DDDDDC0-5596-45FD-A326-EB1F256896D7}"/>
    <cellStyle name="Normal 3 6 14" xfId="2550" xr:uid="{7E897AC8-57A4-49A1-9C39-EE9DF8CA8CF3}"/>
    <cellStyle name="Normal 3 6 2" xfId="58" xr:uid="{00000000-0005-0000-0000-00005F010000}"/>
    <cellStyle name="Normal 3 6 2 10" xfId="789" xr:uid="{00000000-0005-0000-0000-000060010000}"/>
    <cellStyle name="Normal 3 6 2 10 2" xfId="2465" xr:uid="{1B92C1AD-4238-41D8-A303-C4979A5D3BCE}"/>
    <cellStyle name="Normal 3 6 2 10 2 2" xfId="4133" xr:uid="{498825FE-2DAB-46BC-8BE9-4EBE2E4DFDE2}"/>
    <cellStyle name="Normal 3 6 2 10 3" xfId="1629" xr:uid="{AD254930-C1F2-4C19-8DF9-0CF9BDCA2D28}"/>
    <cellStyle name="Normal 3 6 2 10 4" xfId="3299" xr:uid="{14AE64BE-D6DF-4606-A9E4-5AE7B1434EFD}"/>
    <cellStyle name="Normal 3 6 2 11" xfId="1736" xr:uid="{D29E48C9-7C08-4793-80BC-8ED5A843CA36}"/>
    <cellStyle name="Normal 3 6 2 11 2" xfId="3404" xr:uid="{1CB7ADD9-D496-4A59-94FC-723F9696E150}"/>
    <cellStyle name="Normal 3 6 2 12" xfId="900" xr:uid="{2C72275C-BF15-47FA-907D-E93BD8BA9DAC}"/>
    <cellStyle name="Normal 3 6 2 13" xfId="2570" xr:uid="{17052932-C5C1-4570-A245-B0A2DBB0B260}"/>
    <cellStyle name="Normal 3 6 2 2" xfId="98" xr:uid="{00000000-0005-0000-0000-000061010000}"/>
    <cellStyle name="Normal 3 6 2 2 10" xfId="1774" xr:uid="{5BC87357-D89E-4EDB-95B7-EB6AB76CFA77}"/>
    <cellStyle name="Normal 3 6 2 2 10 2" xfId="3442" xr:uid="{AFB0DB68-42FA-4450-B799-3979F7F902EB}"/>
    <cellStyle name="Normal 3 6 2 2 11" xfId="938" xr:uid="{8339F180-59F3-44EA-8608-F2E77B937785}"/>
    <cellStyle name="Normal 3 6 2 2 12" xfId="2608" xr:uid="{0F92E02F-B410-4C82-8412-DACA9C7E4B99}"/>
    <cellStyle name="Normal 3 6 2 2 2" xfId="190" xr:uid="{00000000-0005-0000-0000-000062010000}"/>
    <cellStyle name="Normal 3 6 2 2 2 2" xfId="1866" xr:uid="{6E185CE1-3975-4F8A-98A1-EF2AAACD48DA}"/>
    <cellStyle name="Normal 3 6 2 2 2 2 2" xfId="3534" xr:uid="{AEFD8495-58A6-408F-A897-D20F60021017}"/>
    <cellStyle name="Normal 3 6 2 2 2 3" xfId="1030" xr:uid="{F82A6F33-0793-43EC-BC97-DE6E0E5C6E0A}"/>
    <cellStyle name="Normal 3 6 2 2 2 4" xfId="2700" xr:uid="{37B45C9B-24B8-4F1E-A8DD-E6BBEB65E9E2}"/>
    <cellStyle name="Normal 3 6 2 2 3" xfId="280" xr:uid="{00000000-0005-0000-0000-000063010000}"/>
    <cellStyle name="Normal 3 6 2 2 3 2" xfId="1956" xr:uid="{3D27DDF0-DFA5-4104-ABB7-DA295050E558}"/>
    <cellStyle name="Normal 3 6 2 2 3 2 2" xfId="3624" xr:uid="{1135EBBC-38A3-4B89-8846-FD93D0DFFD24}"/>
    <cellStyle name="Normal 3 6 2 2 3 3" xfId="1120" xr:uid="{E11D3364-9E06-46BD-8CA7-215FB25DC65A}"/>
    <cellStyle name="Normal 3 6 2 2 3 4" xfId="2790" xr:uid="{6C0AB155-7D8A-4AE4-8021-783D676AFEE1}"/>
    <cellStyle name="Normal 3 6 2 2 4" xfId="370" xr:uid="{00000000-0005-0000-0000-000064010000}"/>
    <cellStyle name="Normal 3 6 2 2 4 2" xfId="2046" xr:uid="{20653EB1-9A11-418A-A1C3-939E70B26BA9}"/>
    <cellStyle name="Normal 3 6 2 2 4 2 2" xfId="3714" xr:uid="{BB8DA28D-3126-4417-9BD6-CCA72065F11E}"/>
    <cellStyle name="Normal 3 6 2 2 4 3" xfId="1210" xr:uid="{A16CE0F5-C64A-4DDC-92DB-F51226D6D465}"/>
    <cellStyle name="Normal 3 6 2 2 4 4" xfId="2880" xr:uid="{09277310-4855-498B-82F9-2C628AEA33C4}"/>
    <cellStyle name="Normal 3 6 2 2 5" xfId="460" xr:uid="{00000000-0005-0000-0000-000065010000}"/>
    <cellStyle name="Normal 3 6 2 2 5 2" xfId="2136" xr:uid="{774FE3A8-47F9-4540-98F8-07D1E2CC9B54}"/>
    <cellStyle name="Normal 3 6 2 2 5 2 2" xfId="3804" xr:uid="{27634D73-3299-4802-9163-5986F104AF97}"/>
    <cellStyle name="Normal 3 6 2 2 5 3" xfId="1300" xr:uid="{723B9E7C-BD5C-4E0D-95A0-0F092181623C}"/>
    <cellStyle name="Normal 3 6 2 2 5 4" xfId="2970" xr:uid="{2B0A8055-C351-466F-8F08-DAFC9B50B422}"/>
    <cellStyle name="Normal 3 6 2 2 6" xfId="550" xr:uid="{00000000-0005-0000-0000-000066010000}"/>
    <cellStyle name="Normal 3 6 2 2 6 2" xfId="2226" xr:uid="{E9E8494D-F170-41F5-8E1A-373DC6B276B7}"/>
    <cellStyle name="Normal 3 6 2 2 6 2 2" xfId="3894" xr:uid="{3DDD29E0-574A-42D6-9EF6-22A464A9E365}"/>
    <cellStyle name="Normal 3 6 2 2 6 3" xfId="1390" xr:uid="{FCB48FFC-D586-4CC0-8516-D98FC0C03CE8}"/>
    <cellStyle name="Normal 3 6 2 2 6 4" xfId="3060" xr:uid="{66C5A33D-8A58-489D-ADAF-BF7E85DD8803}"/>
    <cellStyle name="Normal 3 6 2 2 7" xfId="640" xr:uid="{00000000-0005-0000-0000-000067010000}"/>
    <cellStyle name="Normal 3 6 2 2 7 2" xfId="2316" xr:uid="{09FA1C02-4E96-4FB4-9731-A110BDCEB96C}"/>
    <cellStyle name="Normal 3 6 2 2 7 2 2" xfId="3984" xr:uid="{D0BCF3AC-DAB2-4349-B43B-ADA12C42479E}"/>
    <cellStyle name="Normal 3 6 2 2 7 3" xfId="1480" xr:uid="{0E7747F8-3439-482E-BC0F-C5D9F16BD098}"/>
    <cellStyle name="Normal 3 6 2 2 7 4" xfId="3150" xr:uid="{7F9DF324-7BE9-4795-A167-F2F78EC82842}"/>
    <cellStyle name="Normal 3 6 2 2 8" xfId="730" xr:uid="{00000000-0005-0000-0000-000068010000}"/>
    <cellStyle name="Normal 3 6 2 2 8 2" xfId="2406" xr:uid="{06D8290B-4D1A-4725-8AAC-D158D6B82295}"/>
    <cellStyle name="Normal 3 6 2 2 8 2 2" xfId="4074" xr:uid="{3251956E-4491-4F5E-8F49-90182298A4AA}"/>
    <cellStyle name="Normal 3 6 2 2 8 3" xfId="1570" xr:uid="{7FC530E6-0571-47EA-9637-90BA73C9B09F}"/>
    <cellStyle name="Normal 3 6 2 2 8 4" xfId="3240" xr:uid="{61036960-7D42-472B-AA5B-EF3685F72B57}"/>
    <cellStyle name="Normal 3 6 2 2 9" xfId="827" xr:uid="{00000000-0005-0000-0000-000069010000}"/>
    <cellStyle name="Normal 3 6 2 2 9 2" xfId="2503" xr:uid="{51BC1CE6-9D03-4F58-BE16-B2879E06F007}"/>
    <cellStyle name="Normal 3 6 2 2 9 2 2" xfId="4171" xr:uid="{1EA8BAA7-A521-4F20-BA22-CD897083F2A0}"/>
    <cellStyle name="Normal 3 6 2 2 9 3" xfId="1667" xr:uid="{E8CA8B7D-55F7-4A35-AFC9-D47611742700}"/>
    <cellStyle name="Normal 3 6 2 2 9 4" xfId="3337" xr:uid="{7AC14B40-FC19-4D0A-BE0D-22BC80BE09E6}"/>
    <cellStyle name="Normal 3 6 2 3" xfId="153" xr:uid="{00000000-0005-0000-0000-00006A010000}"/>
    <cellStyle name="Normal 3 6 2 3 2" xfId="1829" xr:uid="{938B7269-CADA-489C-9E15-D677ED88CE48}"/>
    <cellStyle name="Normal 3 6 2 3 2 2" xfId="3497" xr:uid="{54B8BB17-D6C3-416C-9008-9593923181F3}"/>
    <cellStyle name="Normal 3 6 2 3 3" xfId="993" xr:uid="{444FB030-3537-42E6-AA0F-FF6CA9295852}"/>
    <cellStyle name="Normal 3 6 2 3 4" xfId="2663" xr:uid="{8CD1083A-7323-4327-BF2F-9AE9D9B1F760}"/>
    <cellStyle name="Normal 3 6 2 4" xfId="243" xr:uid="{00000000-0005-0000-0000-00006B010000}"/>
    <cellStyle name="Normal 3 6 2 4 2" xfId="1919" xr:uid="{90C91F54-E84A-49F9-843A-2AC918564763}"/>
    <cellStyle name="Normal 3 6 2 4 2 2" xfId="3587" xr:uid="{92239722-A703-42A0-A75E-D1C96A6D3BFA}"/>
    <cellStyle name="Normal 3 6 2 4 3" xfId="1083" xr:uid="{9F9EC649-ADD2-4E57-9398-D94B7C0C3166}"/>
    <cellStyle name="Normal 3 6 2 4 4" xfId="2753" xr:uid="{3353C018-C78F-4CD1-B9C2-F7F460B45C86}"/>
    <cellStyle name="Normal 3 6 2 5" xfId="333" xr:uid="{00000000-0005-0000-0000-00006C010000}"/>
    <cellStyle name="Normal 3 6 2 5 2" xfId="2009" xr:uid="{BA2DC8F4-8688-43AE-9E02-39C801E6B715}"/>
    <cellStyle name="Normal 3 6 2 5 2 2" xfId="3677" xr:uid="{6D5F8F14-4B65-42E5-B7B7-4AAA569CC01B}"/>
    <cellStyle name="Normal 3 6 2 5 3" xfId="1173" xr:uid="{BACFDE86-490E-4BDE-B99F-4BAE52DC5EB0}"/>
    <cellStyle name="Normal 3 6 2 5 4" xfId="2843" xr:uid="{8BCCB031-F43F-4EC0-B484-6D0FDF4E591C}"/>
    <cellStyle name="Normal 3 6 2 6" xfId="423" xr:uid="{00000000-0005-0000-0000-00006D010000}"/>
    <cellStyle name="Normal 3 6 2 6 2" xfId="2099" xr:uid="{5C5667CD-4311-406B-B5C2-167B49A2C397}"/>
    <cellStyle name="Normal 3 6 2 6 2 2" xfId="3767" xr:uid="{15505E12-964F-48C4-98C0-AECE8B7FE0E4}"/>
    <cellStyle name="Normal 3 6 2 6 3" xfId="1263" xr:uid="{4A489BA2-09C3-4461-AB1E-DFC9C1905D65}"/>
    <cellStyle name="Normal 3 6 2 6 4" xfId="2933" xr:uid="{91EAB0FA-5AB9-4050-A98B-A06E1FABCEB0}"/>
    <cellStyle name="Normal 3 6 2 7" xfId="513" xr:uid="{00000000-0005-0000-0000-00006E010000}"/>
    <cellStyle name="Normal 3 6 2 7 2" xfId="2189" xr:uid="{E14DF360-1145-458E-9E85-CADE297369B2}"/>
    <cellStyle name="Normal 3 6 2 7 2 2" xfId="3857" xr:uid="{9C92BD2A-DF58-40B9-81AA-775A8101C0AC}"/>
    <cellStyle name="Normal 3 6 2 7 3" xfId="1353" xr:uid="{C209DDC0-8240-4AA4-B233-C4059CDE5023}"/>
    <cellStyle name="Normal 3 6 2 7 4" xfId="3023" xr:uid="{7D2B58F9-4CF5-4B1D-AD75-149A7B8D3759}"/>
    <cellStyle name="Normal 3 6 2 8" xfId="603" xr:uid="{00000000-0005-0000-0000-00006F010000}"/>
    <cellStyle name="Normal 3 6 2 8 2" xfId="2279" xr:uid="{BFDFC820-2FAB-49CF-A81E-1F5B6BFCB01D}"/>
    <cellStyle name="Normal 3 6 2 8 2 2" xfId="3947" xr:uid="{E22C1D47-95D5-4917-A9F8-8B903FBEF648}"/>
    <cellStyle name="Normal 3 6 2 8 3" xfId="1443" xr:uid="{144E3EDD-31B3-4D45-B781-C80AD4C5EB62}"/>
    <cellStyle name="Normal 3 6 2 8 4" xfId="3113" xr:uid="{E8753766-381D-465B-8A45-669150E6F402}"/>
    <cellStyle name="Normal 3 6 2 9" xfId="693" xr:uid="{00000000-0005-0000-0000-000070010000}"/>
    <cellStyle name="Normal 3 6 2 9 2" xfId="2369" xr:uid="{3E7C3467-9108-4CDB-A83F-B6ECB6C5BAE8}"/>
    <cellStyle name="Normal 3 6 2 9 2 2" xfId="4037" xr:uid="{782D0413-B3D7-4FDA-AED2-79F5F664EE18}"/>
    <cellStyle name="Normal 3 6 2 9 3" xfId="1533" xr:uid="{FE5DA843-061C-4137-8A01-C39AD3DEF3C9}"/>
    <cellStyle name="Normal 3 6 2 9 4" xfId="3203" xr:uid="{F3F89709-C370-491E-BBB4-DB26E3F2B89C}"/>
    <cellStyle name="Normal 3 6 3" xfId="78" xr:uid="{00000000-0005-0000-0000-000071010000}"/>
    <cellStyle name="Normal 3 6 3 10" xfId="1755" xr:uid="{03FB5171-D86C-4758-B86C-02053593CBDB}"/>
    <cellStyle name="Normal 3 6 3 10 2" xfId="3423" xr:uid="{E5E49A07-CA1E-4A27-8C4E-977E3E46B7E3}"/>
    <cellStyle name="Normal 3 6 3 11" xfId="919" xr:uid="{E36D43E6-9D5F-4881-A345-0142FCE72C0A}"/>
    <cellStyle name="Normal 3 6 3 12" xfId="2589" xr:uid="{051D0DEE-7649-470C-B1E0-DAE0500A8713}"/>
    <cellStyle name="Normal 3 6 3 2" xfId="171" xr:uid="{00000000-0005-0000-0000-000072010000}"/>
    <cellStyle name="Normal 3 6 3 2 2" xfId="1847" xr:uid="{B7F31B12-0C2D-4467-8041-76D0281C0448}"/>
    <cellStyle name="Normal 3 6 3 2 2 2" xfId="3515" xr:uid="{9FB7D849-F3DE-4DBA-B592-40C86584A44D}"/>
    <cellStyle name="Normal 3 6 3 2 3" xfId="1011" xr:uid="{D062D5C2-AC9F-4085-8890-3DCBF915C82D}"/>
    <cellStyle name="Normal 3 6 3 2 4" xfId="2681" xr:uid="{1F88D6A4-143D-493E-A301-DC63714983F6}"/>
    <cellStyle name="Normal 3 6 3 3" xfId="261" xr:uid="{00000000-0005-0000-0000-000073010000}"/>
    <cellStyle name="Normal 3 6 3 3 2" xfId="1937" xr:uid="{D190150B-283F-4B43-9461-2BB29BFCF9CE}"/>
    <cellStyle name="Normal 3 6 3 3 2 2" xfId="3605" xr:uid="{23A7BD14-53AE-4F1A-A947-95C11FE1FFBD}"/>
    <cellStyle name="Normal 3 6 3 3 3" xfId="1101" xr:uid="{43285EAF-5390-4898-84A4-E06B013401CA}"/>
    <cellStyle name="Normal 3 6 3 3 4" xfId="2771" xr:uid="{3D96612B-45C2-43C1-98D9-87F9417A8463}"/>
    <cellStyle name="Normal 3 6 3 4" xfId="351" xr:uid="{00000000-0005-0000-0000-000074010000}"/>
    <cellStyle name="Normal 3 6 3 4 2" xfId="2027" xr:uid="{99CB9EAA-F283-4C81-99F1-60F6B0A42F5B}"/>
    <cellStyle name="Normal 3 6 3 4 2 2" xfId="3695" xr:uid="{4649D765-3F86-4E2D-B2F9-3AC903844590}"/>
    <cellStyle name="Normal 3 6 3 4 3" xfId="1191" xr:uid="{2190205B-F1EF-4671-ADC7-395925EE369F}"/>
    <cellStyle name="Normal 3 6 3 4 4" xfId="2861" xr:uid="{31D62F41-97A4-40F2-A6AE-4A6476D59A50}"/>
    <cellStyle name="Normal 3 6 3 5" xfId="441" xr:uid="{00000000-0005-0000-0000-000075010000}"/>
    <cellStyle name="Normal 3 6 3 5 2" xfId="2117" xr:uid="{CBF9FE87-7FB6-48AE-9A56-88BFA320395A}"/>
    <cellStyle name="Normal 3 6 3 5 2 2" xfId="3785" xr:uid="{CCF78F19-596E-462B-AD55-66B76530F137}"/>
    <cellStyle name="Normal 3 6 3 5 3" xfId="1281" xr:uid="{156E8507-871C-4992-AE5F-AA5FD1E016C0}"/>
    <cellStyle name="Normal 3 6 3 5 4" xfId="2951" xr:uid="{A5FA9B9B-6914-4285-9378-9A333ADBA208}"/>
    <cellStyle name="Normal 3 6 3 6" xfId="531" xr:uid="{00000000-0005-0000-0000-000076010000}"/>
    <cellStyle name="Normal 3 6 3 6 2" xfId="2207" xr:uid="{2165B1D1-916B-472B-BF87-BCD2C2F4DB1E}"/>
    <cellStyle name="Normal 3 6 3 6 2 2" xfId="3875" xr:uid="{8585CA87-EA0E-4879-8FA1-7A805BC54DD2}"/>
    <cellStyle name="Normal 3 6 3 6 3" xfId="1371" xr:uid="{5AB0FF3F-7DDD-42EF-8A2F-18562C2E072C}"/>
    <cellStyle name="Normal 3 6 3 6 4" xfId="3041" xr:uid="{D141B213-243F-441B-9ECF-3A01E4DF0826}"/>
    <cellStyle name="Normal 3 6 3 7" xfId="621" xr:uid="{00000000-0005-0000-0000-000077010000}"/>
    <cellStyle name="Normal 3 6 3 7 2" xfId="2297" xr:uid="{E446CBFC-6FAC-4552-8B44-3DED1F7FB5D1}"/>
    <cellStyle name="Normal 3 6 3 7 2 2" xfId="3965" xr:uid="{208DB5A8-881C-4453-886C-3291F1FC52D0}"/>
    <cellStyle name="Normal 3 6 3 7 3" xfId="1461" xr:uid="{08DE5BE9-F3B6-4D61-AFD4-B5976C6BEAE0}"/>
    <cellStyle name="Normal 3 6 3 7 4" xfId="3131" xr:uid="{D4F9AEAA-2471-4486-A14E-3EC03E01FD00}"/>
    <cellStyle name="Normal 3 6 3 8" xfId="711" xr:uid="{00000000-0005-0000-0000-000078010000}"/>
    <cellStyle name="Normal 3 6 3 8 2" xfId="2387" xr:uid="{8C531C1E-8928-4C96-88C4-D8831504A22F}"/>
    <cellStyle name="Normal 3 6 3 8 2 2" xfId="4055" xr:uid="{23EFAEE4-6C55-4D5F-A578-6205B092A160}"/>
    <cellStyle name="Normal 3 6 3 8 3" xfId="1551" xr:uid="{5C324A4C-1D41-475E-A0B6-FE1C236E9B9C}"/>
    <cellStyle name="Normal 3 6 3 8 4" xfId="3221" xr:uid="{D5C9DFEF-E377-4407-BA69-87ED9AB8162C}"/>
    <cellStyle name="Normal 3 6 3 9" xfId="808" xr:uid="{00000000-0005-0000-0000-000079010000}"/>
    <cellStyle name="Normal 3 6 3 9 2" xfId="2484" xr:uid="{A076C23F-3ED6-4E83-B52D-7C3AF69125B8}"/>
    <cellStyle name="Normal 3 6 3 9 2 2" xfId="4152" xr:uid="{BBF00BE2-ED83-4FE3-A369-CB605609B0DB}"/>
    <cellStyle name="Normal 3 6 3 9 3" xfId="1648" xr:uid="{67B9B9E7-C7AF-4175-8847-085A57D22ACD}"/>
    <cellStyle name="Normal 3 6 3 9 4" xfId="3318" xr:uid="{D69F0204-0469-4A27-AE94-7122BA7754CE}"/>
    <cellStyle name="Normal 3 6 4" xfId="134" xr:uid="{00000000-0005-0000-0000-00007A010000}"/>
    <cellStyle name="Normal 3 6 4 2" xfId="1810" xr:uid="{5C078B5C-FEC4-4DCC-A023-4F615337C5E3}"/>
    <cellStyle name="Normal 3 6 4 2 2" xfId="3478" xr:uid="{3F435320-202A-45F1-8970-B1501822A31D}"/>
    <cellStyle name="Normal 3 6 4 3" xfId="974" xr:uid="{C636ACB6-B23B-4C2E-BCA0-25389C2A9AAD}"/>
    <cellStyle name="Normal 3 6 4 4" xfId="2644" xr:uid="{DFE5FB60-9089-4001-8986-A5F54324C9B2}"/>
    <cellStyle name="Normal 3 6 5" xfId="224" xr:uid="{00000000-0005-0000-0000-00007B010000}"/>
    <cellStyle name="Normal 3 6 5 2" xfId="1900" xr:uid="{006DDF89-A561-40DF-9C3E-444B2B793CC1}"/>
    <cellStyle name="Normal 3 6 5 2 2" xfId="3568" xr:uid="{5AF9DC15-4BF1-41BD-9B61-E5C33BDCA712}"/>
    <cellStyle name="Normal 3 6 5 3" xfId="1064" xr:uid="{DAA52FA8-4753-49FB-A0FF-BD455872B6A9}"/>
    <cellStyle name="Normal 3 6 5 4" xfId="2734" xr:uid="{10137804-08DA-47E5-9E33-E738BC928E92}"/>
    <cellStyle name="Normal 3 6 6" xfId="314" xr:uid="{00000000-0005-0000-0000-00007C010000}"/>
    <cellStyle name="Normal 3 6 6 2" xfId="1990" xr:uid="{C5D99718-BA99-43B2-A783-AC951F8B22E0}"/>
    <cellStyle name="Normal 3 6 6 2 2" xfId="3658" xr:uid="{0CFD26B7-216F-4C4F-BC2F-57B86A91D8A4}"/>
    <cellStyle name="Normal 3 6 6 3" xfId="1154" xr:uid="{0602B13B-DB79-46E1-B1C6-E2955FE55F0A}"/>
    <cellStyle name="Normal 3 6 6 4" xfId="2824" xr:uid="{8BA35C68-C4F6-4A44-A00B-D07340364FB3}"/>
    <cellStyle name="Normal 3 6 7" xfId="404" xr:uid="{00000000-0005-0000-0000-00007D010000}"/>
    <cellStyle name="Normal 3 6 7 2" xfId="2080" xr:uid="{3E3CC2F5-64A3-4A7C-9E29-E729D263A1B0}"/>
    <cellStyle name="Normal 3 6 7 2 2" xfId="3748" xr:uid="{90C7002A-41A0-41D1-88C3-255F1F798227}"/>
    <cellStyle name="Normal 3 6 7 3" xfId="1244" xr:uid="{00586433-4416-4E9D-BDD7-4F4F9B523F07}"/>
    <cellStyle name="Normal 3 6 7 4" xfId="2914" xr:uid="{559C429B-9433-4B8D-8720-1CD7D79D0DC4}"/>
    <cellStyle name="Normal 3 6 8" xfId="494" xr:uid="{00000000-0005-0000-0000-00007E010000}"/>
    <cellStyle name="Normal 3 6 8 2" xfId="2170" xr:uid="{82771EF9-C101-4930-B336-2DA0BD5647BF}"/>
    <cellStyle name="Normal 3 6 8 2 2" xfId="3838" xr:uid="{A15A44D9-8271-4C8F-BB2D-5499696CF593}"/>
    <cellStyle name="Normal 3 6 8 3" xfId="1334" xr:uid="{60FD793D-E4B7-4B6E-9AEE-18DE4CC5DEF4}"/>
    <cellStyle name="Normal 3 6 8 4" xfId="3004" xr:uid="{2797ED04-6849-4EAC-B8B8-E3D138A758CD}"/>
    <cellStyle name="Normal 3 6 9" xfId="584" xr:uid="{00000000-0005-0000-0000-00007F010000}"/>
    <cellStyle name="Normal 3 6 9 2" xfId="2260" xr:uid="{E6278F0A-D4D0-436F-A147-E8C551EACA25}"/>
    <cellStyle name="Normal 3 6 9 2 2" xfId="3928" xr:uid="{D7728E80-9EAA-42FE-87D2-8D5DD8C5F81E}"/>
    <cellStyle name="Normal 3 6 9 3" xfId="1424" xr:uid="{AAB20257-C6CA-4BBE-9D5D-0F8F8A360509}"/>
    <cellStyle name="Normal 3 6 9 4" xfId="3094" xr:uid="{1FDECCC1-A018-4D61-9A51-E2C073476CF6}"/>
    <cellStyle name="Normal 3 7" xfId="42" xr:uid="{00000000-0005-0000-0000-000080010000}"/>
    <cellStyle name="Normal 3 7 10" xfId="774" xr:uid="{00000000-0005-0000-0000-000081010000}"/>
    <cellStyle name="Normal 3 7 10 2" xfId="2450" xr:uid="{0B513164-551D-4DAA-94B8-4981D31A2B02}"/>
    <cellStyle name="Normal 3 7 10 2 2" xfId="4118" xr:uid="{A1068AB7-6EF4-4129-B99D-532AAEDA2D44}"/>
    <cellStyle name="Normal 3 7 10 3" xfId="1614" xr:uid="{9A56F493-FFB2-492F-99E6-32ED9D5B04C4}"/>
    <cellStyle name="Normal 3 7 10 4" xfId="3284" xr:uid="{06C21EF1-CA68-439B-B35B-00E3866E8811}"/>
    <cellStyle name="Normal 3 7 11" xfId="1721" xr:uid="{972A0770-DEB2-48E6-8BE5-33AC27CB9ABE}"/>
    <cellStyle name="Normal 3 7 11 2" xfId="3389" xr:uid="{FF2321C3-3A80-4F77-A524-A54C95E214E2}"/>
    <cellStyle name="Normal 3 7 12" xfId="885" xr:uid="{1371ADE0-EEC0-4BB3-946D-0881FBD96BAB}"/>
    <cellStyle name="Normal 3 7 13" xfId="2555" xr:uid="{24E45726-03FD-4099-AF6B-C26D7E0487CE}"/>
    <cellStyle name="Normal 3 7 2" xfId="82" xr:uid="{00000000-0005-0000-0000-000082010000}"/>
    <cellStyle name="Normal 3 7 2 10" xfId="1759" xr:uid="{DB115606-0867-47BA-BCB8-5309B6E12298}"/>
    <cellStyle name="Normal 3 7 2 10 2" xfId="3427" xr:uid="{00EF6BD2-5E83-4214-86A2-8E0AF5D2350F}"/>
    <cellStyle name="Normal 3 7 2 11" xfId="923" xr:uid="{EA5FD156-C320-4E7C-A337-546A50EA5C98}"/>
    <cellStyle name="Normal 3 7 2 12" xfId="2593" xr:uid="{845C5E2D-74AC-4568-9A68-6F46C5748F1F}"/>
    <cellStyle name="Normal 3 7 2 2" xfId="175" xr:uid="{00000000-0005-0000-0000-000083010000}"/>
    <cellStyle name="Normal 3 7 2 2 2" xfId="1851" xr:uid="{20C9A95F-7F7B-4C47-A299-D46AF185A692}"/>
    <cellStyle name="Normal 3 7 2 2 2 2" xfId="3519" xr:uid="{4D677A18-80F8-41C9-B9CF-28B937DB14E0}"/>
    <cellStyle name="Normal 3 7 2 2 3" xfId="1015" xr:uid="{59B89853-BD01-442D-9B39-3727D5699699}"/>
    <cellStyle name="Normal 3 7 2 2 4" xfId="2685" xr:uid="{CC73D547-0A47-4AB1-ABCC-6608754278CB}"/>
    <cellStyle name="Normal 3 7 2 3" xfId="265" xr:uid="{00000000-0005-0000-0000-000084010000}"/>
    <cellStyle name="Normal 3 7 2 3 2" xfId="1941" xr:uid="{8A54AA7C-D4DD-4B44-8798-AAA09C7A8C30}"/>
    <cellStyle name="Normal 3 7 2 3 2 2" xfId="3609" xr:uid="{6B612AEC-73A9-47AC-A5F6-3EB8E74A7152}"/>
    <cellStyle name="Normal 3 7 2 3 3" xfId="1105" xr:uid="{0B686FB5-91C4-4ECF-8B78-027FFD1B0593}"/>
    <cellStyle name="Normal 3 7 2 3 4" xfId="2775" xr:uid="{0093685D-CCD8-4C24-BA8E-BB850E9A6C83}"/>
    <cellStyle name="Normal 3 7 2 4" xfId="355" xr:uid="{00000000-0005-0000-0000-000085010000}"/>
    <cellStyle name="Normal 3 7 2 4 2" xfId="2031" xr:uid="{D48B5D65-321F-41F9-85E0-54C8D2A04B42}"/>
    <cellStyle name="Normal 3 7 2 4 2 2" xfId="3699" xr:uid="{8FBE8BA2-5AB6-4E88-96A2-B9924F6C06EC}"/>
    <cellStyle name="Normal 3 7 2 4 3" xfId="1195" xr:uid="{11A36C10-DAEC-454B-8C42-B1DE4BEA361E}"/>
    <cellStyle name="Normal 3 7 2 4 4" xfId="2865" xr:uid="{EAC859BC-3B98-4780-BE66-3E3F78DA6040}"/>
    <cellStyle name="Normal 3 7 2 5" xfId="445" xr:uid="{00000000-0005-0000-0000-000086010000}"/>
    <cellStyle name="Normal 3 7 2 5 2" xfId="2121" xr:uid="{085A0E3A-8F04-42FD-AF04-5BC0FC613452}"/>
    <cellStyle name="Normal 3 7 2 5 2 2" xfId="3789" xr:uid="{CB15F5B7-20BE-4C24-BA5D-587176214874}"/>
    <cellStyle name="Normal 3 7 2 5 3" xfId="1285" xr:uid="{1391876C-315E-44F6-8AD2-3D33302895C1}"/>
    <cellStyle name="Normal 3 7 2 5 4" xfId="2955" xr:uid="{63078582-0B25-4E1F-8A6D-14DE2017E6F4}"/>
    <cellStyle name="Normal 3 7 2 6" xfId="535" xr:uid="{00000000-0005-0000-0000-000087010000}"/>
    <cellStyle name="Normal 3 7 2 6 2" xfId="2211" xr:uid="{A13943F4-7D99-43F4-A23F-E883DCD07189}"/>
    <cellStyle name="Normal 3 7 2 6 2 2" xfId="3879" xr:uid="{38196976-7A8B-4949-A88E-003D59D4F4B1}"/>
    <cellStyle name="Normal 3 7 2 6 3" xfId="1375" xr:uid="{D60CCA88-187A-47C5-8DD6-4C7D816E98A3}"/>
    <cellStyle name="Normal 3 7 2 6 4" xfId="3045" xr:uid="{35408D83-4336-4A4E-BE6B-8CC464E94D47}"/>
    <cellStyle name="Normal 3 7 2 7" xfId="625" xr:uid="{00000000-0005-0000-0000-000088010000}"/>
    <cellStyle name="Normal 3 7 2 7 2" xfId="2301" xr:uid="{850F48F7-C9AA-4627-A95F-0859511474B1}"/>
    <cellStyle name="Normal 3 7 2 7 2 2" xfId="3969" xr:uid="{6F85C0BF-FC37-4045-8337-17DE3B76853D}"/>
    <cellStyle name="Normal 3 7 2 7 3" xfId="1465" xr:uid="{B144BC24-6F4F-4AB0-95CE-6CF2381506BE}"/>
    <cellStyle name="Normal 3 7 2 7 4" xfId="3135" xr:uid="{696B0412-EBD2-4A8B-AE13-B4BF31F2201D}"/>
    <cellStyle name="Normal 3 7 2 8" xfId="715" xr:uid="{00000000-0005-0000-0000-000089010000}"/>
    <cellStyle name="Normal 3 7 2 8 2" xfId="2391" xr:uid="{BE5BE588-4F9F-4BEF-BA69-1773664B3929}"/>
    <cellStyle name="Normal 3 7 2 8 2 2" xfId="4059" xr:uid="{8E930902-55F4-40F4-956D-4FFBA01CEB13}"/>
    <cellStyle name="Normal 3 7 2 8 3" xfId="1555" xr:uid="{20F37CC2-B838-403E-A347-AEEDB58723AB}"/>
    <cellStyle name="Normal 3 7 2 8 4" xfId="3225" xr:uid="{4DE7F576-C336-4BE0-A5FB-3F43A7AFD65C}"/>
    <cellStyle name="Normal 3 7 2 9" xfId="812" xr:uid="{00000000-0005-0000-0000-00008A010000}"/>
    <cellStyle name="Normal 3 7 2 9 2" xfId="2488" xr:uid="{A45BF1B1-6BFB-435A-BB7C-A7C69D8356B0}"/>
    <cellStyle name="Normal 3 7 2 9 2 2" xfId="4156" xr:uid="{4BB0511F-DA4E-492F-812B-84D66B3A5A84}"/>
    <cellStyle name="Normal 3 7 2 9 3" xfId="1652" xr:uid="{F1C3C7B8-ABE4-4856-A9F7-9C441E0A6951}"/>
    <cellStyle name="Normal 3 7 2 9 4" xfId="3322" xr:uid="{2BBC542F-7BA0-4472-8B58-A1CC6B6F7EC0}"/>
    <cellStyle name="Normal 3 7 3" xfId="138" xr:uid="{00000000-0005-0000-0000-00008B010000}"/>
    <cellStyle name="Normal 3 7 3 2" xfId="1814" xr:uid="{5D84EE0D-9798-413E-B4AF-A4F846B902B8}"/>
    <cellStyle name="Normal 3 7 3 2 2" xfId="3482" xr:uid="{6AFAE9C0-E9A4-4FFB-A831-37D33F66B5E4}"/>
    <cellStyle name="Normal 3 7 3 3" xfId="978" xr:uid="{DEF265EA-B611-414E-B493-642F40C404A5}"/>
    <cellStyle name="Normal 3 7 3 4" xfId="2648" xr:uid="{7BDD2A7E-867F-417B-A3A8-8989443EA6FE}"/>
    <cellStyle name="Normal 3 7 4" xfId="228" xr:uid="{00000000-0005-0000-0000-00008C010000}"/>
    <cellStyle name="Normal 3 7 4 2" xfId="1904" xr:uid="{29FC9525-008F-486E-B84A-B7DF166B8EE0}"/>
    <cellStyle name="Normal 3 7 4 2 2" xfId="3572" xr:uid="{979EFD69-80C0-4D76-AB92-503DA1F26826}"/>
    <cellStyle name="Normal 3 7 4 3" xfId="1068" xr:uid="{1519E91E-45B9-4CF1-BF9E-7BA54479D8A8}"/>
    <cellStyle name="Normal 3 7 4 4" xfId="2738" xr:uid="{70E71C5B-C723-4298-882C-13DAF17BC339}"/>
    <cellStyle name="Normal 3 7 5" xfId="318" xr:uid="{00000000-0005-0000-0000-00008D010000}"/>
    <cellStyle name="Normal 3 7 5 2" xfId="1994" xr:uid="{D784A49C-2E18-45B3-A261-6992134E38E6}"/>
    <cellStyle name="Normal 3 7 5 2 2" xfId="3662" xr:uid="{E3F47D26-D2B6-4A84-9470-4874F30450FF}"/>
    <cellStyle name="Normal 3 7 5 3" xfId="1158" xr:uid="{76AC0FB7-F4B4-48ED-B7CB-7DAE7FFB4BA0}"/>
    <cellStyle name="Normal 3 7 5 4" xfId="2828" xr:uid="{4ACF8F9E-5663-4826-A33A-311E04A83A0F}"/>
    <cellStyle name="Normal 3 7 6" xfId="408" xr:uid="{00000000-0005-0000-0000-00008E010000}"/>
    <cellStyle name="Normal 3 7 6 2" xfId="2084" xr:uid="{9C7DC130-47B7-48F6-A4AA-9E5C979CA5A0}"/>
    <cellStyle name="Normal 3 7 6 2 2" xfId="3752" xr:uid="{68869B61-6894-4DD2-84A8-6865BE492D2F}"/>
    <cellStyle name="Normal 3 7 6 3" xfId="1248" xr:uid="{F2C25CA7-D3D1-4330-BB38-0BE99286F4D0}"/>
    <cellStyle name="Normal 3 7 6 4" xfId="2918" xr:uid="{A82A2260-CE77-4BB2-AA79-C60CF17C3787}"/>
    <cellStyle name="Normal 3 7 7" xfId="498" xr:uid="{00000000-0005-0000-0000-00008F010000}"/>
    <cellStyle name="Normal 3 7 7 2" xfId="2174" xr:uid="{2E125EC0-0A8B-465F-BF1D-08BFAA03DF54}"/>
    <cellStyle name="Normal 3 7 7 2 2" xfId="3842" xr:uid="{5692926B-DCE9-45E1-9514-BDC4ED0123C2}"/>
    <cellStyle name="Normal 3 7 7 3" xfId="1338" xr:uid="{15275B3B-9EF5-46CB-A1E7-A42DFFDEED6E}"/>
    <cellStyle name="Normal 3 7 7 4" xfId="3008" xr:uid="{2CD21028-C83E-4381-B69E-CA533315BFF0}"/>
    <cellStyle name="Normal 3 7 8" xfId="588" xr:uid="{00000000-0005-0000-0000-000090010000}"/>
    <cellStyle name="Normal 3 7 8 2" xfId="2264" xr:uid="{ADF21545-CCD2-4DA6-BDEF-5BD1181282B0}"/>
    <cellStyle name="Normal 3 7 8 2 2" xfId="3932" xr:uid="{C6F9680E-4828-4DB3-8581-42E96EA9DDE4}"/>
    <cellStyle name="Normal 3 7 8 3" xfId="1428" xr:uid="{7DEA8C35-4030-4FA4-97E0-3296A662A84F}"/>
    <cellStyle name="Normal 3 7 8 4" xfId="3098" xr:uid="{CE1482B4-5161-4F5F-AF44-3230E5CD1D4C}"/>
    <cellStyle name="Normal 3 7 9" xfId="678" xr:uid="{00000000-0005-0000-0000-000091010000}"/>
    <cellStyle name="Normal 3 7 9 2" xfId="2354" xr:uid="{5AE06527-F85D-4EAA-9930-71AFCE1210A8}"/>
    <cellStyle name="Normal 3 7 9 2 2" xfId="4022" xr:uid="{4E0CA2EF-7F3D-4BC2-9DF8-97ED28D4BA04}"/>
    <cellStyle name="Normal 3 7 9 3" xfId="1518" xr:uid="{30878069-9A5D-48A4-AE35-AF771E2C9EC7}"/>
    <cellStyle name="Normal 3 7 9 4" xfId="3188" xr:uid="{B3079737-2AA2-4A0D-BE62-9DB4FD9775FA}"/>
    <cellStyle name="Normal 3 8" xfId="63" xr:uid="{00000000-0005-0000-0000-000092010000}"/>
    <cellStyle name="Normal 3 8 10" xfId="1740" xr:uid="{6F24873F-564A-48E9-9574-AEC045EB2DE9}"/>
    <cellStyle name="Normal 3 8 10 2" xfId="3408" xr:uid="{9629A6C3-E61B-4048-93A2-C3976646941B}"/>
    <cellStyle name="Normal 3 8 11" xfId="904" xr:uid="{F16B8506-D641-4AC2-922B-1AA18E2F3962}"/>
    <cellStyle name="Normal 3 8 12" xfId="2574" xr:uid="{CE129F10-F492-4013-88F6-AD44D8F72D13}"/>
    <cellStyle name="Normal 3 8 2" xfId="156" xr:uid="{00000000-0005-0000-0000-000093010000}"/>
    <cellStyle name="Normal 3 8 2 2" xfId="1832" xr:uid="{8FF2AD55-B99B-4C8B-B3E4-1B2CDB5ED2E4}"/>
    <cellStyle name="Normal 3 8 2 2 2" xfId="3500" xr:uid="{32279F70-8346-4240-98D9-64568F1D8C8B}"/>
    <cellStyle name="Normal 3 8 2 3" xfId="996" xr:uid="{05CA3289-BABE-402B-AEE1-28E3D0CD568C}"/>
    <cellStyle name="Normal 3 8 2 4" xfId="2666" xr:uid="{5F0437FF-FACF-4643-8110-2BB8BB1F44C6}"/>
    <cellStyle name="Normal 3 8 3" xfId="246" xr:uid="{00000000-0005-0000-0000-000094010000}"/>
    <cellStyle name="Normal 3 8 3 2" xfId="1922" xr:uid="{CE2D7F95-A657-47AF-B960-7F74F4E02F96}"/>
    <cellStyle name="Normal 3 8 3 2 2" xfId="3590" xr:uid="{A0C5F609-8BBE-43E3-8444-D49DA96BD4F3}"/>
    <cellStyle name="Normal 3 8 3 3" xfId="1086" xr:uid="{5C28521D-E6F4-4B95-99BD-3BB8A823F89F}"/>
    <cellStyle name="Normal 3 8 3 4" xfId="2756" xr:uid="{AFA4D444-7427-41E7-BB94-552837EF5849}"/>
    <cellStyle name="Normal 3 8 4" xfId="336" xr:uid="{00000000-0005-0000-0000-000095010000}"/>
    <cellStyle name="Normal 3 8 4 2" xfId="2012" xr:uid="{E150796D-34A9-48E6-B6D2-9EED214231F5}"/>
    <cellStyle name="Normal 3 8 4 2 2" xfId="3680" xr:uid="{0BBCDE14-8F1B-407B-B23E-E326A8FA95A4}"/>
    <cellStyle name="Normal 3 8 4 3" xfId="1176" xr:uid="{F6E4670F-CAEB-4AA9-BE21-0495F3962B8E}"/>
    <cellStyle name="Normal 3 8 4 4" xfId="2846" xr:uid="{5185B71B-06E5-471B-A053-15AEDC7B08E1}"/>
    <cellStyle name="Normal 3 8 5" xfId="426" xr:uid="{00000000-0005-0000-0000-000096010000}"/>
    <cellStyle name="Normal 3 8 5 2" xfId="2102" xr:uid="{13FB55CB-399B-48F2-B69C-D21F327091E8}"/>
    <cellStyle name="Normal 3 8 5 2 2" xfId="3770" xr:uid="{08D0E9E6-78BC-4D1E-89A8-DF68194F5FB3}"/>
    <cellStyle name="Normal 3 8 5 3" xfId="1266" xr:uid="{00DB4ECC-5430-4000-9A7D-699788691247}"/>
    <cellStyle name="Normal 3 8 5 4" xfId="2936" xr:uid="{F5411F54-D068-4E3A-9433-5F1A72F1C792}"/>
    <cellStyle name="Normal 3 8 6" xfId="516" xr:uid="{00000000-0005-0000-0000-000097010000}"/>
    <cellStyle name="Normal 3 8 6 2" xfId="2192" xr:uid="{96B170FA-8934-43DD-83EB-D489DA7ECDBE}"/>
    <cellStyle name="Normal 3 8 6 2 2" xfId="3860" xr:uid="{B1D12732-0A36-42A8-AE65-6132A4EC8E8E}"/>
    <cellStyle name="Normal 3 8 6 3" xfId="1356" xr:uid="{7A1C9A78-6C63-4EED-9766-D4611132F035}"/>
    <cellStyle name="Normal 3 8 6 4" xfId="3026" xr:uid="{DBD1C122-113A-468A-8DE1-89979D68D3C2}"/>
    <cellStyle name="Normal 3 8 7" xfId="606" xr:uid="{00000000-0005-0000-0000-000098010000}"/>
    <cellStyle name="Normal 3 8 7 2" xfId="2282" xr:uid="{D3246968-F472-4831-9ED5-18D250041657}"/>
    <cellStyle name="Normal 3 8 7 2 2" xfId="3950" xr:uid="{34703130-93DA-405A-8F3C-85016EFB9D64}"/>
    <cellStyle name="Normal 3 8 7 3" xfId="1446" xr:uid="{1F4C6793-8D5E-4E6B-BD56-61D79715095B}"/>
    <cellStyle name="Normal 3 8 7 4" xfId="3116" xr:uid="{D27B6597-1430-4EF8-9FE0-E12A63DEF0A8}"/>
    <cellStyle name="Normal 3 8 8" xfId="696" xr:uid="{00000000-0005-0000-0000-000099010000}"/>
    <cellStyle name="Normal 3 8 8 2" xfId="2372" xr:uid="{9D72AEF2-5C57-4888-B622-C4E3F494570B}"/>
    <cellStyle name="Normal 3 8 8 2 2" xfId="4040" xr:uid="{E0E90407-DF51-4860-9F50-E0FB81CC50D4}"/>
    <cellStyle name="Normal 3 8 8 3" xfId="1536" xr:uid="{AC47FE91-788A-4160-B90A-D3FB04642AB6}"/>
    <cellStyle name="Normal 3 8 8 4" xfId="3206" xr:uid="{BB53804E-7E9F-4D88-BA5F-260DA3931D1D}"/>
    <cellStyle name="Normal 3 8 9" xfId="793" xr:uid="{00000000-0005-0000-0000-00009A010000}"/>
    <cellStyle name="Normal 3 8 9 2" xfId="2469" xr:uid="{A096A2BA-03F0-4947-AF2F-8FDC270977FC}"/>
    <cellStyle name="Normal 3 8 9 2 2" xfId="4137" xr:uid="{72B0FC3A-3752-4944-8600-577A9D0CF414}"/>
    <cellStyle name="Normal 3 8 9 3" xfId="1633" xr:uid="{5AC1621C-DD1F-4A20-A2F1-F1C17DD06D32}"/>
    <cellStyle name="Normal 3 8 9 4" xfId="3303" xr:uid="{8329A946-027B-4D52-997D-F9E7E9FC2609}"/>
    <cellStyle name="Normal 3 9" xfId="101" xr:uid="{00000000-0005-0000-0000-00009B010000}"/>
    <cellStyle name="Normal 3 9 10" xfId="1777" xr:uid="{CF260EDA-A944-47D3-BB3C-983FB1BE3570}"/>
    <cellStyle name="Normal 3 9 10 2" xfId="3445" xr:uid="{0F422F57-3A50-4499-91BD-5AF372BCC9C4}"/>
    <cellStyle name="Normal 3 9 11" xfId="941" xr:uid="{7F1B0C27-C51D-44D6-BF01-F7C7812568C4}"/>
    <cellStyle name="Normal 3 9 12" xfId="2611" xr:uid="{BF870E7E-1DBD-4718-A571-D302746DBD52}"/>
    <cellStyle name="Normal 3 9 2" xfId="193" xr:uid="{00000000-0005-0000-0000-00009C010000}"/>
    <cellStyle name="Normal 3 9 2 2" xfId="1869" xr:uid="{97181385-F14C-4B6F-8220-1638C1F47D68}"/>
    <cellStyle name="Normal 3 9 2 2 2" xfId="3537" xr:uid="{5EA492A0-2E3C-42E2-AC22-AB42B531C2F4}"/>
    <cellStyle name="Normal 3 9 2 3" xfId="1033" xr:uid="{20E267EE-4746-4B26-A339-8C117048F7BF}"/>
    <cellStyle name="Normal 3 9 2 4" xfId="2703" xr:uid="{E9A6CC4D-8844-4215-A540-95F0E6B0E2D4}"/>
    <cellStyle name="Normal 3 9 3" xfId="283" xr:uid="{00000000-0005-0000-0000-00009D010000}"/>
    <cellStyle name="Normal 3 9 3 2" xfId="1959" xr:uid="{05078E9F-FDFC-4A85-9665-DF3445DB28AE}"/>
    <cellStyle name="Normal 3 9 3 2 2" xfId="3627" xr:uid="{D0A29E22-2168-49AC-A27A-C5A3321ABA48}"/>
    <cellStyle name="Normal 3 9 3 3" xfId="1123" xr:uid="{A5AE571B-D39C-4A83-8DA4-A72B31DDBEF8}"/>
    <cellStyle name="Normal 3 9 3 4" xfId="2793" xr:uid="{AD97229E-9D00-4CAB-BD9D-B377972F8984}"/>
    <cellStyle name="Normal 3 9 4" xfId="373" xr:uid="{00000000-0005-0000-0000-00009E010000}"/>
    <cellStyle name="Normal 3 9 4 2" xfId="2049" xr:uid="{958588B7-E334-4A83-9964-9208E5EF8BCF}"/>
    <cellStyle name="Normal 3 9 4 2 2" xfId="3717" xr:uid="{0882FF1A-B2D1-4995-9D24-AEAF9D57970E}"/>
    <cellStyle name="Normal 3 9 4 3" xfId="1213" xr:uid="{A0D0556E-0A21-4765-8F80-A2A4041E3E06}"/>
    <cellStyle name="Normal 3 9 4 4" xfId="2883" xr:uid="{93C1EC15-60F1-4A9F-BF4A-BC69525BC481}"/>
    <cellStyle name="Normal 3 9 5" xfId="463" xr:uid="{00000000-0005-0000-0000-00009F010000}"/>
    <cellStyle name="Normal 3 9 5 2" xfId="2139" xr:uid="{B9DDA296-7818-4E0C-ABB4-1F5B1CE5A615}"/>
    <cellStyle name="Normal 3 9 5 2 2" xfId="3807" xr:uid="{E5E7565F-95A9-4439-9733-184B0DAD903F}"/>
    <cellStyle name="Normal 3 9 5 3" xfId="1303" xr:uid="{0883CD07-9F81-4F3F-BE86-88E37577613B}"/>
    <cellStyle name="Normal 3 9 5 4" xfId="2973" xr:uid="{9E48A470-223D-4197-A1E5-6BE32BBD5561}"/>
    <cellStyle name="Normal 3 9 6" xfId="553" xr:uid="{00000000-0005-0000-0000-0000A0010000}"/>
    <cellStyle name="Normal 3 9 6 2" xfId="2229" xr:uid="{BF65F1C1-C9F2-4CC5-8B71-03F7D1E60B56}"/>
    <cellStyle name="Normal 3 9 6 2 2" xfId="3897" xr:uid="{F259E535-868F-49A5-8C29-199888196230}"/>
    <cellStyle name="Normal 3 9 6 3" xfId="1393" xr:uid="{2E239311-E07E-4542-A033-853FDA5C3608}"/>
    <cellStyle name="Normal 3 9 6 4" xfId="3063" xr:uid="{47C1B7D0-FAF2-487E-BFD9-BE26284C18B6}"/>
    <cellStyle name="Normal 3 9 7" xfId="643" xr:uid="{00000000-0005-0000-0000-0000A1010000}"/>
    <cellStyle name="Normal 3 9 7 2" xfId="2319" xr:uid="{8AEDD194-07E1-4EA5-8041-A7C6DD42F1CB}"/>
    <cellStyle name="Normal 3 9 7 2 2" xfId="3987" xr:uid="{43E089C0-26FC-42E2-8B48-0083882EB160}"/>
    <cellStyle name="Normal 3 9 7 3" xfId="1483" xr:uid="{8AE23710-28B8-4EA9-A515-FFBE71529142}"/>
    <cellStyle name="Normal 3 9 7 4" xfId="3153" xr:uid="{954F6D89-A3E0-46AC-82E8-BAEB3850C4ED}"/>
    <cellStyle name="Normal 3 9 8" xfId="733" xr:uid="{00000000-0005-0000-0000-0000A2010000}"/>
    <cellStyle name="Normal 3 9 8 2" xfId="2409" xr:uid="{DB4BB723-47C7-4071-BACC-BB1AAE4CC9A7}"/>
    <cellStyle name="Normal 3 9 8 2 2" xfId="4077" xr:uid="{0FDE9E03-0A8C-4C39-97B3-B06236D11D5D}"/>
    <cellStyle name="Normal 3 9 8 3" xfId="1573" xr:uid="{0CCA86DC-EAE2-46CC-8D0E-88AF6DAE7535}"/>
    <cellStyle name="Normal 3 9 8 4" xfId="3243" xr:uid="{DC0A91C5-7281-45DF-A098-7B5EE3BC6032}"/>
    <cellStyle name="Normal 3 9 9" xfId="830" xr:uid="{00000000-0005-0000-0000-0000A3010000}"/>
    <cellStyle name="Normal 3 9 9 2" xfId="2506" xr:uid="{3CF57202-3191-4ACB-A168-D9E038C3DB19}"/>
    <cellStyle name="Normal 3 9 9 2 2" xfId="4174" xr:uid="{FAC49AA0-1DA2-45DA-90DF-8CC3C76950AB}"/>
    <cellStyle name="Normal 3 9 9 3" xfId="1670" xr:uid="{9A39DBDE-91D0-4969-996D-F426CFE86E64}"/>
    <cellStyle name="Normal 3 9 9 4" xfId="3340" xr:uid="{6A4103C4-BC52-4943-B5BD-A1ECE721C34C}"/>
    <cellStyle name="Normal 4" xfId="12" xr:uid="{00000000-0005-0000-0000-0000A4010000}"/>
    <cellStyle name="Normal 5" xfId="9" xr:uid="{00000000-0005-0000-0000-0000A5010000}"/>
    <cellStyle name="Normal 5 2" xfId="5" xr:uid="{00000000-0005-0000-0000-0000A6010000}"/>
    <cellStyle name="Normal 5 3" xfId="32" xr:uid="{00000000-0005-0000-0000-0000A7010000}"/>
    <cellStyle name="Normal 5 3 2" xfId="54" xr:uid="{00000000-0005-0000-0000-0000A8010000}"/>
    <cellStyle name="Normal 5 4" xfId="19" xr:uid="{00000000-0005-0000-0000-0000A9010000}"/>
    <cellStyle name="Normal 6" xfId="18" xr:uid="{00000000-0005-0000-0000-0000AA010000}"/>
    <cellStyle name="Normal 6 10" xfId="660" xr:uid="{00000000-0005-0000-0000-0000AB010000}"/>
    <cellStyle name="Normal 6 10 2" xfId="2336" xr:uid="{0A9C3853-4DC6-4BA6-A65F-C612F5444DA7}"/>
    <cellStyle name="Normal 6 10 2 2" xfId="4004" xr:uid="{E076DFF0-82B0-4922-B5C2-7A0B338A3785}"/>
    <cellStyle name="Normal 6 10 3" xfId="1500" xr:uid="{BE6370AA-9BA4-44E9-9AC1-3178B401AD12}"/>
    <cellStyle name="Normal 6 10 4" xfId="3170" xr:uid="{EA8D862B-DC94-48BB-84BF-9B1435C6A921}"/>
    <cellStyle name="Normal 6 11" xfId="754" xr:uid="{00000000-0005-0000-0000-0000AC010000}"/>
    <cellStyle name="Normal 6 11 2" xfId="2430" xr:uid="{D20D52F2-322A-4E99-BBC9-E7F6236B7E12}"/>
    <cellStyle name="Normal 6 11 2 2" xfId="4098" xr:uid="{B32131E5-68D4-4104-B670-263071FACFF7}"/>
    <cellStyle name="Normal 6 11 3" xfId="1594" xr:uid="{D43216CD-6F0F-4572-A3BC-180A3CB6123C}"/>
    <cellStyle name="Normal 6 11 4" xfId="3264" xr:uid="{515D6F27-30A8-457B-8BFE-7407DF76F710}"/>
    <cellStyle name="Normal 6 12" xfId="1701" xr:uid="{EFC7A9A5-629F-4DFA-8138-CF728555AE8A}"/>
    <cellStyle name="Normal 6 12 2" xfId="3369" xr:uid="{30158033-44D9-4F15-AF52-B45A1FBE7930}"/>
    <cellStyle name="Normal 6 13" xfId="865" xr:uid="{92135527-CAA5-4F23-9361-E0081D0065C9}"/>
    <cellStyle name="Normal 6 14" xfId="2535" xr:uid="{F5127C1E-9CC4-4FAC-AEE7-830323DCB8E4}"/>
    <cellStyle name="Normal 6 2" xfId="41" xr:uid="{00000000-0005-0000-0000-0000AD010000}"/>
    <cellStyle name="Normal 6 2 10" xfId="773" xr:uid="{00000000-0005-0000-0000-0000AE010000}"/>
    <cellStyle name="Normal 6 2 10 2" xfId="2449" xr:uid="{D27800D2-4B67-47E9-ACFE-D61AFE29C9C8}"/>
    <cellStyle name="Normal 6 2 10 2 2" xfId="4117" xr:uid="{F24DDB92-CCA6-40F6-9F9D-1D23C59DFDBD}"/>
    <cellStyle name="Normal 6 2 10 3" xfId="1613" xr:uid="{B09BFB1C-0C58-4795-BD82-28F95726C9D7}"/>
    <cellStyle name="Normal 6 2 10 4" xfId="3283" xr:uid="{7EEB0F63-F28F-45CF-B458-DB9FE00E6700}"/>
    <cellStyle name="Normal 6 2 11" xfId="1720" xr:uid="{799E019D-1E7F-4C64-BC0A-1D3EC82C2B91}"/>
    <cellStyle name="Normal 6 2 11 2" xfId="3388" xr:uid="{EFE7C3E7-FA0F-42B2-A9AC-224BAFEC5638}"/>
    <cellStyle name="Normal 6 2 12" xfId="884" xr:uid="{4208B9AD-816A-4F05-8032-952DB5432115}"/>
    <cellStyle name="Normal 6 2 13" xfId="2554" xr:uid="{074658C5-69DA-4FF0-920B-AB6BFCACA3D0}"/>
    <cellStyle name="Normal 6 2 2" xfId="81" xr:uid="{00000000-0005-0000-0000-0000AF010000}"/>
    <cellStyle name="Normal 6 2 2 10" xfId="1758" xr:uid="{FD923996-E454-441E-BBC0-1FF63B56B570}"/>
    <cellStyle name="Normal 6 2 2 10 2" xfId="3426" xr:uid="{5008A729-A274-43A7-B4E8-0F6983B9E23E}"/>
    <cellStyle name="Normal 6 2 2 11" xfId="922" xr:uid="{9AC40A32-A2C5-4F7C-9C85-D131C0B75B7A}"/>
    <cellStyle name="Normal 6 2 2 12" xfId="2592" xr:uid="{62FAB12A-88FC-43F0-BE26-55CC75CD7E87}"/>
    <cellStyle name="Normal 6 2 2 2" xfId="174" xr:uid="{00000000-0005-0000-0000-0000B0010000}"/>
    <cellStyle name="Normal 6 2 2 2 2" xfId="1850" xr:uid="{037BCAC8-42E9-4726-AB27-E33952BA9A75}"/>
    <cellStyle name="Normal 6 2 2 2 2 2" xfId="3518" xr:uid="{F249916D-A006-45E9-AE51-37D28ED1F3AE}"/>
    <cellStyle name="Normal 6 2 2 2 3" xfId="1014" xr:uid="{CEC9C229-9A61-4CBF-AC63-74A6AB198849}"/>
    <cellStyle name="Normal 6 2 2 2 4" xfId="2684" xr:uid="{D789FB95-AD4C-4EFA-B126-277C6ECC814E}"/>
    <cellStyle name="Normal 6 2 2 3" xfId="264" xr:uid="{00000000-0005-0000-0000-0000B1010000}"/>
    <cellStyle name="Normal 6 2 2 3 2" xfId="1940" xr:uid="{1132A754-33F8-4F06-B844-83CA4C1CEFD9}"/>
    <cellStyle name="Normal 6 2 2 3 2 2" xfId="3608" xr:uid="{B410689F-C497-4EC9-973C-BC5B78A6780C}"/>
    <cellStyle name="Normal 6 2 2 3 3" xfId="1104" xr:uid="{2EFF3F56-0E55-4A7E-B8D0-EF0282B7E6CE}"/>
    <cellStyle name="Normal 6 2 2 3 4" xfId="2774" xr:uid="{7CC9D73A-9A22-4AF7-8E1C-6A80FB597288}"/>
    <cellStyle name="Normal 6 2 2 4" xfId="354" xr:uid="{00000000-0005-0000-0000-0000B2010000}"/>
    <cellStyle name="Normal 6 2 2 4 2" xfId="2030" xr:uid="{2DDB5FBE-F13C-46AF-AE3B-6369F4944481}"/>
    <cellStyle name="Normal 6 2 2 4 2 2" xfId="3698" xr:uid="{9C6E6A54-77D5-49F6-AA94-8152343E68A5}"/>
    <cellStyle name="Normal 6 2 2 4 3" xfId="1194" xr:uid="{1A380912-F0B5-4C85-8CE9-549BD2328715}"/>
    <cellStyle name="Normal 6 2 2 4 4" xfId="2864" xr:uid="{347A139C-A1D5-459F-8C32-63B15A0C9130}"/>
    <cellStyle name="Normal 6 2 2 5" xfId="444" xr:uid="{00000000-0005-0000-0000-0000B3010000}"/>
    <cellStyle name="Normal 6 2 2 5 2" xfId="2120" xr:uid="{27E84151-22E8-4346-8470-A2A96A23D3EE}"/>
    <cellStyle name="Normal 6 2 2 5 2 2" xfId="3788" xr:uid="{407AF3F9-7951-477F-A56A-2A6E42EBE8A5}"/>
    <cellStyle name="Normal 6 2 2 5 3" xfId="1284" xr:uid="{29CC3792-1429-4493-AA65-EDE482E2493A}"/>
    <cellStyle name="Normal 6 2 2 5 4" xfId="2954" xr:uid="{EA9B33ED-A6B1-4A4B-9EE4-CF188CA35F8D}"/>
    <cellStyle name="Normal 6 2 2 6" xfId="534" xr:uid="{00000000-0005-0000-0000-0000B4010000}"/>
    <cellStyle name="Normal 6 2 2 6 2" xfId="2210" xr:uid="{26E814AB-FA78-4979-84A8-B2BD1AF40A0D}"/>
    <cellStyle name="Normal 6 2 2 6 2 2" xfId="3878" xr:uid="{1FBD0F77-63E2-4F63-841A-3EA9B8CC00C3}"/>
    <cellStyle name="Normal 6 2 2 6 3" xfId="1374" xr:uid="{756B8622-52EB-4030-8CE1-4DA4BF19980A}"/>
    <cellStyle name="Normal 6 2 2 6 4" xfId="3044" xr:uid="{43A58EF1-0859-49A8-850F-22EC3B1C8813}"/>
    <cellStyle name="Normal 6 2 2 7" xfId="624" xr:uid="{00000000-0005-0000-0000-0000B5010000}"/>
    <cellStyle name="Normal 6 2 2 7 2" xfId="2300" xr:uid="{8224F8B2-9B30-4948-97DE-2243ABC5DCC7}"/>
    <cellStyle name="Normal 6 2 2 7 2 2" xfId="3968" xr:uid="{57B41E43-0CDF-4E47-8237-AAB76E12E6D2}"/>
    <cellStyle name="Normal 6 2 2 7 3" xfId="1464" xr:uid="{4B4C9B16-E389-4529-A527-AA2343B715EE}"/>
    <cellStyle name="Normal 6 2 2 7 4" xfId="3134" xr:uid="{CB2A0F7B-1754-4292-84AE-2B143F0A1381}"/>
    <cellStyle name="Normal 6 2 2 8" xfId="714" xr:uid="{00000000-0005-0000-0000-0000B6010000}"/>
    <cellStyle name="Normal 6 2 2 8 2" xfId="2390" xr:uid="{D1CC6103-E7C2-429B-BCD4-AEE7E67EE44C}"/>
    <cellStyle name="Normal 6 2 2 8 2 2" xfId="4058" xr:uid="{26207301-B4BF-4B85-A336-D4FCEC7145EA}"/>
    <cellStyle name="Normal 6 2 2 8 3" xfId="1554" xr:uid="{D53CD79D-7FBC-4DB6-8795-C5375436B1F3}"/>
    <cellStyle name="Normal 6 2 2 8 4" xfId="3224" xr:uid="{B25B392D-33C9-4F35-BA61-5C62CC83C298}"/>
    <cellStyle name="Normal 6 2 2 9" xfId="811" xr:uid="{00000000-0005-0000-0000-0000B7010000}"/>
    <cellStyle name="Normal 6 2 2 9 2" xfId="2487" xr:uid="{C775BABC-368E-44C3-86CD-3490473B9ED5}"/>
    <cellStyle name="Normal 6 2 2 9 2 2" xfId="4155" xr:uid="{D5EEC5E7-B94F-42D8-BA98-42C05A08D5A3}"/>
    <cellStyle name="Normal 6 2 2 9 3" xfId="1651" xr:uid="{E317F028-F742-45C8-90B6-103DE99D5044}"/>
    <cellStyle name="Normal 6 2 2 9 4" xfId="3321" xr:uid="{0044B112-DB9F-41E5-A59A-6BBD3D70A10F}"/>
    <cellStyle name="Normal 6 2 3" xfId="137" xr:uid="{00000000-0005-0000-0000-0000B8010000}"/>
    <cellStyle name="Normal 6 2 3 2" xfId="1813" xr:uid="{B83EE620-21E5-4D68-8770-CE0656639E9B}"/>
    <cellStyle name="Normal 6 2 3 2 2" xfId="3481" xr:uid="{AD959EAB-0C5A-460D-A604-076AA29BC2B5}"/>
    <cellStyle name="Normal 6 2 3 3" xfId="977" xr:uid="{13BF9D16-C081-47EF-8E13-4FA7EEFDDAB6}"/>
    <cellStyle name="Normal 6 2 3 4" xfId="2647" xr:uid="{B9AA92D7-DA29-4D02-9B01-C98D5C409BDF}"/>
    <cellStyle name="Normal 6 2 4" xfId="227" xr:uid="{00000000-0005-0000-0000-0000B9010000}"/>
    <cellStyle name="Normal 6 2 4 2" xfId="1903" xr:uid="{16320E45-E510-4623-B530-DFDFD6DB2C2B}"/>
    <cellStyle name="Normal 6 2 4 2 2" xfId="3571" xr:uid="{1A20FD51-C97F-44DE-B6D0-AFDF41BD6B82}"/>
    <cellStyle name="Normal 6 2 4 3" xfId="1067" xr:uid="{D75DD530-DAF8-45FA-B93F-4602B58E8989}"/>
    <cellStyle name="Normal 6 2 4 4" xfId="2737" xr:uid="{0CBA0655-83C4-472A-A5D2-D4A15AFE1868}"/>
    <cellStyle name="Normal 6 2 5" xfId="317" xr:uid="{00000000-0005-0000-0000-0000BA010000}"/>
    <cellStyle name="Normal 6 2 5 2" xfId="1993" xr:uid="{D5A40CC3-59CC-4086-BCA4-146147F6C652}"/>
    <cellStyle name="Normal 6 2 5 2 2" xfId="3661" xr:uid="{8B5E992C-7D6C-48A8-AF7C-C72F2DD5EC9B}"/>
    <cellStyle name="Normal 6 2 5 3" xfId="1157" xr:uid="{BD78C61D-7CE9-4EBF-BC21-74C29596F93B}"/>
    <cellStyle name="Normal 6 2 5 4" xfId="2827" xr:uid="{3399EC53-D271-4624-84FB-3FD9BB244B91}"/>
    <cellStyle name="Normal 6 2 6" xfId="407" xr:uid="{00000000-0005-0000-0000-0000BB010000}"/>
    <cellStyle name="Normal 6 2 6 2" xfId="2083" xr:uid="{7A785C2A-8B30-45C8-A290-ADD30A90A152}"/>
    <cellStyle name="Normal 6 2 6 2 2" xfId="3751" xr:uid="{926979AC-3052-439C-8FAC-82C8A4EF514C}"/>
    <cellStyle name="Normal 6 2 6 3" xfId="1247" xr:uid="{8DD92CA0-1AE6-4F99-841E-91D235F967F0}"/>
    <cellStyle name="Normal 6 2 6 4" xfId="2917" xr:uid="{269E5681-E713-4F0C-B5A2-F3CAA089667A}"/>
    <cellStyle name="Normal 6 2 7" xfId="497" xr:uid="{00000000-0005-0000-0000-0000BC010000}"/>
    <cellStyle name="Normal 6 2 7 2" xfId="2173" xr:uid="{21DEF6A4-5883-4411-AB8C-607213C8C885}"/>
    <cellStyle name="Normal 6 2 7 2 2" xfId="3841" xr:uid="{71476B00-EB0D-4164-8546-D01FE1D62D6F}"/>
    <cellStyle name="Normal 6 2 7 3" xfId="1337" xr:uid="{BB3E388B-3435-4205-9E42-96D1F9743BA2}"/>
    <cellStyle name="Normal 6 2 7 4" xfId="3007" xr:uid="{6D58B6E4-0929-45EA-9032-0D0C9E8EE3FB}"/>
    <cellStyle name="Normal 6 2 8" xfId="587" xr:uid="{00000000-0005-0000-0000-0000BD010000}"/>
    <cellStyle name="Normal 6 2 8 2" xfId="2263" xr:uid="{F46865B2-D7D6-4556-AE2A-8BC489F197AB}"/>
    <cellStyle name="Normal 6 2 8 2 2" xfId="3931" xr:uid="{A6470089-EAEC-46C7-B85B-3531306A4C93}"/>
    <cellStyle name="Normal 6 2 8 3" xfId="1427" xr:uid="{E931D158-ECD8-4AD6-959F-9788CD1F2F75}"/>
    <cellStyle name="Normal 6 2 8 4" xfId="3097" xr:uid="{56AFF601-9F7A-4E89-A74D-21EC7528624A}"/>
    <cellStyle name="Normal 6 2 9" xfId="677" xr:uid="{00000000-0005-0000-0000-0000BE010000}"/>
    <cellStyle name="Normal 6 2 9 2" xfId="2353" xr:uid="{52B6C89B-F08F-4302-BF8C-DFD7A79F53EC}"/>
    <cellStyle name="Normal 6 2 9 2 2" xfId="4021" xr:uid="{CD23A969-2EA3-4102-8D9D-8C02DB04E986}"/>
    <cellStyle name="Normal 6 2 9 3" xfId="1517" xr:uid="{44599640-E693-4D7C-83BE-16CB5DC28511}"/>
    <cellStyle name="Normal 6 2 9 4" xfId="3187" xr:uid="{0374F3C6-276B-4511-B567-14320935924C}"/>
    <cellStyle name="Normal 6 3" xfId="62" xr:uid="{00000000-0005-0000-0000-0000BF010000}"/>
    <cellStyle name="Normal 6 3 10" xfId="1739" xr:uid="{59618FBB-5A4F-4CB2-AF94-391315B7904E}"/>
    <cellStyle name="Normal 6 3 10 2" xfId="3407" xr:uid="{0B25C5A0-A8E5-48F2-BBFE-8CE0FCB85943}"/>
    <cellStyle name="Normal 6 3 11" xfId="903" xr:uid="{D98DA199-A235-4859-8A5B-FDE1279CDC9F}"/>
    <cellStyle name="Normal 6 3 12" xfId="2573" xr:uid="{82A12A7E-9697-425B-A5DA-71187D7D7F03}"/>
    <cellStyle name="Normal 6 3 2" xfId="155" xr:uid="{00000000-0005-0000-0000-0000C0010000}"/>
    <cellStyle name="Normal 6 3 2 2" xfId="1831" xr:uid="{618EC7E2-DDD0-4FCB-B264-F0D25B4B85C8}"/>
    <cellStyle name="Normal 6 3 2 2 2" xfId="3499" xr:uid="{172F267E-262B-4D74-A178-F5ADA9F283DE}"/>
    <cellStyle name="Normal 6 3 2 3" xfId="995" xr:uid="{CAC1010F-9157-4CCB-B73F-55FBC98BA3E4}"/>
    <cellStyle name="Normal 6 3 2 4" xfId="2665" xr:uid="{6AA065D4-C0E7-4828-9F4E-F69C6B16F7ED}"/>
    <cellStyle name="Normal 6 3 3" xfId="245" xr:uid="{00000000-0005-0000-0000-0000C1010000}"/>
    <cellStyle name="Normal 6 3 3 2" xfId="1921" xr:uid="{01040952-F186-4977-A991-D74892A9018B}"/>
    <cellStyle name="Normal 6 3 3 2 2" xfId="3589" xr:uid="{9A89C2C4-7B7D-4DF9-91D9-B4BA09EFEBC9}"/>
    <cellStyle name="Normal 6 3 3 3" xfId="1085" xr:uid="{B3276FC6-E2CA-40D1-B89F-5DA6A4A866FA}"/>
    <cellStyle name="Normal 6 3 3 4" xfId="2755" xr:uid="{EE1C4AFE-244E-4377-8C21-E653984EADD7}"/>
    <cellStyle name="Normal 6 3 4" xfId="335" xr:uid="{00000000-0005-0000-0000-0000C2010000}"/>
    <cellStyle name="Normal 6 3 4 2" xfId="2011" xr:uid="{2714A7E8-C8BE-47F8-8996-E8121ED60012}"/>
    <cellStyle name="Normal 6 3 4 2 2" xfId="3679" xr:uid="{217517BF-28AA-410D-BEE2-377F057A8E4C}"/>
    <cellStyle name="Normal 6 3 4 3" xfId="1175" xr:uid="{A40A3405-68B1-414F-BF9E-F1622742DD19}"/>
    <cellStyle name="Normal 6 3 4 4" xfId="2845" xr:uid="{4CFA5AE7-72B3-4732-8828-9A329B409B81}"/>
    <cellStyle name="Normal 6 3 5" xfId="425" xr:uid="{00000000-0005-0000-0000-0000C3010000}"/>
    <cellStyle name="Normal 6 3 5 2" xfId="2101" xr:uid="{980CC945-F50D-4B5E-BD6D-78AEE68D47DE}"/>
    <cellStyle name="Normal 6 3 5 2 2" xfId="3769" xr:uid="{5288B7A4-7EF0-4B63-96B8-31AB1801957A}"/>
    <cellStyle name="Normal 6 3 5 3" xfId="1265" xr:uid="{D6DCF0F7-87B2-46E0-B5CF-4B2CADB7E132}"/>
    <cellStyle name="Normal 6 3 5 4" xfId="2935" xr:uid="{7BD4909E-425A-4D41-9C4B-65439D16FE4C}"/>
    <cellStyle name="Normal 6 3 6" xfId="515" xr:uid="{00000000-0005-0000-0000-0000C4010000}"/>
    <cellStyle name="Normal 6 3 6 2" xfId="2191" xr:uid="{C313F03C-2BEB-4180-B5C4-E93613729CB7}"/>
    <cellStyle name="Normal 6 3 6 2 2" xfId="3859" xr:uid="{25F12769-AB94-4793-89BC-B7B904ADD58E}"/>
    <cellStyle name="Normal 6 3 6 3" xfId="1355" xr:uid="{B78CC5A5-12A1-4BF4-A8B0-2FBB12082787}"/>
    <cellStyle name="Normal 6 3 6 4" xfId="3025" xr:uid="{7470DC9C-CA73-4D01-8BB1-5E563F5C1AD4}"/>
    <cellStyle name="Normal 6 3 7" xfId="605" xr:uid="{00000000-0005-0000-0000-0000C5010000}"/>
    <cellStyle name="Normal 6 3 7 2" xfId="2281" xr:uid="{0C8D7742-C3DD-4F9E-BD56-9DB7355CAB97}"/>
    <cellStyle name="Normal 6 3 7 2 2" xfId="3949" xr:uid="{CB41965E-FCDB-490B-9F0B-94693E18480C}"/>
    <cellStyle name="Normal 6 3 7 3" xfId="1445" xr:uid="{ED2DA928-BC5C-4513-AF82-5D078148952E}"/>
    <cellStyle name="Normal 6 3 7 4" xfId="3115" xr:uid="{F7F56FEF-0511-4E5D-95BB-EA3FA82DB4C6}"/>
    <cellStyle name="Normal 6 3 8" xfId="695" xr:uid="{00000000-0005-0000-0000-0000C6010000}"/>
    <cellStyle name="Normal 6 3 8 2" xfId="2371" xr:uid="{FE65B240-3695-4900-9E02-F4DDEC11A3FB}"/>
    <cellStyle name="Normal 6 3 8 2 2" xfId="4039" xr:uid="{4F782586-7CA0-4CD0-A594-983092CF574F}"/>
    <cellStyle name="Normal 6 3 8 3" xfId="1535" xr:uid="{022F5C69-102B-4829-9C9E-C4D528257CCF}"/>
    <cellStyle name="Normal 6 3 8 4" xfId="3205" xr:uid="{90C6C9AA-B029-474C-9C5D-CFDC626011E8}"/>
    <cellStyle name="Normal 6 3 9" xfId="792" xr:uid="{00000000-0005-0000-0000-0000C7010000}"/>
    <cellStyle name="Normal 6 3 9 2" xfId="2468" xr:uid="{8E586E7A-A758-4796-84EA-B2AD924F8CB6}"/>
    <cellStyle name="Normal 6 3 9 2 2" xfId="4136" xr:uid="{A669EF39-E10F-4658-9062-CA08A4D58F12}"/>
    <cellStyle name="Normal 6 3 9 3" xfId="1632" xr:uid="{709E035F-1FB8-4CD1-8196-77CF5B4F26C5}"/>
    <cellStyle name="Normal 6 3 9 4" xfId="3302" xr:uid="{2FB405CF-1892-4532-8DFA-261EF38997B8}"/>
    <cellStyle name="Normal 6 4" xfId="120" xr:uid="{00000000-0005-0000-0000-0000C8010000}"/>
    <cellStyle name="Normal 6 4 2" xfId="1796" xr:uid="{F5DD3E2D-A873-4CB7-9C43-3A737197394A}"/>
    <cellStyle name="Normal 6 4 2 2" xfId="3464" xr:uid="{DD9FD1A8-3FA9-4A5C-924C-DA780EF2E690}"/>
    <cellStyle name="Normal 6 4 3" xfId="960" xr:uid="{2B1159F5-B495-461D-97EE-B3B78463C1A7}"/>
    <cellStyle name="Normal 6 4 4" xfId="2630" xr:uid="{0FB544C8-07A1-475D-8EDB-CDCD296018C3}"/>
    <cellStyle name="Normal 6 5" xfId="210" xr:uid="{00000000-0005-0000-0000-0000C9010000}"/>
    <cellStyle name="Normal 6 5 2" xfId="1886" xr:uid="{5746D6EB-3BEE-47E7-9AC3-C5E6B3F1E3EC}"/>
    <cellStyle name="Normal 6 5 2 2" xfId="3554" xr:uid="{B2800072-9035-42B1-87AA-DBD637A10810}"/>
    <cellStyle name="Normal 6 5 3" xfId="1050" xr:uid="{777E06DC-04FB-49CC-BC3C-CF742E9E3EF1}"/>
    <cellStyle name="Normal 6 5 4" xfId="2720" xr:uid="{6FA39AD2-9C35-4130-9D83-84B7DAB7A88F}"/>
    <cellStyle name="Normal 6 6" xfId="300" xr:uid="{00000000-0005-0000-0000-0000CA010000}"/>
    <cellStyle name="Normal 6 6 2" xfId="1976" xr:uid="{1031E839-95F7-4725-A31F-300F64CAE6BB}"/>
    <cellStyle name="Normal 6 6 2 2" xfId="3644" xr:uid="{548DEA75-C5ED-4EDC-A6C8-64FD49301F73}"/>
    <cellStyle name="Normal 6 6 3" xfId="1140" xr:uid="{6FFEADC7-E390-42D1-B555-6B76C283E289}"/>
    <cellStyle name="Normal 6 6 4" xfId="2810" xr:uid="{A04FF955-4609-4E84-9308-C11A165562D0}"/>
    <cellStyle name="Normal 6 7" xfId="390" xr:uid="{00000000-0005-0000-0000-0000CB010000}"/>
    <cellStyle name="Normal 6 7 2" xfId="2066" xr:uid="{BEA54BAE-5C66-40E2-90D6-9C059C6A1C0D}"/>
    <cellStyle name="Normal 6 7 2 2" xfId="3734" xr:uid="{30B20589-DE75-4C11-A15A-4CD52FA2DE34}"/>
    <cellStyle name="Normal 6 7 3" xfId="1230" xr:uid="{605C4928-2CE4-49BB-8AEE-7CA5F254E8C6}"/>
    <cellStyle name="Normal 6 7 4" xfId="2900" xr:uid="{ACE262DD-D0F7-4244-B81D-2E1BB96AE4DF}"/>
    <cellStyle name="Normal 6 8" xfId="480" xr:uid="{00000000-0005-0000-0000-0000CC010000}"/>
    <cellStyle name="Normal 6 8 2" xfId="2156" xr:uid="{656E9779-03E6-488D-928F-FA77120BD627}"/>
    <cellStyle name="Normal 6 8 2 2" xfId="3824" xr:uid="{84FE4E75-0BA5-4B8B-AB01-9FB2AFE7522C}"/>
    <cellStyle name="Normal 6 8 3" xfId="1320" xr:uid="{D79BBBC1-CBFC-479F-B3AD-CAA14FC3671F}"/>
    <cellStyle name="Normal 6 8 4" xfId="2990" xr:uid="{E4B6EF08-A852-412E-9925-1A54C0D74A7D}"/>
    <cellStyle name="Normal 6 9" xfId="570" xr:uid="{00000000-0005-0000-0000-0000CD010000}"/>
    <cellStyle name="Normal 6 9 2" xfId="2246" xr:uid="{987E6B15-5FEE-49CD-9AD9-4C8336D30DAC}"/>
    <cellStyle name="Normal 6 9 2 2" xfId="3914" xr:uid="{370824D9-046C-4112-B10C-21B181A5A02B}"/>
    <cellStyle name="Normal 6 9 3" xfId="1410" xr:uid="{A9CD769A-7573-4B0B-B72F-1DC67FE9D161}"/>
    <cellStyle name="Normal 6 9 4" xfId="3080" xr:uid="{0A45E545-DD9A-46E1-AE1E-EA3F8BDA9D50}"/>
    <cellStyle name="Normal 7" xfId="22" xr:uid="{00000000-0005-0000-0000-0000CE010000}"/>
    <cellStyle name="Normal 7 10" xfId="661" xr:uid="{00000000-0005-0000-0000-0000CF010000}"/>
    <cellStyle name="Normal 7 10 2" xfId="2337" xr:uid="{EC3C8AEE-6F66-42A9-910C-CE1073A8BC13}"/>
    <cellStyle name="Normal 7 10 2 2" xfId="4005" xr:uid="{E7D7F7FC-7A77-4574-B2B6-BA0114190C9D}"/>
    <cellStyle name="Normal 7 10 3" xfId="1501" xr:uid="{058FA16A-8920-4188-92AA-30A9FFAEF24F}"/>
    <cellStyle name="Normal 7 10 4" xfId="3171" xr:uid="{51EBEB52-C5AB-45AA-90D6-A5D7AADFF1F9}"/>
    <cellStyle name="Normal 7 11" xfId="756" xr:uid="{00000000-0005-0000-0000-0000D0010000}"/>
    <cellStyle name="Normal 7 11 2" xfId="2432" xr:uid="{5E3E2AE7-AE7F-40E6-B130-61B1E27C76B3}"/>
    <cellStyle name="Normal 7 11 2 2" xfId="4100" xr:uid="{680DACDC-4D09-4D10-BDAA-59169473FEBA}"/>
    <cellStyle name="Normal 7 11 3" xfId="1596" xr:uid="{4943D967-16E9-499A-8036-0CF67CD3CC65}"/>
    <cellStyle name="Normal 7 11 4" xfId="3266" xr:uid="{87EF8052-E701-4A01-9680-3919F554C3EB}"/>
    <cellStyle name="Normal 7 12" xfId="1703" xr:uid="{136D9F6B-D923-4FCD-82E1-1DF9B8170519}"/>
    <cellStyle name="Normal 7 12 2" xfId="3371" xr:uid="{674ED230-435C-4C31-BDCD-CD29670DAFC3}"/>
    <cellStyle name="Normal 7 13" xfId="867" xr:uid="{4EBA999A-471D-40AE-A122-075DBD1FD28F}"/>
    <cellStyle name="Normal 7 14" xfId="2537" xr:uid="{ED5B61E7-1AF0-4D40-9B78-3063C77CED89}"/>
    <cellStyle name="Normal 7 2" xfId="44" xr:uid="{00000000-0005-0000-0000-0000D1010000}"/>
    <cellStyle name="Normal 7 2 10" xfId="776" xr:uid="{00000000-0005-0000-0000-0000D2010000}"/>
    <cellStyle name="Normal 7 2 10 2" xfId="2452" xr:uid="{BE015055-9090-44C0-AF90-69E29F4E847C}"/>
    <cellStyle name="Normal 7 2 10 2 2" xfId="4120" xr:uid="{137EECC6-7619-478B-88A5-DACA35694E11}"/>
    <cellStyle name="Normal 7 2 10 3" xfId="1616" xr:uid="{732C838C-734D-4DB5-BC89-474BC89BE6F8}"/>
    <cellStyle name="Normal 7 2 10 4" xfId="3286" xr:uid="{A986F936-78CB-4D89-AAF0-DE5E5BECA49E}"/>
    <cellStyle name="Normal 7 2 11" xfId="1723" xr:uid="{3BA5ACE4-F318-4652-B69C-F98CB5498B43}"/>
    <cellStyle name="Normal 7 2 11 2" xfId="3391" xr:uid="{271D7DC1-85C5-4B1D-917B-F71136173BB8}"/>
    <cellStyle name="Normal 7 2 12" xfId="887" xr:uid="{C96D1940-6CEE-4586-9EDE-567B3D9FE6D5}"/>
    <cellStyle name="Normal 7 2 13" xfId="2557" xr:uid="{BF17BC52-31DB-4FEE-BF2E-D69A119E2F3B}"/>
    <cellStyle name="Normal 7 2 2" xfId="84" xr:uid="{00000000-0005-0000-0000-0000D3010000}"/>
    <cellStyle name="Normal 7 2 2 10" xfId="1761" xr:uid="{FAB8388B-EA01-48E8-8ACB-4C68242E6ECE}"/>
    <cellStyle name="Normal 7 2 2 10 2" xfId="3429" xr:uid="{67239989-E6A0-45BD-9E32-3D64CA575DB2}"/>
    <cellStyle name="Normal 7 2 2 11" xfId="925" xr:uid="{0058126B-FBEF-4195-B852-9505D793E58D}"/>
    <cellStyle name="Normal 7 2 2 12" xfId="2595" xr:uid="{8DB93FA3-6D26-4FE1-9CAE-2068C66A909C}"/>
    <cellStyle name="Normal 7 2 2 2" xfId="177" xr:uid="{00000000-0005-0000-0000-0000D4010000}"/>
    <cellStyle name="Normal 7 2 2 2 2" xfId="1853" xr:uid="{FFE204C4-809A-4509-BA37-58A93FC9C13F}"/>
    <cellStyle name="Normal 7 2 2 2 2 2" xfId="3521" xr:uid="{3E2F1EA3-AA80-478C-8C63-69EBD7B5084E}"/>
    <cellStyle name="Normal 7 2 2 2 3" xfId="1017" xr:uid="{63E119B1-B1F3-48EB-93EF-74F09F6C9BC4}"/>
    <cellStyle name="Normal 7 2 2 2 4" xfId="2687" xr:uid="{65103165-8618-4755-9923-8C562B487DA1}"/>
    <cellStyle name="Normal 7 2 2 3" xfId="267" xr:uid="{00000000-0005-0000-0000-0000D5010000}"/>
    <cellStyle name="Normal 7 2 2 3 2" xfId="1943" xr:uid="{AE65F4E0-4233-4AC7-9E73-AB6C223C83DA}"/>
    <cellStyle name="Normal 7 2 2 3 2 2" xfId="3611" xr:uid="{3659C695-1D89-43B1-973F-6B0A3E7297A1}"/>
    <cellStyle name="Normal 7 2 2 3 3" xfId="1107" xr:uid="{2C077D6C-34A3-434C-8E3E-34B7B93B8E55}"/>
    <cellStyle name="Normal 7 2 2 3 4" xfId="2777" xr:uid="{519172AC-8343-4E94-8E41-1486F8E92B4E}"/>
    <cellStyle name="Normal 7 2 2 4" xfId="357" xr:uid="{00000000-0005-0000-0000-0000D6010000}"/>
    <cellStyle name="Normal 7 2 2 4 2" xfId="2033" xr:uid="{2D139AA3-20DC-4E24-B75E-054FD1D56BB0}"/>
    <cellStyle name="Normal 7 2 2 4 2 2" xfId="3701" xr:uid="{9D969BDE-F1B3-4DDD-AD08-C194152D5243}"/>
    <cellStyle name="Normal 7 2 2 4 3" xfId="1197" xr:uid="{268513C5-9F10-4E06-BFBA-064EE1ED4FA6}"/>
    <cellStyle name="Normal 7 2 2 4 4" xfId="2867" xr:uid="{6E9AC537-39F0-40FA-A5CA-6A1EA3A5DD48}"/>
    <cellStyle name="Normal 7 2 2 5" xfId="447" xr:uid="{00000000-0005-0000-0000-0000D7010000}"/>
    <cellStyle name="Normal 7 2 2 5 2" xfId="2123" xr:uid="{D846AB6E-99F1-446D-81F9-3D06AD11CAD6}"/>
    <cellStyle name="Normal 7 2 2 5 2 2" xfId="3791" xr:uid="{9E11FEAB-EF86-4575-BF17-70B2FCACE307}"/>
    <cellStyle name="Normal 7 2 2 5 3" xfId="1287" xr:uid="{2E6D178E-67B2-4DF7-8E58-E17B988EC865}"/>
    <cellStyle name="Normal 7 2 2 5 4" xfId="2957" xr:uid="{F5B949D6-D2A9-4554-AC15-59E307C1F96B}"/>
    <cellStyle name="Normal 7 2 2 6" xfId="537" xr:uid="{00000000-0005-0000-0000-0000D8010000}"/>
    <cellStyle name="Normal 7 2 2 6 2" xfId="2213" xr:uid="{A643A8B5-6EFE-4266-BEE8-03EAB84C84A4}"/>
    <cellStyle name="Normal 7 2 2 6 2 2" xfId="3881" xr:uid="{F28927B3-9382-43E3-9079-58C3687B6CFC}"/>
    <cellStyle name="Normal 7 2 2 6 3" xfId="1377" xr:uid="{A5E93EDB-1030-4B0E-B998-C6C216F2073F}"/>
    <cellStyle name="Normal 7 2 2 6 4" xfId="3047" xr:uid="{0C2A1FAF-9DA9-45B7-B132-7F4144A4EBAF}"/>
    <cellStyle name="Normal 7 2 2 7" xfId="627" xr:uid="{00000000-0005-0000-0000-0000D9010000}"/>
    <cellStyle name="Normal 7 2 2 7 2" xfId="2303" xr:uid="{99B92CCA-0B6A-4F30-8CCB-79CB3D8DE30A}"/>
    <cellStyle name="Normal 7 2 2 7 2 2" xfId="3971" xr:uid="{93BA609A-079F-41AF-9437-72C78A7CD565}"/>
    <cellStyle name="Normal 7 2 2 7 3" xfId="1467" xr:uid="{4EDED050-8EED-4386-8E99-12C848CAD2C3}"/>
    <cellStyle name="Normal 7 2 2 7 4" xfId="3137" xr:uid="{463F7116-F821-4A26-BAA4-48245586943A}"/>
    <cellStyle name="Normal 7 2 2 8" xfId="717" xr:uid="{00000000-0005-0000-0000-0000DA010000}"/>
    <cellStyle name="Normal 7 2 2 8 2" xfId="2393" xr:uid="{2957040B-FEF2-4027-B842-8DB8450ACD5C}"/>
    <cellStyle name="Normal 7 2 2 8 2 2" xfId="4061" xr:uid="{FC3BB6C8-5A4A-45F9-BC7D-F38EDC82348E}"/>
    <cellStyle name="Normal 7 2 2 8 3" xfId="1557" xr:uid="{CD67AFAE-A9C8-449E-9BC0-39F497E1F1B3}"/>
    <cellStyle name="Normal 7 2 2 8 4" xfId="3227" xr:uid="{64E9B4EB-8B68-4A22-862E-2E7A5587A904}"/>
    <cellStyle name="Normal 7 2 2 9" xfId="814" xr:uid="{00000000-0005-0000-0000-0000DB010000}"/>
    <cellStyle name="Normal 7 2 2 9 2" xfId="2490" xr:uid="{B10A9D54-DB42-41A8-A941-BB36EFE8A097}"/>
    <cellStyle name="Normal 7 2 2 9 2 2" xfId="4158" xr:uid="{6E9807CB-2DCB-4363-BCF0-E8998999D4C3}"/>
    <cellStyle name="Normal 7 2 2 9 3" xfId="1654" xr:uid="{3FF9F57D-83EF-453D-A8D5-4D1A426789DA}"/>
    <cellStyle name="Normal 7 2 2 9 4" xfId="3324" xr:uid="{6A947DD9-48C7-42E1-9456-289C2B8605D8}"/>
    <cellStyle name="Normal 7 2 3" xfId="140" xr:uid="{00000000-0005-0000-0000-0000DC010000}"/>
    <cellStyle name="Normal 7 2 3 2" xfId="1816" xr:uid="{0150DAE5-A7EE-4AC7-8B6B-19CAAE51520F}"/>
    <cellStyle name="Normal 7 2 3 2 2" xfId="3484" xr:uid="{4B32A85F-99C3-4326-97E5-A12318882F05}"/>
    <cellStyle name="Normal 7 2 3 3" xfId="980" xr:uid="{BBF2F0C0-F592-406A-B1AF-73889836A8D2}"/>
    <cellStyle name="Normal 7 2 3 4" xfId="2650" xr:uid="{263454F0-87F0-4078-A6D0-4A21A3BDC942}"/>
    <cellStyle name="Normal 7 2 4" xfId="230" xr:uid="{00000000-0005-0000-0000-0000DD010000}"/>
    <cellStyle name="Normal 7 2 4 2" xfId="1906" xr:uid="{DFAC7AA8-1B01-4DD5-9D62-4B403DE6A2D4}"/>
    <cellStyle name="Normal 7 2 4 2 2" xfId="3574" xr:uid="{8D4FCD48-317C-4B05-8F40-E079D5756226}"/>
    <cellStyle name="Normal 7 2 4 3" xfId="1070" xr:uid="{EA2F887F-56FE-42C9-ACE1-124358F1D19F}"/>
    <cellStyle name="Normal 7 2 4 4" xfId="2740" xr:uid="{B6E58C76-2E25-4455-A546-AFCCDB8CFBB8}"/>
    <cellStyle name="Normal 7 2 5" xfId="320" xr:uid="{00000000-0005-0000-0000-0000DE010000}"/>
    <cellStyle name="Normal 7 2 5 2" xfId="1996" xr:uid="{B1CE1465-A667-42EF-8061-62BAE1C5D5EF}"/>
    <cellStyle name="Normal 7 2 5 2 2" xfId="3664" xr:uid="{1A15CC55-15FE-4C74-A043-953954F12390}"/>
    <cellStyle name="Normal 7 2 5 3" xfId="1160" xr:uid="{A89B2E0D-6F34-462A-A711-F15F89BBB8C3}"/>
    <cellStyle name="Normal 7 2 5 4" xfId="2830" xr:uid="{8A170523-3A33-43EE-8534-BBD96204FC96}"/>
    <cellStyle name="Normal 7 2 6" xfId="410" xr:uid="{00000000-0005-0000-0000-0000DF010000}"/>
    <cellStyle name="Normal 7 2 6 2" xfId="2086" xr:uid="{E3202460-3D5B-458B-9D04-4E1FC4F4B136}"/>
    <cellStyle name="Normal 7 2 6 2 2" xfId="3754" xr:uid="{A0450102-4145-46C9-84CE-97A77DC35FEE}"/>
    <cellStyle name="Normal 7 2 6 3" xfId="1250" xr:uid="{10052496-4183-4B98-84A8-1AE890F49FAA}"/>
    <cellStyle name="Normal 7 2 6 4" xfId="2920" xr:uid="{84CE5EFE-952E-4F2D-BC22-E6BBE8B12E5D}"/>
    <cellStyle name="Normal 7 2 7" xfId="500" xr:uid="{00000000-0005-0000-0000-0000E0010000}"/>
    <cellStyle name="Normal 7 2 7 2" xfId="2176" xr:uid="{A247B209-39C7-4C69-9328-4BA722892043}"/>
    <cellStyle name="Normal 7 2 7 2 2" xfId="3844" xr:uid="{F598DDFD-4416-44E6-A075-88EC0EE880BD}"/>
    <cellStyle name="Normal 7 2 7 3" xfId="1340" xr:uid="{F47A26FD-B015-4CCC-9698-98CAC9802146}"/>
    <cellStyle name="Normal 7 2 7 4" xfId="3010" xr:uid="{E1799B36-711A-4AA2-A935-25E2471046BB}"/>
    <cellStyle name="Normal 7 2 8" xfId="590" xr:uid="{00000000-0005-0000-0000-0000E1010000}"/>
    <cellStyle name="Normal 7 2 8 2" xfId="2266" xr:uid="{6358DCB7-FEA0-4B05-9B41-1E23E7688C86}"/>
    <cellStyle name="Normal 7 2 8 2 2" xfId="3934" xr:uid="{6225966B-DE9D-42D2-ADC6-28EFDE2AC9F0}"/>
    <cellStyle name="Normal 7 2 8 3" xfId="1430" xr:uid="{5F1B5D90-4827-47D1-AAE9-A173BF59B010}"/>
    <cellStyle name="Normal 7 2 8 4" xfId="3100" xr:uid="{C7385235-D804-46DC-91E6-5CB65ACF2F4C}"/>
    <cellStyle name="Normal 7 2 9" xfId="680" xr:uid="{00000000-0005-0000-0000-0000E2010000}"/>
    <cellStyle name="Normal 7 2 9 2" xfId="2356" xr:uid="{B671AC2F-BD93-4CBE-9BF5-AA41B518C3EC}"/>
    <cellStyle name="Normal 7 2 9 2 2" xfId="4024" xr:uid="{98E745EA-3B7E-4FA3-B9B0-CFB3132D3A93}"/>
    <cellStyle name="Normal 7 2 9 3" xfId="1520" xr:uid="{78AF5BD4-E6A5-4168-94F0-2E6FCC7C36A1}"/>
    <cellStyle name="Normal 7 2 9 4" xfId="3190" xr:uid="{E12CF114-41E5-4DD0-8FC5-C7AC1B7E4DE1}"/>
    <cellStyle name="Normal 7 3" xfId="65" xr:uid="{00000000-0005-0000-0000-0000E3010000}"/>
    <cellStyle name="Normal 7 3 10" xfId="1742" xr:uid="{F084FCD0-C05B-40B4-BECE-4408007DD65A}"/>
    <cellStyle name="Normal 7 3 10 2" xfId="3410" xr:uid="{C2A065DE-8C84-43FC-BA38-5B40B86BF6C1}"/>
    <cellStyle name="Normal 7 3 11" xfId="906" xr:uid="{1ADD7BA9-06C9-42F6-BF74-5D04FCA82E10}"/>
    <cellStyle name="Normal 7 3 12" xfId="2576" xr:uid="{D8BC8C1A-B23B-4B60-B62E-C5943E5AD4DF}"/>
    <cellStyle name="Normal 7 3 2" xfId="158" xr:uid="{00000000-0005-0000-0000-0000E4010000}"/>
    <cellStyle name="Normal 7 3 2 2" xfId="1834" xr:uid="{02FA5641-DFAD-4066-9103-70C22CA87B40}"/>
    <cellStyle name="Normal 7 3 2 2 2" xfId="3502" xr:uid="{DF6FB200-4BD9-42DD-8D6A-6AB23D3BFE33}"/>
    <cellStyle name="Normal 7 3 2 3" xfId="998" xr:uid="{0205E417-3EE6-40DC-B4A8-6750FF8545EC}"/>
    <cellStyle name="Normal 7 3 2 4" xfId="2668" xr:uid="{87103AB2-A5CC-4CD5-BCB9-D89267598FEF}"/>
    <cellStyle name="Normal 7 3 3" xfId="248" xr:uid="{00000000-0005-0000-0000-0000E5010000}"/>
    <cellStyle name="Normal 7 3 3 2" xfId="1924" xr:uid="{9B2BA1F6-2DFA-4DFC-BC24-B4E961583374}"/>
    <cellStyle name="Normal 7 3 3 2 2" xfId="3592" xr:uid="{9308E59A-F0B5-4CE4-8C12-F3E1C14CD3FA}"/>
    <cellStyle name="Normal 7 3 3 3" xfId="1088" xr:uid="{0F04D4C1-4DDD-41F6-9740-942C5581FF04}"/>
    <cellStyle name="Normal 7 3 3 4" xfId="2758" xr:uid="{F5D81176-D814-46EE-878B-133CD2D17183}"/>
    <cellStyle name="Normal 7 3 4" xfId="338" xr:uid="{00000000-0005-0000-0000-0000E6010000}"/>
    <cellStyle name="Normal 7 3 4 2" xfId="2014" xr:uid="{0E665E4B-53BB-41A9-9756-A1AE558664EF}"/>
    <cellStyle name="Normal 7 3 4 2 2" xfId="3682" xr:uid="{88530AD3-9503-422E-B7C7-78A99DB14DC4}"/>
    <cellStyle name="Normal 7 3 4 3" xfId="1178" xr:uid="{6821C62D-285C-4F9D-B609-19B77F28AE27}"/>
    <cellStyle name="Normal 7 3 4 4" xfId="2848" xr:uid="{3FBE4F51-C57F-448F-8E59-A59A2424D5B2}"/>
    <cellStyle name="Normal 7 3 5" xfId="428" xr:uid="{00000000-0005-0000-0000-0000E7010000}"/>
    <cellStyle name="Normal 7 3 5 2" xfId="2104" xr:uid="{81EB8E21-7655-48A7-A730-D35761CCB4CB}"/>
    <cellStyle name="Normal 7 3 5 2 2" xfId="3772" xr:uid="{F672B544-D7D2-4A7C-B53A-B9CD869C0A5C}"/>
    <cellStyle name="Normal 7 3 5 3" xfId="1268" xr:uid="{D152ECF5-A182-47F5-89F6-B440A15562CD}"/>
    <cellStyle name="Normal 7 3 5 4" xfId="2938" xr:uid="{62D2B502-0199-412D-94CE-E2B18B31C3EF}"/>
    <cellStyle name="Normal 7 3 6" xfId="518" xr:uid="{00000000-0005-0000-0000-0000E8010000}"/>
    <cellStyle name="Normal 7 3 6 2" xfId="2194" xr:uid="{C1D21742-5604-4159-AE9C-B5CE1E252C43}"/>
    <cellStyle name="Normal 7 3 6 2 2" xfId="3862" xr:uid="{AAEADFD4-BF33-4D99-89D5-65806D5847D9}"/>
    <cellStyle name="Normal 7 3 6 3" xfId="1358" xr:uid="{4A89254E-4353-4305-858B-EF2EA66D201D}"/>
    <cellStyle name="Normal 7 3 6 4" xfId="3028" xr:uid="{82935A70-530B-4BB0-89C8-16950A48A26A}"/>
    <cellStyle name="Normal 7 3 7" xfId="608" xr:uid="{00000000-0005-0000-0000-0000E9010000}"/>
    <cellStyle name="Normal 7 3 7 2" xfId="2284" xr:uid="{6A975504-A8FD-4828-A7E3-B9C1FA19C54E}"/>
    <cellStyle name="Normal 7 3 7 2 2" xfId="3952" xr:uid="{F53FB426-C6C9-4E15-84A5-BBB2DB2C4A9D}"/>
    <cellStyle name="Normal 7 3 7 3" xfId="1448" xr:uid="{3201151F-9061-4EEF-8E03-952FCD420D14}"/>
    <cellStyle name="Normal 7 3 7 4" xfId="3118" xr:uid="{DF2118A6-6CD5-4886-B88C-F87A65843D0B}"/>
    <cellStyle name="Normal 7 3 8" xfId="698" xr:uid="{00000000-0005-0000-0000-0000EA010000}"/>
    <cellStyle name="Normal 7 3 8 2" xfId="2374" xr:uid="{922AF82B-02F0-4CCF-8322-450526CBE0CB}"/>
    <cellStyle name="Normal 7 3 8 2 2" xfId="4042" xr:uid="{7C50EDF2-E111-44A7-B5CF-856D432BF0AF}"/>
    <cellStyle name="Normal 7 3 8 3" xfId="1538" xr:uid="{27906165-A695-492E-890B-93ADB781258E}"/>
    <cellStyle name="Normal 7 3 8 4" xfId="3208" xr:uid="{0C4B52E9-9A5E-4573-949C-730FF34BF77C}"/>
    <cellStyle name="Normal 7 3 9" xfId="795" xr:uid="{00000000-0005-0000-0000-0000EB010000}"/>
    <cellStyle name="Normal 7 3 9 2" xfId="2471" xr:uid="{9643939F-F002-4415-9953-0917091352A8}"/>
    <cellStyle name="Normal 7 3 9 2 2" xfId="4139" xr:uid="{C31F3C9D-DF1B-41FC-9801-864688286A02}"/>
    <cellStyle name="Normal 7 3 9 3" xfId="1635" xr:uid="{DE280120-137B-4AA0-BE0D-00608AE8A0FC}"/>
    <cellStyle name="Normal 7 3 9 4" xfId="3305" xr:uid="{44FB81AF-A71E-4F59-9323-570B6675AF8E}"/>
    <cellStyle name="Normal 7 4" xfId="121" xr:uid="{00000000-0005-0000-0000-0000EC010000}"/>
    <cellStyle name="Normal 7 4 2" xfId="1797" xr:uid="{F265B044-5AF6-4D18-A868-BCFEA0731C3D}"/>
    <cellStyle name="Normal 7 4 2 2" xfId="3465" xr:uid="{EDB57A1A-AF76-46E9-A70C-2E107299CA37}"/>
    <cellStyle name="Normal 7 4 3" xfId="961" xr:uid="{E618151A-D14A-4788-B8CD-A4AB44DA8280}"/>
    <cellStyle name="Normal 7 4 4" xfId="2631" xr:uid="{C9AE5EA2-103B-4101-BDED-EB60AE4DC8DD}"/>
    <cellStyle name="Normal 7 5" xfId="211" xr:uid="{00000000-0005-0000-0000-0000ED010000}"/>
    <cellStyle name="Normal 7 5 2" xfId="1887" xr:uid="{35017BD2-87DC-4958-8D4C-7AE1BF1F9525}"/>
    <cellStyle name="Normal 7 5 2 2" xfId="3555" xr:uid="{1FCA1653-D865-4DCC-BE9B-B5897861B6A4}"/>
    <cellStyle name="Normal 7 5 3" xfId="1051" xr:uid="{41B05056-2348-457E-8DA7-9D230B14A0CF}"/>
    <cellStyle name="Normal 7 5 4" xfId="2721" xr:uid="{2DBC5F7C-C629-48A5-B541-FA55600663BD}"/>
    <cellStyle name="Normal 7 6" xfId="301" xr:uid="{00000000-0005-0000-0000-0000EE010000}"/>
    <cellStyle name="Normal 7 6 2" xfId="1977" xr:uid="{B94D62B5-9DCB-4856-A162-5EB76C67369C}"/>
    <cellStyle name="Normal 7 6 2 2" xfId="3645" xr:uid="{A5BAF870-792A-414C-A9D0-79DC9E3A339C}"/>
    <cellStyle name="Normal 7 6 3" xfId="1141" xr:uid="{9CB1E55C-8EA5-46DD-847E-4A5B1D46E4EA}"/>
    <cellStyle name="Normal 7 6 4" xfId="2811" xr:uid="{6DD43BE7-D8B0-41BE-B50F-18AC9041B703}"/>
    <cellStyle name="Normal 7 7" xfId="391" xr:uid="{00000000-0005-0000-0000-0000EF010000}"/>
    <cellStyle name="Normal 7 7 2" xfId="2067" xr:uid="{470F75C3-5D37-40C3-AB22-AFDB6772A13F}"/>
    <cellStyle name="Normal 7 7 2 2" xfId="3735" xr:uid="{8C90438F-CE30-4D6E-B9E0-62D9947C19DA}"/>
    <cellStyle name="Normal 7 7 3" xfId="1231" xr:uid="{268B35D6-9EFD-422C-91E3-DAB9B86A430D}"/>
    <cellStyle name="Normal 7 7 4" xfId="2901" xr:uid="{9B3BD093-F28C-48CD-9086-E4DE76B8F93C}"/>
    <cellStyle name="Normal 7 8" xfId="481" xr:uid="{00000000-0005-0000-0000-0000F0010000}"/>
    <cellStyle name="Normal 7 8 2" xfId="2157" xr:uid="{65996221-E3F8-4837-B2D5-DC7934189EDB}"/>
    <cellStyle name="Normal 7 8 2 2" xfId="3825" xr:uid="{91C47340-E222-4320-AACE-2758AFFDD0F1}"/>
    <cellStyle name="Normal 7 8 3" xfId="1321" xr:uid="{7137E11E-8DD7-4AC5-8D8E-6B74F105DB94}"/>
    <cellStyle name="Normal 7 8 4" xfId="2991" xr:uid="{948D6374-4ABF-49B4-B320-4B857ECCBF2B}"/>
    <cellStyle name="Normal 7 9" xfId="571" xr:uid="{00000000-0005-0000-0000-0000F1010000}"/>
    <cellStyle name="Normal 7 9 2" xfId="2247" xr:uid="{72BCC9DE-44B1-4455-9CAD-656A88AC48F5}"/>
    <cellStyle name="Normal 7 9 2 2" xfId="3915" xr:uid="{99DA7935-5404-4648-BDAE-EF1FE9017FDC}"/>
    <cellStyle name="Normal 7 9 3" xfId="1411" xr:uid="{C9CFC112-50B0-4762-87FC-43A42255A83F}"/>
    <cellStyle name="Normal 7 9 4" xfId="3081" xr:uid="{AEA57887-A98F-46D9-B045-056801690A4B}"/>
    <cellStyle name="Normal 8" xfId="25" xr:uid="{00000000-0005-0000-0000-0000F2010000}"/>
    <cellStyle name="Normal 8 10" xfId="664" xr:uid="{00000000-0005-0000-0000-0000F3010000}"/>
    <cellStyle name="Normal 8 10 2" xfId="2340" xr:uid="{7B7D2134-EA1F-4BA4-AF42-BDF9D05F4A88}"/>
    <cellStyle name="Normal 8 10 2 2" xfId="4008" xr:uid="{29920B20-3E5C-494B-B8A1-1370A207E960}"/>
    <cellStyle name="Normal 8 10 3" xfId="1504" xr:uid="{6EFDD72D-1DE2-485E-ACDB-91D5D4684E77}"/>
    <cellStyle name="Normal 8 10 4" xfId="3174" xr:uid="{9A21CE7B-C72A-4C1D-B100-82DC42244814}"/>
    <cellStyle name="Normal 8 11" xfId="759" xr:uid="{00000000-0005-0000-0000-0000F4010000}"/>
    <cellStyle name="Normal 8 11 2" xfId="2435" xr:uid="{EA6DB150-EC3A-46BF-AB9A-76EA896EBEAD}"/>
    <cellStyle name="Normal 8 11 2 2" xfId="4103" xr:uid="{1AA4C785-ACF3-4C1C-83D6-DF1A5729F80F}"/>
    <cellStyle name="Normal 8 11 3" xfId="1599" xr:uid="{210541CD-D334-44C9-AFCD-AB09BACAB03C}"/>
    <cellStyle name="Normal 8 11 4" xfId="3269" xr:uid="{263FF8C2-3A19-473B-B7D4-F85660D4185E}"/>
    <cellStyle name="Normal 8 12" xfId="1706" xr:uid="{42C16B1A-5654-4CCF-AC7A-EBC6EEB75C2A}"/>
    <cellStyle name="Normal 8 12 2" xfId="3374" xr:uid="{4A1349FF-3611-4B36-A864-54142B07DC4B}"/>
    <cellStyle name="Normal 8 13" xfId="870" xr:uid="{4748F30C-D6FB-4280-B8BE-533D70ECA26D}"/>
    <cellStyle name="Normal 8 14" xfId="2540" xr:uid="{862F1CD3-E573-4821-88F7-660D25399DF1}"/>
    <cellStyle name="Normal 8 2" xfId="47" xr:uid="{00000000-0005-0000-0000-0000F5010000}"/>
    <cellStyle name="Normal 8 2 10" xfId="779" xr:uid="{00000000-0005-0000-0000-0000F6010000}"/>
    <cellStyle name="Normal 8 2 10 2" xfId="2455" xr:uid="{E3E25C3D-750C-45C3-9E8F-07357DFDBDD9}"/>
    <cellStyle name="Normal 8 2 10 2 2" xfId="4123" xr:uid="{AA5B1ADC-E84A-4108-A981-F1A4666E8F9A}"/>
    <cellStyle name="Normal 8 2 10 3" xfId="1619" xr:uid="{68DACE4D-4E00-463F-AE90-D9D1C29006D1}"/>
    <cellStyle name="Normal 8 2 10 4" xfId="3289" xr:uid="{AF65E57C-D8E2-4ED7-8CC0-957C8C7C22A0}"/>
    <cellStyle name="Normal 8 2 11" xfId="1726" xr:uid="{5B3F9049-FBAB-4137-8376-B9836D7B16B3}"/>
    <cellStyle name="Normal 8 2 11 2" xfId="3394" xr:uid="{D07805D9-7221-4DC4-B8A3-03C098B256F9}"/>
    <cellStyle name="Normal 8 2 12" xfId="890" xr:uid="{DFA94E8B-15BA-4CBC-97CB-322261C3590B}"/>
    <cellStyle name="Normal 8 2 13" xfId="2560" xr:uid="{C9185ADF-DB5C-4402-8E10-DCEC482B7F60}"/>
    <cellStyle name="Normal 8 2 2" xfId="87" xr:uid="{00000000-0005-0000-0000-0000F7010000}"/>
    <cellStyle name="Normal 8 2 2 10" xfId="1764" xr:uid="{7655B443-ED96-4E17-A5A5-EE6058E8560D}"/>
    <cellStyle name="Normal 8 2 2 10 2" xfId="3432" xr:uid="{430D58F1-54FD-48EC-AD36-7AC40E9F253A}"/>
    <cellStyle name="Normal 8 2 2 11" xfId="928" xr:uid="{F8E81575-78E3-4DB0-B08C-7829B108A97C}"/>
    <cellStyle name="Normal 8 2 2 12" xfId="2598" xr:uid="{697971C2-DB15-44F8-9EB2-93AE8D6DDBF3}"/>
    <cellStyle name="Normal 8 2 2 2" xfId="180" xr:uid="{00000000-0005-0000-0000-0000F8010000}"/>
    <cellStyle name="Normal 8 2 2 2 2" xfId="1856" xr:uid="{5C7CF83A-A8E0-451C-BB51-0E279D6482C2}"/>
    <cellStyle name="Normal 8 2 2 2 2 2" xfId="3524" xr:uid="{892AE5A9-F8C6-418D-86EF-C63C8BCF6A0B}"/>
    <cellStyle name="Normal 8 2 2 2 3" xfId="1020" xr:uid="{234B5D8A-BBE4-42D7-87A0-6584CA76AE21}"/>
    <cellStyle name="Normal 8 2 2 2 4" xfId="2690" xr:uid="{52C6C9AA-E015-44ED-BCD2-3606E7FBB1C2}"/>
    <cellStyle name="Normal 8 2 2 3" xfId="270" xr:uid="{00000000-0005-0000-0000-0000F9010000}"/>
    <cellStyle name="Normal 8 2 2 3 2" xfId="1946" xr:uid="{DB324C98-E815-4B76-AFD2-E41163395922}"/>
    <cellStyle name="Normal 8 2 2 3 2 2" xfId="3614" xr:uid="{663482EA-2A2D-4575-9522-061485F32CC0}"/>
    <cellStyle name="Normal 8 2 2 3 3" xfId="1110" xr:uid="{F24ADC8E-49F7-42DB-993F-4461354C33CB}"/>
    <cellStyle name="Normal 8 2 2 3 4" xfId="2780" xr:uid="{E5CB9604-6307-4C5A-A0CC-A8FECC64AC12}"/>
    <cellStyle name="Normal 8 2 2 4" xfId="360" xr:uid="{00000000-0005-0000-0000-0000FA010000}"/>
    <cellStyle name="Normal 8 2 2 4 2" xfId="2036" xr:uid="{A219A7BB-25E6-4E90-ADB6-E4F36A859E35}"/>
    <cellStyle name="Normal 8 2 2 4 2 2" xfId="3704" xr:uid="{54ADE7E5-4C0D-44E4-851C-1FEB36CB5973}"/>
    <cellStyle name="Normal 8 2 2 4 3" xfId="1200" xr:uid="{9554563F-0AF2-4736-8BA8-EABF6B8CD71D}"/>
    <cellStyle name="Normal 8 2 2 4 4" xfId="2870" xr:uid="{35661FF5-A38D-430F-9F9D-EBC6318A019F}"/>
    <cellStyle name="Normal 8 2 2 5" xfId="450" xr:uid="{00000000-0005-0000-0000-0000FB010000}"/>
    <cellStyle name="Normal 8 2 2 5 2" xfId="2126" xr:uid="{CE599B30-81FB-4064-B4E1-6921F84A45AE}"/>
    <cellStyle name="Normal 8 2 2 5 2 2" xfId="3794" xr:uid="{8B60B010-48C1-46FE-99E1-34CF0BBB7410}"/>
    <cellStyle name="Normal 8 2 2 5 3" xfId="1290" xr:uid="{2BE2FFDD-8D83-4A50-8D59-5A8E68B40B49}"/>
    <cellStyle name="Normal 8 2 2 5 4" xfId="2960" xr:uid="{514EE2E3-5FBC-4E47-BD87-6B422BA99CA0}"/>
    <cellStyle name="Normal 8 2 2 6" xfId="540" xr:uid="{00000000-0005-0000-0000-0000FC010000}"/>
    <cellStyle name="Normal 8 2 2 6 2" xfId="2216" xr:uid="{29C1A32A-621D-4EF8-AA99-B4393A0A9C05}"/>
    <cellStyle name="Normal 8 2 2 6 2 2" xfId="3884" xr:uid="{C434B32B-C363-432F-BF93-61233C028FF0}"/>
    <cellStyle name="Normal 8 2 2 6 3" xfId="1380" xr:uid="{6DB82D06-0634-46EC-B0BC-F00712E0B6CE}"/>
    <cellStyle name="Normal 8 2 2 6 4" xfId="3050" xr:uid="{F9059802-19CE-4210-A827-B8335F8C722C}"/>
    <cellStyle name="Normal 8 2 2 7" xfId="630" xr:uid="{00000000-0005-0000-0000-0000FD010000}"/>
    <cellStyle name="Normal 8 2 2 7 2" xfId="2306" xr:uid="{E2001A39-E072-4344-A82B-9CDB861FFD6D}"/>
    <cellStyle name="Normal 8 2 2 7 2 2" xfId="3974" xr:uid="{00204A68-E5F2-4BF2-822D-C584DFFAB1EB}"/>
    <cellStyle name="Normal 8 2 2 7 3" xfId="1470" xr:uid="{07A29E5C-4199-40CD-89C4-71BFF3867D06}"/>
    <cellStyle name="Normal 8 2 2 7 4" xfId="3140" xr:uid="{CA8B513B-AAB3-4EAA-A63C-66AFFB80358A}"/>
    <cellStyle name="Normal 8 2 2 8" xfId="720" xr:uid="{00000000-0005-0000-0000-0000FE010000}"/>
    <cellStyle name="Normal 8 2 2 8 2" xfId="2396" xr:uid="{34A662CC-CDCA-4E9A-81F0-EC35ACBD3198}"/>
    <cellStyle name="Normal 8 2 2 8 2 2" xfId="4064" xr:uid="{D126141B-6B9A-4A6E-8D4E-D9A7815B3E05}"/>
    <cellStyle name="Normal 8 2 2 8 3" xfId="1560" xr:uid="{5A4663D9-9FD4-4D20-ABA5-D142BCC49020}"/>
    <cellStyle name="Normal 8 2 2 8 4" xfId="3230" xr:uid="{D3EB72BA-6C97-42C6-AC8A-C1025F74BB26}"/>
    <cellStyle name="Normal 8 2 2 9" xfId="817" xr:uid="{00000000-0005-0000-0000-0000FF010000}"/>
    <cellStyle name="Normal 8 2 2 9 2" xfId="2493" xr:uid="{DAFDD24C-61F8-4F0B-B2E0-4E0CC2D64084}"/>
    <cellStyle name="Normal 8 2 2 9 2 2" xfId="4161" xr:uid="{4DF1D4E9-2D68-4EBD-9D59-A8055823411C}"/>
    <cellStyle name="Normal 8 2 2 9 3" xfId="1657" xr:uid="{46F07406-835B-48C5-AB1D-629E4289C045}"/>
    <cellStyle name="Normal 8 2 2 9 4" xfId="3327" xr:uid="{314156F3-965F-4B5F-ADC1-407CFAD50931}"/>
    <cellStyle name="Normal 8 2 3" xfId="143" xr:uid="{00000000-0005-0000-0000-000000020000}"/>
    <cellStyle name="Normal 8 2 3 2" xfId="1819" xr:uid="{F71AEC7D-C0EB-4A92-850B-B867806C05CA}"/>
    <cellStyle name="Normal 8 2 3 2 2" xfId="3487" xr:uid="{F38DD7EA-3B71-48FF-B0F7-0D2499A5DF2D}"/>
    <cellStyle name="Normal 8 2 3 3" xfId="983" xr:uid="{F3A252B6-03D7-46D4-9D59-6DE3960EB142}"/>
    <cellStyle name="Normal 8 2 3 4" xfId="2653" xr:uid="{4823BB3A-E721-4423-AD36-D45B3FA7CF29}"/>
    <cellStyle name="Normal 8 2 4" xfId="233" xr:uid="{00000000-0005-0000-0000-000001020000}"/>
    <cellStyle name="Normal 8 2 4 2" xfId="1909" xr:uid="{8978BABB-6BDA-4638-816A-427B353CBCEB}"/>
    <cellStyle name="Normal 8 2 4 2 2" xfId="3577" xr:uid="{549C886D-00CC-43CB-9F36-8F8AA2E1CD6D}"/>
    <cellStyle name="Normal 8 2 4 3" xfId="1073" xr:uid="{82F52A27-4178-4D5B-BBCD-F5E114C0F2D9}"/>
    <cellStyle name="Normal 8 2 4 4" xfId="2743" xr:uid="{108B50DC-0B87-49C7-8324-3E4853116266}"/>
    <cellStyle name="Normal 8 2 5" xfId="323" xr:uid="{00000000-0005-0000-0000-000002020000}"/>
    <cellStyle name="Normal 8 2 5 2" xfId="1999" xr:uid="{4CA5BE27-E7D5-4E93-8CAE-1EF3BBB90A5B}"/>
    <cellStyle name="Normal 8 2 5 2 2" xfId="3667" xr:uid="{034672B0-B543-4FF8-B28E-951A034835FB}"/>
    <cellStyle name="Normal 8 2 5 3" xfId="1163" xr:uid="{E44BF38A-ACFC-4517-B4A4-7B88F467AA41}"/>
    <cellStyle name="Normal 8 2 5 4" xfId="2833" xr:uid="{0C3BFAE4-A18D-4CE5-A68F-69F92E3BFB98}"/>
    <cellStyle name="Normal 8 2 6" xfId="413" xr:uid="{00000000-0005-0000-0000-000003020000}"/>
    <cellStyle name="Normal 8 2 6 2" xfId="2089" xr:uid="{1DB3ADC1-FD95-4AA6-8A21-9F578365D0C7}"/>
    <cellStyle name="Normal 8 2 6 2 2" xfId="3757" xr:uid="{7F2958DA-2117-4286-8B3D-A7A781A43879}"/>
    <cellStyle name="Normal 8 2 6 3" xfId="1253" xr:uid="{57865A58-BCB1-402A-896A-2C459ED8E52F}"/>
    <cellStyle name="Normal 8 2 6 4" xfId="2923" xr:uid="{B7C6DAE0-AC82-4581-9684-49966F08AE5F}"/>
    <cellStyle name="Normal 8 2 7" xfId="503" xr:uid="{00000000-0005-0000-0000-000004020000}"/>
    <cellStyle name="Normal 8 2 7 2" xfId="2179" xr:uid="{4B41AE74-39E0-4DDA-A311-282A39E3F5A7}"/>
    <cellStyle name="Normal 8 2 7 2 2" xfId="3847" xr:uid="{3D6807A6-ED5A-4F53-8CA0-9180B66529E7}"/>
    <cellStyle name="Normal 8 2 7 3" xfId="1343" xr:uid="{D437F7F9-506C-4DDD-8282-49E738948083}"/>
    <cellStyle name="Normal 8 2 7 4" xfId="3013" xr:uid="{F2303A53-20D1-4E05-ABCC-AFF3241417A5}"/>
    <cellStyle name="Normal 8 2 8" xfId="593" xr:uid="{00000000-0005-0000-0000-000005020000}"/>
    <cellStyle name="Normal 8 2 8 2" xfId="2269" xr:uid="{D661B39A-7D3A-4B9F-AF3A-0D3F8E4B3D23}"/>
    <cellStyle name="Normal 8 2 8 2 2" xfId="3937" xr:uid="{57E7E369-C00B-4184-8458-798B17529DBC}"/>
    <cellStyle name="Normal 8 2 8 3" xfId="1433" xr:uid="{73831584-87B2-4EA8-9D9F-44F8B2E4FE0F}"/>
    <cellStyle name="Normal 8 2 8 4" xfId="3103" xr:uid="{9C0B58E8-2914-4446-B331-C4B7B2488862}"/>
    <cellStyle name="Normal 8 2 9" xfId="683" xr:uid="{00000000-0005-0000-0000-000006020000}"/>
    <cellStyle name="Normal 8 2 9 2" xfId="2359" xr:uid="{72403D44-78B3-4EE9-9A8F-C1B36FF16669}"/>
    <cellStyle name="Normal 8 2 9 2 2" xfId="4027" xr:uid="{ABD9DAC5-6B10-4009-9686-7E8D1E770FA7}"/>
    <cellStyle name="Normal 8 2 9 3" xfId="1523" xr:uid="{9F0BAE3A-5C35-48B6-992A-108B001956FE}"/>
    <cellStyle name="Normal 8 2 9 4" xfId="3193" xr:uid="{95224F21-028F-48E8-B726-08AA34185D1A}"/>
    <cellStyle name="Normal 8 3" xfId="68" xr:uid="{00000000-0005-0000-0000-000007020000}"/>
    <cellStyle name="Normal 8 3 10" xfId="1745" xr:uid="{4546B864-186C-4535-B5D5-9537D63AA3F5}"/>
    <cellStyle name="Normal 8 3 10 2" xfId="3413" xr:uid="{F801EAC4-0036-4B1D-A740-172D742BFE42}"/>
    <cellStyle name="Normal 8 3 11" xfId="909" xr:uid="{E6650946-93C2-44A2-80F6-5BA494F6E049}"/>
    <cellStyle name="Normal 8 3 12" xfId="2579" xr:uid="{1FB9AC0A-3B51-496E-9386-488679B5FAE7}"/>
    <cellStyle name="Normal 8 3 2" xfId="161" xr:uid="{00000000-0005-0000-0000-000008020000}"/>
    <cellStyle name="Normal 8 3 2 2" xfId="1837" xr:uid="{87742291-0612-464A-A342-08601411EEE7}"/>
    <cellStyle name="Normal 8 3 2 2 2" xfId="3505" xr:uid="{657F092A-6B39-4E2F-BE4E-9166D50068D6}"/>
    <cellStyle name="Normal 8 3 2 3" xfId="1001" xr:uid="{62BD059C-B628-49AB-B805-92BDE68338CB}"/>
    <cellStyle name="Normal 8 3 2 4" xfId="2671" xr:uid="{787C4715-566A-4801-94C1-31282E9DE4A3}"/>
    <cellStyle name="Normal 8 3 3" xfId="251" xr:uid="{00000000-0005-0000-0000-000009020000}"/>
    <cellStyle name="Normal 8 3 3 2" xfId="1927" xr:uid="{AFA63231-E3BF-4927-9B1E-55C5D3782EBF}"/>
    <cellStyle name="Normal 8 3 3 2 2" xfId="3595" xr:uid="{25F6AA7D-92E9-4405-A8D2-A5EF0B826E1D}"/>
    <cellStyle name="Normal 8 3 3 3" xfId="1091" xr:uid="{CC259B71-F9DE-4796-8FD1-2F2B84310569}"/>
    <cellStyle name="Normal 8 3 3 4" xfId="2761" xr:uid="{6F5D162F-DE33-449B-AE51-6CF858B404D7}"/>
    <cellStyle name="Normal 8 3 4" xfId="341" xr:uid="{00000000-0005-0000-0000-00000A020000}"/>
    <cellStyle name="Normal 8 3 4 2" xfId="2017" xr:uid="{5675486D-0D51-4ABB-84B0-5B7E33CACEFF}"/>
    <cellStyle name="Normal 8 3 4 2 2" xfId="3685" xr:uid="{8F732AD6-7C4E-40E1-BEBC-8DA69C7B1609}"/>
    <cellStyle name="Normal 8 3 4 3" xfId="1181" xr:uid="{5DBDC225-4E04-4BDF-8315-13A88073C16C}"/>
    <cellStyle name="Normal 8 3 4 4" xfId="2851" xr:uid="{77589F35-D4FF-4B3C-8664-6E76318D9918}"/>
    <cellStyle name="Normal 8 3 5" xfId="431" xr:uid="{00000000-0005-0000-0000-00000B020000}"/>
    <cellStyle name="Normal 8 3 5 2" xfId="2107" xr:uid="{CDCFA3A8-186A-4B31-A7DF-BD490DEEA5C4}"/>
    <cellStyle name="Normal 8 3 5 2 2" xfId="3775" xr:uid="{3DF0336A-9DEB-4ECE-8546-F548AF51B084}"/>
    <cellStyle name="Normal 8 3 5 3" xfId="1271" xr:uid="{4ACE4308-8523-4AE4-B0F9-688251452C90}"/>
    <cellStyle name="Normal 8 3 5 4" xfId="2941" xr:uid="{B703EBE3-3343-4E1E-B565-4EF55132C25A}"/>
    <cellStyle name="Normal 8 3 6" xfId="521" xr:uid="{00000000-0005-0000-0000-00000C020000}"/>
    <cellStyle name="Normal 8 3 6 2" xfId="2197" xr:uid="{EC2E3B92-0B5A-4AE0-BF8B-F57ECB7AC2B0}"/>
    <cellStyle name="Normal 8 3 6 2 2" xfId="3865" xr:uid="{6E76EE05-7D4E-42AB-9D59-FB3B25C9BF6A}"/>
    <cellStyle name="Normal 8 3 6 3" xfId="1361" xr:uid="{30F174FC-D270-4919-8B78-7B6D93F30655}"/>
    <cellStyle name="Normal 8 3 6 4" xfId="3031" xr:uid="{BE1DEAAF-50C1-4F9A-A9D2-23937D50CF84}"/>
    <cellStyle name="Normal 8 3 7" xfId="611" xr:uid="{00000000-0005-0000-0000-00000D020000}"/>
    <cellStyle name="Normal 8 3 7 2" xfId="2287" xr:uid="{68F98870-5EF8-4B78-8B4F-4498B3B84AD6}"/>
    <cellStyle name="Normal 8 3 7 2 2" xfId="3955" xr:uid="{04FAE4B2-881E-4A25-A9A3-72CF9EA72686}"/>
    <cellStyle name="Normal 8 3 7 3" xfId="1451" xr:uid="{D30D2C88-09C2-4505-88DF-9CA6084D68E4}"/>
    <cellStyle name="Normal 8 3 7 4" xfId="3121" xr:uid="{12F849E3-F9CF-427D-9E4E-FB950FEA3FDE}"/>
    <cellStyle name="Normal 8 3 8" xfId="701" xr:uid="{00000000-0005-0000-0000-00000E020000}"/>
    <cellStyle name="Normal 8 3 8 2" xfId="2377" xr:uid="{0BBE0340-D06E-4A06-86DF-AF6AD6B6CA79}"/>
    <cellStyle name="Normal 8 3 8 2 2" xfId="4045" xr:uid="{CD137BAB-0A25-4476-8D8C-CE1D6BF87003}"/>
    <cellStyle name="Normal 8 3 8 3" xfId="1541" xr:uid="{FF619EF0-2762-4FE6-B974-D2234D8389B0}"/>
    <cellStyle name="Normal 8 3 8 4" xfId="3211" xr:uid="{0CC3CACF-A934-4FB9-9289-1FEA0D60E680}"/>
    <cellStyle name="Normal 8 3 9" xfId="798" xr:uid="{00000000-0005-0000-0000-00000F020000}"/>
    <cellStyle name="Normal 8 3 9 2" xfId="2474" xr:uid="{77B191E5-9B85-4872-945B-68BF714EB993}"/>
    <cellStyle name="Normal 8 3 9 2 2" xfId="4142" xr:uid="{BC3930CE-F6EE-48E3-ADCB-0045A61B94D5}"/>
    <cellStyle name="Normal 8 3 9 3" xfId="1638" xr:uid="{A7AD077E-A1F6-4B54-A079-59F854D93FFE}"/>
    <cellStyle name="Normal 8 3 9 4" xfId="3308" xr:uid="{A36212B3-5AC6-4BA0-A237-76D2C923909C}"/>
    <cellStyle name="Normal 8 4" xfId="124" xr:uid="{00000000-0005-0000-0000-000010020000}"/>
    <cellStyle name="Normal 8 4 2" xfId="1800" xr:uid="{76B16F92-320E-4806-B599-8135C4E18032}"/>
    <cellStyle name="Normal 8 4 2 2" xfId="3468" xr:uid="{B65778A5-9857-40BF-AA38-7EE3919E001B}"/>
    <cellStyle name="Normal 8 4 3" xfId="964" xr:uid="{1D7D41B0-955D-4AF9-AF75-B0DE3AD6B0F6}"/>
    <cellStyle name="Normal 8 4 4" xfId="2634" xr:uid="{4C4702EC-AAE5-4831-B68D-69FBA55BC5EF}"/>
    <cellStyle name="Normal 8 5" xfId="214" xr:uid="{00000000-0005-0000-0000-000011020000}"/>
    <cellStyle name="Normal 8 5 2" xfId="1890" xr:uid="{9458912C-A8C7-4D88-8C19-B1BCC1887ACA}"/>
    <cellStyle name="Normal 8 5 2 2" xfId="3558" xr:uid="{D7C1E3C9-B04E-4CEB-B24C-6918BC64B1A1}"/>
    <cellStyle name="Normal 8 5 3" xfId="1054" xr:uid="{400E7249-A4F2-4A5B-A0B8-34C6FB2BB4E5}"/>
    <cellStyle name="Normal 8 5 4" xfId="2724" xr:uid="{88CEA593-F590-4574-B092-1A4AE5617FE2}"/>
    <cellStyle name="Normal 8 6" xfId="304" xr:uid="{00000000-0005-0000-0000-000012020000}"/>
    <cellStyle name="Normal 8 6 2" xfId="1980" xr:uid="{8B9566B0-FA7E-4BAA-B4A3-10AFF3735C66}"/>
    <cellStyle name="Normal 8 6 2 2" xfId="3648" xr:uid="{9B1BA27E-F0A0-44D6-B503-E4D803D3FA5E}"/>
    <cellStyle name="Normal 8 6 3" xfId="1144" xr:uid="{FFBAF3F6-6ACC-4F7A-9064-230B8BE3B0CE}"/>
    <cellStyle name="Normal 8 6 4" xfId="2814" xr:uid="{B301BA2E-05B1-4338-B5C1-89A233FB8229}"/>
    <cellStyle name="Normal 8 7" xfId="394" xr:uid="{00000000-0005-0000-0000-000013020000}"/>
    <cellStyle name="Normal 8 7 2" xfId="2070" xr:uid="{1023B19C-AD91-49EE-96AA-136C68E56DF8}"/>
    <cellStyle name="Normal 8 7 2 2" xfId="3738" xr:uid="{CBA7403A-2469-461C-8ABB-6B82C5D9E771}"/>
    <cellStyle name="Normal 8 7 3" xfId="1234" xr:uid="{4BC84D3A-671C-400C-B392-32C4ABEBB7E0}"/>
    <cellStyle name="Normal 8 7 4" xfId="2904" xr:uid="{BFADB47D-780C-422D-AB10-F6A4E09A4F5A}"/>
    <cellStyle name="Normal 8 8" xfId="484" xr:uid="{00000000-0005-0000-0000-000014020000}"/>
    <cellStyle name="Normal 8 8 2" xfId="2160" xr:uid="{DEFD0D87-06E6-4C11-AD0F-E97924D4A900}"/>
    <cellStyle name="Normal 8 8 2 2" xfId="3828" xr:uid="{906F4ADF-6F47-4478-A7CC-59EF3E84E247}"/>
    <cellStyle name="Normal 8 8 3" xfId="1324" xr:uid="{2E9B20A1-5DAE-4377-A317-99EB8703641A}"/>
    <cellStyle name="Normal 8 8 4" xfId="2994" xr:uid="{46419226-5823-4ED5-AF14-A9E745BF304A}"/>
    <cellStyle name="Normal 8 9" xfId="574" xr:uid="{00000000-0005-0000-0000-000015020000}"/>
    <cellStyle name="Normal 8 9 2" xfId="2250" xr:uid="{3CBE0CBD-F0E0-4236-8DC8-32AFC61AFA3A}"/>
    <cellStyle name="Normal 8 9 2 2" xfId="3918" xr:uid="{41E27594-DE81-4013-ACA0-23E5436555C4}"/>
    <cellStyle name="Normal 8 9 3" xfId="1414" xr:uid="{B0093E1F-F0D3-4216-9CDF-E4F91790A9DE}"/>
    <cellStyle name="Normal 8 9 4" xfId="3084" xr:uid="{E8ABFB6B-E177-47BC-80F3-C5020EDC1C81}"/>
    <cellStyle name="Normal 9" xfId="28" xr:uid="{00000000-0005-0000-0000-000016020000}"/>
    <cellStyle name="Normal 9 10" xfId="667" xr:uid="{00000000-0005-0000-0000-000017020000}"/>
    <cellStyle name="Normal 9 10 2" xfId="2343" xr:uid="{350243C4-AAA0-4EEA-942A-3E7AB208596D}"/>
    <cellStyle name="Normal 9 10 2 2" xfId="4011" xr:uid="{6303F034-C484-47A4-9918-FBAAF496CE14}"/>
    <cellStyle name="Normal 9 10 3" xfId="1507" xr:uid="{82AE096A-F138-472B-9A0F-9F9B5489EDCB}"/>
    <cellStyle name="Normal 9 10 4" xfId="3177" xr:uid="{4BCDDD3E-97D8-4A80-B2C4-7DC1E2089233}"/>
    <cellStyle name="Normal 9 11" xfId="762" xr:uid="{00000000-0005-0000-0000-000018020000}"/>
    <cellStyle name="Normal 9 11 2" xfId="2438" xr:uid="{2F347423-C74F-4E58-B312-DE8EDA3B91BA}"/>
    <cellStyle name="Normal 9 11 2 2" xfId="4106" xr:uid="{41CC0EF8-288F-486F-8935-AC1B43776544}"/>
    <cellStyle name="Normal 9 11 3" xfId="1602" xr:uid="{4651F3E8-65E6-4036-AF1C-8BDD5EDEBF20}"/>
    <cellStyle name="Normal 9 11 4" xfId="3272" xr:uid="{7B07CF31-EB35-480F-85EA-FEEA40F4B5CF}"/>
    <cellStyle name="Normal 9 12" xfId="1709" xr:uid="{1C189DEB-2D43-4854-A5B6-8BAB059A5D10}"/>
    <cellStyle name="Normal 9 12 2" xfId="3377" xr:uid="{5D3CB93A-3AC3-4F98-A369-1C588061F82B}"/>
    <cellStyle name="Normal 9 13" xfId="873" xr:uid="{4C34B38D-D9FA-4479-9851-9DBD7955BD9C}"/>
    <cellStyle name="Normal 9 14" xfId="2543" xr:uid="{DA3885B5-B5F3-40F7-84EA-21DC012EBED6}"/>
    <cellStyle name="Normal 9 2" xfId="50" xr:uid="{00000000-0005-0000-0000-000019020000}"/>
    <cellStyle name="Normal 9 2 10" xfId="782" xr:uid="{00000000-0005-0000-0000-00001A020000}"/>
    <cellStyle name="Normal 9 2 10 2" xfId="2458" xr:uid="{4D6D8AC5-AE62-481D-AA34-F94F9B0113CA}"/>
    <cellStyle name="Normal 9 2 10 2 2" xfId="4126" xr:uid="{3E42D374-4BCC-4F98-9608-6B7F01FC7C31}"/>
    <cellStyle name="Normal 9 2 10 3" xfId="1622" xr:uid="{286E7AD0-68D1-4496-926C-562758EB004B}"/>
    <cellStyle name="Normal 9 2 10 4" xfId="3292" xr:uid="{8510246E-453B-4471-90F9-A410D845BA1C}"/>
    <cellStyle name="Normal 9 2 11" xfId="1729" xr:uid="{DDA7B616-09B1-4B70-8C19-91BAD57F5C53}"/>
    <cellStyle name="Normal 9 2 11 2" xfId="3397" xr:uid="{8EDD43C7-31F4-4D90-BD40-2EBDEFC94624}"/>
    <cellStyle name="Normal 9 2 12" xfId="893" xr:uid="{E46EA6B5-7CEA-4FE3-A2C9-84FF46403220}"/>
    <cellStyle name="Normal 9 2 13" xfId="2563" xr:uid="{73C73CE7-9AB2-4BCF-B211-FE91E58D9BE7}"/>
    <cellStyle name="Normal 9 2 2" xfId="90" xr:uid="{00000000-0005-0000-0000-00001B020000}"/>
    <cellStyle name="Normal 9 2 2 10" xfId="1767" xr:uid="{B7CFE518-A0B0-4535-A0D1-C16D62C9B1AC}"/>
    <cellStyle name="Normal 9 2 2 10 2" xfId="3435" xr:uid="{E5E88447-2CD4-4BC9-9502-E75906BE02F3}"/>
    <cellStyle name="Normal 9 2 2 11" xfId="931" xr:uid="{AD24DDF0-0088-44E3-9402-87D1BC1D5749}"/>
    <cellStyle name="Normal 9 2 2 12" xfId="2601" xr:uid="{C5ADF95F-8A6D-4C24-8B91-33EEA93AA9EF}"/>
    <cellStyle name="Normal 9 2 2 2" xfId="183" xr:uid="{00000000-0005-0000-0000-00001C020000}"/>
    <cellStyle name="Normal 9 2 2 2 2" xfId="1859" xr:uid="{00A5F5CA-CEFD-4389-BEF8-7A55D2F12679}"/>
    <cellStyle name="Normal 9 2 2 2 2 2" xfId="3527" xr:uid="{D8AB13EE-6BC9-4955-AE95-D7E8B1E46F26}"/>
    <cellStyle name="Normal 9 2 2 2 3" xfId="1023" xr:uid="{673EE4B2-E1B8-4866-9C8B-E85B3AAF2C6E}"/>
    <cellStyle name="Normal 9 2 2 2 4" xfId="2693" xr:uid="{757C70A7-E040-4080-BC0E-6CED1CBBDFD6}"/>
    <cellStyle name="Normal 9 2 2 3" xfId="273" xr:uid="{00000000-0005-0000-0000-00001D020000}"/>
    <cellStyle name="Normal 9 2 2 3 2" xfId="1949" xr:uid="{BB2AD798-2E58-48BF-9BC0-6A0E5E7225C0}"/>
    <cellStyle name="Normal 9 2 2 3 2 2" xfId="3617" xr:uid="{EC4DA63D-E08E-4A5A-95D3-D1D9328538DC}"/>
    <cellStyle name="Normal 9 2 2 3 3" xfId="1113" xr:uid="{DBBD1DA3-562B-4690-9260-F34639599F0F}"/>
    <cellStyle name="Normal 9 2 2 3 4" xfId="2783" xr:uid="{E9B32F4B-36BA-4971-96E8-438316192C1A}"/>
    <cellStyle name="Normal 9 2 2 4" xfId="363" xr:uid="{00000000-0005-0000-0000-00001E020000}"/>
    <cellStyle name="Normal 9 2 2 4 2" xfId="2039" xr:uid="{77E3BE8D-34E7-4947-B969-1A1406CA3288}"/>
    <cellStyle name="Normal 9 2 2 4 2 2" xfId="3707" xr:uid="{CCBCF3CC-6654-4F0E-9111-AE189A398615}"/>
    <cellStyle name="Normal 9 2 2 4 3" xfId="1203" xr:uid="{320FB67C-7256-430A-93EC-B727E87891E0}"/>
    <cellStyle name="Normal 9 2 2 4 4" xfId="2873" xr:uid="{06DC213E-2E9C-408B-9CE6-923C95C2FD16}"/>
    <cellStyle name="Normal 9 2 2 5" xfId="453" xr:uid="{00000000-0005-0000-0000-00001F020000}"/>
    <cellStyle name="Normal 9 2 2 5 2" xfId="2129" xr:uid="{AA18F1F1-1191-4DE5-AF29-2830B236EEC3}"/>
    <cellStyle name="Normal 9 2 2 5 2 2" xfId="3797" xr:uid="{2683F6D7-6DFE-4A9B-A746-805B796D7E48}"/>
    <cellStyle name="Normal 9 2 2 5 3" xfId="1293" xr:uid="{CE01D8CE-3AAC-43E1-82B4-EF5E056FA41C}"/>
    <cellStyle name="Normal 9 2 2 5 4" xfId="2963" xr:uid="{83B94294-32F9-4F4A-B1C9-0A89A6DF1F80}"/>
    <cellStyle name="Normal 9 2 2 6" xfId="543" xr:uid="{00000000-0005-0000-0000-000020020000}"/>
    <cellStyle name="Normal 9 2 2 6 2" xfId="2219" xr:uid="{2D488E7E-A33B-4504-A5DB-27FC7B1A3AB9}"/>
    <cellStyle name="Normal 9 2 2 6 2 2" xfId="3887" xr:uid="{0ADC452A-8744-46B1-A081-62B98F850832}"/>
    <cellStyle name="Normal 9 2 2 6 3" xfId="1383" xr:uid="{C2FD7D60-80BA-476B-9A7C-17D88AB85CB4}"/>
    <cellStyle name="Normal 9 2 2 6 4" xfId="3053" xr:uid="{BFA22E14-523D-4BE4-B4E1-3E61210F33AD}"/>
    <cellStyle name="Normal 9 2 2 7" xfId="633" xr:uid="{00000000-0005-0000-0000-000021020000}"/>
    <cellStyle name="Normal 9 2 2 7 2" xfId="2309" xr:uid="{EB9F48D3-279A-41CA-88A2-7252AB2282A4}"/>
    <cellStyle name="Normal 9 2 2 7 2 2" xfId="3977" xr:uid="{9319BB66-4B27-43C8-8469-81BD0DD24B03}"/>
    <cellStyle name="Normal 9 2 2 7 3" xfId="1473" xr:uid="{DAD0CEB3-5687-4E2F-A635-E71660890C2A}"/>
    <cellStyle name="Normal 9 2 2 7 4" xfId="3143" xr:uid="{B3091F73-1EF6-465E-8AE7-7286D4A9C2FF}"/>
    <cellStyle name="Normal 9 2 2 8" xfId="723" xr:uid="{00000000-0005-0000-0000-000022020000}"/>
    <cellStyle name="Normal 9 2 2 8 2" xfId="2399" xr:uid="{10F1EDEB-8BAB-4D58-80E6-159CA2F8741A}"/>
    <cellStyle name="Normal 9 2 2 8 2 2" xfId="4067" xr:uid="{F69D6AF3-53FB-49B5-BDA9-92B4DE591D77}"/>
    <cellStyle name="Normal 9 2 2 8 3" xfId="1563" xr:uid="{036FA21A-755B-4210-8FCC-0D6519056CAF}"/>
    <cellStyle name="Normal 9 2 2 8 4" xfId="3233" xr:uid="{377FAFBF-8E4A-4DB4-8D22-9BB63445A382}"/>
    <cellStyle name="Normal 9 2 2 9" xfId="820" xr:uid="{00000000-0005-0000-0000-000023020000}"/>
    <cellStyle name="Normal 9 2 2 9 2" xfId="2496" xr:uid="{8ABE1761-821E-49CD-A1F2-4D45C0C9E8AE}"/>
    <cellStyle name="Normal 9 2 2 9 2 2" xfId="4164" xr:uid="{9FDD0CC0-7F3A-41A6-BD42-BA9B838E5155}"/>
    <cellStyle name="Normal 9 2 2 9 3" xfId="1660" xr:uid="{61783930-BEF8-4A4B-8E79-647CC3C4C9C5}"/>
    <cellStyle name="Normal 9 2 2 9 4" xfId="3330" xr:uid="{22F6276D-5F67-4AA0-BB5E-B3C195AE9ACD}"/>
    <cellStyle name="Normal 9 2 3" xfId="146" xr:uid="{00000000-0005-0000-0000-000024020000}"/>
    <cellStyle name="Normal 9 2 3 2" xfId="1822" xr:uid="{15F2F9FE-C964-4C27-A85F-C5EFD11F780B}"/>
    <cellStyle name="Normal 9 2 3 2 2" xfId="3490" xr:uid="{9BEB3910-6BA9-4534-9137-25DDD0E192B0}"/>
    <cellStyle name="Normal 9 2 3 3" xfId="986" xr:uid="{06E05B23-72BD-470A-BCE7-82080EC8AC0F}"/>
    <cellStyle name="Normal 9 2 3 4" xfId="2656" xr:uid="{7399D258-9259-4FBD-B291-80F217F86F8F}"/>
    <cellStyle name="Normal 9 2 4" xfId="236" xr:uid="{00000000-0005-0000-0000-000025020000}"/>
    <cellStyle name="Normal 9 2 4 2" xfId="1912" xr:uid="{7D462682-E32B-46B8-8307-D2624579B4ED}"/>
    <cellStyle name="Normal 9 2 4 2 2" xfId="3580" xr:uid="{AFFDF668-95AB-4B51-8A9B-E822249FDB3B}"/>
    <cellStyle name="Normal 9 2 4 3" xfId="1076" xr:uid="{7E82F596-CE5E-4623-94BA-0FC2B881AC92}"/>
    <cellStyle name="Normal 9 2 4 4" xfId="2746" xr:uid="{2CD728C7-6A78-433F-B957-EE159A735F73}"/>
    <cellStyle name="Normal 9 2 5" xfId="326" xr:uid="{00000000-0005-0000-0000-000026020000}"/>
    <cellStyle name="Normal 9 2 5 2" xfId="2002" xr:uid="{C77BB04B-FEB7-4770-A8EB-13301836B6B8}"/>
    <cellStyle name="Normal 9 2 5 2 2" xfId="3670" xr:uid="{839693B4-8CC9-4872-8D94-38D5C63F5381}"/>
    <cellStyle name="Normal 9 2 5 3" xfId="1166" xr:uid="{A5ABED09-7372-4D86-A175-F845BF91E24C}"/>
    <cellStyle name="Normal 9 2 5 4" xfId="2836" xr:uid="{BE08854B-8B61-4C53-957A-2F573FF81A83}"/>
    <cellStyle name="Normal 9 2 6" xfId="416" xr:uid="{00000000-0005-0000-0000-000027020000}"/>
    <cellStyle name="Normal 9 2 6 2" xfId="2092" xr:uid="{F3F9F592-8BE5-4E1F-85F2-E5E0431A1490}"/>
    <cellStyle name="Normal 9 2 6 2 2" xfId="3760" xr:uid="{59384657-067D-40BC-9210-F01F07B4E006}"/>
    <cellStyle name="Normal 9 2 6 3" xfId="1256" xr:uid="{8BF10D1F-9827-48F5-BD0C-056D11A5D4A2}"/>
    <cellStyle name="Normal 9 2 6 4" xfId="2926" xr:uid="{78E5DDF3-C23C-41E7-B813-FE221BE54238}"/>
    <cellStyle name="Normal 9 2 7" xfId="506" xr:uid="{00000000-0005-0000-0000-000028020000}"/>
    <cellStyle name="Normal 9 2 7 2" xfId="2182" xr:uid="{87B46247-E16A-4D7E-8DC6-44544670A674}"/>
    <cellStyle name="Normal 9 2 7 2 2" xfId="3850" xr:uid="{3B0E0C7A-C0FE-465E-B2B1-C7D7B9BBABB6}"/>
    <cellStyle name="Normal 9 2 7 3" xfId="1346" xr:uid="{07B36D56-1EC7-4EFB-9896-670FCDCD77C1}"/>
    <cellStyle name="Normal 9 2 7 4" xfId="3016" xr:uid="{96EB5F36-DA49-4BEF-80DA-391D281067A3}"/>
    <cellStyle name="Normal 9 2 8" xfId="596" xr:uid="{00000000-0005-0000-0000-000029020000}"/>
    <cellStyle name="Normal 9 2 8 2" xfId="2272" xr:uid="{32FD09BB-2F88-4CDC-88CC-0F8FC32C763E}"/>
    <cellStyle name="Normal 9 2 8 2 2" xfId="3940" xr:uid="{D67DD055-8A03-40EC-9093-06D5A53674C6}"/>
    <cellStyle name="Normal 9 2 8 3" xfId="1436" xr:uid="{F02141F7-F018-4F02-90FE-E49D44D151FF}"/>
    <cellStyle name="Normal 9 2 8 4" xfId="3106" xr:uid="{BD60A08B-1004-42DF-9A1C-7CB5172F3443}"/>
    <cellStyle name="Normal 9 2 9" xfId="686" xr:uid="{00000000-0005-0000-0000-00002A020000}"/>
    <cellStyle name="Normal 9 2 9 2" xfId="2362" xr:uid="{3F3AA9F0-49B8-4739-A5B2-451C65114517}"/>
    <cellStyle name="Normal 9 2 9 2 2" xfId="4030" xr:uid="{4DD90CE5-05E5-4825-A2E2-5DF37FB08FE1}"/>
    <cellStyle name="Normal 9 2 9 3" xfId="1526" xr:uid="{DB0305F9-F071-4E36-976F-AEE0E90FB9CB}"/>
    <cellStyle name="Normal 9 2 9 4" xfId="3196" xr:uid="{BAE682BD-EF1E-4ABC-AC14-633951402D53}"/>
    <cellStyle name="Normal 9 3" xfId="71" xr:uid="{00000000-0005-0000-0000-00002B020000}"/>
    <cellStyle name="Normal 9 3 10" xfId="1748" xr:uid="{58E87BAA-2CC1-4E87-BA44-812FF8D89A45}"/>
    <cellStyle name="Normal 9 3 10 2" xfId="3416" xr:uid="{7814103C-1A19-4CB2-B0E9-F1E941CBE35E}"/>
    <cellStyle name="Normal 9 3 11" xfId="912" xr:uid="{686B968D-6C08-40C2-A028-B7AF39EC33AB}"/>
    <cellStyle name="Normal 9 3 12" xfId="2582" xr:uid="{DE5301D2-D634-45DD-800C-03DCE28C3935}"/>
    <cellStyle name="Normal 9 3 2" xfId="164" xr:uid="{00000000-0005-0000-0000-00002C020000}"/>
    <cellStyle name="Normal 9 3 2 2" xfId="1840" xr:uid="{0594269B-9DE3-4482-8F5F-F50112403E4B}"/>
    <cellStyle name="Normal 9 3 2 2 2" xfId="3508" xr:uid="{518F1A29-B9BC-441C-8863-138B3D575D5F}"/>
    <cellStyle name="Normal 9 3 2 3" xfId="1004" xr:uid="{0C505295-EB0C-4196-8443-9E798ECDDC2E}"/>
    <cellStyle name="Normal 9 3 2 4" xfId="2674" xr:uid="{A71EF73D-B953-4C9F-B9FA-D37342F1EEEB}"/>
    <cellStyle name="Normal 9 3 3" xfId="254" xr:uid="{00000000-0005-0000-0000-00002D020000}"/>
    <cellStyle name="Normal 9 3 3 2" xfId="1930" xr:uid="{A62DAAAE-6683-4482-9868-2DF2D3AFBD9A}"/>
    <cellStyle name="Normal 9 3 3 2 2" xfId="3598" xr:uid="{016DA95F-0841-4FDA-B0BC-3E4CA05593F8}"/>
    <cellStyle name="Normal 9 3 3 3" xfId="1094" xr:uid="{976EFBB9-01FF-4B23-AB1B-E281DBA28FEE}"/>
    <cellStyle name="Normal 9 3 3 4" xfId="2764" xr:uid="{AAB16FFB-49F9-4D93-B12A-F236553F7404}"/>
    <cellStyle name="Normal 9 3 4" xfId="344" xr:uid="{00000000-0005-0000-0000-00002E020000}"/>
    <cellStyle name="Normal 9 3 4 2" xfId="2020" xr:uid="{B30F7A40-6C59-41A4-83F0-E438595BA5BA}"/>
    <cellStyle name="Normal 9 3 4 2 2" xfId="3688" xr:uid="{78149882-E1FD-45D0-B6CB-460F6820E0A1}"/>
    <cellStyle name="Normal 9 3 4 3" xfId="1184" xr:uid="{1C182ADD-AB91-4C67-8963-F4FF8D10D9D2}"/>
    <cellStyle name="Normal 9 3 4 4" xfId="2854" xr:uid="{9E116F33-094E-47C8-8DD3-7FAB299A6DDB}"/>
    <cellStyle name="Normal 9 3 5" xfId="434" xr:uid="{00000000-0005-0000-0000-00002F020000}"/>
    <cellStyle name="Normal 9 3 5 2" xfId="2110" xr:uid="{348B2469-CD33-4B7C-88CE-E76519F8278D}"/>
    <cellStyle name="Normal 9 3 5 2 2" xfId="3778" xr:uid="{560F7E6D-78A3-43B7-9D9E-12EDE90FAB80}"/>
    <cellStyle name="Normal 9 3 5 3" xfId="1274" xr:uid="{7BE366C5-6D2E-4AEE-BFC2-AB2EC15DBC8F}"/>
    <cellStyle name="Normal 9 3 5 4" xfId="2944" xr:uid="{7DCE508D-BDDB-4D04-87B3-3AAF85F9A2A0}"/>
    <cellStyle name="Normal 9 3 6" xfId="524" xr:uid="{00000000-0005-0000-0000-000030020000}"/>
    <cellStyle name="Normal 9 3 6 2" xfId="2200" xr:uid="{E864BF44-A205-449C-8264-A152412608B3}"/>
    <cellStyle name="Normal 9 3 6 2 2" xfId="3868" xr:uid="{43D4A03F-5C10-4833-99CA-7B57B0E52788}"/>
    <cellStyle name="Normal 9 3 6 3" xfId="1364" xr:uid="{58BE5B8A-5AD9-45C8-B674-4D407C2B258E}"/>
    <cellStyle name="Normal 9 3 6 4" xfId="3034" xr:uid="{BBDC4224-B4E9-451C-B84D-A99C016EED78}"/>
    <cellStyle name="Normal 9 3 7" xfId="614" xr:uid="{00000000-0005-0000-0000-000031020000}"/>
    <cellStyle name="Normal 9 3 7 2" xfId="2290" xr:uid="{95F607D6-9F63-4CD1-A0EA-958CE7F769F4}"/>
    <cellStyle name="Normal 9 3 7 2 2" xfId="3958" xr:uid="{3768DC30-C48E-4288-A9FB-8AA42AAB3AC7}"/>
    <cellStyle name="Normal 9 3 7 3" xfId="1454" xr:uid="{DABA2CE9-394B-4D1E-A3C7-410DCB6718E9}"/>
    <cellStyle name="Normal 9 3 7 4" xfId="3124" xr:uid="{352C0423-C180-4C7F-A111-DAF2A42E779D}"/>
    <cellStyle name="Normal 9 3 8" xfId="704" xr:uid="{00000000-0005-0000-0000-000032020000}"/>
    <cellStyle name="Normal 9 3 8 2" xfId="2380" xr:uid="{636782B4-CD9C-4F68-AFDB-6C4818EA3305}"/>
    <cellStyle name="Normal 9 3 8 2 2" xfId="4048" xr:uid="{09326ED6-6257-4E62-A289-05E419D03772}"/>
    <cellStyle name="Normal 9 3 8 3" xfId="1544" xr:uid="{6BE2B605-15E0-42D0-A848-4A9DC674953C}"/>
    <cellStyle name="Normal 9 3 8 4" xfId="3214" xr:uid="{24BBB304-09AA-4F87-BFF1-A707C86CE172}"/>
    <cellStyle name="Normal 9 3 9" xfId="801" xr:uid="{00000000-0005-0000-0000-000033020000}"/>
    <cellStyle name="Normal 9 3 9 2" xfId="2477" xr:uid="{876E8D3F-42FD-4CC7-9930-16AE8A3DE04A}"/>
    <cellStyle name="Normal 9 3 9 2 2" xfId="4145" xr:uid="{35B3C38F-344D-4077-9EDA-A169BA50AC28}"/>
    <cellStyle name="Normal 9 3 9 3" xfId="1641" xr:uid="{2CEE1807-EB1E-496B-BE5E-70D948B3E7EB}"/>
    <cellStyle name="Normal 9 3 9 4" xfId="3311" xr:uid="{2E97AA4E-31D0-4AFF-9655-A69538207FAF}"/>
    <cellStyle name="Normal 9 4" xfId="127" xr:uid="{00000000-0005-0000-0000-000034020000}"/>
    <cellStyle name="Normal 9 4 2" xfId="1803" xr:uid="{7CDA1D3D-5664-4FC4-9DE9-A555DA8DA385}"/>
    <cellStyle name="Normal 9 4 2 2" xfId="3471" xr:uid="{3BFAE044-FCC6-4452-BE58-3A67AF7AACF1}"/>
    <cellStyle name="Normal 9 4 3" xfId="967" xr:uid="{2995C700-1F6F-44A9-BE8D-A6002D397940}"/>
    <cellStyle name="Normal 9 4 4" xfId="2637" xr:uid="{26F59595-0B17-40CE-8CC9-8A42B334FB54}"/>
    <cellStyle name="Normal 9 5" xfId="217" xr:uid="{00000000-0005-0000-0000-000035020000}"/>
    <cellStyle name="Normal 9 5 2" xfId="1893" xr:uid="{1A3B9E44-8DDD-482C-8F38-6278D01DED16}"/>
    <cellStyle name="Normal 9 5 2 2" xfId="3561" xr:uid="{2637F352-7EC6-467D-B392-81C0700D29A7}"/>
    <cellStyle name="Normal 9 5 3" xfId="1057" xr:uid="{BA1F8F8F-4D89-4281-A35E-DB302ACA1FA5}"/>
    <cellStyle name="Normal 9 5 4" xfId="2727" xr:uid="{F75F6732-86EC-4167-BA6A-A04E9CFC6B15}"/>
    <cellStyle name="Normal 9 6" xfId="307" xr:uid="{00000000-0005-0000-0000-000036020000}"/>
    <cellStyle name="Normal 9 6 2" xfId="1983" xr:uid="{FF4C540C-CBC8-4CC2-9701-25E24C93ECAE}"/>
    <cellStyle name="Normal 9 6 2 2" xfId="3651" xr:uid="{8D043FD9-43B4-479E-A1CA-28F360DF7822}"/>
    <cellStyle name="Normal 9 6 3" xfId="1147" xr:uid="{DAF375EE-A525-47CF-9BA6-F1591AA49421}"/>
    <cellStyle name="Normal 9 6 4" xfId="2817" xr:uid="{96BC1A05-A404-49DC-B4C0-8E11417744BE}"/>
    <cellStyle name="Normal 9 7" xfId="397" xr:uid="{00000000-0005-0000-0000-000037020000}"/>
    <cellStyle name="Normal 9 7 2" xfId="2073" xr:uid="{656F8CC8-3DEF-44FB-8B1C-F95BC57D927D}"/>
    <cellStyle name="Normal 9 7 2 2" xfId="3741" xr:uid="{F97E5B41-7050-4947-BB9E-9B3E22B67E70}"/>
    <cellStyle name="Normal 9 7 3" xfId="1237" xr:uid="{1C6E1A5C-8506-47C3-AEA1-872F4738DE7F}"/>
    <cellStyle name="Normal 9 7 4" xfId="2907" xr:uid="{66C392DE-2CB2-40AA-94CE-9E85866CAB72}"/>
    <cellStyle name="Normal 9 8" xfId="487" xr:uid="{00000000-0005-0000-0000-000038020000}"/>
    <cellStyle name="Normal 9 8 2" xfId="2163" xr:uid="{735E9D52-33D7-428D-ACAD-22E92F3E4A16}"/>
    <cellStyle name="Normal 9 8 2 2" xfId="3831" xr:uid="{8063A211-E084-4D6E-B3E3-4352B158C7BA}"/>
    <cellStyle name="Normal 9 8 3" xfId="1327" xr:uid="{F92E40FC-EA66-4780-9C7D-B2CA265AC82D}"/>
    <cellStyle name="Normal 9 8 4" xfId="2997" xr:uid="{7C401889-8435-4FEE-9F29-AE356B25F7BD}"/>
    <cellStyle name="Normal 9 9" xfId="577" xr:uid="{00000000-0005-0000-0000-000039020000}"/>
    <cellStyle name="Normal 9 9 2" xfId="2253" xr:uid="{913B8155-A125-4529-AB6D-4822A2ADD0F6}"/>
    <cellStyle name="Normal 9 9 2 2" xfId="3921" xr:uid="{C21DECC8-11E0-42E1-ABF3-020F208E1B0B}"/>
    <cellStyle name="Normal 9 9 3" xfId="1417" xr:uid="{1D27196B-A25D-4AF9-9F35-0E3DA6B57584}"/>
    <cellStyle name="Normal 9 9 4" xfId="3087" xr:uid="{3263E70D-4FC1-4DE4-8E69-3E8931124D06}"/>
    <cellStyle name="Normal_Forslag" xfId="845" xr:uid="{00000000-0005-0000-0000-00003A020000}"/>
    <cellStyle name="Normal_Forslag 2" xfId="848" xr:uid="{00000000-0005-0000-0000-00003B020000}"/>
    <cellStyle name="Prosent" xfId="853" builtinId="5"/>
    <cellStyle name="Prosent 2" xfId="1689" xr:uid="{C6EB2C98-25F5-4F74-9945-6B56AEDDB76F}"/>
    <cellStyle name="Tusenskille 2" xfId="14" xr:uid="{00000000-0005-0000-0000-00003C020000}"/>
    <cellStyle name="Tusenskille 2 2" xfId="15" xr:uid="{00000000-0005-0000-0000-00003D020000}"/>
    <cellStyle name="Tusenskille 2 2 2" xfId="751" xr:uid="{00000000-0005-0000-0000-00003E020000}"/>
    <cellStyle name="Tusenskille 2 2 2 2" xfId="2427" xr:uid="{485DF660-B66A-447F-B91E-22493A3E3182}"/>
    <cellStyle name="Tusenskille 2 2 2 2 2" xfId="4095" xr:uid="{44315901-90A1-4A5F-8A7D-1BDC7056420D}"/>
    <cellStyle name="Tusenskille 2 2 2 3" xfId="1591" xr:uid="{E54AD5F1-125D-4CF3-94A4-2461A3A817A0}"/>
    <cellStyle name="Tusenskille 2 2 2 4" xfId="3261" xr:uid="{30A200CC-104F-494E-9F73-2D8FA13DE432}"/>
    <cellStyle name="Tusenskille 2 2 3" xfId="849" xr:uid="{F77FA10F-B946-43D0-BDB2-55CEFCE8EA1F}"/>
    <cellStyle name="Tusenskille 2 2 3 2" xfId="2522" xr:uid="{0213B2A0-012D-47D8-81E8-2854707A3226}"/>
    <cellStyle name="Tusenskille 2 2 3 2 2" xfId="4190" xr:uid="{70DD4BF7-4A5A-4395-8E77-6AA10035F2B0}"/>
    <cellStyle name="Tusenskille 2 2 3 3" xfId="1686" xr:uid="{91B39428-9BBA-49B8-8B2A-A930937B0238}"/>
    <cellStyle name="Tusenskille 2 2 3 4" xfId="3356" xr:uid="{94AF9372-886A-4270-952E-13CB9A2D3903}"/>
    <cellStyle name="Tusenskille 2 2 4" xfId="1698" xr:uid="{EE64B8FB-1BBB-4F61-BFA2-4B53FA09E5C7}"/>
    <cellStyle name="Tusenskille 2 2 4 2" xfId="3366" xr:uid="{B55D0853-9AAE-40D5-B2F5-4FF94DCB8434}"/>
    <cellStyle name="Tusenskille 2 2 5" xfId="862" xr:uid="{A077BA33-D30B-442B-8CEC-D7954E3F452F}"/>
    <cellStyle name="Tusenskille 2 2 6" xfId="2532" xr:uid="{495D0E03-D956-4ED4-ADCF-756BDBCAF746}"/>
    <cellStyle name="Tusenskille 2 3" xfId="21" xr:uid="{00000000-0005-0000-0000-00003F020000}"/>
    <cellStyle name="Tusenskille 2 3 2" xfId="755" xr:uid="{00000000-0005-0000-0000-000040020000}"/>
    <cellStyle name="Tusenskille 2 3 2 2" xfId="2431" xr:uid="{6AD11C87-BF27-493D-860A-E68FF2F96D41}"/>
    <cellStyle name="Tusenskille 2 3 2 2 2" xfId="4099" xr:uid="{2B04D501-171D-4A11-AE46-676A8295B764}"/>
    <cellStyle name="Tusenskille 2 3 2 3" xfId="1595" xr:uid="{6B429356-5B21-4067-95FD-95BFC7173D32}"/>
    <cellStyle name="Tusenskille 2 3 2 4" xfId="3265" xr:uid="{9A6FA094-912D-483D-A832-19EF8FDEF0E3}"/>
    <cellStyle name="Tusenskille 2 3 3" xfId="1702" xr:uid="{98E461C5-CFA4-4FE0-8625-BB8AB15DFFD1}"/>
    <cellStyle name="Tusenskille 2 3 3 2" xfId="3370" xr:uid="{17DB210E-7B5E-44C0-AE6C-F76203DEAC85}"/>
    <cellStyle name="Tusenskille 2 3 4" xfId="866" xr:uid="{BAEC15F8-E81A-4F6B-B21B-B9D1BC707B9C}"/>
    <cellStyle name="Tusenskille 2 3 5" xfId="2536" xr:uid="{4F9C2B3F-E67E-4E79-A05E-34FECAA27FAA}"/>
    <cellStyle name="Tusenskille 2 4" xfId="40" xr:uid="{00000000-0005-0000-0000-000041020000}"/>
    <cellStyle name="Tusenskille 2 4 2" xfId="772" xr:uid="{00000000-0005-0000-0000-000042020000}"/>
    <cellStyle name="Tusenskille 2 4 2 2" xfId="2448" xr:uid="{2E17F62F-60B9-4934-89B8-A6D19F0FDA02}"/>
    <cellStyle name="Tusenskille 2 4 2 2 2" xfId="4116" xr:uid="{00695DE0-19B4-44D0-9EA1-A36ABE9136E9}"/>
    <cellStyle name="Tusenskille 2 4 2 3" xfId="1612" xr:uid="{5E8829F3-4A40-42C2-9C80-8D3A50376AEE}"/>
    <cellStyle name="Tusenskille 2 4 2 4" xfId="3282" xr:uid="{799AC890-D10B-4A7A-B163-EE8E85067458}"/>
    <cellStyle name="Tusenskille 2 4 3" xfId="1719" xr:uid="{D3CEE0CF-EE38-4C84-B783-D51EF62DAB2E}"/>
    <cellStyle name="Tusenskille 2 4 3 2" xfId="3387" xr:uid="{C7F066EF-529D-4E34-88EB-0438171A0E3A}"/>
    <cellStyle name="Tusenskille 2 4 4" xfId="883" xr:uid="{D9D405EB-E7D4-4C4B-AF87-75F325AFF698}"/>
    <cellStyle name="Tusenskille 2 4 5" xfId="2553" xr:uid="{CB355CAF-F1D6-42B9-9792-136A50583A95}"/>
    <cellStyle name="Tusenskille 2 5" xfId="61" xr:uid="{00000000-0005-0000-0000-000043020000}"/>
    <cellStyle name="Tusenskille 2 5 2" xfId="791" xr:uid="{00000000-0005-0000-0000-000044020000}"/>
    <cellStyle name="Tusenskille 2 5 2 2" xfId="2467" xr:uid="{310E4841-9AD7-4473-ADAE-01FF7046D246}"/>
    <cellStyle name="Tusenskille 2 5 2 2 2" xfId="4135" xr:uid="{234B3C50-5E5A-48B9-B2E2-0B3C5092E46D}"/>
    <cellStyle name="Tusenskille 2 5 2 3" xfId="1631" xr:uid="{CA31639D-3B13-4923-9B9E-29CB9891A6D1}"/>
    <cellStyle name="Tusenskille 2 5 2 4" xfId="3301" xr:uid="{9407F696-D041-443F-9F3B-C401044A3948}"/>
    <cellStyle name="Tusenskille 2 5 3" xfId="1738" xr:uid="{3501FC0F-6CAB-4648-8535-60E530C8D813}"/>
    <cellStyle name="Tusenskille 2 5 3 2" xfId="3406" xr:uid="{5BC8F610-0729-4913-A835-0EF5EF5FD126}"/>
    <cellStyle name="Tusenskille 2 5 4" xfId="902" xr:uid="{39A25A01-2F6E-4DFE-B585-2ACD796FB4AA}"/>
    <cellStyle name="Tusenskille 2 5 5" xfId="2572" xr:uid="{E296E045-7E24-4CB2-AAB1-BA31DFC7688F}"/>
    <cellStyle name="Tusenskille 2 6" xfId="750" xr:uid="{00000000-0005-0000-0000-000045020000}"/>
    <cellStyle name="Tusenskille 2 6 2" xfId="2426" xr:uid="{973D897E-FC92-4F46-A567-F9101869FFEA}"/>
    <cellStyle name="Tusenskille 2 6 2 2" xfId="4094" xr:uid="{ABD2998D-7520-40F8-B64B-8C7243BBE2D7}"/>
    <cellStyle name="Tusenskille 2 6 3" xfId="1590" xr:uid="{03DC29BD-09D8-4ADB-8540-675702422D34}"/>
    <cellStyle name="Tusenskille 2 6 4" xfId="3260" xr:uid="{06F121A8-7F5B-49BB-B5B8-5D94B78C38DF}"/>
    <cellStyle name="Tusenskille 2 7" xfId="1697" xr:uid="{DEB47C5A-3621-4CDE-A9B6-E7E663297C3F}"/>
    <cellStyle name="Tusenskille 2 7 2" xfId="3365" xr:uid="{30D8B4F9-1F25-4DEC-A3BB-903CBEE4B458}"/>
    <cellStyle name="Tusenskille 2 8" xfId="861" xr:uid="{C7BD7E21-BE45-470F-B9DD-6FA09B039542}"/>
    <cellStyle name="Tusenskille 2 9" xfId="2531" xr:uid="{5365134D-D32C-4225-BC64-7B4692B1A574}"/>
    <cellStyle name="Tusenskille 3" xfId="16" xr:uid="{00000000-0005-0000-0000-000046020000}"/>
    <cellStyle name="Tusenskille 3 10" xfId="105" xr:uid="{00000000-0005-0000-0000-000047020000}"/>
    <cellStyle name="Tusenskille 3 10 10" xfId="1781" xr:uid="{2D34A599-5E70-4D5B-9AC8-79247FE9F0CA}"/>
    <cellStyle name="Tusenskille 3 10 10 2" xfId="3449" xr:uid="{E034C9A1-2685-4891-90C8-684A7A5CBB83}"/>
    <cellStyle name="Tusenskille 3 10 11" xfId="945" xr:uid="{AFAFC283-69D4-43A8-93CC-D3BD93C2A3B4}"/>
    <cellStyle name="Tusenskille 3 10 12" xfId="2615" xr:uid="{7CA25831-5B4A-4FD1-8B59-51525E42722C}"/>
    <cellStyle name="Tusenskille 3 10 2" xfId="197" xr:uid="{00000000-0005-0000-0000-000048020000}"/>
    <cellStyle name="Tusenskille 3 10 2 2" xfId="1873" xr:uid="{C8436B1B-3C7F-482D-BA4F-B3D6BAD9C30C}"/>
    <cellStyle name="Tusenskille 3 10 2 2 2" xfId="3541" xr:uid="{3A4EFACD-BED0-4F4A-A028-044D9D7AF1B5}"/>
    <cellStyle name="Tusenskille 3 10 2 3" xfId="1037" xr:uid="{EDC8ED12-E5AD-40FA-BCD8-03B22D268063}"/>
    <cellStyle name="Tusenskille 3 10 2 4" xfId="2707" xr:uid="{BD69FDEC-E6DC-4FB1-A1F7-98181ABEF49E}"/>
    <cellStyle name="Tusenskille 3 10 3" xfId="287" xr:uid="{00000000-0005-0000-0000-000049020000}"/>
    <cellStyle name="Tusenskille 3 10 3 2" xfId="1963" xr:uid="{F664759D-08F6-43E0-8252-8D97CF469350}"/>
    <cellStyle name="Tusenskille 3 10 3 2 2" xfId="3631" xr:uid="{A14330E7-5CA3-4ED8-954F-A2FB21059307}"/>
    <cellStyle name="Tusenskille 3 10 3 3" xfId="1127" xr:uid="{C1390E21-9628-45F9-B99E-33E5A2E04C9D}"/>
    <cellStyle name="Tusenskille 3 10 3 4" xfId="2797" xr:uid="{E89873E5-54AF-4B3E-B618-BF7171CB935E}"/>
    <cellStyle name="Tusenskille 3 10 4" xfId="377" xr:uid="{00000000-0005-0000-0000-00004A020000}"/>
    <cellStyle name="Tusenskille 3 10 4 2" xfId="2053" xr:uid="{39CB2E5D-0DF8-41E6-96EE-1C3467A92857}"/>
    <cellStyle name="Tusenskille 3 10 4 2 2" xfId="3721" xr:uid="{17E5BB44-046F-47EB-8DAE-6622D7B843E5}"/>
    <cellStyle name="Tusenskille 3 10 4 3" xfId="1217" xr:uid="{E6B791EA-2928-4737-B29C-D0A412EDB2A9}"/>
    <cellStyle name="Tusenskille 3 10 4 4" xfId="2887" xr:uid="{7FA8C107-590C-4F92-8973-4BBC18B7FEB3}"/>
    <cellStyle name="Tusenskille 3 10 5" xfId="467" xr:uid="{00000000-0005-0000-0000-00004B020000}"/>
    <cellStyle name="Tusenskille 3 10 5 2" xfId="2143" xr:uid="{AFD2847F-1F77-4287-9698-C99260C59421}"/>
    <cellStyle name="Tusenskille 3 10 5 2 2" xfId="3811" xr:uid="{779441E0-BD6A-4134-973F-CE6646134C16}"/>
    <cellStyle name="Tusenskille 3 10 5 3" xfId="1307" xr:uid="{C00C31E4-F319-4BEC-A9A2-18BB913A51D8}"/>
    <cellStyle name="Tusenskille 3 10 5 4" xfId="2977" xr:uid="{72148CA0-5388-4266-93B8-7DEDF74089D3}"/>
    <cellStyle name="Tusenskille 3 10 6" xfId="557" xr:uid="{00000000-0005-0000-0000-00004C020000}"/>
    <cellStyle name="Tusenskille 3 10 6 2" xfId="2233" xr:uid="{6269ECB0-7A96-409D-B065-E4FA1835B418}"/>
    <cellStyle name="Tusenskille 3 10 6 2 2" xfId="3901" xr:uid="{9580DFF8-A26C-4BFA-85F0-DA794CB1E82A}"/>
    <cellStyle name="Tusenskille 3 10 6 3" xfId="1397" xr:uid="{B7D8E232-0F9D-43E2-A681-117A9EEA27F2}"/>
    <cellStyle name="Tusenskille 3 10 6 4" xfId="3067" xr:uid="{2F69183F-9801-45F7-B245-6834A45C887B}"/>
    <cellStyle name="Tusenskille 3 10 7" xfId="647" xr:uid="{00000000-0005-0000-0000-00004D020000}"/>
    <cellStyle name="Tusenskille 3 10 7 2" xfId="2323" xr:uid="{AD43A652-46E7-4B45-9372-46D2DDE7B772}"/>
    <cellStyle name="Tusenskille 3 10 7 2 2" xfId="3991" xr:uid="{13BC8192-714A-4013-B181-695067171FC6}"/>
    <cellStyle name="Tusenskille 3 10 7 3" xfId="1487" xr:uid="{7CA95F47-D84E-47FA-9AF5-E4E218D835EB}"/>
    <cellStyle name="Tusenskille 3 10 7 4" xfId="3157" xr:uid="{48C185C1-73FF-487F-8D4D-1FBBC7685EC4}"/>
    <cellStyle name="Tusenskille 3 10 8" xfId="737" xr:uid="{00000000-0005-0000-0000-00004E020000}"/>
    <cellStyle name="Tusenskille 3 10 8 2" xfId="2413" xr:uid="{9EB99073-AC6A-475E-8C6B-83A2F2D6096C}"/>
    <cellStyle name="Tusenskille 3 10 8 2 2" xfId="4081" xr:uid="{7BC71B22-5E3C-401C-96B7-65931B442100}"/>
    <cellStyle name="Tusenskille 3 10 8 3" xfId="1577" xr:uid="{A0E95F89-1D91-4DD0-BD6C-3F6FFA39D898}"/>
    <cellStyle name="Tusenskille 3 10 8 4" xfId="3247" xr:uid="{341955C8-FA0E-45C4-A896-CEDC0265DA19}"/>
    <cellStyle name="Tusenskille 3 10 9" xfId="834" xr:uid="{00000000-0005-0000-0000-00004F020000}"/>
    <cellStyle name="Tusenskille 3 10 9 2" xfId="2510" xr:uid="{ADD97ADF-8254-4B64-8F5A-D4C68ED90996}"/>
    <cellStyle name="Tusenskille 3 10 9 2 2" xfId="4178" xr:uid="{24CC090C-843C-4C72-B120-9BC25611CCD9}"/>
    <cellStyle name="Tusenskille 3 10 9 3" xfId="1674" xr:uid="{608C62B4-006D-4977-9538-86DA24EF3557}"/>
    <cellStyle name="Tusenskille 3 10 9 4" xfId="3344" xr:uid="{E77331F3-82C1-4E77-9339-24E087D8E2E9}"/>
    <cellStyle name="Tusenskille 3 11" xfId="108" xr:uid="{00000000-0005-0000-0000-000050020000}"/>
    <cellStyle name="Tusenskille 3 11 10" xfId="1784" xr:uid="{130C4637-D982-43D0-A741-C4584CA52DB4}"/>
    <cellStyle name="Tusenskille 3 11 10 2" xfId="3452" xr:uid="{4913CC58-DBF8-445C-B3B5-A5D2DFDF0136}"/>
    <cellStyle name="Tusenskille 3 11 11" xfId="948" xr:uid="{BBB35167-761F-4ACC-BC12-9FF0ECB966F0}"/>
    <cellStyle name="Tusenskille 3 11 12" xfId="2618" xr:uid="{B053A899-863A-49E7-B31A-A30E72490498}"/>
    <cellStyle name="Tusenskille 3 11 2" xfId="200" xr:uid="{00000000-0005-0000-0000-000051020000}"/>
    <cellStyle name="Tusenskille 3 11 2 2" xfId="1876" xr:uid="{5A08F2E6-21DF-4A96-979C-D6AA6C599E65}"/>
    <cellStyle name="Tusenskille 3 11 2 2 2" xfId="3544" xr:uid="{FEC0964E-6733-40A9-85BC-18F6D4F85FE0}"/>
    <cellStyle name="Tusenskille 3 11 2 3" xfId="1040" xr:uid="{4DED76DF-7001-4595-BD64-D82C12E9C5C2}"/>
    <cellStyle name="Tusenskille 3 11 2 4" xfId="2710" xr:uid="{344E04ED-4996-42FC-B433-C5D785AF0B8F}"/>
    <cellStyle name="Tusenskille 3 11 3" xfId="290" xr:uid="{00000000-0005-0000-0000-000052020000}"/>
    <cellStyle name="Tusenskille 3 11 3 2" xfId="1966" xr:uid="{1D5BEEE9-E7A6-47DE-8921-7B94A661F5AB}"/>
    <cellStyle name="Tusenskille 3 11 3 2 2" xfId="3634" xr:uid="{66A7898D-3B54-4D03-9F40-01DDB1521CBA}"/>
    <cellStyle name="Tusenskille 3 11 3 3" xfId="1130" xr:uid="{C46F43FA-E20E-4B2D-AEDC-10B55E0EEA8D}"/>
    <cellStyle name="Tusenskille 3 11 3 4" xfId="2800" xr:uid="{470F3122-C8E3-44E3-81D1-D546C967E0F4}"/>
    <cellStyle name="Tusenskille 3 11 4" xfId="380" xr:uid="{00000000-0005-0000-0000-000053020000}"/>
    <cellStyle name="Tusenskille 3 11 4 2" xfId="2056" xr:uid="{B7139465-7F7D-40A5-BE45-267881B70B99}"/>
    <cellStyle name="Tusenskille 3 11 4 2 2" xfId="3724" xr:uid="{A9B4FECF-137F-4D59-B129-2DF4BD5BD15A}"/>
    <cellStyle name="Tusenskille 3 11 4 3" xfId="1220" xr:uid="{ED93AA95-66BA-41CE-A486-A78C41F6074E}"/>
    <cellStyle name="Tusenskille 3 11 4 4" xfId="2890" xr:uid="{F5B3F03F-911F-4C58-AC64-886429CC0AD0}"/>
    <cellStyle name="Tusenskille 3 11 5" xfId="470" xr:uid="{00000000-0005-0000-0000-000054020000}"/>
    <cellStyle name="Tusenskille 3 11 5 2" xfId="2146" xr:uid="{05CBB87D-6368-42C8-99FE-FE05F546989B}"/>
    <cellStyle name="Tusenskille 3 11 5 2 2" xfId="3814" xr:uid="{AFD3523E-482A-450C-AE3A-D3377794CE6B}"/>
    <cellStyle name="Tusenskille 3 11 5 3" xfId="1310" xr:uid="{E9EA6DE0-7790-4A24-AD84-E96BB13AED2D}"/>
    <cellStyle name="Tusenskille 3 11 5 4" xfId="2980" xr:uid="{638331FF-7E63-419D-9DAD-D05708ABE880}"/>
    <cellStyle name="Tusenskille 3 11 6" xfId="560" xr:uid="{00000000-0005-0000-0000-000055020000}"/>
    <cellStyle name="Tusenskille 3 11 6 2" xfId="2236" xr:uid="{DEC5F579-8F32-47CC-A465-BAF1956364EB}"/>
    <cellStyle name="Tusenskille 3 11 6 2 2" xfId="3904" xr:uid="{E230C544-24DE-4553-BF21-EA5C2EDC9CA5}"/>
    <cellStyle name="Tusenskille 3 11 6 3" xfId="1400" xr:uid="{A8946ADB-743B-4CBC-8C1C-3ECEDA5421B7}"/>
    <cellStyle name="Tusenskille 3 11 6 4" xfId="3070" xr:uid="{D0C87B5F-AAE0-463A-B753-0841BB7D3463}"/>
    <cellStyle name="Tusenskille 3 11 7" xfId="650" xr:uid="{00000000-0005-0000-0000-000056020000}"/>
    <cellStyle name="Tusenskille 3 11 7 2" xfId="2326" xr:uid="{429F43B2-11C0-41FE-8E5C-36A89AFDD562}"/>
    <cellStyle name="Tusenskille 3 11 7 2 2" xfId="3994" xr:uid="{15A369A1-343D-4C47-A71B-B093A735F66B}"/>
    <cellStyle name="Tusenskille 3 11 7 3" xfId="1490" xr:uid="{59835AA9-1110-4EF9-B141-2BCEF106F380}"/>
    <cellStyle name="Tusenskille 3 11 7 4" xfId="3160" xr:uid="{EC613C69-F72C-47CD-A721-B70198FEBA87}"/>
    <cellStyle name="Tusenskille 3 11 8" xfId="740" xr:uid="{00000000-0005-0000-0000-000057020000}"/>
    <cellStyle name="Tusenskille 3 11 8 2" xfId="2416" xr:uid="{96E13FAF-058B-488A-832B-3C3E1B9A7A42}"/>
    <cellStyle name="Tusenskille 3 11 8 2 2" xfId="4084" xr:uid="{9F9CCD54-87CD-43B1-B259-E1B69413907A}"/>
    <cellStyle name="Tusenskille 3 11 8 3" xfId="1580" xr:uid="{AF43CA75-546D-4312-A0B9-E4A0B8C30F99}"/>
    <cellStyle name="Tusenskille 3 11 8 4" xfId="3250" xr:uid="{168DEDEC-2CA8-42AE-8916-CC0666038B35}"/>
    <cellStyle name="Tusenskille 3 11 9" xfId="837" xr:uid="{00000000-0005-0000-0000-000058020000}"/>
    <cellStyle name="Tusenskille 3 11 9 2" xfId="2513" xr:uid="{5020F177-0026-4678-862F-C16770A095E4}"/>
    <cellStyle name="Tusenskille 3 11 9 2 2" xfId="4181" xr:uid="{2ECBB796-FE28-4F86-A344-21866E57E67D}"/>
    <cellStyle name="Tusenskille 3 11 9 3" xfId="1677" xr:uid="{5FB70686-DFB1-4EBE-A0F1-0AB81A2C29B1}"/>
    <cellStyle name="Tusenskille 3 11 9 4" xfId="3347" xr:uid="{CA99D80A-C4C1-4E90-9D09-05D9D68DD07E}"/>
    <cellStyle name="Tusenskille 3 12" xfId="111" xr:uid="{00000000-0005-0000-0000-000059020000}"/>
    <cellStyle name="Tusenskille 3 12 10" xfId="1787" xr:uid="{486C2BCE-CE81-42A8-99AA-79817583A6B6}"/>
    <cellStyle name="Tusenskille 3 12 10 2" xfId="3455" xr:uid="{79D2E7A2-B91E-4D1B-908B-A08EF39D6653}"/>
    <cellStyle name="Tusenskille 3 12 11" xfId="951" xr:uid="{76B3DFB3-C547-4C8C-85BD-A6C10BC84D70}"/>
    <cellStyle name="Tusenskille 3 12 12" xfId="2621" xr:uid="{49475015-3B5A-4428-A445-31BA536856EB}"/>
    <cellStyle name="Tusenskille 3 12 2" xfId="203" xr:uid="{00000000-0005-0000-0000-00005A020000}"/>
    <cellStyle name="Tusenskille 3 12 2 2" xfId="1879" xr:uid="{20216F7A-F55D-45A6-B6F1-404518D75081}"/>
    <cellStyle name="Tusenskille 3 12 2 2 2" xfId="3547" xr:uid="{B2E06E7C-E4FC-483F-AE23-F6758F6D3B4A}"/>
    <cellStyle name="Tusenskille 3 12 2 3" xfId="1043" xr:uid="{B173439E-D7FE-43ED-AF4B-CFA02D121A36}"/>
    <cellStyle name="Tusenskille 3 12 2 4" xfId="2713" xr:uid="{625032FD-2A9D-4930-BE7D-B2C34D5A2BAD}"/>
    <cellStyle name="Tusenskille 3 12 3" xfId="293" xr:uid="{00000000-0005-0000-0000-00005B020000}"/>
    <cellStyle name="Tusenskille 3 12 3 2" xfId="1969" xr:uid="{99C67B14-FC82-4EC5-9CEA-E652206EEA37}"/>
    <cellStyle name="Tusenskille 3 12 3 2 2" xfId="3637" xr:uid="{9AE88FEF-37AD-4BA4-9267-553286AD6FE6}"/>
    <cellStyle name="Tusenskille 3 12 3 3" xfId="1133" xr:uid="{D7B2CFDA-A279-48B3-B2F1-F68F62DB5B0C}"/>
    <cellStyle name="Tusenskille 3 12 3 4" xfId="2803" xr:uid="{674D176B-1E43-42BC-8CC1-8972251311BF}"/>
    <cellStyle name="Tusenskille 3 12 4" xfId="383" xr:uid="{00000000-0005-0000-0000-00005C020000}"/>
    <cellStyle name="Tusenskille 3 12 4 2" xfId="2059" xr:uid="{07C1456A-7486-47FB-9B9E-F4AC7A215710}"/>
    <cellStyle name="Tusenskille 3 12 4 2 2" xfId="3727" xr:uid="{5B887EEF-601F-47AD-B798-C4C076A836A9}"/>
    <cellStyle name="Tusenskille 3 12 4 3" xfId="1223" xr:uid="{AD605D62-E8C3-46EF-BDDB-9B02196AB500}"/>
    <cellStyle name="Tusenskille 3 12 4 4" xfId="2893" xr:uid="{283981A1-B2D0-43F6-AB1F-88BDED5D0CED}"/>
    <cellStyle name="Tusenskille 3 12 5" xfId="473" xr:uid="{00000000-0005-0000-0000-00005D020000}"/>
    <cellStyle name="Tusenskille 3 12 5 2" xfId="2149" xr:uid="{05394E4C-F256-4686-8423-88951226DC5F}"/>
    <cellStyle name="Tusenskille 3 12 5 2 2" xfId="3817" xr:uid="{DAC5E62A-5FB2-4CEB-8891-79D1C95522E7}"/>
    <cellStyle name="Tusenskille 3 12 5 3" xfId="1313" xr:uid="{D7358799-1C10-46FE-AD0F-57D206433E96}"/>
    <cellStyle name="Tusenskille 3 12 5 4" xfId="2983" xr:uid="{EB18DB80-E410-424F-B47B-FEA19D2CFF13}"/>
    <cellStyle name="Tusenskille 3 12 6" xfId="563" xr:uid="{00000000-0005-0000-0000-00005E020000}"/>
    <cellStyle name="Tusenskille 3 12 6 2" xfId="2239" xr:uid="{CA69450A-7DF0-4F6F-87D3-4A548FC55802}"/>
    <cellStyle name="Tusenskille 3 12 6 2 2" xfId="3907" xr:uid="{E5BB92B8-19E9-411A-BD10-BC3F4E1C4EBB}"/>
    <cellStyle name="Tusenskille 3 12 6 3" xfId="1403" xr:uid="{9954E502-D108-4944-B222-B99BC6A5A522}"/>
    <cellStyle name="Tusenskille 3 12 6 4" xfId="3073" xr:uid="{0487C504-272B-4AB1-9ED0-3F3A3D367AC8}"/>
    <cellStyle name="Tusenskille 3 12 7" xfId="653" xr:uid="{00000000-0005-0000-0000-00005F020000}"/>
    <cellStyle name="Tusenskille 3 12 7 2" xfId="2329" xr:uid="{0F4AA5F7-FCAB-45F2-B3E3-BCA790A3A3F7}"/>
    <cellStyle name="Tusenskille 3 12 7 2 2" xfId="3997" xr:uid="{372E0CED-86D6-4E63-9BCA-1E8DB0110A11}"/>
    <cellStyle name="Tusenskille 3 12 7 3" xfId="1493" xr:uid="{4E122105-7304-46ED-882A-6A689F4F0064}"/>
    <cellStyle name="Tusenskille 3 12 7 4" xfId="3163" xr:uid="{01E694DD-F243-4F08-9D62-D04714D03D6D}"/>
    <cellStyle name="Tusenskille 3 12 8" xfId="743" xr:uid="{00000000-0005-0000-0000-000060020000}"/>
    <cellStyle name="Tusenskille 3 12 8 2" xfId="2419" xr:uid="{280D291C-9655-46C7-B6BB-D6C9EB6D285B}"/>
    <cellStyle name="Tusenskille 3 12 8 2 2" xfId="4087" xr:uid="{114B3B69-713D-49D4-9C65-AE9985C99D6C}"/>
    <cellStyle name="Tusenskille 3 12 8 3" xfId="1583" xr:uid="{9BA0677A-6EC1-4AA1-BCAE-C2FACCBFDBDF}"/>
    <cellStyle name="Tusenskille 3 12 8 4" xfId="3253" xr:uid="{59D891B6-FF6C-48F3-91F1-598394E6DC59}"/>
    <cellStyle name="Tusenskille 3 12 9" xfId="840" xr:uid="{00000000-0005-0000-0000-000061020000}"/>
    <cellStyle name="Tusenskille 3 12 9 2" xfId="2516" xr:uid="{2F405D1E-5CF8-42EE-9D97-B6710BDC9ABE}"/>
    <cellStyle name="Tusenskille 3 12 9 2 2" xfId="4184" xr:uid="{8CA02657-8268-4FE0-9ED3-8583D2937052}"/>
    <cellStyle name="Tusenskille 3 12 9 3" xfId="1680" xr:uid="{0082746D-3667-4A24-A687-6DCC59791F47}"/>
    <cellStyle name="Tusenskille 3 12 9 4" xfId="3350" xr:uid="{742AA6BC-46AE-49FE-90AD-FE63EAA31A3E}"/>
    <cellStyle name="Tusenskille 3 13" xfId="114" xr:uid="{00000000-0005-0000-0000-000062020000}"/>
    <cellStyle name="Tusenskille 3 13 10" xfId="1790" xr:uid="{A92B0674-C11F-416E-9AB5-A886EBA79C42}"/>
    <cellStyle name="Tusenskille 3 13 10 2" xfId="3458" xr:uid="{7E83C78E-9F0E-4B00-8DD6-61DE8FA648D9}"/>
    <cellStyle name="Tusenskille 3 13 11" xfId="954" xr:uid="{F4BBB40F-3B24-48EE-AC9C-C8D538323DEC}"/>
    <cellStyle name="Tusenskille 3 13 12" xfId="2624" xr:uid="{CACCDBCA-22F8-4ACF-BE3D-C5B91D31A794}"/>
    <cellStyle name="Tusenskille 3 13 2" xfId="206" xr:uid="{00000000-0005-0000-0000-000063020000}"/>
    <cellStyle name="Tusenskille 3 13 2 2" xfId="1882" xr:uid="{D381E5A8-4011-4B0F-9672-57F26EEC09E2}"/>
    <cellStyle name="Tusenskille 3 13 2 2 2" xfId="3550" xr:uid="{BCD0F6D5-A30F-40CE-ADCD-DC61B250D0FB}"/>
    <cellStyle name="Tusenskille 3 13 2 3" xfId="1046" xr:uid="{23E4EB53-097B-4F92-BC7D-A19996DDD680}"/>
    <cellStyle name="Tusenskille 3 13 2 4" xfId="2716" xr:uid="{D0C87EF5-CDBA-4212-AEA3-CFD8F8D97785}"/>
    <cellStyle name="Tusenskille 3 13 3" xfId="296" xr:uid="{00000000-0005-0000-0000-000064020000}"/>
    <cellStyle name="Tusenskille 3 13 3 2" xfId="1972" xr:uid="{DA45A6C9-5BB0-4837-9DFC-F37E5FEC57DB}"/>
    <cellStyle name="Tusenskille 3 13 3 2 2" xfId="3640" xr:uid="{4A39ABA0-DE4C-46EB-BB38-0118C7E50697}"/>
    <cellStyle name="Tusenskille 3 13 3 3" xfId="1136" xr:uid="{9D7AD396-7244-481D-8946-5D26BBB9F680}"/>
    <cellStyle name="Tusenskille 3 13 3 4" xfId="2806" xr:uid="{4E53DD63-984A-4F23-BFE8-CAF57CC97C37}"/>
    <cellStyle name="Tusenskille 3 13 4" xfId="386" xr:uid="{00000000-0005-0000-0000-000065020000}"/>
    <cellStyle name="Tusenskille 3 13 4 2" xfId="2062" xr:uid="{5E208576-DF32-4A39-AE58-BA7B8BCD6B2E}"/>
    <cellStyle name="Tusenskille 3 13 4 2 2" xfId="3730" xr:uid="{F72EFE02-AB38-4840-9028-0B1EA65DECEE}"/>
    <cellStyle name="Tusenskille 3 13 4 3" xfId="1226" xr:uid="{7835C7B3-45F7-4CA7-A3D7-2E991F0E74E9}"/>
    <cellStyle name="Tusenskille 3 13 4 4" xfId="2896" xr:uid="{78657526-C72F-4B3C-B245-6D9B1B9CAA38}"/>
    <cellStyle name="Tusenskille 3 13 5" xfId="476" xr:uid="{00000000-0005-0000-0000-000066020000}"/>
    <cellStyle name="Tusenskille 3 13 5 2" xfId="2152" xr:uid="{0C1C8348-4BFC-4AD9-8F73-0B1B8B0F33BD}"/>
    <cellStyle name="Tusenskille 3 13 5 2 2" xfId="3820" xr:uid="{ABBCCE31-BD8B-4D33-90D5-4E5AE202FD57}"/>
    <cellStyle name="Tusenskille 3 13 5 3" xfId="1316" xr:uid="{B760DBA5-F712-4E10-908E-48764ECB4807}"/>
    <cellStyle name="Tusenskille 3 13 5 4" xfId="2986" xr:uid="{FEBD37B1-DADA-4FF1-8C32-2F45070AEADD}"/>
    <cellStyle name="Tusenskille 3 13 6" xfId="566" xr:uid="{00000000-0005-0000-0000-000067020000}"/>
    <cellStyle name="Tusenskille 3 13 6 2" xfId="2242" xr:uid="{C9C0E1D0-517C-4E83-B4CA-B62B58669951}"/>
    <cellStyle name="Tusenskille 3 13 6 2 2" xfId="3910" xr:uid="{90E39EF3-39BC-4C1B-ADB9-938600860AD4}"/>
    <cellStyle name="Tusenskille 3 13 6 3" xfId="1406" xr:uid="{9B6A522B-CE54-4162-AB84-8D3111682AD6}"/>
    <cellStyle name="Tusenskille 3 13 6 4" xfId="3076" xr:uid="{58DF5131-0C3D-4BA0-B117-145C6BD6E041}"/>
    <cellStyle name="Tusenskille 3 13 7" xfId="656" xr:uid="{00000000-0005-0000-0000-000068020000}"/>
    <cellStyle name="Tusenskille 3 13 7 2" xfId="2332" xr:uid="{8EDA00E5-876A-4DD0-9C6F-65D600E6B732}"/>
    <cellStyle name="Tusenskille 3 13 7 2 2" xfId="4000" xr:uid="{814A9990-3F31-4F49-883F-261893C0ECAF}"/>
    <cellStyle name="Tusenskille 3 13 7 3" xfId="1496" xr:uid="{CDDCF02F-C42C-4C23-B008-7D0D7E4082B1}"/>
    <cellStyle name="Tusenskille 3 13 7 4" xfId="3166" xr:uid="{36477DFB-3520-4383-8865-102620A72030}"/>
    <cellStyle name="Tusenskille 3 13 8" xfId="746" xr:uid="{00000000-0005-0000-0000-000069020000}"/>
    <cellStyle name="Tusenskille 3 13 8 2" xfId="2422" xr:uid="{150BAC06-20D0-48F9-92C2-52427551A8E3}"/>
    <cellStyle name="Tusenskille 3 13 8 2 2" xfId="4090" xr:uid="{BE4C8EBA-E98D-450D-A4A6-FA3C6B207610}"/>
    <cellStyle name="Tusenskille 3 13 8 3" xfId="1586" xr:uid="{227D14C1-B9D1-4B16-B243-FE44C3328EEA}"/>
    <cellStyle name="Tusenskille 3 13 8 4" xfId="3256" xr:uid="{562D5831-4453-40C9-A3E3-46431EE3C567}"/>
    <cellStyle name="Tusenskille 3 13 9" xfId="843" xr:uid="{00000000-0005-0000-0000-00006A020000}"/>
    <cellStyle name="Tusenskille 3 13 9 2" xfId="2519" xr:uid="{BB17648D-BE20-4AA6-8E7C-8C8CE6D66259}"/>
    <cellStyle name="Tusenskille 3 13 9 2 2" xfId="4187" xr:uid="{845F0346-C129-40CB-B6F6-9E6F7884CF98}"/>
    <cellStyle name="Tusenskille 3 13 9 3" xfId="1683" xr:uid="{009F3F3E-7362-45CF-A3A0-2794AF95E998}"/>
    <cellStyle name="Tusenskille 3 13 9 4" xfId="3353" xr:uid="{F9993089-EACE-4292-B70F-0FB20F594CAF}"/>
    <cellStyle name="Tusenskille 3 14" xfId="119" xr:uid="{00000000-0005-0000-0000-00006B020000}"/>
    <cellStyle name="Tusenskille 3 14 2" xfId="1795" xr:uid="{8AA0A68F-0F65-4F84-A59D-8EA7EC308C42}"/>
    <cellStyle name="Tusenskille 3 14 2 2" xfId="3463" xr:uid="{CA39577B-493C-4853-906B-E83116909231}"/>
    <cellStyle name="Tusenskille 3 14 3" xfId="959" xr:uid="{FA466782-D1DC-446D-B5D6-04BDC823BF6B}"/>
    <cellStyle name="Tusenskille 3 14 4" xfId="2629" xr:uid="{520CDC4F-3DF8-4A67-BC1A-38FFC002F513}"/>
    <cellStyle name="Tusenskille 3 15" xfId="209" xr:uid="{00000000-0005-0000-0000-00006C020000}"/>
    <cellStyle name="Tusenskille 3 15 2" xfId="1885" xr:uid="{BA5F9975-FEE3-4E42-ACB5-F6D4480CE3BE}"/>
    <cellStyle name="Tusenskille 3 15 2 2" xfId="3553" xr:uid="{42D347E1-051F-42C7-B71E-113BE8CC2361}"/>
    <cellStyle name="Tusenskille 3 15 3" xfId="1049" xr:uid="{B11431F0-E809-4AC9-8E7B-0769D8EB32C9}"/>
    <cellStyle name="Tusenskille 3 15 4" xfId="2719" xr:uid="{C6D0057E-27B8-4BDC-A383-16D7CCD089B6}"/>
    <cellStyle name="Tusenskille 3 16" xfId="299" xr:uid="{00000000-0005-0000-0000-00006D020000}"/>
    <cellStyle name="Tusenskille 3 16 2" xfId="1975" xr:uid="{C3228C8C-20DC-41D4-8DDC-70D96EBE59CF}"/>
    <cellStyle name="Tusenskille 3 16 2 2" xfId="3643" xr:uid="{DEE1BB91-109C-4CBF-AB63-CC29CDCA760B}"/>
    <cellStyle name="Tusenskille 3 16 3" xfId="1139" xr:uid="{CB268CA2-8EE6-436D-84C1-57F0C828B8CA}"/>
    <cellStyle name="Tusenskille 3 16 4" xfId="2809" xr:uid="{CE8919BA-05E5-4123-A11A-45AA411E0C02}"/>
    <cellStyle name="Tusenskille 3 17" xfId="389" xr:uid="{00000000-0005-0000-0000-00006E020000}"/>
    <cellStyle name="Tusenskille 3 17 2" xfId="2065" xr:uid="{ED320503-967B-4AA5-B4B1-6321815C3953}"/>
    <cellStyle name="Tusenskille 3 17 2 2" xfId="3733" xr:uid="{69C889F5-AE30-434D-9E67-5BE4B13088ED}"/>
    <cellStyle name="Tusenskille 3 17 3" xfId="1229" xr:uid="{EECA30EE-3D42-4EB0-971A-2BF7BCFC131C}"/>
    <cellStyle name="Tusenskille 3 17 4" xfId="2899" xr:uid="{4E67A2BA-D416-445D-8271-62A336136E7A}"/>
    <cellStyle name="Tusenskille 3 18" xfId="479" xr:uid="{00000000-0005-0000-0000-00006F020000}"/>
    <cellStyle name="Tusenskille 3 18 2" xfId="2155" xr:uid="{1AF8B373-17DF-4534-BC18-B33C1384A7A6}"/>
    <cellStyle name="Tusenskille 3 18 2 2" xfId="3823" xr:uid="{3C1FC7C9-DC13-49EB-813A-BBCEFA33BB54}"/>
    <cellStyle name="Tusenskille 3 18 3" xfId="1319" xr:uid="{1F0EBEC2-392F-4A6D-9F66-1B1417CA88FF}"/>
    <cellStyle name="Tusenskille 3 18 4" xfId="2989" xr:uid="{34D02CB5-027E-4031-B8ED-8BEB056808F3}"/>
    <cellStyle name="Tusenskille 3 19" xfId="569" xr:uid="{00000000-0005-0000-0000-000070020000}"/>
    <cellStyle name="Tusenskille 3 19 2" xfId="2245" xr:uid="{63318137-CB6D-4E18-8D9A-3A22E32E1078}"/>
    <cellStyle name="Tusenskille 3 19 2 2" xfId="3913" xr:uid="{18A7699C-C8B8-46C9-8AC7-BCE5EA046FB1}"/>
    <cellStyle name="Tusenskille 3 19 3" xfId="1409" xr:uid="{8DA0BC1C-BBD1-43E5-8323-1FA12965951C}"/>
    <cellStyle name="Tusenskille 3 19 4" xfId="3079" xr:uid="{91A7EFB6-C4E6-4F66-9ACC-64F1DC0A5243}"/>
    <cellStyle name="Tusenskille 3 2" xfId="24" xr:uid="{00000000-0005-0000-0000-000071020000}"/>
    <cellStyle name="Tusenskille 3 2 10" xfId="663" xr:uid="{00000000-0005-0000-0000-000072020000}"/>
    <cellStyle name="Tusenskille 3 2 10 2" xfId="2339" xr:uid="{D9DD1DDB-6FDF-4B6F-A12B-B895AE4C59B8}"/>
    <cellStyle name="Tusenskille 3 2 10 2 2" xfId="4007" xr:uid="{A74414D6-FD6C-4785-A6F6-63C5FE808638}"/>
    <cellStyle name="Tusenskille 3 2 10 3" xfId="1503" xr:uid="{AECA77E6-9A18-4578-BD75-320F46C78073}"/>
    <cellStyle name="Tusenskille 3 2 10 4" xfId="3173" xr:uid="{7FDB4B5C-A862-45AF-8763-A58AA79246C1}"/>
    <cellStyle name="Tusenskille 3 2 11" xfId="758" xr:uid="{00000000-0005-0000-0000-000073020000}"/>
    <cellStyle name="Tusenskille 3 2 11 2" xfId="2434" xr:uid="{DA3BC260-F288-456F-8DBE-0DA7E4D72056}"/>
    <cellStyle name="Tusenskille 3 2 11 2 2" xfId="4102" xr:uid="{3E9AEDE3-CCC5-4220-8F25-A61D28935AA5}"/>
    <cellStyle name="Tusenskille 3 2 11 3" xfId="1598" xr:uid="{1C233646-0D98-43D2-B5CF-5320C0501220}"/>
    <cellStyle name="Tusenskille 3 2 11 4" xfId="3268" xr:uid="{93AB11EC-A861-4E9A-95E5-0FD3E414C665}"/>
    <cellStyle name="Tusenskille 3 2 12" xfId="1705" xr:uid="{6BFBEACB-2DCD-4D4B-BF72-405A5C40048A}"/>
    <cellStyle name="Tusenskille 3 2 12 2" xfId="3373" xr:uid="{8A9CA68C-7D2C-4304-AD71-CFC46DAFECDA}"/>
    <cellStyle name="Tusenskille 3 2 13" xfId="869" xr:uid="{C7FA2A53-CE7E-4B8B-A55B-808050677F96}"/>
    <cellStyle name="Tusenskille 3 2 14" xfId="2539" xr:uid="{EA71DB04-7605-4780-A2A1-6A4FBA6A5094}"/>
    <cellStyle name="Tusenskille 3 2 2" xfId="46" xr:uid="{00000000-0005-0000-0000-000074020000}"/>
    <cellStyle name="Tusenskille 3 2 2 10" xfId="778" xr:uid="{00000000-0005-0000-0000-000075020000}"/>
    <cellStyle name="Tusenskille 3 2 2 10 2" xfId="2454" xr:uid="{90D2AA5C-ACEA-47FF-A863-4BB23254AD44}"/>
    <cellStyle name="Tusenskille 3 2 2 10 2 2" xfId="4122" xr:uid="{91FD90BF-F827-4B61-8901-BE78C41760F6}"/>
    <cellStyle name="Tusenskille 3 2 2 10 3" xfId="1618" xr:uid="{01259D34-AAAD-4743-93E8-277133FF7DE9}"/>
    <cellStyle name="Tusenskille 3 2 2 10 4" xfId="3288" xr:uid="{81598705-B9BF-49BA-92BC-0113223B180F}"/>
    <cellStyle name="Tusenskille 3 2 2 11" xfId="1725" xr:uid="{6258E085-4B0C-47A2-94BC-A2711AA689E6}"/>
    <cellStyle name="Tusenskille 3 2 2 11 2" xfId="3393" xr:uid="{6CDE71E5-8320-4B8E-BFB2-EB3F802329A2}"/>
    <cellStyle name="Tusenskille 3 2 2 12" xfId="889" xr:uid="{5D1FD206-30F7-4619-90E1-B5912D0EC17D}"/>
    <cellStyle name="Tusenskille 3 2 2 13" xfId="2559" xr:uid="{5CE4368B-2514-4A0B-89DD-64F3F0E57355}"/>
    <cellStyle name="Tusenskille 3 2 2 2" xfId="86" xr:uid="{00000000-0005-0000-0000-000076020000}"/>
    <cellStyle name="Tusenskille 3 2 2 2 10" xfId="1763" xr:uid="{ACE66BA0-38D4-49FF-9329-62009745736B}"/>
    <cellStyle name="Tusenskille 3 2 2 2 10 2" xfId="3431" xr:uid="{3F9624A0-AC2C-4995-9B42-9579C62E0E3A}"/>
    <cellStyle name="Tusenskille 3 2 2 2 11" xfId="927" xr:uid="{C12F67CC-30E0-49FB-82BC-50F0E988C942}"/>
    <cellStyle name="Tusenskille 3 2 2 2 12" xfId="2597" xr:uid="{5A1E210E-7CAD-4201-970F-A5878ACB78E8}"/>
    <cellStyle name="Tusenskille 3 2 2 2 2" xfId="179" xr:uid="{00000000-0005-0000-0000-000077020000}"/>
    <cellStyle name="Tusenskille 3 2 2 2 2 2" xfId="1855" xr:uid="{C4E6B531-B7C9-4693-8E1B-FB5C76EA545F}"/>
    <cellStyle name="Tusenskille 3 2 2 2 2 2 2" xfId="3523" xr:uid="{7BF4C8D5-A070-439D-8386-8CFCC4051CB9}"/>
    <cellStyle name="Tusenskille 3 2 2 2 2 3" xfId="1019" xr:uid="{6A20DCFE-71D2-4C8F-8A51-C9528785C8B0}"/>
    <cellStyle name="Tusenskille 3 2 2 2 2 4" xfId="2689" xr:uid="{65267D77-BD4F-4054-A65B-62F56383B4CB}"/>
    <cellStyle name="Tusenskille 3 2 2 2 3" xfId="269" xr:uid="{00000000-0005-0000-0000-000078020000}"/>
    <cellStyle name="Tusenskille 3 2 2 2 3 2" xfId="1945" xr:uid="{41E2F29F-3462-4B2A-9135-959625EF9896}"/>
    <cellStyle name="Tusenskille 3 2 2 2 3 2 2" xfId="3613" xr:uid="{AD4EF15D-4F48-4AA4-AFDB-89FD84A01499}"/>
    <cellStyle name="Tusenskille 3 2 2 2 3 3" xfId="1109" xr:uid="{BCBE3DC6-733D-40D8-B0C2-DDA806FE339E}"/>
    <cellStyle name="Tusenskille 3 2 2 2 3 4" xfId="2779" xr:uid="{C4B9E10C-3C4E-4022-868B-692D8792E20B}"/>
    <cellStyle name="Tusenskille 3 2 2 2 4" xfId="359" xr:uid="{00000000-0005-0000-0000-000079020000}"/>
    <cellStyle name="Tusenskille 3 2 2 2 4 2" xfId="2035" xr:uid="{BF9DBD75-3404-456A-BB45-E87981A8E4DC}"/>
    <cellStyle name="Tusenskille 3 2 2 2 4 2 2" xfId="3703" xr:uid="{234A6B45-52A5-45A4-9635-F93296221117}"/>
    <cellStyle name="Tusenskille 3 2 2 2 4 3" xfId="1199" xr:uid="{E44FD1F6-5E7C-4747-AC9E-DA1CA6EF3AA5}"/>
    <cellStyle name="Tusenskille 3 2 2 2 4 4" xfId="2869" xr:uid="{A600A5AF-188D-46E9-B924-10D56D4C4F5C}"/>
    <cellStyle name="Tusenskille 3 2 2 2 5" xfId="449" xr:uid="{00000000-0005-0000-0000-00007A020000}"/>
    <cellStyle name="Tusenskille 3 2 2 2 5 2" xfId="2125" xr:uid="{BCB12113-51CE-4E83-8ED0-C93A51CF8466}"/>
    <cellStyle name="Tusenskille 3 2 2 2 5 2 2" xfId="3793" xr:uid="{139BD88F-E6F7-4DE7-B641-6D6E08493578}"/>
    <cellStyle name="Tusenskille 3 2 2 2 5 3" xfId="1289" xr:uid="{524DFF44-161E-421B-BB30-A29221186447}"/>
    <cellStyle name="Tusenskille 3 2 2 2 5 4" xfId="2959" xr:uid="{268E43AA-936A-4E75-851D-F8DD66017C78}"/>
    <cellStyle name="Tusenskille 3 2 2 2 6" xfId="539" xr:uid="{00000000-0005-0000-0000-00007B020000}"/>
    <cellStyle name="Tusenskille 3 2 2 2 6 2" xfId="2215" xr:uid="{7286CCCC-0BA4-446B-B1B6-7B40B6A0C8D8}"/>
    <cellStyle name="Tusenskille 3 2 2 2 6 2 2" xfId="3883" xr:uid="{7C67D8B9-6BB3-406F-BDDF-008C87EDE31B}"/>
    <cellStyle name="Tusenskille 3 2 2 2 6 3" xfId="1379" xr:uid="{EA09F283-0208-45AC-8F20-E02D11907FEF}"/>
    <cellStyle name="Tusenskille 3 2 2 2 6 4" xfId="3049" xr:uid="{5F2FAF6F-1A6B-46E7-9517-1F4300191F2B}"/>
    <cellStyle name="Tusenskille 3 2 2 2 7" xfId="629" xr:uid="{00000000-0005-0000-0000-00007C020000}"/>
    <cellStyle name="Tusenskille 3 2 2 2 7 2" xfId="2305" xr:uid="{5AF9F04B-3F42-4C19-BC67-09E444169B4C}"/>
    <cellStyle name="Tusenskille 3 2 2 2 7 2 2" xfId="3973" xr:uid="{A6DFF16B-6CC7-47BD-A07D-8553C7BDAEB0}"/>
    <cellStyle name="Tusenskille 3 2 2 2 7 3" xfId="1469" xr:uid="{B3255DBC-14BA-4C2E-9BEA-50730DC3953B}"/>
    <cellStyle name="Tusenskille 3 2 2 2 7 4" xfId="3139" xr:uid="{D29D32A9-174B-4750-9F07-D7CA54486794}"/>
    <cellStyle name="Tusenskille 3 2 2 2 8" xfId="719" xr:uid="{00000000-0005-0000-0000-00007D020000}"/>
    <cellStyle name="Tusenskille 3 2 2 2 8 2" xfId="2395" xr:uid="{1FEF34E6-E49C-4E8D-8F16-79A66B30A3B2}"/>
    <cellStyle name="Tusenskille 3 2 2 2 8 2 2" xfId="4063" xr:uid="{6A173005-EE7A-476F-A5DF-74499344B077}"/>
    <cellStyle name="Tusenskille 3 2 2 2 8 3" xfId="1559" xr:uid="{EB99227E-9E13-4B21-9C51-9270FAA7512B}"/>
    <cellStyle name="Tusenskille 3 2 2 2 8 4" xfId="3229" xr:uid="{6F87D76E-B4B2-4133-A45B-A5FD30E349B6}"/>
    <cellStyle name="Tusenskille 3 2 2 2 9" xfId="816" xr:uid="{00000000-0005-0000-0000-00007E020000}"/>
    <cellStyle name="Tusenskille 3 2 2 2 9 2" xfId="2492" xr:uid="{D6B814F1-4B31-436B-8820-2772D101E8B6}"/>
    <cellStyle name="Tusenskille 3 2 2 2 9 2 2" xfId="4160" xr:uid="{15FF2913-EBCF-4C5B-966E-3E772F07764A}"/>
    <cellStyle name="Tusenskille 3 2 2 2 9 3" xfId="1656" xr:uid="{7EEEE44E-63B1-47C8-89F9-1EA154DA5698}"/>
    <cellStyle name="Tusenskille 3 2 2 2 9 4" xfId="3326" xr:uid="{E9B0F280-9143-447A-B00B-2B39646BFBD5}"/>
    <cellStyle name="Tusenskille 3 2 2 3" xfId="142" xr:uid="{00000000-0005-0000-0000-00007F020000}"/>
    <cellStyle name="Tusenskille 3 2 2 3 2" xfId="1818" xr:uid="{2E5B3809-48A1-4FAA-9191-543580162E2A}"/>
    <cellStyle name="Tusenskille 3 2 2 3 2 2" xfId="3486" xr:uid="{B7EEA232-BACE-456D-8B4A-A30BE813A245}"/>
    <cellStyle name="Tusenskille 3 2 2 3 3" xfId="982" xr:uid="{F081DCF4-ED45-4668-A63A-E8EEA85B4A97}"/>
    <cellStyle name="Tusenskille 3 2 2 3 4" xfId="2652" xr:uid="{85CD039E-231E-459C-BC0E-1ED7B7F15202}"/>
    <cellStyle name="Tusenskille 3 2 2 4" xfId="232" xr:uid="{00000000-0005-0000-0000-000080020000}"/>
    <cellStyle name="Tusenskille 3 2 2 4 2" xfId="1908" xr:uid="{858AB40B-14E8-49E0-927B-B2B0C42E25C3}"/>
    <cellStyle name="Tusenskille 3 2 2 4 2 2" xfId="3576" xr:uid="{8E3B62D8-BFE6-48D0-8F46-97D5FD999A8B}"/>
    <cellStyle name="Tusenskille 3 2 2 4 3" xfId="1072" xr:uid="{B18E1318-1126-427E-8A31-00C63CF60048}"/>
    <cellStyle name="Tusenskille 3 2 2 4 4" xfId="2742" xr:uid="{EF768BAF-2101-4EA7-9496-EA3E3982037C}"/>
    <cellStyle name="Tusenskille 3 2 2 5" xfId="322" xr:uid="{00000000-0005-0000-0000-000081020000}"/>
    <cellStyle name="Tusenskille 3 2 2 5 2" xfId="1998" xr:uid="{57905A17-65A0-4107-A118-323B711A43AE}"/>
    <cellStyle name="Tusenskille 3 2 2 5 2 2" xfId="3666" xr:uid="{E40FD23E-4593-48D6-B37C-1139922D62A7}"/>
    <cellStyle name="Tusenskille 3 2 2 5 3" xfId="1162" xr:uid="{06973F49-ABDA-4CFB-946C-9D0FBB0130FA}"/>
    <cellStyle name="Tusenskille 3 2 2 5 4" xfId="2832" xr:uid="{125A4F78-E82B-4B2D-9D54-43B3C9C5FA17}"/>
    <cellStyle name="Tusenskille 3 2 2 6" xfId="412" xr:uid="{00000000-0005-0000-0000-000082020000}"/>
    <cellStyle name="Tusenskille 3 2 2 6 2" xfId="2088" xr:uid="{57424F07-C58C-49F2-A3EE-E8B45A593E5D}"/>
    <cellStyle name="Tusenskille 3 2 2 6 2 2" xfId="3756" xr:uid="{7B207AFE-2026-43A8-907D-6DA38F329B90}"/>
    <cellStyle name="Tusenskille 3 2 2 6 3" xfId="1252" xr:uid="{72443FF6-2906-4293-9BEF-4D08AAE04689}"/>
    <cellStyle name="Tusenskille 3 2 2 6 4" xfId="2922" xr:uid="{375DDE31-F6C8-4D94-8FE8-B5A312B7DFB4}"/>
    <cellStyle name="Tusenskille 3 2 2 7" xfId="502" xr:uid="{00000000-0005-0000-0000-000083020000}"/>
    <cellStyle name="Tusenskille 3 2 2 7 2" xfId="2178" xr:uid="{9BA9D0D3-59BA-4C99-A03C-608C40A6489D}"/>
    <cellStyle name="Tusenskille 3 2 2 7 2 2" xfId="3846" xr:uid="{18722006-14CB-4482-9608-AFE2579A9708}"/>
    <cellStyle name="Tusenskille 3 2 2 7 3" xfId="1342" xr:uid="{D40535D2-F3D1-496B-B0AE-70722D6458BB}"/>
    <cellStyle name="Tusenskille 3 2 2 7 4" xfId="3012" xr:uid="{4F2E238B-D7A3-4EDF-8FE7-2DB91ED5765A}"/>
    <cellStyle name="Tusenskille 3 2 2 8" xfId="592" xr:uid="{00000000-0005-0000-0000-000084020000}"/>
    <cellStyle name="Tusenskille 3 2 2 8 2" xfId="2268" xr:uid="{69757524-2573-4031-A8D5-40624FA88166}"/>
    <cellStyle name="Tusenskille 3 2 2 8 2 2" xfId="3936" xr:uid="{03A3887A-0F69-4139-89C7-4C3C3655F18D}"/>
    <cellStyle name="Tusenskille 3 2 2 8 3" xfId="1432" xr:uid="{6467B2AC-D895-43B0-B3CD-1589ED23243D}"/>
    <cellStyle name="Tusenskille 3 2 2 8 4" xfId="3102" xr:uid="{7187C322-2D4F-4EE5-8071-E2E34D3FA8D6}"/>
    <cellStyle name="Tusenskille 3 2 2 9" xfId="682" xr:uid="{00000000-0005-0000-0000-000085020000}"/>
    <cellStyle name="Tusenskille 3 2 2 9 2" xfId="2358" xr:uid="{FFA40716-C5C0-4B88-B5A8-4AADC2F72B8B}"/>
    <cellStyle name="Tusenskille 3 2 2 9 2 2" xfId="4026" xr:uid="{3B9BF274-B0A5-40E0-B2F7-B3642243DD4D}"/>
    <cellStyle name="Tusenskille 3 2 2 9 3" xfId="1522" xr:uid="{A79817AF-2965-41DA-BA63-DE6D5AEA7E35}"/>
    <cellStyle name="Tusenskille 3 2 2 9 4" xfId="3192" xr:uid="{E137AB2D-2D6C-493E-B887-469109855E4A}"/>
    <cellStyle name="Tusenskille 3 2 3" xfId="67" xr:uid="{00000000-0005-0000-0000-000086020000}"/>
    <cellStyle name="Tusenskille 3 2 3 10" xfId="1744" xr:uid="{53878984-1D02-4A53-A4B6-98C828F6776C}"/>
    <cellStyle name="Tusenskille 3 2 3 10 2" xfId="3412" xr:uid="{BD8AE3D9-CF93-45AB-9A20-20EC6583F8CD}"/>
    <cellStyle name="Tusenskille 3 2 3 11" xfId="908" xr:uid="{BA8C8C62-B717-4693-BB06-0DF062F22205}"/>
    <cellStyle name="Tusenskille 3 2 3 12" xfId="2578" xr:uid="{F4D5C6F2-6B4B-4174-9B2E-136055E43845}"/>
    <cellStyle name="Tusenskille 3 2 3 2" xfId="160" xr:uid="{00000000-0005-0000-0000-000087020000}"/>
    <cellStyle name="Tusenskille 3 2 3 2 2" xfId="1836" xr:uid="{82510C28-6F36-478A-8F76-D2586DE2654B}"/>
    <cellStyle name="Tusenskille 3 2 3 2 2 2" xfId="3504" xr:uid="{88DE6D36-FEED-477E-B33C-EAEE689C3E28}"/>
    <cellStyle name="Tusenskille 3 2 3 2 3" xfId="1000" xr:uid="{45F4397A-0E56-4A8D-A558-CB38E24C486E}"/>
    <cellStyle name="Tusenskille 3 2 3 2 4" xfId="2670" xr:uid="{41C69356-F37D-454E-B4BE-09AD76DB42A0}"/>
    <cellStyle name="Tusenskille 3 2 3 3" xfId="250" xr:uid="{00000000-0005-0000-0000-000088020000}"/>
    <cellStyle name="Tusenskille 3 2 3 3 2" xfId="1926" xr:uid="{B357E956-B503-4FAA-9D88-7A6374974335}"/>
    <cellStyle name="Tusenskille 3 2 3 3 2 2" xfId="3594" xr:uid="{4337C794-36AB-4ABC-912F-368CCBD932D0}"/>
    <cellStyle name="Tusenskille 3 2 3 3 3" xfId="1090" xr:uid="{B876242D-447E-4F7D-8FE3-1D89DC3D6879}"/>
    <cellStyle name="Tusenskille 3 2 3 3 4" xfId="2760" xr:uid="{B4C9F316-B7C5-4F3F-87EF-15659FE90909}"/>
    <cellStyle name="Tusenskille 3 2 3 4" xfId="340" xr:uid="{00000000-0005-0000-0000-000089020000}"/>
    <cellStyle name="Tusenskille 3 2 3 4 2" xfId="2016" xr:uid="{2FFBF883-0DA6-42DE-B255-391DA38A0220}"/>
    <cellStyle name="Tusenskille 3 2 3 4 2 2" xfId="3684" xr:uid="{88C52E48-D278-4214-BBC6-0189FA9AE712}"/>
    <cellStyle name="Tusenskille 3 2 3 4 3" xfId="1180" xr:uid="{8D03F5AB-FED6-4176-96D7-D2C3C8CF405A}"/>
    <cellStyle name="Tusenskille 3 2 3 4 4" xfId="2850" xr:uid="{E872153B-8661-4282-BDBC-D6B6339C6C79}"/>
    <cellStyle name="Tusenskille 3 2 3 5" xfId="430" xr:uid="{00000000-0005-0000-0000-00008A020000}"/>
    <cellStyle name="Tusenskille 3 2 3 5 2" xfId="2106" xr:uid="{A81B5454-3AF9-4DD2-AA11-CDF1A2E2A04D}"/>
    <cellStyle name="Tusenskille 3 2 3 5 2 2" xfId="3774" xr:uid="{C9FBB665-F3DA-4BDD-9AAE-069569A3124A}"/>
    <cellStyle name="Tusenskille 3 2 3 5 3" xfId="1270" xr:uid="{B847A998-72ED-4DB5-AFC9-7C7D61742F37}"/>
    <cellStyle name="Tusenskille 3 2 3 5 4" xfId="2940" xr:uid="{4FEC7BE7-C565-4D88-90B8-5CFB5DE9A7F0}"/>
    <cellStyle name="Tusenskille 3 2 3 6" xfId="520" xr:uid="{00000000-0005-0000-0000-00008B020000}"/>
    <cellStyle name="Tusenskille 3 2 3 6 2" xfId="2196" xr:uid="{6B7CF65A-1ADF-4045-93E3-18A786BF123A}"/>
    <cellStyle name="Tusenskille 3 2 3 6 2 2" xfId="3864" xr:uid="{FD99612F-5A4D-41F3-A610-A25AE0F0B95E}"/>
    <cellStyle name="Tusenskille 3 2 3 6 3" xfId="1360" xr:uid="{70A999E7-0E88-4A1B-AAA5-B856F8AE4523}"/>
    <cellStyle name="Tusenskille 3 2 3 6 4" xfId="3030" xr:uid="{C8BE9D5B-AB4C-44DC-8D91-249747557B3C}"/>
    <cellStyle name="Tusenskille 3 2 3 7" xfId="610" xr:uid="{00000000-0005-0000-0000-00008C020000}"/>
    <cellStyle name="Tusenskille 3 2 3 7 2" xfId="2286" xr:uid="{9FAE3E0B-587A-498A-AE8B-37ED72D24D8F}"/>
    <cellStyle name="Tusenskille 3 2 3 7 2 2" xfId="3954" xr:uid="{FD1666B1-4DEC-47FB-9BE1-F8A7B5FA8111}"/>
    <cellStyle name="Tusenskille 3 2 3 7 3" xfId="1450" xr:uid="{F492C2A7-9FB8-40F4-B542-52AF7A3B5085}"/>
    <cellStyle name="Tusenskille 3 2 3 7 4" xfId="3120" xr:uid="{09FDFCAA-9FD0-4C4E-B2A4-97E523410314}"/>
    <cellStyle name="Tusenskille 3 2 3 8" xfId="700" xr:uid="{00000000-0005-0000-0000-00008D020000}"/>
    <cellStyle name="Tusenskille 3 2 3 8 2" xfId="2376" xr:uid="{51909B3C-801B-472F-8E95-2C5664FA52F7}"/>
    <cellStyle name="Tusenskille 3 2 3 8 2 2" xfId="4044" xr:uid="{F0A0FDE4-1102-43EB-9B97-56352EF9EED1}"/>
    <cellStyle name="Tusenskille 3 2 3 8 3" xfId="1540" xr:uid="{59089A61-29AB-49BA-B3BD-FBEA1C481522}"/>
    <cellStyle name="Tusenskille 3 2 3 8 4" xfId="3210" xr:uid="{07B8C986-E271-422B-8D98-E3114848E4FD}"/>
    <cellStyle name="Tusenskille 3 2 3 9" xfId="797" xr:uid="{00000000-0005-0000-0000-00008E020000}"/>
    <cellStyle name="Tusenskille 3 2 3 9 2" xfId="2473" xr:uid="{FBC500BD-845A-483C-9498-3F9D1102CAC1}"/>
    <cellStyle name="Tusenskille 3 2 3 9 2 2" xfId="4141" xr:uid="{C938F11A-504A-47D8-8ADD-F1ADF1B28BE2}"/>
    <cellStyle name="Tusenskille 3 2 3 9 3" xfId="1637" xr:uid="{47EAD93B-AE24-4DDF-8D5B-B7973A5AB0AD}"/>
    <cellStyle name="Tusenskille 3 2 3 9 4" xfId="3307" xr:uid="{97ED3960-A2DA-4964-BF79-391556CD84F7}"/>
    <cellStyle name="Tusenskille 3 2 4" xfId="123" xr:uid="{00000000-0005-0000-0000-00008F020000}"/>
    <cellStyle name="Tusenskille 3 2 4 2" xfId="1799" xr:uid="{E966AF66-092E-4A7F-9514-DBD391F985FD}"/>
    <cellStyle name="Tusenskille 3 2 4 2 2" xfId="3467" xr:uid="{64D9D613-77A9-45FA-8B4D-FE52A5E59E0B}"/>
    <cellStyle name="Tusenskille 3 2 4 3" xfId="963" xr:uid="{DB9B8F78-88DE-484A-A5DF-F817D640B505}"/>
    <cellStyle name="Tusenskille 3 2 4 4" xfId="2633" xr:uid="{C6E5DC2A-9852-407A-ACEF-FE195B3C7704}"/>
    <cellStyle name="Tusenskille 3 2 5" xfId="213" xr:uid="{00000000-0005-0000-0000-000090020000}"/>
    <cellStyle name="Tusenskille 3 2 5 2" xfId="1889" xr:uid="{BC28BFCE-8B7E-4021-9C1B-5DCF1261B827}"/>
    <cellStyle name="Tusenskille 3 2 5 2 2" xfId="3557" xr:uid="{0EFB2F25-137E-4815-8235-19EFEF38B8CD}"/>
    <cellStyle name="Tusenskille 3 2 5 3" xfId="1053" xr:uid="{C1904D3F-C745-4DC2-9921-AA7F4BDBF3D7}"/>
    <cellStyle name="Tusenskille 3 2 5 4" xfId="2723" xr:uid="{61E35907-B948-4088-BDCE-F2BF537555F6}"/>
    <cellStyle name="Tusenskille 3 2 6" xfId="303" xr:uid="{00000000-0005-0000-0000-000091020000}"/>
    <cellStyle name="Tusenskille 3 2 6 2" xfId="1979" xr:uid="{3C1FC844-94D4-429D-8F12-EFAEB5D7ECCF}"/>
    <cellStyle name="Tusenskille 3 2 6 2 2" xfId="3647" xr:uid="{ABD30FA0-F74F-469A-B485-E724C4A87E74}"/>
    <cellStyle name="Tusenskille 3 2 6 3" xfId="1143" xr:uid="{C1577E0A-1410-46FA-8C16-882EC1E0C9E3}"/>
    <cellStyle name="Tusenskille 3 2 6 4" xfId="2813" xr:uid="{400E74B9-5D87-4AF6-969E-EE87C8BB2494}"/>
    <cellStyle name="Tusenskille 3 2 7" xfId="393" xr:uid="{00000000-0005-0000-0000-000092020000}"/>
    <cellStyle name="Tusenskille 3 2 7 2" xfId="2069" xr:uid="{B5C1BF83-E2FB-4AF2-9090-8E832185849D}"/>
    <cellStyle name="Tusenskille 3 2 7 2 2" xfId="3737" xr:uid="{206BE999-F544-4BB3-A1D6-0F43763E3F32}"/>
    <cellStyle name="Tusenskille 3 2 7 3" xfId="1233" xr:uid="{F3E070CC-5247-4CD3-9C35-B0665B9E3F2B}"/>
    <cellStyle name="Tusenskille 3 2 7 4" xfId="2903" xr:uid="{7FBB7851-763F-4BA8-A681-C71F74FC9511}"/>
    <cellStyle name="Tusenskille 3 2 8" xfId="483" xr:uid="{00000000-0005-0000-0000-000093020000}"/>
    <cellStyle name="Tusenskille 3 2 8 2" xfId="2159" xr:uid="{A662608D-F5DE-4D72-9FB7-73F2ECA00C48}"/>
    <cellStyle name="Tusenskille 3 2 8 2 2" xfId="3827" xr:uid="{D5DAA14E-5B88-4342-AD8E-0625F4EAD6F1}"/>
    <cellStyle name="Tusenskille 3 2 8 3" xfId="1323" xr:uid="{F4E65BC0-917B-4216-A660-F271B76C2749}"/>
    <cellStyle name="Tusenskille 3 2 8 4" xfId="2993" xr:uid="{B2AA985B-18CE-49CA-BAB0-D7C9E32D91AC}"/>
    <cellStyle name="Tusenskille 3 2 9" xfId="573" xr:uid="{00000000-0005-0000-0000-000094020000}"/>
    <cellStyle name="Tusenskille 3 2 9 2" xfId="2249" xr:uid="{775E7E20-BF43-4698-95F4-2B1A46096FDB}"/>
    <cellStyle name="Tusenskille 3 2 9 2 2" xfId="3917" xr:uid="{10824976-0079-4EBC-9B4F-29D7FF650291}"/>
    <cellStyle name="Tusenskille 3 2 9 3" xfId="1413" xr:uid="{FBD8CE6F-C837-4F3B-BE08-89FBFBCC0375}"/>
    <cellStyle name="Tusenskille 3 2 9 4" xfId="3083" xr:uid="{540ED773-5154-4E3B-B80E-B20CC29D712C}"/>
    <cellStyle name="Tusenskille 3 20" xfId="659" xr:uid="{00000000-0005-0000-0000-000095020000}"/>
    <cellStyle name="Tusenskille 3 20 2" xfId="2335" xr:uid="{193472E8-3039-4E07-B2DB-686DDA3298C9}"/>
    <cellStyle name="Tusenskille 3 20 2 2" xfId="4003" xr:uid="{751AB38E-CED5-44BB-AB2D-B0A2391CEBC4}"/>
    <cellStyle name="Tusenskille 3 20 3" xfId="1499" xr:uid="{43A32261-0EB4-4C6C-8C6D-5AD7B1E96925}"/>
    <cellStyle name="Tusenskille 3 20 4" xfId="3169" xr:uid="{5AEADF6D-4976-482C-A3E2-ED64BEE828FB}"/>
    <cellStyle name="Tusenskille 3 21" xfId="752" xr:uid="{00000000-0005-0000-0000-000096020000}"/>
    <cellStyle name="Tusenskille 3 21 2" xfId="2428" xr:uid="{BBD28E82-0E4A-4ECE-9D13-08718E751E0B}"/>
    <cellStyle name="Tusenskille 3 21 2 2" xfId="4096" xr:uid="{4B33E3D6-7C8E-4873-939E-F1214D2029E2}"/>
    <cellStyle name="Tusenskille 3 21 3" xfId="1592" xr:uid="{2CA991E5-AA66-445C-9C4C-83E47B6723C6}"/>
    <cellStyle name="Tusenskille 3 21 4" xfId="3262" xr:uid="{26473EDD-C104-4D46-AF09-5A47E3738A48}"/>
    <cellStyle name="Tusenskille 3 22" xfId="1699" xr:uid="{E4F27F5D-414C-4A3F-8265-F933D8087B96}"/>
    <cellStyle name="Tusenskille 3 22 2" xfId="3367" xr:uid="{7C3C340E-EE0E-4D66-AC7B-464E260DC740}"/>
    <cellStyle name="Tusenskille 3 23" xfId="863" xr:uid="{1C9FF95C-7144-4075-9872-889DC85C9E75}"/>
    <cellStyle name="Tusenskille 3 24" xfId="2533" xr:uid="{E7CF08DD-8D8D-4A0F-AB91-115ADF308505}"/>
    <cellStyle name="Tusenskille 3 3" xfId="27" xr:uid="{00000000-0005-0000-0000-000097020000}"/>
    <cellStyle name="Tusenskille 3 3 10" xfId="666" xr:uid="{00000000-0005-0000-0000-000098020000}"/>
    <cellStyle name="Tusenskille 3 3 10 2" xfId="2342" xr:uid="{C9131018-6858-45F5-8472-89C87ED619EE}"/>
    <cellStyle name="Tusenskille 3 3 10 2 2" xfId="4010" xr:uid="{45C096BD-C2FD-4A27-A9EE-85C779377604}"/>
    <cellStyle name="Tusenskille 3 3 10 3" xfId="1506" xr:uid="{E1178F3C-F722-4331-AE00-2EB4C7F1FBA6}"/>
    <cellStyle name="Tusenskille 3 3 10 4" xfId="3176" xr:uid="{3BEB7079-F7A2-4693-9B03-A8D8E344932F}"/>
    <cellStyle name="Tusenskille 3 3 11" xfId="761" xr:uid="{00000000-0005-0000-0000-000099020000}"/>
    <cellStyle name="Tusenskille 3 3 11 2" xfId="2437" xr:uid="{8739E66E-53C1-4BEC-AA7E-D68128BFD973}"/>
    <cellStyle name="Tusenskille 3 3 11 2 2" xfId="4105" xr:uid="{3CB28061-24E6-4649-9FD5-C263503B0F1A}"/>
    <cellStyle name="Tusenskille 3 3 11 3" xfId="1601" xr:uid="{5EA9288E-A966-4DC3-B1B7-ACF9EF547D65}"/>
    <cellStyle name="Tusenskille 3 3 11 4" xfId="3271" xr:uid="{6BCE0A26-DBAA-49BF-8871-68DE1B050497}"/>
    <cellStyle name="Tusenskille 3 3 12" xfId="1708" xr:uid="{40C4DAB9-2C03-4BCD-8A0A-190B565C2473}"/>
    <cellStyle name="Tusenskille 3 3 12 2" xfId="3376" xr:uid="{3AF5F704-1636-44FE-A4A8-976AC4D518CD}"/>
    <cellStyle name="Tusenskille 3 3 13" xfId="872" xr:uid="{F59C4F91-DE81-4FE2-874F-DB0148E6B69E}"/>
    <cellStyle name="Tusenskille 3 3 14" xfId="2542" xr:uid="{CFE61CB9-8E13-40FF-B75B-C83AD6636353}"/>
    <cellStyle name="Tusenskille 3 3 2" xfId="49" xr:uid="{00000000-0005-0000-0000-00009A020000}"/>
    <cellStyle name="Tusenskille 3 3 2 10" xfId="781" xr:uid="{00000000-0005-0000-0000-00009B020000}"/>
    <cellStyle name="Tusenskille 3 3 2 10 2" xfId="2457" xr:uid="{D91E050A-A846-4E0D-ADDC-FBC28FD74B17}"/>
    <cellStyle name="Tusenskille 3 3 2 10 2 2" xfId="4125" xr:uid="{3985B549-134D-4F26-ABD2-2D13310839A0}"/>
    <cellStyle name="Tusenskille 3 3 2 10 3" xfId="1621" xr:uid="{8752BBCC-53C8-444C-BC49-30E0557F52F6}"/>
    <cellStyle name="Tusenskille 3 3 2 10 4" xfId="3291" xr:uid="{0F7A8C05-36E6-4504-AE9D-81EE91683342}"/>
    <cellStyle name="Tusenskille 3 3 2 11" xfId="1728" xr:uid="{C9B86342-7F32-4C13-AF65-9466744D15F2}"/>
    <cellStyle name="Tusenskille 3 3 2 11 2" xfId="3396" xr:uid="{9D2F7577-35CF-47AF-9940-2D96C5BF3583}"/>
    <cellStyle name="Tusenskille 3 3 2 12" xfId="892" xr:uid="{2E3B387D-2719-490E-98A1-EDC9AAA6322C}"/>
    <cellStyle name="Tusenskille 3 3 2 13" xfId="2562" xr:uid="{445C9873-68C3-4E41-A762-B84AC98EC65B}"/>
    <cellStyle name="Tusenskille 3 3 2 2" xfId="89" xr:uid="{00000000-0005-0000-0000-00009C020000}"/>
    <cellStyle name="Tusenskille 3 3 2 2 10" xfId="1766" xr:uid="{5BD2F782-F110-4D48-98C5-68450BDA231F}"/>
    <cellStyle name="Tusenskille 3 3 2 2 10 2" xfId="3434" xr:uid="{DBB03359-C19E-4641-AAC5-99EAF0273FF5}"/>
    <cellStyle name="Tusenskille 3 3 2 2 11" xfId="930" xr:uid="{F4A73D66-8E66-47F8-972D-23D4DA08D6B5}"/>
    <cellStyle name="Tusenskille 3 3 2 2 12" xfId="2600" xr:uid="{AA89F6D5-A7E1-4BCD-8F36-855F6258756F}"/>
    <cellStyle name="Tusenskille 3 3 2 2 2" xfId="182" xr:uid="{00000000-0005-0000-0000-00009D020000}"/>
    <cellStyle name="Tusenskille 3 3 2 2 2 2" xfId="1858" xr:uid="{F3061604-D55C-461B-89E9-DD08825874DC}"/>
    <cellStyle name="Tusenskille 3 3 2 2 2 2 2" xfId="3526" xr:uid="{9E39A93D-3C8A-41EA-A8DD-4FDE3236C093}"/>
    <cellStyle name="Tusenskille 3 3 2 2 2 3" xfId="1022" xr:uid="{1129B071-F8AC-4177-A9AB-8C6BBC9F7B84}"/>
    <cellStyle name="Tusenskille 3 3 2 2 2 4" xfId="2692" xr:uid="{9655E05D-58ED-4E6F-9C86-4F0F775AE419}"/>
    <cellStyle name="Tusenskille 3 3 2 2 3" xfId="272" xr:uid="{00000000-0005-0000-0000-00009E020000}"/>
    <cellStyle name="Tusenskille 3 3 2 2 3 2" xfId="1948" xr:uid="{212F7094-6101-49F0-A34C-194A955C6BA5}"/>
    <cellStyle name="Tusenskille 3 3 2 2 3 2 2" xfId="3616" xr:uid="{A1D4D9A1-8348-4525-B6E8-6B06094F1ED3}"/>
    <cellStyle name="Tusenskille 3 3 2 2 3 3" xfId="1112" xr:uid="{C1530EC3-0B7D-4692-82E4-F09883D21F5B}"/>
    <cellStyle name="Tusenskille 3 3 2 2 3 4" xfId="2782" xr:uid="{95EE9423-FC7F-4A63-8467-AC02047C7BDF}"/>
    <cellStyle name="Tusenskille 3 3 2 2 4" xfId="362" xr:uid="{00000000-0005-0000-0000-00009F020000}"/>
    <cellStyle name="Tusenskille 3 3 2 2 4 2" xfId="2038" xr:uid="{F1EFF7BE-6902-49F5-A65B-A6B72B27B073}"/>
    <cellStyle name="Tusenskille 3 3 2 2 4 2 2" xfId="3706" xr:uid="{D1D656A5-5789-4E1C-9DCB-B6A11085BE02}"/>
    <cellStyle name="Tusenskille 3 3 2 2 4 3" xfId="1202" xr:uid="{FEC8EE64-A502-443E-9E08-88877D086F7B}"/>
    <cellStyle name="Tusenskille 3 3 2 2 4 4" xfId="2872" xr:uid="{99091D2F-8A3E-4235-AC01-ABE5B31C84B2}"/>
    <cellStyle name="Tusenskille 3 3 2 2 5" xfId="452" xr:uid="{00000000-0005-0000-0000-0000A0020000}"/>
    <cellStyle name="Tusenskille 3 3 2 2 5 2" xfId="2128" xr:uid="{9EAF202A-A0D3-4739-87C7-3A1BDF8948DA}"/>
    <cellStyle name="Tusenskille 3 3 2 2 5 2 2" xfId="3796" xr:uid="{2A222225-7A4E-432E-849B-527B6158A54E}"/>
    <cellStyle name="Tusenskille 3 3 2 2 5 3" xfId="1292" xr:uid="{F40E13C4-6845-44A6-9AA0-BA9BE7697D51}"/>
    <cellStyle name="Tusenskille 3 3 2 2 5 4" xfId="2962" xr:uid="{B7B2C86C-30FD-4180-B6C7-F4BAC5C126C0}"/>
    <cellStyle name="Tusenskille 3 3 2 2 6" xfId="542" xr:uid="{00000000-0005-0000-0000-0000A1020000}"/>
    <cellStyle name="Tusenskille 3 3 2 2 6 2" xfId="2218" xr:uid="{26101EA9-2469-413D-AC28-F4E08B667AC0}"/>
    <cellStyle name="Tusenskille 3 3 2 2 6 2 2" xfId="3886" xr:uid="{16662F3F-F27F-445D-989B-BE86872D7CAC}"/>
    <cellStyle name="Tusenskille 3 3 2 2 6 3" xfId="1382" xr:uid="{473F1030-FF79-42C7-BA2E-163B797460A1}"/>
    <cellStyle name="Tusenskille 3 3 2 2 6 4" xfId="3052" xr:uid="{A2F1E18F-E3BF-48F2-9EF7-298291AFCD60}"/>
    <cellStyle name="Tusenskille 3 3 2 2 7" xfId="632" xr:uid="{00000000-0005-0000-0000-0000A2020000}"/>
    <cellStyle name="Tusenskille 3 3 2 2 7 2" xfId="2308" xr:uid="{0A15237C-D44E-4B54-BF9F-E478274981C9}"/>
    <cellStyle name="Tusenskille 3 3 2 2 7 2 2" xfId="3976" xr:uid="{4FFB3E90-D5B1-4337-A448-AFB9CBEB93D7}"/>
    <cellStyle name="Tusenskille 3 3 2 2 7 3" xfId="1472" xr:uid="{6BD0C295-6145-4840-90FF-D2981E0E6B32}"/>
    <cellStyle name="Tusenskille 3 3 2 2 7 4" xfId="3142" xr:uid="{482EE434-996A-44AD-880D-4996D6E5E40C}"/>
    <cellStyle name="Tusenskille 3 3 2 2 8" xfId="722" xr:uid="{00000000-0005-0000-0000-0000A3020000}"/>
    <cellStyle name="Tusenskille 3 3 2 2 8 2" xfId="2398" xr:uid="{84F78B81-F00F-418B-AE1C-0911C77FA5AA}"/>
    <cellStyle name="Tusenskille 3 3 2 2 8 2 2" xfId="4066" xr:uid="{0F8A6A13-9DD6-4384-BC6E-CB7EF8AAF09B}"/>
    <cellStyle name="Tusenskille 3 3 2 2 8 3" xfId="1562" xr:uid="{2263FF5E-27E6-452D-A84E-B9724F87A0C7}"/>
    <cellStyle name="Tusenskille 3 3 2 2 8 4" xfId="3232" xr:uid="{DFA442AE-E133-4BEA-A465-D4E8BE53AFDD}"/>
    <cellStyle name="Tusenskille 3 3 2 2 9" xfId="819" xr:uid="{00000000-0005-0000-0000-0000A4020000}"/>
    <cellStyle name="Tusenskille 3 3 2 2 9 2" xfId="2495" xr:uid="{493CD9FD-5C96-406F-9245-7024D607576C}"/>
    <cellStyle name="Tusenskille 3 3 2 2 9 2 2" xfId="4163" xr:uid="{1393A579-2495-412A-8418-84566D76C065}"/>
    <cellStyle name="Tusenskille 3 3 2 2 9 3" xfId="1659" xr:uid="{0B7B1E89-E853-43A1-919D-40694403F74A}"/>
    <cellStyle name="Tusenskille 3 3 2 2 9 4" xfId="3329" xr:uid="{AAECBC5E-7D00-41F1-8CDC-9B78209BE1CB}"/>
    <cellStyle name="Tusenskille 3 3 2 3" xfId="145" xr:uid="{00000000-0005-0000-0000-0000A5020000}"/>
    <cellStyle name="Tusenskille 3 3 2 3 2" xfId="1821" xr:uid="{9F5F891F-0A2D-4C0A-83CD-C49022937BB1}"/>
    <cellStyle name="Tusenskille 3 3 2 3 2 2" xfId="3489" xr:uid="{DD5EAD18-4837-4025-8581-B1B72E73F3CF}"/>
    <cellStyle name="Tusenskille 3 3 2 3 3" xfId="985" xr:uid="{71854715-626A-4867-8C24-65C754C961AC}"/>
    <cellStyle name="Tusenskille 3 3 2 3 4" xfId="2655" xr:uid="{55F21B7C-ADA6-444A-B1BB-692D967BD3FC}"/>
    <cellStyle name="Tusenskille 3 3 2 4" xfId="235" xr:uid="{00000000-0005-0000-0000-0000A6020000}"/>
    <cellStyle name="Tusenskille 3 3 2 4 2" xfId="1911" xr:uid="{BD4CAEC7-6F76-4828-8184-FFC83CFB6E15}"/>
    <cellStyle name="Tusenskille 3 3 2 4 2 2" xfId="3579" xr:uid="{B3A23B57-876F-4A7B-9699-963DEF727FE5}"/>
    <cellStyle name="Tusenskille 3 3 2 4 3" xfId="1075" xr:uid="{44D5C860-E54A-418E-BEC9-31CA588C610F}"/>
    <cellStyle name="Tusenskille 3 3 2 4 4" xfId="2745" xr:uid="{8F1544E8-95D3-49CC-8DB6-C356EA9C0B07}"/>
    <cellStyle name="Tusenskille 3 3 2 5" xfId="325" xr:uid="{00000000-0005-0000-0000-0000A7020000}"/>
    <cellStyle name="Tusenskille 3 3 2 5 2" xfId="2001" xr:uid="{FF06771F-2FC5-429E-96DB-8BA5ABFC5BEF}"/>
    <cellStyle name="Tusenskille 3 3 2 5 2 2" xfId="3669" xr:uid="{C64DB897-C808-4A2B-8F62-2D7AF2AC951E}"/>
    <cellStyle name="Tusenskille 3 3 2 5 3" xfId="1165" xr:uid="{0AEAF3EB-0331-483F-9BBE-C634595D1D43}"/>
    <cellStyle name="Tusenskille 3 3 2 5 4" xfId="2835" xr:uid="{FF226B82-4561-4850-81F1-84F9AB7036C7}"/>
    <cellStyle name="Tusenskille 3 3 2 6" xfId="415" xr:uid="{00000000-0005-0000-0000-0000A8020000}"/>
    <cellStyle name="Tusenskille 3 3 2 6 2" xfId="2091" xr:uid="{CFD655B8-C6D2-4FA8-8707-AC8102A154AA}"/>
    <cellStyle name="Tusenskille 3 3 2 6 2 2" xfId="3759" xr:uid="{732953A7-2C6A-4DCC-B883-ABF7CC2E2926}"/>
    <cellStyle name="Tusenskille 3 3 2 6 3" xfId="1255" xr:uid="{63D95339-08F8-4EDA-B08B-83B4EE498002}"/>
    <cellStyle name="Tusenskille 3 3 2 6 4" xfId="2925" xr:uid="{9BE8FFC8-59ED-48B3-8654-F6EA07A60075}"/>
    <cellStyle name="Tusenskille 3 3 2 7" xfId="505" xr:uid="{00000000-0005-0000-0000-0000A9020000}"/>
    <cellStyle name="Tusenskille 3 3 2 7 2" xfId="2181" xr:uid="{AB67C687-4CB0-4887-BE72-EC339E049993}"/>
    <cellStyle name="Tusenskille 3 3 2 7 2 2" xfId="3849" xr:uid="{3AD32A67-1B1E-4D14-AE15-34B55B6FC172}"/>
    <cellStyle name="Tusenskille 3 3 2 7 3" xfId="1345" xr:uid="{B5C5FA70-AC44-4765-961D-A6B384C85BD9}"/>
    <cellStyle name="Tusenskille 3 3 2 7 4" xfId="3015" xr:uid="{0911B5F0-C540-42EB-A585-3BE8C38F4310}"/>
    <cellStyle name="Tusenskille 3 3 2 8" xfId="595" xr:uid="{00000000-0005-0000-0000-0000AA020000}"/>
    <cellStyle name="Tusenskille 3 3 2 8 2" xfId="2271" xr:uid="{9F17544B-82BE-4C90-B846-69CCBF7738B9}"/>
    <cellStyle name="Tusenskille 3 3 2 8 2 2" xfId="3939" xr:uid="{6FA5BBCD-2549-42D2-B746-307295D8ECB3}"/>
    <cellStyle name="Tusenskille 3 3 2 8 3" xfId="1435" xr:uid="{B09864D6-66AD-4C9D-9FBB-46530F6047CF}"/>
    <cellStyle name="Tusenskille 3 3 2 8 4" xfId="3105" xr:uid="{364085E5-E2DA-4D1A-8315-160094BCF180}"/>
    <cellStyle name="Tusenskille 3 3 2 9" xfId="685" xr:uid="{00000000-0005-0000-0000-0000AB020000}"/>
    <cellStyle name="Tusenskille 3 3 2 9 2" xfId="2361" xr:uid="{25F982F2-119D-4805-9FE9-7F15E9DDC287}"/>
    <cellStyle name="Tusenskille 3 3 2 9 2 2" xfId="4029" xr:uid="{F77AE8CF-3BA0-496A-B438-2BDFE08FE9D0}"/>
    <cellStyle name="Tusenskille 3 3 2 9 3" xfId="1525" xr:uid="{67624609-6582-4813-BC20-727EC3D12437}"/>
    <cellStyle name="Tusenskille 3 3 2 9 4" xfId="3195" xr:uid="{DD5357A8-AE49-4E4D-A84C-9DADD40DD515}"/>
    <cellStyle name="Tusenskille 3 3 3" xfId="70" xr:uid="{00000000-0005-0000-0000-0000AC020000}"/>
    <cellStyle name="Tusenskille 3 3 3 10" xfId="1747" xr:uid="{954415A8-B6D0-4F4D-B805-D32385018A60}"/>
    <cellStyle name="Tusenskille 3 3 3 10 2" xfId="3415" xr:uid="{04CFB7C0-0A8B-46C9-B5BD-3C4A78074ECB}"/>
    <cellStyle name="Tusenskille 3 3 3 11" xfId="911" xr:uid="{9FEFA391-C419-4D56-BB0E-320001BA6C3F}"/>
    <cellStyle name="Tusenskille 3 3 3 12" xfId="2581" xr:uid="{021FCC2E-A730-478D-A58B-533DDFCC4328}"/>
    <cellStyle name="Tusenskille 3 3 3 2" xfId="163" xr:uid="{00000000-0005-0000-0000-0000AD020000}"/>
    <cellStyle name="Tusenskille 3 3 3 2 2" xfId="1839" xr:uid="{777EAA70-3AAB-4983-BB07-AECE0D225A6C}"/>
    <cellStyle name="Tusenskille 3 3 3 2 2 2" xfId="3507" xr:uid="{57DC3C74-C5B3-4926-9C8F-990D9EAEA909}"/>
    <cellStyle name="Tusenskille 3 3 3 2 3" xfId="1003" xr:uid="{E8258A4E-EFD2-47E6-8D70-1BBE846C524D}"/>
    <cellStyle name="Tusenskille 3 3 3 2 4" xfId="2673" xr:uid="{375FA947-DFCC-4FC2-9C65-455DA95C4903}"/>
    <cellStyle name="Tusenskille 3 3 3 3" xfId="253" xr:uid="{00000000-0005-0000-0000-0000AE020000}"/>
    <cellStyle name="Tusenskille 3 3 3 3 2" xfId="1929" xr:uid="{15AD1B91-008F-414C-BB45-3083F60EE4BC}"/>
    <cellStyle name="Tusenskille 3 3 3 3 2 2" xfId="3597" xr:uid="{826BF5A5-3C45-438A-8ED6-CB2CAB36877E}"/>
    <cellStyle name="Tusenskille 3 3 3 3 3" xfId="1093" xr:uid="{E7CF8516-122E-4478-9055-102ADAA1A8E1}"/>
    <cellStyle name="Tusenskille 3 3 3 3 4" xfId="2763" xr:uid="{A66826A5-4BF1-4C57-A87D-29F3BC090A7E}"/>
    <cellStyle name="Tusenskille 3 3 3 4" xfId="343" xr:uid="{00000000-0005-0000-0000-0000AF020000}"/>
    <cellStyle name="Tusenskille 3 3 3 4 2" xfId="2019" xr:uid="{6E16CEE1-46D6-4AFF-AC7C-81FE8B78DC0A}"/>
    <cellStyle name="Tusenskille 3 3 3 4 2 2" xfId="3687" xr:uid="{D78711DF-E2C5-433F-B7D3-80831910031C}"/>
    <cellStyle name="Tusenskille 3 3 3 4 3" xfId="1183" xr:uid="{61CCD4E8-4E57-4461-A469-AF05A7F1CDA2}"/>
    <cellStyle name="Tusenskille 3 3 3 4 4" xfId="2853" xr:uid="{527BF488-D94C-440D-B3D2-C9764730E03D}"/>
    <cellStyle name="Tusenskille 3 3 3 5" xfId="433" xr:uid="{00000000-0005-0000-0000-0000B0020000}"/>
    <cellStyle name="Tusenskille 3 3 3 5 2" xfId="2109" xr:uid="{52049A1C-8B2F-4DEC-A31C-DE4212AFDA7C}"/>
    <cellStyle name="Tusenskille 3 3 3 5 2 2" xfId="3777" xr:uid="{42F43F56-E724-4DB1-A628-DA6564E60503}"/>
    <cellStyle name="Tusenskille 3 3 3 5 3" xfId="1273" xr:uid="{5C82E5BA-BE12-4E5A-B060-006EB8AD9F99}"/>
    <cellStyle name="Tusenskille 3 3 3 5 4" xfId="2943" xr:uid="{06831D14-677F-445C-AFF7-AC14AFD713E1}"/>
    <cellStyle name="Tusenskille 3 3 3 6" xfId="523" xr:uid="{00000000-0005-0000-0000-0000B1020000}"/>
    <cellStyle name="Tusenskille 3 3 3 6 2" xfId="2199" xr:uid="{8599B309-556C-4B6F-9555-682E941891A4}"/>
    <cellStyle name="Tusenskille 3 3 3 6 2 2" xfId="3867" xr:uid="{3279F7D9-2FBD-4F0D-9E52-08AC85217E30}"/>
    <cellStyle name="Tusenskille 3 3 3 6 3" xfId="1363" xr:uid="{4C302C46-AFD1-4DC1-9625-E5F3CE3C10F7}"/>
    <cellStyle name="Tusenskille 3 3 3 6 4" xfId="3033" xr:uid="{2AAFE137-76DB-4813-875A-CE8971E2B9DB}"/>
    <cellStyle name="Tusenskille 3 3 3 7" xfId="613" xr:uid="{00000000-0005-0000-0000-0000B2020000}"/>
    <cellStyle name="Tusenskille 3 3 3 7 2" xfId="2289" xr:uid="{919C0FC0-1806-4245-99B8-C51C0287D2A0}"/>
    <cellStyle name="Tusenskille 3 3 3 7 2 2" xfId="3957" xr:uid="{09FBBEBE-DAFA-4715-8F34-F491E7DD97A4}"/>
    <cellStyle name="Tusenskille 3 3 3 7 3" xfId="1453" xr:uid="{6A287BE1-FB6D-42EA-AAAB-434B9EE7EB2D}"/>
    <cellStyle name="Tusenskille 3 3 3 7 4" xfId="3123" xr:uid="{C985C24F-0B87-4805-8C29-1E09DCA60756}"/>
    <cellStyle name="Tusenskille 3 3 3 8" xfId="703" xr:uid="{00000000-0005-0000-0000-0000B3020000}"/>
    <cellStyle name="Tusenskille 3 3 3 8 2" xfId="2379" xr:uid="{02DE6D92-A13C-4C25-B034-10DAB692D558}"/>
    <cellStyle name="Tusenskille 3 3 3 8 2 2" xfId="4047" xr:uid="{E7F19FBF-C37D-416D-A1F2-F3AC454F300C}"/>
    <cellStyle name="Tusenskille 3 3 3 8 3" xfId="1543" xr:uid="{0CBB0E62-85EA-4FAC-8678-5EBFD83C7BDB}"/>
    <cellStyle name="Tusenskille 3 3 3 8 4" xfId="3213" xr:uid="{A7C0701E-6F28-43F1-B13E-E563271D4259}"/>
    <cellStyle name="Tusenskille 3 3 3 9" xfId="800" xr:uid="{00000000-0005-0000-0000-0000B4020000}"/>
    <cellStyle name="Tusenskille 3 3 3 9 2" xfId="2476" xr:uid="{7FF4DA32-564D-4574-BF30-8704944001AA}"/>
    <cellStyle name="Tusenskille 3 3 3 9 2 2" xfId="4144" xr:uid="{A0E568A9-7474-444D-9C6E-00B85A30E709}"/>
    <cellStyle name="Tusenskille 3 3 3 9 3" xfId="1640" xr:uid="{25168829-60E2-4D82-876D-4794114B9349}"/>
    <cellStyle name="Tusenskille 3 3 3 9 4" xfId="3310" xr:uid="{17ADF3F8-1085-4674-AF8C-DAC4B4319C83}"/>
    <cellStyle name="Tusenskille 3 3 4" xfId="126" xr:uid="{00000000-0005-0000-0000-0000B5020000}"/>
    <cellStyle name="Tusenskille 3 3 4 2" xfId="1802" xr:uid="{BFA825C0-96C4-48D4-B50B-7676A1DC172D}"/>
    <cellStyle name="Tusenskille 3 3 4 2 2" xfId="3470" xr:uid="{198C9BEE-0D4D-4E3F-8922-34D042483B4A}"/>
    <cellStyle name="Tusenskille 3 3 4 3" xfId="966" xr:uid="{F83824A4-B550-498F-829E-57B9781B3E6E}"/>
    <cellStyle name="Tusenskille 3 3 4 4" xfId="2636" xr:uid="{990AAB4B-FD7D-4646-8CD1-B6E6636CB3AC}"/>
    <cellStyle name="Tusenskille 3 3 5" xfId="216" xr:uid="{00000000-0005-0000-0000-0000B6020000}"/>
    <cellStyle name="Tusenskille 3 3 5 2" xfId="1892" xr:uid="{C4644729-5117-40BD-8619-7962A923483C}"/>
    <cellStyle name="Tusenskille 3 3 5 2 2" xfId="3560" xr:uid="{E41385E0-CCE7-4B44-91CB-201A4F808F95}"/>
    <cellStyle name="Tusenskille 3 3 5 3" xfId="1056" xr:uid="{0B2FB5AA-60EC-408C-A331-BEB8D83476F2}"/>
    <cellStyle name="Tusenskille 3 3 5 4" xfId="2726" xr:uid="{A570A08A-E1AD-4E64-B5F1-EA9C2883CE70}"/>
    <cellStyle name="Tusenskille 3 3 6" xfId="306" xr:uid="{00000000-0005-0000-0000-0000B7020000}"/>
    <cellStyle name="Tusenskille 3 3 6 2" xfId="1982" xr:uid="{3485319D-9A0B-41A5-A1DD-62CF98D9B58F}"/>
    <cellStyle name="Tusenskille 3 3 6 2 2" xfId="3650" xr:uid="{60604106-05E4-4571-8925-CC7CBE511A87}"/>
    <cellStyle name="Tusenskille 3 3 6 3" xfId="1146" xr:uid="{05FF2A0F-1591-4346-9F32-0461E4ADCC73}"/>
    <cellStyle name="Tusenskille 3 3 6 4" xfId="2816" xr:uid="{A420D809-B07A-44CB-823F-62CFF31F2435}"/>
    <cellStyle name="Tusenskille 3 3 7" xfId="396" xr:uid="{00000000-0005-0000-0000-0000B8020000}"/>
    <cellStyle name="Tusenskille 3 3 7 2" xfId="2072" xr:uid="{C5DD1DD2-C989-41DD-A0E9-6ED068CA8943}"/>
    <cellStyle name="Tusenskille 3 3 7 2 2" xfId="3740" xr:uid="{C94921F5-E1EA-459F-A6D5-48830F0A3B93}"/>
    <cellStyle name="Tusenskille 3 3 7 3" xfId="1236" xr:uid="{A21FD5EA-76C7-4B75-BF07-B5A5DE519180}"/>
    <cellStyle name="Tusenskille 3 3 7 4" xfId="2906" xr:uid="{71DBD4FB-F444-4895-BE73-4CAECE3C26B4}"/>
    <cellStyle name="Tusenskille 3 3 8" xfId="486" xr:uid="{00000000-0005-0000-0000-0000B9020000}"/>
    <cellStyle name="Tusenskille 3 3 8 2" xfId="2162" xr:uid="{19A668DF-573D-4290-97E6-998CB1FF8BC2}"/>
    <cellStyle name="Tusenskille 3 3 8 2 2" xfId="3830" xr:uid="{246499CF-DC57-4E28-AE88-F7D2BD49BC3F}"/>
    <cellStyle name="Tusenskille 3 3 8 3" xfId="1326" xr:uid="{2F505926-E441-4AF3-A2BE-AA0B840A32AD}"/>
    <cellStyle name="Tusenskille 3 3 8 4" xfId="2996" xr:uid="{2569A057-A8F3-4E38-AF32-2EB1A4DEA012}"/>
    <cellStyle name="Tusenskille 3 3 9" xfId="576" xr:uid="{00000000-0005-0000-0000-0000BA020000}"/>
    <cellStyle name="Tusenskille 3 3 9 2" xfId="2252" xr:uid="{54D0DDE9-53A6-4ECE-9610-288FDA44B3F0}"/>
    <cellStyle name="Tusenskille 3 3 9 2 2" xfId="3920" xr:uid="{DA6739F3-517C-4A3B-B42C-9FEEFFA6E79E}"/>
    <cellStyle name="Tusenskille 3 3 9 3" xfId="1416" xr:uid="{1D72126C-E1B8-44C3-ADAF-B282AFFBA1B4}"/>
    <cellStyle name="Tusenskille 3 3 9 4" xfId="3086" xr:uid="{7D68F3FF-6E9F-4D06-AE22-81C16F1A20A3}"/>
    <cellStyle name="Tusenskille 3 4" xfId="30" xr:uid="{00000000-0005-0000-0000-0000BB020000}"/>
    <cellStyle name="Tusenskille 3 4 10" xfId="669" xr:uid="{00000000-0005-0000-0000-0000BC020000}"/>
    <cellStyle name="Tusenskille 3 4 10 2" xfId="2345" xr:uid="{EF9F3A95-86B0-435B-BB2A-7ECDC286894A}"/>
    <cellStyle name="Tusenskille 3 4 10 2 2" xfId="4013" xr:uid="{8E94BF15-C964-44C9-8832-BBD3E82D228E}"/>
    <cellStyle name="Tusenskille 3 4 10 3" xfId="1509" xr:uid="{DB99A4C3-E734-404D-9B73-9C01698D22C5}"/>
    <cellStyle name="Tusenskille 3 4 10 4" xfId="3179" xr:uid="{7BED8E28-9ECD-4BBA-A600-38EC3BB0E78A}"/>
    <cellStyle name="Tusenskille 3 4 11" xfId="764" xr:uid="{00000000-0005-0000-0000-0000BD020000}"/>
    <cellStyle name="Tusenskille 3 4 11 2" xfId="2440" xr:uid="{002F3B2B-47B3-4F87-A0EC-6D22D56704BC}"/>
    <cellStyle name="Tusenskille 3 4 11 2 2" xfId="4108" xr:uid="{CA7F7CAD-5920-4984-BA29-86546B40C3F4}"/>
    <cellStyle name="Tusenskille 3 4 11 3" xfId="1604" xr:uid="{2165A936-A2EF-4C59-84A7-514CA256A954}"/>
    <cellStyle name="Tusenskille 3 4 11 4" xfId="3274" xr:uid="{8CBFB6A6-2BFC-47CA-9DE7-0724FB1CB362}"/>
    <cellStyle name="Tusenskille 3 4 12" xfId="1711" xr:uid="{FDEAEDB3-9380-4BA6-8F97-6FF6AF64558E}"/>
    <cellStyle name="Tusenskille 3 4 12 2" xfId="3379" xr:uid="{F331FCBF-B366-4D9E-9E3E-3406219DE632}"/>
    <cellStyle name="Tusenskille 3 4 13" xfId="875" xr:uid="{62BEA0C4-038C-493D-8FDC-E263C1043818}"/>
    <cellStyle name="Tusenskille 3 4 14" xfId="2545" xr:uid="{FD3F0F0E-2A0E-491E-9876-2FA5ADE6990E}"/>
    <cellStyle name="Tusenskille 3 4 2" xfId="52" xr:uid="{00000000-0005-0000-0000-0000BE020000}"/>
    <cellStyle name="Tusenskille 3 4 2 10" xfId="784" xr:uid="{00000000-0005-0000-0000-0000BF020000}"/>
    <cellStyle name="Tusenskille 3 4 2 10 2" xfId="2460" xr:uid="{A0648D2F-FD45-44A4-8B4C-27CFB417E02A}"/>
    <cellStyle name="Tusenskille 3 4 2 10 2 2" xfId="4128" xr:uid="{A70F88BB-C5B6-4E5A-B051-897036A34A45}"/>
    <cellStyle name="Tusenskille 3 4 2 10 3" xfId="1624" xr:uid="{294DCCDC-742F-4D53-8CD2-B9709F6A9739}"/>
    <cellStyle name="Tusenskille 3 4 2 10 4" xfId="3294" xr:uid="{2982D3AB-2998-4D2A-BB98-3423E0A24925}"/>
    <cellStyle name="Tusenskille 3 4 2 11" xfId="1731" xr:uid="{5E11A52E-9DAE-4892-8E61-F5C89462B13C}"/>
    <cellStyle name="Tusenskille 3 4 2 11 2" xfId="3399" xr:uid="{756D0D6E-694A-4894-A0C1-22FFCB03A490}"/>
    <cellStyle name="Tusenskille 3 4 2 12" xfId="895" xr:uid="{AF8BA067-C551-41AA-8A33-1D54003B3F65}"/>
    <cellStyle name="Tusenskille 3 4 2 13" xfId="2565" xr:uid="{74AFCC10-6C98-41B3-A901-421FD25E97D3}"/>
    <cellStyle name="Tusenskille 3 4 2 2" xfId="92" xr:uid="{00000000-0005-0000-0000-0000C0020000}"/>
    <cellStyle name="Tusenskille 3 4 2 2 10" xfId="1769" xr:uid="{4B855551-86ED-40AB-9AC1-29CCE68EFC19}"/>
    <cellStyle name="Tusenskille 3 4 2 2 10 2" xfId="3437" xr:uid="{31F81CA0-9225-46BF-8973-9CAC2A2C5722}"/>
    <cellStyle name="Tusenskille 3 4 2 2 11" xfId="933" xr:uid="{12D53834-048C-4F0D-A41E-A68EA6EE885B}"/>
    <cellStyle name="Tusenskille 3 4 2 2 12" xfId="2603" xr:uid="{AE43945B-FE2E-4A94-901C-55FF2BE6B3AC}"/>
    <cellStyle name="Tusenskille 3 4 2 2 2" xfId="185" xr:uid="{00000000-0005-0000-0000-0000C1020000}"/>
    <cellStyle name="Tusenskille 3 4 2 2 2 2" xfId="1861" xr:uid="{2DD6A585-F6C2-4613-9B32-A8A0F0B97437}"/>
    <cellStyle name="Tusenskille 3 4 2 2 2 2 2" xfId="3529" xr:uid="{2619BED4-C047-47C3-94F0-0B20DBEC9FA9}"/>
    <cellStyle name="Tusenskille 3 4 2 2 2 3" xfId="1025" xr:uid="{5F99D8EF-F3EA-4040-BFE2-B113BBD4396B}"/>
    <cellStyle name="Tusenskille 3 4 2 2 2 4" xfId="2695" xr:uid="{2DB76AA0-DA29-4D67-BC8D-B322BA4BD9C1}"/>
    <cellStyle name="Tusenskille 3 4 2 2 3" xfId="275" xr:uid="{00000000-0005-0000-0000-0000C2020000}"/>
    <cellStyle name="Tusenskille 3 4 2 2 3 2" xfId="1951" xr:uid="{07271CE1-9812-4F78-8657-BA7E0C763704}"/>
    <cellStyle name="Tusenskille 3 4 2 2 3 2 2" xfId="3619" xr:uid="{0A534827-3A34-4F8B-9435-DBFEFA3A5D02}"/>
    <cellStyle name="Tusenskille 3 4 2 2 3 3" xfId="1115" xr:uid="{92998394-90C4-4D7F-AF45-4D3DAE7F7636}"/>
    <cellStyle name="Tusenskille 3 4 2 2 3 4" xfId="2785" xr:uid="{FCB28AED-7BBE-47FE-8742-D5CDBCD3CC14}"/>
    <cellStyle name="Tusenskille 3 4 2 2 4" xfId="365" xr:uid="{00000000-0005-0000-0000-0000C3020000}"/>
    <cellStyle name="Tusenskille 3 4 2 2 4 2" xfId="2041" xr:uid="{9729FB73-1429-441A-9716-3BF3714DD741}"/>
    <cellStyle name="Tusenskille 3 4 2 2 4 2 2" xfId="3709" xr:uid="{7553C738-3416-4D1D-B4E7-FB4B351DBEAB}"/>
    <cellStyle name="Tusenskille 3 4 2 2 4 3" xfId="1205" xr:uid="{6FB73171-96C1-4480-9066-35CB34CBD129}"/>
    <cellStyle name="Tusenskille 3 4 2 2 4 4" xfId="2875" xr:uid="{6F7389ED-3601-49EB-8ACB-5B340EC1BEFB}"/>
    <cellStyle name="Tusenskille 3 4 2 2 5" xfId="455" xr:uid="{00000000-0005-0000-0000-0000C4020000}"/>
    <cellStyle name="Tusenskille 3 4 2 2 5 2" xfId="2131" xr:uid="{DA03B678-FCF7-4D51-87D5-016204FFE8A9}"/>
    <cellStyle name="Tusenskille 3 4 2 2 5 2 2" xfId="3799" xr:uid="{BD39EBD6-EA39-44D5-BB2B-782999226B7B}"/>
    <cellStyle name="Tusenskille 3 4 2 2 5 3" xfId="1295" xr:uid="{3E28FD00-3B7E-4E4D-8B08-5299588CBF4B}"/>
    <cellStyle name="Tusenskille 3 4 2 2 5 4" xfId="2965" xr:uid="{678FA7F5-4F29-4945-ADC4-36D9F266F0E4}"/>
    <cellStyle name="Tusenskille 3 4 2 2 6" xfId="545" xr:uid="{00000000-0005-0000-0000-0000C5020000}"/>
    <cellStyle name="Tusenskille 3 4 2 2 6 2" xfId="2221" xr:uid="{4DC669DB-B77E-4A1E-BDE1-ED81BDC1817E}"/>
    <cellStyle name="Tusenskille 3 4 2 2 6 2 2" xfId="3889" xr:uid="{51D18A0E-9035-4422-8AFA-D030327F519F}"/>
    <cellStyle name="Tusenskille 3 4 2 2 6 3" xfId="1385" xr:uid="{66961E6D-6FE1-4432-9D28-9AFC0E21278B}"/>
    <cellStyle name="Tusenskille 3 4 2 2 6 4" xfId="3055" xr:uid="{7B26E88C-04F2-40CB-981F-E728FD95D8CC}"/>
    <cellStyle name="Tusenskille 3 4 2 2 7" xfId="635" xr:uid="{00000000-0005-0000-0000-0000C6020000}"/>
    <cellStyle name="Tusenskille 3 4 2 2 7 2" xfId="2311" xr:uid="{932FC893-2C55-4934-A24E-C73895B8D6BD}"/>
    <cellStyle name="Tusenskille 3 4 2 2 7 2 2" xfId="3979" xr:uid="{184D28CF-F8C2-4206-982C-3B782826BE51}"/>
    <cellStyle name="Tusenskille 3 4 2 2 7 3" xfId="1475" xr:uid="{8A621A7A-8040-484B-9A72-18CA54DB0C07}"/>
    <cellStyle name="Tusenskille 3 4 2 2 7 4" xfId="3145" xr:uid="{FB2E3BE9-3D33-435C-B40C-8B27BB27CFFA}"/>
    <cellStyle name="Tusenskille 3 4 2 2 8" xfId="725" xr:uid="{00000000-0005-0000-0000-0000C7020000}"/>
    <cellStyle name="Tusenskille 3 4 2 2 8 2" xfId="2401" xr:uid="{755E768E-CB81-4EBF-841F-8F5E74B77CFE}"/>
    <cellStyle name="Tusenskille 3 4 2 2 8 2 2" xfId="4069" xr:uid="{12B23631-C994-41C5-BE37-1E1D97F2A94A}"/>
    <cellStyle name="Tusenskille 3 4 2 2 8 3" xfId="1565" xr:uid="{0436858B-2242-4C94-9506-16B717A9998C}"/>
    <cellStyle name="Tusenskille 3 4 2 2 8 4" xfId="3235" xr:uid="{6E2249C2-9C85-46E6-B1D1-64047BB83179}"/>
    <cellStyle name="Tusenskille 3 4 2 2 9" xfId="822" xr:uid="{00000000-0005-0000-0000-0000C8020000}"/>
    <cellStyle name="Tusenskille 3 4 2 2 9 2" xfId="2498" xr:uid="{F720593F-A3EC-4CA8-89EF-E1E99B97C2CA}"/>
    <cellStyle name="Tusenskille 3 4 2 2 9 2 2" xfId="4166" xr:uid="{7BD116B5-65FC-49AC-A184-10274356AEF8}"/>
    <cellStyle name="Tusenskille 3 4 2 2 9 3" xfId="1662" xr:uid="{8C1BCF34-5CE9-48E1-9051-F113C96F5F81}"/>
    <cellStyle name="Tusenskille 3 4 2 2 9 4" xfId="3332" xr:uid="{3B312028-52B6-43FE-A259-2A04823EDDEE}"/>
    <cellStyle name="Tusenskille 3 4 2 3" xfId="148" xr:uid="{00000000-0005-0000-0000-0000C9020000}"/>
    <cellStyle name="Tusenskille 3 4 2 3 2" xfId="1824" xr:uid="{D8117AF1-53CF-4FAC-9442-93462554063F}"/>
    <cellStyle name="Tusenskille 3 4 2 3 2 2" xfId="3492" xr:uid="{A5320A26-403C-4B96-A38A-C2E3C0B47232}"/>
    <cellStyle name="Tusenskille 3 4 2 3 3" xfId="988" xr:uid="{13FCA419-A241-4583-BF63-928E45E3A799}"/>
    <cellStyle name="Tusenskille 3 4 2 3 4" xfId="2658" xr:uid="{3A37A5B8-7477-418C-BDB1-905D1AC21BBA}"/>
    <cellStyle name="Tusenskille 3 4 2 4" xfId="238" xr:uid="{00000000-0005-0000-0000-0000CA020000}"/>
    <cellStyle name="Tusenskille 3 4 2 4 2" xfId="1914" xr:uid="{CE07073D-94BA-42C0-96A5-1CF738311964}"/>
    <cellStyle name="Tusenskille 3 4 2 4 2 2" xfId="3582" xr:uid="{ABAD03AE-5A83-4A23-86EB-605DD72C8221}"/>
    <cellStyle name="Tusenskille 3 4 2 4 3" xfId="1078" xr:uid="{735D5033-82EA-43F9-8095-329948CCBD02}"/>
    <cellStyle name="Tusenskille 3 4 2 4 4" xfId="2748" xr:uid="{67E4E4D7-54AD-49F4-8F81-78951411CEF3}"/>
    <cellStyle name="Tusenskille 3 4 2 5" xfId="328" xr:uid="{00000000-0005-0000-0000-0000CB020000}"/>
    <cellStyle name="Tusenskille 3 4 2 5 2" xfId="2004" xr:uid="{BF7754F6-6EF3-4A27-9D3F-02C121AD1A17}"/>
    <cellStyle name="Tusenskille 3 4 2 5 2 2" xfId="3672" xr:uid="{312A1DA4-1590-450E-9391-EC505D2AD8A1}"/>
    <cellStyle name="Tusenskille 3 4 2 5 3" xfId="1168" xr:uid="{E6819BC6-617F-4DEA-8436-C5D2FC671D04}"/>
    <cellStyle name="Tusenskille 3 4 2 5 4" xfId="2838" xr:uid="{F78CB39B-A422-4E41-B0FB-822D433C201A}"/>
    <cellStyle name="Tusenskille 3 4 2 6" xfId="418" xr:uid="{00000000-0005-0000-0000-0000CC020000}"/>
    <cellStyle name="Tusenskille 3 4 2 6 2" xfId="2094" xr:uid="{BA82C520-BB42-46B0-BFAE-8703C4B27567}"/>
    <cellStyle name="Tusenskille 3 4 2 6 2 2" xfId="3762" xr:uid="{D376F948-06FB-423D-A47A-41E95317EFA7}"/>
    <cellStyle name="Tusenskille 3 4 2 6 3" xfId="1258" xr:uid="{4F308787-8B31-4FAA-B31B-D6EDBFF5C1C2}"/>
    <cellStyle name="Tusenskille 3 4 2 6 4" xfId="2928" xr:uid="{18A59F16-E67F-4EF1-AB8E-F21C36D0CF98}"/>
    <cellStyle name="Tusenskille 3 4 2 7" xfId="508" xr:uid="{00000000-0005-0000-0000-0000CD020000}"/>
    <cellStyle name="Tusenskille 3 4 2 7 2" xfId="2184" xr:uid="{D47C1D2F-A5E5-4536-B52D-8007291F2454}"/>
    <cellStyle name="Tusenskille 3 4 2 7 2 2" xfId="3852" xr:uid="{C21ADB81-114D-49A5-AF9E-8F8C26DCD733}"/>
    <cellStyle name="Tusenskille 3 4 2 7 3" xfId="1348" xr:uid="{A1A7193D-B8CD-43F9-929C-D712C624C3A1}"/>
    <cellStyle name="Tusenskille 3 4 2 7 4" xfId="3018" xr:uid="{76195A17-ACB2-427D-B45B-8E956C5149B4}"/>
    <cellStyle name="Tusenskille 3 4 2 8" xfId="598" xr:uid="{00000000-0005-0000-0000-0000CE020000}"/>
    <cellStyle name="Tusenskille 3 4 2 8 2" xfId="2274" xr:uid="{04596005-B1C6-4DCF-B557-7F27DE7582C9}"/>
    <cellStyle name="Tusenskille 3 4 2 8 2 2" xfId="3942" xr:uid="{6CFE7344-6690-496C-8541-ED4767E100E1}"/>
    <cellStyle name="Tusenskille 3 4 2 8 3" xfId="1438" xr:uid="{70528C9F-840C-4BFD-9B0C-0A9752FAF0B7}"/>
    <cellStyle name="Tusenskille 3 4 2 8 4" xfId="3108" xr:uid="{AED5E177-03E8-495A-88EF-63906EB010F1}"/>
    <cellStyle name="Tusenskille 3 4 2 9" xfId="688" xr:uid="{00000000-0005-0000-0000-0000CF020000}"/>
    <cellStyle name="Tusenskille 3 4 2 9 2" xfId="2364" xr:uid="{6ECCE285-9AF1-4873-B0F0-9F270CFAD305}"/>
    <cellStyle name="Tusenskille 3 4 2 9 2 2" xfId="4032" xr:uid="{56C30E41-1CE6-4351-AB31-FB720225B80E}"/>
    <cellStyle name="Tusenskille 3 4 2 9 3" xfId="1528" xr:uid="{262B2510-51A6-43AE-B368-97D66EFBDDE7}"/>
    <cellStyle name="Tusenskille 3 4 2 9 4" xfId="3198" xr:uid="{F022EF19-CC5B-431F-8F04-156336F441E5}"/>
    <cellStyle name="Tusenskille 3 4 3" xfId="73" xr:uid="{00000000-0005-0000-0000-0000D0020000}"/>
    <cellStyle name="Tusenskille 3 4 3 10" xfId="1750" xr:uid="{59A5C64B-2D3E-46A5-B1A5-1B39A6B904BF}"/>
    <cellStyle name="Tusenskille 3 4 3 10 2" xfId="3418" xr:uid="{4C90B325-6AF9-4EDF-A877-241349E2D07E}"/>
    <cellStyle name="Tusenskille 3 4 3 11" xfId="914" xr:uid="{06A9EC17-FCFB-4511-8BAF-5DC810A0C52F}"/>
    <cellStyle name="Tusenskille 3 4 3 12" xfId="2584" xr:uid="{2A375BD0-8E17-4F64-B427-0D34F790DE28}"/>
    <cellStyle name="Tusenskille 3 4 3 2" xfId="166" xr:uid="{00000000-0005-0000-0000-0000D1020000}"/>
    <cellStyle name="Tusenskille 3 4 3 2 2" xfId="1842" xr:uid="{D41774C2-1DA9-4F79-ADEC-E8CB53D9DE37}"/>
    <cellStyle name="Tusenskille 3 4 3 2 2 2" xfId="3510" xr:uid="{7B866302-C6FA-4957-8E8D-80FC1A9B7930}"/>
    <cellStyle name="Tusenskille 3 4 3 2 3" xfId="1006" xr:uid="{3AAA45CD-D942-471E-A785-AD3371C5A85C}"/>
    <cellStyle name="Tusenskille 3 4 3 2 4" xfId="2676" xr:uid="{EFC51842-430B-4504-A619-1480E1C87E6F}"/>
    <cellStyle name="Tusenskille 3 4 3 3" xfId="256" xr:uid="{00000000-0005-0000-0000-0000D2020000}"/>
    <cellStyle name="Tusenskille 3 4 3 3 2" xfId="1932" xr:uid="{5373A87F-184D-416C-8FB0-A4352F560E7F}"/>
    <cellStyle name="Tusenskille 3 4 3 3 2 2" xfId="3600" xr:uid="{A17F82DE-81D1-43F9-A39C-78CA1245C335}"/>
    <cellStyle name="Tusenskille 3 4 3 3 3" xfId="1096" xr:uid="{CA248A7E-1F43-4915-9F5A-949F5B6555AC}"/>
    <cellStyle name="Tusenskille 3 4 3 3 4" xfId="2766" xr:uid="{9790909E-D655-4C11-A14E-00C7927652D9}"/>
    <cellStyle name="Tusenskille 3 4 3 4" xfId="346" xr:uid="{00000000-0005-0000-0000-0000D3020000}"/>
    <cellStyle name="Tusenskille 3 4 3 4 2" xfId="2022" xr:uid="{1732A71B-8334-4C78-A2CF-3E7DA5BD24A0}"/>
    <cellStyle name="Tusenskille 3 4 3 4 2 2" xfId="3690" xr:uid="{A3335766-233C-4EEC-A9C2-A4587856E95D}"/>
    <cellStyle name="Tusenskille 3 4 3 4 3" xfId="1186" xr:uid="{03829DCF-79D6-4274-B810-FF2992FDF976}"/>
    <cellStyle name="Tusenskille 3 4 3 4 4" xfId="2856" xr:uid="{0B1E3F36-3DBF-4831-8A82-83329F81C653}"/>
    <cellStyle name="Tusenskille 3 4 3 5" xfId="436" xr:uid="{00000000-0005-0000-0000-0000D4020000}"/>
    <cellStyle name="Tusenskille 3 4 3 5 2" xfId="2112" xr:uid="{B190E82E-9EBC-4FC1-87C4-0B3787269E78}"/>
    <cellStyle name="Tusenskille 3 4 3 5 2 2" xfId="3780" xr:uid="{52E01A42-A482-4BB5-94D5-D9E52E80BF1F}"/>
    <cellStyle name="Tusenskille 3 4 3 5 3" xfId="1276" xr:uid="{BDD7E886-41DD-40E7-B0FA-A576D797DAF6}"/>
    <cellStyle name="Tusenskille 3 4 3 5 4" xfId="2946" xr:uid="{64A04DA1-3436-4F4B-BA65-F72945EED652}"/>
    <cellStyle name="Tusenskille 3 4 3 6" xfId="526" xr:uid="{00000000-0005-0000-0000-0000D5020000}"/>
    <cellStyle name="Tusenskille 3 4 3 6 2" xfId="2202" xr:uid="{91D4294D-C91D-4CAA-9DEE-EB8D2846AB71}"/>
    <cellStyle name="Tusenskille 3 4 3 6 2 2" xfId="3870" xr:uid="{954D2B5A-0505-4C08-8C33-193B17AAF3FF}"/>
    <cellStyle name="Tusenskille 3 4 3 6 3" xfId="1366" xr:uid="{3B1DB15B-582C-483E-A87C-E1F32C449742}"/>
    <cellStyle name="Tusenskille 3 4 3 6 4" xfId="3036" xr:uid="{16ABC432-699E-4E80-958C-3FDC9DD3CE7B}"/>
    <cellStyle name="Tusenskille 3 4 3 7" xfId="616" xr:uid="{00000000-0005-0000-0000-0000D6020000}"/>
    <cellStyle name="Tusenskille 3 4 3 7 2" xfId="2292" xr:uid="{24968405-8FBF-41CA-BBA2-0A9F460AAC89}"/>
    <cellStyle name="Tusenskille 3 4 3 7 2 2" xfId="3960" xr:uid="{F86E2A1A-B050-4C53-AB3F-00E0F0E007FF}"/>
    <cellStyle name="Tusenskille 3 4 3 7 3" xfId="1456" xr:uid="{2AEAADBA-91EC-43D2-874F-8F21997300B2}"/>
    <cellStyle name="Tusenskille 3 4 3 7 4" xfId="3126" xr:uid="{54C8C58D-849C-4730-AD5A-52EF297AF893}"/>
    <cellStyle name="Tusenskille 3 4 3 8" xfId="706" xr:uid="{00000000-0005-0000-0000-0000D7020000}"/>
    <cellStyle name="Tusenskille 3 4 3 8 2" xfId="2382" xr:uid="{3720566F-B4F3-4711-AD50-34A217FA03C4}"/>
    <cellStyle name="Tusenskille 3 4 3 8 2 2" xfId="4050" xr:uid="{E1FDCB56-63AD-406E-BA15-6029AF6B9425}"/>
    <cellStyle name="Tusenskille 3 4 3 8 3" xfId="1546" xr:uid="{857AA65B-B43C-4E48-B076-8AF012BB3DC1}"/>
    <cellStyle name="Tusenskille 3 4 3 8 4" xfId="3216" xr:uid="{F97EAF38-553E-45B6-899C-90100E2B5C11}"/>
    <cellStyle name="Tusenskille 3 4 3 9" xfId="803" xr:uid="{00000000-0005-0000-0000-0000D8020000}"/>
    <cellStyle name="Tusenskille 3 4 3 9 2" xfId="2479" xr:uid="{37C261DA-5922-4CB5-A42C-6F5651781B63}"/>
    <cellStyle name="Tusenskille 3 4 3 9 2 2" xfId="4147" xr:uid="{111BC4C0-2868-4021-A600-0B9619A3E439}"/>
    <cellStyle name="Tusenskille 3 4 3 9 3" xfId="1643" xr:uid="{2D20478F-B036-44C5-9892-629EFAEF51DF}"/>
    <cellStyle name="Tusenskille 3 4 3 9 4" xfId="3313" xr:uid="{9C2622FF-0367-4801-968D-8C8B09569854}"/>
    <cellStyle name="Tusenskille 3 4 4" xfId="129" xr:uid="{00000000-0005-0000-0000-0000D9020000}"/>
    <cellStyle name="Tusenskille 3 4 4 2" xfId="1805" xr:uid="{568B018A-6B63-423F-9075-9EC6B2B34E31}"/>
    <cellStyle name="Tusenskille 3 4 4 2 2" xfId="3473" xr:uid="{BE3FEFA2-92B6-4D11-A745-00306C289CC0}"/>
    <cellStyle name="Tusenskille 3 4 4 3" xfId="969" xr:uid="{BA26BFA1-CBC3-4E52-B6CE-009FB03B1B88}"/>
    <cellStyle name="Tusenskille 3 4 4 4" xfId="2639" xr:uid="{86004A6E-E45E-4490-A2E4-339E8C6AA113}"/>
    <cellStyle name="Tusenskille 3 4 5" xfId="219" xr:uid="{00000000-0005-0000-0000-0000DA020000}"/>
    <cellStyle name="Tusenskille 3 4 5 2" xfId="1895" xr:uid="{BEC87389-CF1D-41EB-951D-F80C78B23D55}"/>
    <cellStyle name="Tusenskille 3 4 5 2 2" xfId="3563" xr:uid="{8027AED6-5802-405A-A381-9C24A4F6575A}"/>
    <cellStyle name="Tusenskille 3 4 5 3" xfId="1059" xr:uid="{0681DF60-AA3F-486C-898C-86FF2F19C57D}"/>
    <cellStyle name="Tusenskille 3 4 5 4" xfId="2729" xr:uid="{D15B987A-5E45-49E8-9EBE-5CCD87CC779B}"/>
    <cellStyle name="Tusenskille 3 4 6" xfId="309" xr:uid="{00000000-0005-0000-0000-0000DB020000}"/>
    <cellStyle name="Tusenskille 3 4 6 2" xfId="1985" xr:uid="{53AC68A3-422E-4CD6-952A-734C8C5428BC}"/>
    <cellStyle name="Tusenskille 3 4 6 2 2" xfId="3653" xr:uid="{C8D0F264-6A98-4DD1-98DF-A1DE4A2C079A}"/>
    <cellStyle name="Tusenskille 3 4 6 3" xfId="1149" xr:uid="{B75ED548-9E42-43A5-A286-91F50B76D2DA}"/>
    <cellStyle name="Tusenskille 3 4 6 4" xfId="2819" xr:uid="{F0999A73-0BE1-4742-BA60-02039500A3B9}"/>
    <cellStyle name="Tusenskille 3 4 7" xfId="399" xr:uid="{00000000-0005-0000-0000-0000DC020000}"/>
    <cellStyle name="Tusenskille 3 4 7 2" xfId="2075" xr:uid="{ECF6766C-5321-4BFE-A1D5-5F6D8205C792}"/>
    <cellStyle name="Tusenskille 3 4 7 2 2" xfId="3743" xr:uid="{4EA4F24E-E9AD-417E-99B8-57CDF3A90175}"/>
    <cellStyle name="Tusenskille 3 4 7 3" xfId="1239" xr:uid="{C9771C4E-0FF3-43B3-BDB4-0E2BC440A3C6}"/>
    <cellStyle name="Tusenskille 3 4 7 4" xfId="2909" xr:uid="{AE56C660-1E4B-4C72-8926-D251D3ADB608}"/>
    <cellStyle name="Tusenskille 3 4 8" xfId="489" xr:uid="{00000000-0005-0000-0000-0000DD020000}"/>
    <cellStyle name="Tusenskille 3 4 8 2" xfId="2165" xr:uid="{69C6AADE-D1BA-4895-BE10-F7956F6AE5B7}"/>
    <cellStyle name="Tusenskille 3 4 8 2 2" xfId="3833" xr:uid="{3CF17F43-8446-44B1-8C17-B6537A39F509}"/>
    <cellStyle name="Tusenskille 3 4 8 3" xfId="1329" xr:uid="{94CE77E6-1589-4CD7-9718-5DE9F49147CA}"/>
    <cellStyle name="Tusenskille 3 4 8 4" xfId="2999" xr:uid="{0367FB18-F1CE-43C2-9943-D94C966B8589}"/>
    <cellStyle name="Tusenskille 3 4 9" xfId="579" xr:uid="{00000000-0005-0000-0000-0000DE020000}"/>
    <cellStyle name="Tusenskille 3 4 9 2" xfId="2255" xr:uid="{81E9129D-128B-4418-915F-2236D8FAEE03}"/>
    <cellStyle name="Tusenskille 3 4 9 2 2" xfId="3923" xr:uid="{E4AC00FF-5E35-4743-9B49-BE5F9BEF3DE3}"/>
    <cellStyle name="Tusenskille 3 4 9 3" xfId="1419" xr:uid="{FFD2C62F-6787-4CFF-9376-C2455A56F3F1}"/>
    <cellStyle name="Tusenskille 3 4 9 4" xfId="3089" xr:uid="{7F06304D-8537-49E1-8BE0-E4ADE04FE4CF}"/>
    <cellStyle name="Tusenskille 3 5" xfId="34" xr:uid="{00000000-0005-0000-0000-0000DF020000}"/>
    <cellStyle name="Tusenskille 3 5 10" xfId="672" xr:uid="{00000000-0005-0000-0000-0000E0020000}"/>
    <cellStyle name="Tusenskille 3 5 10 2" xfId="2348" xr:uid="{99B6B4F6-96FD-463E-9115-9755B88C5858}"/>
    <cellStyle name="Tusenskille 3 5 10 2 2" xfId="4016" xr:uid="{78B8A63A-3CCB-4218-99C0-B31122C25B63}"/>
    <cellStyle name="Tusenskille 3 5 10 3" xfId="1512" xr:uid="{603ADC69-91D1-44A3-ACB5-6D4C89B6495C}"/>
    <cellStyle name="Tusenskille 3 5 10 4" xfId="3182" xr:uid="{1A29334F-938D-4E65-8C65-93CC695DDABD}"/>
    <cellStyle name="Tusenskille 3 5 11" xfId="767" xr:uid="{00000000-0005-0000-0000-0000E1020000}"/>
    <cellStyle name="Tusenskille 3 5 11 2" xfId="2443" xr:uid="{E96741B0-9D2E-42FA-B10D-040D74EEC56F}"/>
    <cellStyle name="Tusenskille 3 5 11 2 2" xfId="4111" xr:uid="{DC182439-93A0-4F50-A644-CDBCAD53CB75}"/>
    <cellStyle name="Tusenskille 3 5 11 3" xfId="1607" xr:uid="{F8947D41-7E25-48C7-8C3D-B4C9F8DD1E54}"/>
    <cellStyle name="Tusenskille 3 5 11 4" xfId="3277" xr:uid="{87835A26-6BAD-4BE2-9838-A581FA94AE94}"/>
    <cellStyle name="Tusenskille 3 5 12" xfId="1714" xr:uid="{5618BFD8-E84E-45E1-863C-EFF8F535F7F3}"/>
    <cellStyle name="Tusenskille 3 5 12 2" xfId="3382" xr:uid="{9E5F73BD-2942-48C2-8495-C53229E2C032}"/>
    <cellStyle name="Tusenskille 3 5 13" xfId="878" xr:uid="{A07D38F6-FC74-4D1B-BE05-A9B6FCCE93C4}"/>
    <cellStyle name="Tusenskille 3 5 14" xfId="2548" xr:uid="{180CA413-055E-45AD-8056-AD565ED04426}"/>
    <cellStyle name="Tusenskille 3 5 2" xfId="56" xr:uid="{00000000-0005-0000-0000-0000E2020000}"/>
    <cellStyle name="Tusenskille 3 5 2 10" xfId="787" xr:uid="{00000000-0005-0000-0000-0000E3020000}"/>
    <cellStyle name="Tusenskille 3 5 2 10 2" xfId="2463" xr:uid="{6B5136EC-2E58-4822-A624-7C80448D0B59}"/>
    <cellStyle name="Tusenskille 3 5 2 10 2 2" xfId="4131" xr:uid="{9988E7B7-9440-4CF9-B83D-3737D0B30F96}"/>
    <cellStyle name="Tusenskille 3 5 2 10 3" xfId="1627" xr:uid="{78A340DF-6382-4CAE-960D-5291C5464051}"/>
    <cellStyle name="Tusenskille 3 5 2 10 4" xfId="3297" xr:uid="{FC526B68-4853-4281-AB42-A08229DCE0EE}"/>
    <cellStyle name="Tusenskille 3 5 2 11" xfId="1734" xr:uid="{FC987421-7B4F-4027-966D-E911C2759B56}"/>
    <cellStyle name="Tusenskille 3 5 2 11 2" xfId="3402" xr:uid="{EBC17CC0-90E0-48C8-9539-8F9AF7C349BE}"/>
    <cellStyle name="Tusenskille 3 5 2 12" xfId="898" xr:uid="{BED0D7E9-133A-4199-ADE7-343C8ABC9670}"/>
    <cellStyle name="Tusenskille 3 5 2 13" xfId="2568" xr:uid="{9B7B1265-57F3-4F62-A042-7F0475288777}"/>
    <cellStyle name="Tusenskille 3 5 2 2" xfId="96" xr:uid="{00000000-0005-0000-0000-0000E4020000}"/>
    <cellStyle name="Tusenskille 3 5 2 2 10" xfId="1772" xr:uid="{3E6C543D-5302-45A7-A7EF-EA18ABF1E200}"/>
    <cellStyle name="Tusenskille 3 5 2 2 10 2" xfId="3440" xr:uid="{B768FDF3-0834-43D9-8B0B-2F4AA2AA3BAC}"/>
    <cellStyle name="Tusenskille 3 5 2 2 11" xfId="936" xr:uid="{8FE05CBA-86A4-4C11-BF71-51965BE5AA6B}"/>
    <cellStyle name="Tusenskille 3 5 2 2 12" xfId="2606" xr:uid="{956C80C5-8A54-44CD-AC3C-149F50DF10F7}"/>
    <cellStyle name="Tusenskille 3 5 2 2 2" xfId="188" xr:uid="{00000000-0005-0000-0000-0000E5020000}"/>
    <cellStyle name="Tusenskille 3 5 2 2 2 2" xfId="1864" xr:uid="{394A64D7-3FA7-407A-88BE-05180B659A10}"/>
    <cellStyle name="Tusenskille 3 5 2 2 2 2 2" xfId="3532" xr:uid="{598369AC-2147-46D3-B6F0-0E208D155C13}"/>
    <cellStyle name="Tusenskille 3 5 2 2 2 3" xfId="1028" xr:uid="{47F31D93-FF45-4C70-9D55-DF559967CACF}"/>
    <cellStyle name="Tusenskille 3 5 2 2 2 4" xfId="2698" xr:uid="{C04A3187-066B-4BAD-BDC6-5BDBC7636D98}"/>
    <cellStyle name="Tusenskille 3 5 2 2 3" xfId="278" xr:uid="{00000000-0005-0000-0000-0000E6020000}"/>
    <cellStyle name="Tusenskille 3 5 2 2 3 2" xfId="1954" xr:uid="{F1049337-3F30-476E-9FC3-1228CA08C28D}"/>
    <cellStyle name="Tusenskille 3 5 2 2 3 2 2" xfId="3622" xr:uid="{FF57A886-7330-4DF1-88EC-6C7F8B14E051}"/>
    <cellStyle name="Tusenskille 3 5 2 2 3 3" xfId="1118" xr:uid="{3044D961-88B7-4888-AFAF-70E109BE58C2}"/>
    <cellStyle name="Tusenskille 3 5 2 2 3 4" xfId="2788" xr:uid="{1035B5FA-32B5-4F3D-A203-C0516BDDBF5F}"/>
    <cellStyle name="Tusenskille 3 5 2 2 4" xfId="368" xr:uid="{00000000-0005-0000-0000-0000E7020000}"/>
    <cellStyle name="Tusenskille 3 5 2 2 4 2" xfId="2044" xr:uid="{4A6B1338-0D4D-45F6-A8B1-5FF536A314EB}"/>
    <cellStyle name="Tusenskille 3 5 2 2 4 2 2" xfId="3712" xr:uid="{6A7B8BC0-AE73-496F-A17B-7B33835A5F8A}"/>
    <cellStyle name="Tusenskille 3 5 2 2 4 3" xfId="1208" xr:uid="{80E31FE3-BF90-4F86-B465-37B1E2207272}"/>
    <cellStyle name="Tusenskille 3 5 2 2 4 4" xfId="2878" xr:uid="{D54230A3-05AD-4FF2-BDF4-BA59950CE596}"/>
    <cellStyle name="Tusenskille 3 5 2 2 5" xfId="458" xr:uid="{00000000-0005-0000-0000-0000E8020000}"/>
    <cellStyle name="Tusenskille 3 5 2 2 5 2" xfId="2134" xr:uid="{C7F6247A-D661-4CA8-A179-9E401AE06315}"/>
    <cellStyle name="Tusenskille 3 5 2 2 5 2 2" xfId="3802" xr:uid="{0EFAEBF3-A66B-4207-AF2F-FF4D4FF9B728}"/>
    <cellStyle name="Tusenskille 3 5 2 2 5 3" xfId="1298" xr:uid="{785BA3B6-3D16-46FA-A74C-C7F14E70BB68}"/>
    <cellStyle name="Tusenskille 3 5 2 2 5 4" xfId="2968" xr:uid="{642300C0-19CE-45A7-A0B8-2BE84F64F66B}"/>
    <cellStyle name="Tusenskille 3 5 2 2 6" xfId="548" xr:uid="{00000000-0005-0000-0000-0000E9020000}"/>
    <cellStyle name="Tusenskille 3 5 2 2 6 2" xfId="2224" xr:uid="{591F05BE-A511-4BD1-8122-F46346BBC7FD}"/>
    <cellStyle name="Tusenskille 3 5 2 2 6 2 2" xfId="3892" xr:uid="{AF831F70-323A-48F0-97F7-E4077AA71533}"/>
    <cellStyle name="Tusenskille 3 5 2 2 6 3" xfId="1388" xr:uid="{F3C0C50F-F8D0-4151-8E56-D0B107038AEE}"/>
    <cellStyle name="Tusenskille 3 5 2 2 6 4" xfId="3058" xr:uid="{CACFB8D1-F63A-4AD3-AFC7-A4DAD577A1AC}"/>
    <cellStyle name="Tusenskille 3 5 2 2 7" xfId="638" xr:uid="{00000000-0005-0000-0000-0000EA020000}"/>
    <cellStyle name="Tusenskille 3 5 2 2 7 2" xfId="2314" xr:uid="{8C8C1982-78D5-431D-9252-26FF7161994F}"/>
    <cellStyle name="Tusenskille 3 5 2 2 7 2 2" xfId="3982" xr:uid="{551216E7-25B0-47B5-A9B5-579E36DF5D73}"/>
    <cellStyle name="Tusenskille 3 5 2 2 7 3" xfId="1478" xr:uid="{38D74B77-3309-40FA-B4EA-20038ACC1C77}"/>
    <cellStyle name="Tusenskille 3 5 2 2 7 4" xfId="3148" xr:uid="{E66B748C-859A-47C5-8764-38452D89B034}"/>
    <cellStyle name="Tusenskille 3 5 2 2 8" xfId="728" xr:uid="{00000000-0005-0000-0000-0000EB020000}"/>
    <cellStyle name="Tusenskille 3 5 2 2 8 2" xfId="2404" xr:uid="{47E6309A-490B-498E-9785-1680DB8A5C38}"/>
    <cellStyle name="Tusenskille 3 5 2 2 8 2 2" xfId="4072" xr:uid="{979BCE1C-509A-490C-859C-042198C8A7C7}"/>
    <cellStyle name="Tusenskille 3 5 2 2 8 3" xfId="1568" xr:uid="{BA0B98C5-8A41-480E-8F3B-4F293D07D6E6}"/>
    <cellStyle name="Tusenskille 3 5 2 2 8 4" xfId="3238" xr:uid="{DC1E9966-54C5-4077-B76E-5F65F58E6189}"/>
    <cellStyle name="Tusenskille 3 5 2 2 9" xfId="825" xr:uid="{00000000-0005-0000-0000-0000EC020000}"/>
    <cellStyle name="Tusenskille 3 5 2 2 9 2" xfId="2501" xr:uid="{90D5F721-E648-4B0A-97CC-8CCB1D35C3EA}"/>
    <cellStyle name="Tusenskille 3 5 2 2 9 2 2" xfId="4169" xr:uid="{55D80027-102F-4B0B-A345-0E6AA61C8D15}"/>
    <cellStyle name="Tusenskille 3 5 2 2 9 3" xfId="1665" xr:uid="{8A7D62A1-6F61-4738-8792-624EDAC2CDF6}"/>
    <cellStyle name="Tusenskille 3 5 2 2 9 4" xfId="3335" xr:uid="{51A5AD8D-3750-4B03-8659-362C231CDFF0}"/>
    <cellStyle name="Tusenskille 3 5 2 3" xfId="151" xr:uid="{00000000-0005-0000-0000-0000ED020000}"/>
    <cellStyle name="Tusenskille 3 5 2 3 2" xfId="1827" xr:uid="{5DEAD762-A328-4440-9956-2FDF374C70F6}"/>
    <cellStyle name="Tusenskille 3 5 2 3 2 2" xfId="3495" xr:uid="{281D9D8E-C176-465D-A3A3-1790EE9FE456}"/>
    <cellStyle name="Tusenskille 3 5 2 3 3" xfId="991" xr:uid="{8C110AFB-A9F1-481D-8D83-AF43EC55AF84}"/>
    <cellStyle name="Tusenskille 3 5 2 3 4" xfId="2661" xr:uid="{1000C8DF-5030-45E8-9275-667E1CA902F1}"/>
    <cellStyle name="Tusenskille 3 5 2 4" xfId="241" xr:uid="{00000000-0005-0000-0000-0000EE020000}"/>
    <cellStyle name="Tusenskille 3 5 2 4 2" xfId="1917" xr:uid="{FD5F604F-AD3A-4F05-B0C1-152DA4B146D1}"/>
    <cellStyle name="Tusenskille 3 5 2 4 2 2" xfId="3585" xr:uid="{31740AA3-5C98-4DF1-BFB9-1D7F25D66F2A}"/>
    <cellStyle name="Tusenskille 3 5 2 4 3" xfId="1081" xr:uid="{3D3B58CF-AA16-4702-8743-0CED9D70F1B9}"/>
    <cellStyle name="Tusenskille 3 5 2 4 4" xfId="2751" xr:uid="{15CDD498-011B-437D-BDDA-130A787BD405}"/>
    <cellStyle name="Tusenskille 3 5 2 5" xfId="331" xr:uid="{00000000-0005-0000-0000-0000EF020000}"/>
    <cellStyle name="Tusenskille 3 5 2 5 2" xfId="2007" xr:uid="{6DF88EE6-7962-4144-9564-E3F9AA7D27A4}"/>
    <cellStyle name="Tusenskille 3 5 2 5 2 2" xfId="3675" xr:uid="{D7BB2C0C-DE94-4065-9BB5-D146D7F4448D}"/>
    <cellStyle name="Tusenskille 3 5 2 5 3" xfId="1171" xr:uid="{F7674163-617E-4DC1-AD7F-178CD3DBC17D}"/>
    <cellStyle name="Tusenskille 3 5 2 5 4" xfId="2841" xr:uid="{A1FA7ED8-756B-41E8-B22F-49D19C9F900E}"/>
    <cellStyle name="Tusenskille 3 5 2 6" xfId="421" xr:uid="{00000000-0005-0000-0000-0000F0020000}"/>
    <cellStyle name="Tusenskille 3 5 2 6 2" xfId="2097" xr:uid="{ECCB4848-A581-442F-A83E-B53F9DF048F9}"/>
    <cellStyle name="Tusenskille 3 5 2 6 2 2" xfId="3765" xr:uid="{D30DE5E3-0772-4468-AD7B-A63B034562EA}"/>
    <cellStyle name="Tusenskille 3 5 2 6 3" xfId="1261" xr:uid="{4B897942-DD06-419E-B099-C523CFA305CB}"/>
    <cellStyle name="Tusenskille 3 5 2 6 4" xfId="2931" xr:uid="{3FF3A0C3-B853-4AC1-92DE-AFACCBFC8954}"/>
    <cellStyle name="Tusenskille 3 5 2 7" xfId="511" xr:uid="{00000000-0005-0000-0000-0000F1020000}"/>
    <cellStyle name="Tusenskille 3 5 2 7 2" xfId="2187" xr:uid="{B4A8191A-1B49-4B40-A626-57A2AAC0B1C2}"/>
    <cellStyle name="Tusenskille 3 5 2 7 2 2" xfId="3855" xr:uid="{FA8A73F7-3378-4942-8B54-CFE555D65FA2}"/>
    <cellStyle name="Tusenskille 3 5 2 7 3" xfId="1351" xr:uid="{C5A9BD78-A429-40F7-A26C-D4582CE39C1F}"/>
    <cellStyle name="Tusenskille 3 5 2 7 4" xfId="3021" xr:uid="{8DA4B760-35BD-4389-A01E-6DB6AC594262}"/>
    <cellStyle name="Tusenskille 3 5 2 8" xfId="601" xr:uid="{00000000-0005-0000-0000-0000F2020000}"/>
    <cellStyle name="Tusenskille 3 5 2 8 2" xfId="2277" xr:uid="{1B2FB1A2-F3C6-4BE0-AB93-9B561112F769}"/>
    <cellStyle name="Tusenskille 3 5 2 8 2 2" xfId="3945" xr:uid="{FEFA529C-BF11-4527-8ABC-F66E366A250E}"/>
    <cellStyle name="Tusenskille 3 5 2 8 3" xfId="1441" xr:uid="{FE3929CC-6703-4121-B710-534A8133A0F5}"/>
    <cellStyle name="Tusenskille 3 5 2 8 4" xfId="3111" xr:uid="{9C739A32-81F8-4D62-8C42-7D99BA4B939F}"/>
    <cellStyle name="Tusenskille 3 5 2 9" xfId="691" xr:uid="{00000000-0005-0000-0000-0000F3020000}"/>
    <cellStyle name="Tusenskille 3 5 2 9 2" xfId="2367" xr:uid="{BA4CCC17-0F60-41DD-9ACE-71633C6A0678}"/>
    <cellStyle name="Tusenskille 3 5 2 9 2 2" xfId="4035" xr:uid="{CF07F33C-56F9-4CB6-835E-BDAD4E0648FA}"/>
    <cellStyle name="Tusenskille 3 5 2 9 3" xfId="1531" xr:uid="{7D16A321-D18E-404E-A97F-9925D852BE91}"/>
    <cellStyle name="Tusenskille 3 5 2 9 4" xfId="3201" xr:uid="{D468F2E1-5174-45A4-BF7D-6B50A3A1AF46}"/>
    <cellStyle name="Tusenskille 3 5 3" xfId="76" xr:uid="{00000000-0005-0000-0000-0000F4020000}"/>
    <cellStyle name="Tusenskille 3 5 3 10" xfId="1753" xr:uid="{15CF10F1-5978-4F41-96DE-6BB237CD2E91}"/>
    <cellStyle name="Tusenskille 3 5 3 10 2" xfId="3421" xr:uid="{E1E22174-093B-4A1E-885A-BAF69ED44D8C}"/>
    <cellStyle name="Tusenskille 3 5 3 11" xfId="917" xr:uid="{B6BFFA70-A74B-4873-80BE-34DF9971C875}"/>
    <cellStyle name="Tusenskille 3 5 3 12" xfId="2587" xr:uid="{8BE4DE94-72C6-4099-97B1-370C3287EED1}"/>
    <cellStyle name="Tusenskille 3 5 3 2" xfId="169" xr:uid="{00000000-0005-0000-0000-0000F5020000}"/>
    <cellStyle name="Tusenskille 3 5 3 2 2" xfId="1845" xr:uid="{F9B42A79-C9C6-4AC1-A039-F46A010DAEB1}"/>
    <cellStyle name="Tusenskille 3 5 3 2 2 2" xfId="3513" xr:uid="{0C92EFE6-2B0B-4EDB-95FC-394F05E29961}"/>
    <cellStyle name="Tusenskille 3 5 3 2 3" xfId="1009" xr:uid="{7F545EDC-D4D7-417E-8AC3-EB93B0325F4B}"/>
    <cellStyle name="Tusenskille 3 5 3 2 4" xfId="2679" xr:uid="{21741AD1-487F-4036-A106-9E15C4F77174}"/>
    <cellStyle name="Tusenskille 3 5 3 3" xfId="259" xr:uid="{00000000-0005-0000-0000-0000F6020000}"/>
    <cellStyle name="Tusenskille 3 5 3 3 2" xfId="1935" xr:uid="{25C3355D-9C36-4F43-9987-0C777D9DE42A}"/>
    <cellStyle name="Tusenskille 3 5 3 3 2 2" xfId="3603" xr:uid="{E6F034A1-7C3B-4D0B-A706-F051E4DDF1B7}"/>
    <cellStyle name="Tusenskille 3 5 3 3 3" xfId="1099" xr:uid="{CD6839E9-C6AD-4BF0-A840-EBE482117DD1}"/>
    <cellStyle name="Tusenskille 3 5 3 3 4" xfId="2769" xr:uid="{D74FF5B7-6731-4188-B0C3-38EB7C4F47BC}"/>
    <cellStyle name="Tusenskille 3 5 3 4" xfId="349" xr:uid="{00000000-0005-0000-0000-0000F7020000}"/>
    <cellStyle name="Tusenskille 3 5 3 4 2" xfId="2025" xr:uid="{AF9B960F-DFA2-4CEA-BF9E-9ADBA0FCB676}"/>
    <cellStyle name="Tusenskille 3 5 3 4 2 2" xfId="3693" xr:uid="{0AF7283E-C24C-4DD0-AA4B-771B2E9D75DD}"/>
    <cellStyle name="Tusenskille 3 5 3 4 3" xfId="1189" xr:uid="{30FCD67D-4FA9-4288-B164-34B8396EC0FD}"/>
    <cellStyle name="Tusenskille 3 5 3 4 4" xfId="2859" xr:uid="{6B4AA12F-C6E4-4E32-BB50-0AF639FDAC3D}"/>
    <cellStyle name="Tusenskille 3 5 3 5" xfId="439" xr:uid="{00000000-0005-0000-0000-0000F8020000}"/>
    <cellStyle name="Tusenskille 3 5 3 5 2" xfId="2115" xr:uid="{93001730-4B61-4876-A748-CFE7940C797F}"/>
    <cellStyle name="Tusenskille 3 5 3 5 2 2" xfId="3783" xr:uid="{4C367884-67FE-435F-9069-4507AE593589}"/>
    <cellStyle name="Tusenskille 3 5 3 5 3" xfId="1279" xr:uid="{9D57757D-52A7-443D-BA47-EF403D08CB54}"/>
    <cellStyle name="Tusenskille 3 5 3 5 4" xfId="2949" xr:uid="{1BAA6735-AA8B-4EB0-A412-26EC2E7F4704}"/>
    <cellStyle name="Tusenskille 3 5 3 6" xfId="529" xr:uid="{00000000-0005-0000-0000-0000F9020000}"/>
    <cellStyle name="Tusenskille 3 5 3 6 2" xfId="2205" xr:uid="{FEE402BB-6804-413B-AE20-032525F58442}"/>
    <cellStyle name="Tusenskille 3 5 3 6 2 2" xfId="3873" xr:uid="{86A3D2EA-DECB-4B4B-A8E9-EC31B7A9033B}"/>
    <cellStyle name="Tusenskille 3 5 3 6 3" xfId="1369" xr:uid="{593D0A6B-5693-4CB2-807F-EC3C8F1DF278}"/>
    <cellStyle name="Tusenskille 3 5 3 6 4" xfId="3039" xr:uid="{BF379833-3F30-416C-BE14-E50F5CE58234}"/>
    <cellStyle name="Tusenskille 3 5 3 7" xfId="619" xr:uid="{00000000-0005-0000-0000-0000FA020000}"/>
    <cellStyle name="Tusenskille 3 5 3 7 2" xfId="2295" xr:uid="{582DF361-87F5-4DFC-A040-A9A23299C82E}"/>
    <cellStyle name="Tusenskille 3 5 3 7 2 2" xfId="3963" xr:uid="{64217793-D480-4F99-923B-7116AA704D64}"/>
    <cellStyle name="Tusenskille 3 5 3 7 3" xfId="1459" xr:uid="{EB0BD478-824A-4689-AEC2-841AB9618FFC}"/>
    <cellStyle name="Tusenskille 3 5 3 7 4" xfId="3129" xr:uid="{52F350D8-2CD1-46F9-B2BD-07C7F7D5ED7C}"/>
    <cellStyle name="Tusenskille 3 5 3 8" xfId="709" xr:uid="{00000000-0005-0000-0000-0000FB020000}"/>
    <cellStyle name="Tusenskille 3 5 3 8 2" xfId="2385" xr:uid="{A250ACF1-517B-4972-A122-C761CF9AEDBF}"/>
    <cellStyle name="Tusenskille 3 5 3 8 2 2" xfId="4053" xr:uid="{065AB60D-8A40-404A-8B9A-ABA440E6C06F}"/>
    <cellStyle name="Tusenskille 3 5 3 8 3" xfId="1549" xr:uid="{7723C5B0-23E5-4E83-B0A9-56F8A6553961}"/>
    <cellStyle name="Tusenskille 3 5 3 8 4" xfId="3219" xr:uid="{EF59F758-0810-4E73-BD4C-936BAAB3C953}"/>
    <cellStyle name="Tusenskille 3 5 3 9" xfId="806" xr:uid="{00000000-0005-0000-0000-0000FC020000}"/>
    <cellStyle name="Tusenskille 3 5 3 9 2" xfId="2482" xr:uid="{BA6D8679-FE1E-49C4-BBA1-CF9B5BCC7AC4}"/>
    <cellStyle name="Tusenskille 3 5 3 9 2 2" xfId="4150" xr:uid="{1EC178AB-CE26-441E-878B-2195E0E1CCD6}"/>
    <cellStyle name="Tusenskille 3 5 3 9 3" xfId="1646" xr:uid="{9865A4A8-2D53-4D5B-842D-03C0B863EF70}"/>
    <cellStyle name="Tusenskille 3 5 3 9 4" xfId="3316" xr:uid="{AF0A9C7C-9686-4178-B0CC-12C782329435}"/>
    <cellStyle name="Tusenskille 3 5 4" xfId="132" xr:uid="{00000000-0005-0000-0000-0000FD020000}"/>
    <cellStyle name="Tusenskille 3 5 4 2" xfId="1808" xr:uid="{13E4D26A-3AEA-4E4C-9A25-32302A379D15}"/>
    <cellStyle name="Tusenskille 3 5 4 2 2" xfId="3476" xr:uid="{B0977ECF-79C0-45CD-AC61-3D3BA03BAD8B}"/>
    <cellStyle name="Tusenskille 3 5 4 3" xfId="972" xr:uid="{D888526B-FE63-4C18-BEB4-3A248E167E6B}"/>
    <cellStyle name="Tusenskille 3 5 4 4" xfId="2642" xr:uid="{8847A4AF-182D-4A09-9BCD-82AFCB52B503}"/>
    <cellStyle name="Tusenskille 3 5 5" xfId="222" xr:uid="{00000000-0005-0000-0000-0000FE020000}"/>
    <cellStyle name="Tusenskille 3 5 5 2" xfId="1898" xr:uid="{948634F6-DA40-4DDA-98EA-57E79F91EBDC}"/>
    <cellStyle name="Tusenskille 3 5 5 2 2" xfId="3566" xr:uid="{B722AD22-CE28-4DA1-A88C-ADE0EEB78E69}"/>
    <cellStyle name="Tusenskille 3 5 5 3" xfId="1062" xr:uid="{68855171-B440-4F7E-B396-9216120CAF4C}"/>
    <cellStyle name="Tusenskille 3 5 5 4" xfId="2732" xr:uid="{FA0FEBB2-7877-4E8F-B4B7-3CAAEA3E3347}"/>
    <cellStyle name="Tusenskille 3 5 6" xfId="312" xr:uid="{00000000-0005-0000-0000-0000FF020000}"/>
    <cellStyle name="Tusenskille 3 5 6 2" xfId="1988" xr:uid="{7779F5CB-D6F6-4D28-BCA7-DADB19E2A375}"/>
    <cellStyle name="Tusenskille 3 5 6 2 2" xfId="3656" xr:uid="{91A83A18-BEAC-48D5-AECA-42C474459C74}"/>
    <cellStyle name="Tusenskille 3 5 6 3" xfId="1152" xr:uid="{591417D8-B7FA-41A2-8811-FC0B8EEF7405}"/>
    <cellStyle name="Tusenskille 3 5 6 4" xfId="2822" xr:uid="{7FC0F5BC-3132-438D-A0CC-E8C059B05F85}"/>
    <cellStyle name="Tusenskille 3 5 7" xfId="402" xr:uid="{00000000-0005-0000-0000-000000030000}"/>
    <cellStyle name="Tusenskille 3 5 7 2" xfId="2078" xr:uid="{10210FCB-1808-4FFC-A7FE-F1819841DC8A}"/>
    <cellStyle name="Tusenskille 3 5 7 2 2" xfId="3746" xr:uid="{C11C89A2-3536-466B-B1AE-48257098AEA7}"/>
    <cellStyle name="Tusenskille 3 5 7 3" xfId="1242" xr:uid="{FB8EBBF6-0396-4C61-8774-ED6AE0500A16}"/>
    <cellStyle name="Tusenskille 3 5 7 4" xfId="2912" xr:uid="{5D6B0779-9DB5-4B8C-9D96-E8BDCB6E7207}"/>
    <cellStyle name="Tusenskille 3 5 8" xfId="492" xr:uid="{00000000-0005-0000-0000-000001030000}"/>
    <cellStyle name="Tusenskille 3 5 8 2" xfId="2168" xr:uid="{6DD52F47-D810-4826-89F4-C184CFE9C3D6}"/>
    <cellStyle name="Tusenskille 3 5 8 2 2" xfId="3836" xr:uid="{1C2AE92A-FCFA-4FBD-9A25-2AEED274DF62}"/>
    <cellStyle name="Tusenskille 3 5 8 3" xfId="1332" xr:uid="{E0C808C6-EAD3-4C50-8827-DA1F19FED502}"/>
    <cellStyle name="Tusenskille 3 5 8 4" xfId="3002" xr:uid="{48282720-C571-483B-8CA4-031036CD4B16}"/>
    <cellStyle name="Tusenskille 3 5 9" xfId="582" xr:uid="{00000000-0005-0000-0000-000002030000}"/>
    <cellStyle name="Tusenskille 3 5 9 2" xfId="2258" xr:uid="{BED9E113-E8A1-4B90-AF68-943D5915FF49}"/>
    <cellStyle name="Tusenskille 3 5 9 2 2" xfId="3926" xr:uid="{C90D732E-91F2-4E7B-94DE-49896AE00DB8}"/>
    <cellStyle name="Tusenskille 3 5 9 3" xfId="1422" xr:uid="{11A14A27-08D0-446F-8209-D84C4699C55D}"/>
    <cellStyle name="Tusenskille 3 5 9 4" xfId="3092" xr:uid="{34E4D2E2-6BCB-4DD7-9D0B-BBEAB588ED82}"/>
    <cellStyle name="Tusenskille 3 6" xfId="37" xr:uid="{00000000-0005-0000-0000-000003030000}"/>
    <cellStyle name="Tusenskille 3 6 10" xfId="675" xr:uid="{00000000-0005-0000-0000-000004030000}"/>
    <cellStyle name="Tusenskille 3 6 10 2" xfId="2351" xr:uid="{C8F098C3-7DD1-4FCF-9CDA-23D1F7D11E5D}"/>
    <cellStyle name="Tusenskille 3 6 10 2 2" xfId="4019" xr:uid="{BBA23085-1CD0-4F45-83B8-C4EF75F078E0}"/>
    <cellStyle name="Tusenskille 3 6 10 3" xfId="1515" xr:uid="{F6102D20-4C2F-4599-A5F6-0C0B82999A19}"/>
    <cellStyle name="Tusenskille 3 6 10 4" xfId="3185" xr:uid="{BF966D99-CBD1-48DB-AD95-BA28168C58A6}"/>
    <cellStyle name="Tusenskille 3 6 11" xfId="770" xr:uid="{00000000-0005-0000-0000-000005030000}"/>
    <cellStyle name="Tusenskille 3 6 11 2" xfId="2446" xr:uid="{1426DC0A-5D10-425E-979F-6E19F35E1AF1}"/>
    <cellStyle name="Tusenskille 3 6 11 2 2" xfId="4114" xr:uid="{A4EF6D75-B356-4AE4-B7F9-2655AD1DEC3A}"/>
    <cellStyle name="Tusenskille 3 6 11 3" xfId="1610" xr:uid="{99FAD47B-6F41-4A7D-BF3D-1FC5A1F1D055}"/>
    <cellStyle name="Tusenskille 3 6 11 4" xfId="3280" xr:uid="{9FF411D1-398B-409A-8DB3-803B1249CD99}"/>
    <cellStyle name="Tusenskille 3 6 12" xfId="1717" xr:uid="{E20ACC7C-D5A3-4FB0-9F08-1AD8DC1DF10A}"/>
    <cellStyle name="Tusenskille 3 6 12 2" xfId="3385" xr:uid="{95D642A7-FF4E-4741-AB30-6B3D14D5F962}"/>
    <cellStyle name="Tusenskille 3 6 13" xfId="881" xr:uid="{D217BCA3-5846-4C99-A761-CAC5EAA5E32D}"/>
    <cellStyle name="Tusenskille 3 6 14" xfId="2551" xr:uid="{C58A027D-FD8A-4856-9ECE-A132B4EC30D9}"/>
    <cellStyle name="Tusenskille 3 6 2" xfId="59" xr:uid="{00000000-0005-0000-0000-000006030000}"/>
    <cellStyle name="Tusenskille 3 6 2 10" xfId="790" xr:uid="{00000000-0005-0000-0000-000007030000}"/>
    <cellStyle name="Tusenskille 3 6 2 10 2" xfId="2466" xr:uid="{2AEBDA02-23C2-4950-9AEC-FF37C1A7E40C}"/>
    <cellStyle name="Tusenskille 3 6 2 10 2 2" xfId="4134" xr:uid="{D05D40D2-F417-47B4-AE25-A581308969C6}"/>
    <cellStyle name="Tusenskille 3 6 2 10 3" xfId="1630" xr:uid="{FC80CAAC-2E9A-4DE3-BE39-16D8678B554C}"/>
    <cellStyle name="Tusenskille 3 6 2 10 4" xfId="3300" xr:uid="{2CC595E1-C6A3-4E1C-8D3A-AD4DD21F24C4}"/>
    <cellStyle name="Tusenskille 3 6 2 11" xfId="1737" xr:uid="{515EEA71-E609-4B1A-A0EB-E1B4397F8699}"/>
    <cellStyle name="Tusenskille 3 6 2 11 2" xfId="3405" xr:uid="{6DE811A8-FF16-41C4-9DD3-563FAABABF97}"/>
    <cellStyle name="Tusenskille 3 6 2 12" xfId="901" xr:uid="{5B5B42AD-4AB0-48FA-81F3-1A12A230AE43}"/>
    <cellStyle name="Tusenskille 3 6 2 13" xfId="2571" xr:uid="{28EFDB9C-9F4E-4E92-B410-A4244B11A6CC}"/>
    <cellStyle name="Tusenskille 3 6 2 2" xfId="99" xr:uid="{00000000-0005-0000-0000-000008030000}"/>
    <cellStyle name="Tusenskille 3 6 2 2 10" xfId="1775" xr:uid="{B28B9A24-1A16-4AF0-9B40-853D0C2D6866}"/>
    <cellStyle name="Tusenskille 3 6 2 2 10 2" xfId="3443" xr:uid="{99A944BB-416F-456B-8295-B71CC963528D}"/>
    <cellStyle name="Tusenskille 3 6 2 2 11" xfId="939" xr:uid="{CE9DEF10-F43E-4706-9216-50CEACBB900D}"/>
    <cellStyle name="Tusenskille 3 6 2 2 12" xfId="2609" xr:uid="{C1DD5661-FDD4-4A53-A5C6-BD0CA89DC1F1}"/>
    <cellStyle name="Tusenskille 3 6 2 2 2" xfId="191" xr:uid="{00000000-0005-0000-0000-000009030000}"/>
    <cellStyle name="Tusenskille 3 6 2 2 2 2" xfId="1867" xr:uid="{71145C13-F6E5-4D9F-873C-75309B87E68C}"/>
    <cellStyle name="Tusenskille 3 6 2 2 2 2 2" xfId="3535" xr:uid="{D162B7F1-631A-4D9E-B7FD-45E5D916D221}"/>
    <cellStyle name="Tusenskille 3 6 2 2 2 3" xfId="1031" xr:uid="{BA274E37-894C-4795-A25F-0D60185BE68E}"/>
    <cellStyle name="Tusenskille 3 6 2 2 2 4" xfId="2701" xr:uid="{2C73E0F1-6D34-4E01-A881-69EE414D1B3D}"/>
    <cellStyle name="Tusenskille 3 6 2 2 3" xfId="281" xr:uid="{00000000-0005-0000-0000-00000A030000}"/>
    <cellStyle name="Tusenskille 3 6 2 2 3 2" xfId="1957" xr:uid="{F9358D84-87B6-4AA4-9A5C-D792DD46C5C4}"/>
    <cellStyle name="Tusenskille 3 6 2 2 3 2 2" xfId="3625" xr:uid="{CE929EB5-C3C9-4896-8FAC-468309F50847}"/>
    <cellStyle name="Tusenskille 3 6 2 2 3 3" xfId="1121" xr:uid="{8671B89A-3345-4E75-8045-A82BFCC08835}"/>
    <cellStyle name="Tusenskille 3 6 2 2 3 4" xfId="2791" xr:uid="{D058D9E6-DF90-4C77-99C3-0D3CCC4163A4}"/>
    <cellStyle name="Tusenskille 3 6 2 2 4" xfId="371" xr:uid="{00000000-0005-0000-0000-00000B030000}"/>
    <cellStyle name="Tusenskille 3 6 2 2 4 2" xfId="2047" xr:uid="{8FB79DC0-5BC6-44D5-B4A7-A182621C4406}"/>
    <cellStyle name="Tusenskille 3 6 2 2 4 2 2" xfId="3715" xr:uid="{7F5F30BA-2F66-427A-A00B-43D7249EAB14}"/>
    <cellStyle name="Tusenskille 3 6 2 2 4 3" xfId="1211" xr:uid="{830E831B-07D3-40A2-AC17-DF4FB209F06A}"/>
    <cellStyle name="Tusenskille 3 6 2 2 4 4" xfId="2881" xr:uid="{9E700DC3-FC74-4E41-A724-7DEC1F46C82A}"/>
    <cellStyle name="Tusenskille 3 6 2 2 5" xfId="461" xr:uid="{00000000-0005-0000-0000-00000C030000}"/>
    <cellStyle name="Tusenskille 3 6 2 2 5 2" xfId="2137" xr:uid="{758AECCA-F262-43D7-A0A1-32DA39DE0D73}"/>
    <cellStyle name="Tusenskille 3 6 2 2 5 2 2" xfId="3805" xr:uid="{43C54C4D-767C-4FE2-B1B9-B149C2DEE990}"/>
    <cellStyle name="Tusenskille 3 6 2 2 5 3" xfId="1301" xr:uid="{5F2E531D-A871-4453-AF12-A8DFD1CEC843}"/>
    <cellStyle name="Tusenskille 3 6 2 2 5 4" xfId="2971" xr:uid="{832F991F-BA02-4A0B-958E-38849510A1B5}"/>
    <cellStyle name="Tusenskille 3 6 2 2 6" xfId="551" xr:uid="{00000000-0005-0000-0000-00000D030000}"/>
    <cellStyle name="Tusenskille 3 6 2 2 6 2" xfId="2227" xr:uid="{5F526702-FEB3-4D06-A576-1153CACA6859}"/>
    <cellStyle name="Tusenskille 3 6 2 2 6 2 2" xfId="3895" xr:uid="{C5816189-1CEF-4015-8DBB-3124981E52FF}"/>
    <cellStyle name="Tusenskille 3 6 2 2 6 3" xfId="1391" xr:uid="{1CB4FBA6-25CD-4307-AD28-8582C6EBC745}"/>
    <cellStyle name="Tusenskille 3 6 2 2 6 4" xfId="3061" xr:uid="{72086673-7DBA-446F-A4AD-C2734EA1A2F9}"/>
    <cellStyle name="Tusenskille 3 6 2 2 7" xfId="641" xr:uid="{00000000-0005-0000-0000-00000E030000}"/>
    <cellStyle name="Tusenskille 3 6 2 2 7 2" xfId="2317" xr:uid="{19095850-4B83-48A5-AB71-8A170FBCCD02}"/>
    <cellStyle name="Tusenskille 3 6 2 2 7 2 2" xfId="3985" xr:uid="{6D39C9FD-AA36-4B37-9274-85F7238CD5EC}"/>
    <cellStyle name="Tusenskille 3 6 2 2 7 3" xfId="1481" xr:uid="{C40D618D-75BA-48E9-8566-302F1DC5E7B7}"/>
    <cellStyle name="Tusenskille 3 6 2 2 7 4" xfId="3151" xr:uid="{28CE13DE-2900-4219-A421-B262010652D7}"/>
    <cellStyle name="Tusenskille 3 6 2 2 8" xfId="731" xr:uid="{00000000-0005-0000-0000-00000F030000}"/>
    <cellStyle name="Tusenskille 3 6 2 2 8 2" xfId="2407" xr:uid="{9EADCE24-92F8-4A40-8FA1-237E6A4A35DF}"/>
    <cellStyle name="Tusenskille 3 6 2 2 8 2 2" xfId="4075" xr:uid="{052B4742-7F69-4D15-914A-7A8E4C287BEE}"/>
    <cellStyle name="Tusenskille 3 6 2 2 8 3" xfId="1571" xr:uid="{E910DE83-5DA1-4216-84E7-C2EF4D407421}"/>
    <cellStyle name="Tusenskille 3 6 2 2 8 4" xfId="3241" xr:uid="{C1523488-9046-4DF5-867D-74CF6289AF70}"/>
    <cellStyle name="Tusenskille 3 6 2 2 9" xfId="828" xr:uid="{00000000-0005-0000-0000-000010030000}"/>
    <cellStyle name="Tusenskille 3 6 2 2 9 2" xfId="2504" xr:uid="{29104D84-CAB8-4F1D-907F-EFDE92EC8DD6}"/>
    <cellStyle name="Tusenskille 3 6 2 2 9 2 2" xfId="4172" xr:uid="{54499D11-30D0-41EF-BFE0-596F536D45C6}"/>
    <cellStyle name="Tusenskille 3 6 2 2 9 3" xfId="1668" xr:uid="{65A0499F-9FC8-4902-8705-4137AD7A9209}"/>
    <cellStyle name="Tusenskille 3 6 2 2 9 4" xfId="3338" xr:uid="{D85DDAC8-5445-4CA2-B120-050E8FA32A65}"/>
    <cellStyle name="Tusenskille 3 6 2 3" xfId="154" xr:uid="{00000000-0005-0000-0000-000011030000}"/>
    <cellStyle name="Tusenskille 3 6 2 3 2" xfId="1830" xr:uid="{B7386332-04F8-4ABF-8A8C-385757B2CDDC}"/>
    <cellStyle name="Tusenskille 3 6 2 3 2 2" xfId="3498" xr:uid="{E2BE170B-0519-4613-A251-EECCB5690EFC}"/>
    <cellStyle name="Tusenskille 3 6 2 3 3" xfId="994" xr:uid="{7B08EA7C-60D6-417D-B46C-892C0A982508}"/>
    <cellStyle name="Tusenskille 3 6 2 3 4" xfId="2664" xr:uid="{24CFA052-DB47-4F36-B045-75233B05B7E6}"/>
    <cellStyle name="Tusenskille 3 6 2 4" xfId="244" xr:uid="{00000000-0005-0000-0000-000012030000}"/>
    <cellStyle name="Tusenskille 3 6 2 4 2" xfId="1920" xr:uid="{408D3FF2-9AA9-4C69-B634-62BAFAA734D7}"/>
    <cellStyle name="Tusenskille 3 6 2 4 2 2" xfId="3588" xr:uid="{9384C369-8881-4275-8C83-1A010EED403C}"/>
    <cellStyle name="Tusenskille 3 6 2 4 3" xfId="1084" xr:uid="{839DE70F-CA65-41AD-96C3-79298AFE5F18}"/>
    <cellStyle name="Tusenskille 3 6 2 4 4" xfId="2754" xr:uid="{9688A9FB-BD68-4BFC-BA63-CECBD2B51D22}"/>
    <cellStyle name="Tusenskille 3 6 2 5" xfId="334" xr:uid="{00000000-0005-0000-0000-000013030000}"/>
    <cellStyle name="Tusenskille 3 6 2 5 2" xfId="2010" xr:uid="{8CE13A37-9BB5-45C1-B735-730F6EBC4937}"/>
    <cellStyle name="Tusenskille 3 6 2 5 2 2" xfId="3678" xr:uid="{B6410FD0-C8A1-42EA-A752-60AF1306A7C8}"/>
    <cellStyle name="Tusenskille 3 6 2 5 3" xfId="1174" xr:uid="{8CFDBD52-E4EE-4198-B51B-9586196919AD}"/>
    <cellStyle name="Tusenskille 3 6 2 5 4" xfId="2844" xr:uid="{771DC236-018D-4434-A352-89E413B052D7}"/>
    <cellStyle name="Tusenskille 3 6 2 6" xfId="424" xr:uid="{00000000-0005-0000-0000-000014030000}"/>
    <cellStyle name="Tusenskille 3 6 2 6 2" xfId="2100" xr:uid="{1D0DFD6C-9563-41C2-BF72-8AB32C6ECD85}"/>
    <cellStyle name="Tusenskille 3 6 2 6 2 2" xfId="3768" xr:uid="{554C1206-9457-4C49-8CE2-FD0F04641FAF}"/>
    <cellStyle name="Tusenskille 3 6 2 6 3" xfId="1264" xr:uid="{D438F39F-F5F8-4923-B957-6A9C28F3E56C}"/>
    <cellStyle name="Tusenskille 3 6 2 6 4" xfId="2934" xr:uid="{3C92843F-D59C-45E6-8924-B1909851443E}"/>
    <cellStyle name="Tusenskille 3 6 2 7" xfId="514" xr:uid="{00000000-0005-0000-0000-000015030000}"/>
    <cellStyle name="Tusenskille 3 6 2 7 2" xfId="2190" xr:uid="{35A49720-6121-4B45-B5CA-94FD50568021}"/>
    <cellStyle name="Tusenskille 3 6 2 7 2 2" xfId="3858" xr:uid="{2700AEE5-8E1E-4F40-AE71-EF6A35433D4F}"/>
    <cellStyle name="Tusenskille 3 6 2 7 3" xfId="1354" xr:uid="{43C3287C-CA3B-4F47-A420-D53D23DBF027}"/>
    <cellStyle name="Tusenskille 3 6 2 7 4" xfId="3024" xr:uid="{75E5030A-A264-4F7F-8E26-7DFD5E154442}"/>
    <cellStyle name="Tusenskille 3 6 2 8" xfId="604" xr:uid="{00000000-0005-0000-0000-000016030000}"/>
    <cellStyle name="Tusenskille 3 6 2 8 2" xfId="2280" xr:uid="{58B247E4-E7C6-407D-98D0-5A48EAA64A1E}"/>
    <cellStyle name="Tusenskille 3 6 2 8 2 2" xfId="3948" xr:uid="{0E2C9601-513E-4DC6-9AA2-993A838777DD}"/>
    <cellStyle name="Tusenskille 3 6 2 8 3" xfId="1444" xr:uid="{3E0571A4-F910-487A-AAD8-A262598C3255}"/>
    <cellStyle name="Tusenskille 3 6 2 8 4" xfId="3114" xr:uid="{334E64DE-1216-4C1D-AD3B-0F2C477F7EBE}"/>
    <cellStyle name="Tusenskille 3 6 2 9" xfId="694" xr:uid="{00000000-0005-0000-0000-000017030000}"/>
    <cellStyle name="Tusenskille 3 6 2 9 2" xfId="2370" xr:uid="{551112AA-B3B9-4360-B375-E817B60F688E}"/>
    <cellStyle name="Tusenskille 3 6 2 9 2 2" xfId="4038" xr:uid="{6A02310F-DC62-4314-9C50-58A5D685AF96}"/>
    <cellStyle name="Tusenskille 3 6 2 9 3" xfId="1534" xr:uid="{8B20E01A-326D-442E-9062-0C7358034EE3}"/>
    <cellStyle name="Tusenskille 3 6 2 9 4" xfId="3204" xr:uid="{3080E072-7592-4B9F-B652-9C11D34FC4E0}"/>
    <cellStyle name="Tusenskille 3 6 3" xfId="79" xr:uid="{00000000-0005-0000-0000-000018030000}"/>
    <cellStyle name="Tusenskille 3 6 3 10" xfId="1756" xr:uid="{CAC4925A-B572-4997-9D73-8B32422BF448}"/>
    <cellStyle name="Tusenskille 3 6 3 10 2" xfId="3424" xr:uid="{B6ADF0DA-B265-4A99-8AAB-EF6A9FEF12E4}"/>
    <cellStyle name="Tusenskille 3 6 3 11" xfId="920" xr:uid="{52180701-BA90-4BA9-8D31-765975F6A195}"/>
    <cellStyle name="Tusenskille 3 6 3 12" xfId="2590" xr:uid="{ACAEED36-2D41-4A72-8EDA-F183D647BF74}"/>
    <cellStyle name="Tusenskille 3 6 3 2" xfId="172" xr:uid="{00000000-0005-0000-0000-000019030000}"/>
    <cellStyle name="Tusenskille 3 6 3 2 2" xfId="1848" xr:uid="{54800B71-D804-4644-B5D7-DD5884B0E4D0}"/>
    <cellStyle name="Tusenskille 3 6 3 2 2 2" xfId="3516" xr:uid="{4236B08A-C1ED-4F04-93BF-69D716D31FE6}"/>
    <cellStyle name="Tusenskille 3 6 3 2 3" xfId="1012" xr:uid="{955D5EB8-0B85-4103-8637-ACEB28B7D64A}"/>
    <cellStyle name="Tusenskille 3 6 3 2 4" xfId="2682" xr:uid="{A2D6624B-151C-4794-891C-FBF7C162AA2B}"/>
    <cellStyle name="Tusenskille 3 6 3 3" xfId="262" xr:uid="{00000000-0005-0000-0000-00001A030000}"/>
    <cellStyle name="Tusenskille 3 6 3 3 2" xfId="1938" xr:uid="{7B4C9B76-C844-45A2-A27A-39999EFF03CA}"/>
    <cellStyle name="Tusenskille 3 6 3 3 2 2" xfId="3606" xr:uid="{F313B119-FB4B-46C9-88AB-3ECB1EE49988}"/>
    <cellStyle name="Tusenskille 3 6 3 3 3" xfId="1102" xr:uid="{D9B57D27-FDEA-46BB-BBD9-1651E8752535}"/>
    <cellStyle name="Tusenskille 3 6 3 3 4" xfId="2772" xr:uid="{AF5A0DA7-28EE-402C-9B9D-A1347072AF11}"/>
    <cellStyle name="Tusenskille 3 6 3 4" xfId="352" xr:uid="{00000000-0005-0000-0000-00001B030000}"/>
    <cellStyle name="Tusenskille 3 6 3 4 2" xfId="2028" xr:uid="{61A48E48-36B9-4774-B6D4-B4A9CCC36625}"/>
    <cellStyle name="Tusenskille 3 6 3 4 2 2" xfId="3696" xr:uid="{213A8992-DAA7-4751-A637-95E8C898FD33}"/>
    <cellStyle name="Tusenskille 3 6 3 4 3" xfId="1192" xr:uid="{DD22263C-C491-43C8-949E-174B1DE21D59}"/>
    <cellStyle name="Tusenskille 3 6 3 4 4" xfId="2862" xr:uid="{2DF90BEF-3FD2-403A-9AB8-719E2AB0D755}"/>
    <cellStyle name="Tusenskille 3 6 3 5" xfId="442" xr:uid="{00000000-0005-0000-0000-00001C030000}"/>
    <cellStyle name="Tusenskille 3 6 3 5 2" xfId="2118" xr:uid="{F9FF1238-5142-40F1-B245-5BC178ECDE53}"/>
    <cellStyle name="Tusenskille 3 6 3 5 2 2" xfId="3786" xr:uid="{2A8B3B69-C523-4B9E-9429-52CF21F6DB0F}"/>
    <cellStyle name="Tusenskille 3 6 3 5 3" xfId="1282" xr:uid="{9472E806-E434-4887-8360-29236A478B51}"/>
    <cellStyle name="Tusenskille 3 6 3 5 4" xfId="2952" xr:uid="{65651FC0-84AE-4688-A8CC-35CA07AEBAA5}"/>
    <cellStyle name="Tusenskille 3 6 3 6" xfId="532" xr:uid="{00000000-0005-0000-0000-00001D030000}"/>
    <cellStyle name="Tusenskille 3 6 3 6 2" xfId="2208" xr:uid="{08C66BDB-DE47-4975-BA17-E2D78D71BA38}"/>
    <cellStyle name="Tusenskille 3 6 3 6 2 2" xfId="3876" xr:uid="{D10E943D-D141-4450-AA61-C3A4D578C4E4}"/>
    <cellStyle name="Tusenskille 3 6 3 6 3" xfId="1372" xr:uid="{34EB8DDE-CE2D-41B1-9046-27785C80E5E3}"/>
    <cellStyle name="Tusenskille 3 6 3 6 4" xfId="3042" xr:uid="{DE3F4D01-982A-42CC-9BAF-7574B49971E3}"/>
    <cellStyle name="Tusenskille 3 6 3 7" xfId="622" xr:uid="{00000000-0005-0000-0000-00001E030000}"/>
    <cellStyle name="Tusenskille 3 6 3 7 2" xfId="2298" xr:uid="{02061F7B-F299-45C0-B20D-344724984552}"/>
    <cellStyle name="Tusenskille 3 6 3 7 2 2" xfId="3966" xr:uid="{4C8867CD-35DD-4EB7-89E0-8C7899547C23}"/>
    <cellStyle name="Tusenskille 3 6 3 7 3" xfId="1462" xr:uid="{A9165F89-806F-4E78-AD6E-35FC3A9FA230}"/>
    <cellStyle name="Tusenskille 3 6 3 7 4" xfId="3132" xr:uid="{A680C37D-21F1-45CE-A160-98CF3CDE066F}"/>
    <cellStyle name="Tusenskille 3 6 3 8" xfId="712" xr:uid="{00000000-0005-0000-0000-00001F030000}"/>
    <cellStyle name="Tusenskille 3 6 3 8 2" xfId="2388" xr:uid="{079DE312-E2FC-42D0-8444-65C37AC67B68}"/>
    <cellStyle name="Tusenskille 3 6 3 8 2 2" xfId="4056" xr:uid="{AD9810B3-07CA-42B6-8260-BABADDD12227}"/>
    <cellStyle name="Tusenskille 3 6 3 8 3" xfId="1552" xr:uid="{80B39390-2A84-47FF-A030-24684C2CBE5E}"/>
    <cellStyle name="Tusenskille 3 6 3 8 4" xfId="3222" xr:uid="{5DFF2DD8-EB55-47E4-BD54-8C7A4C8DB814}"/>
    <cellStyle name="Tusenskille 3 6 3 9" xfId="809" xr:uid="{00000000-0005-0000-0000-000020030000}"/>
    <cellStyle name="Tusenskille 3 6 3 9 2" xfId="2485" xr:uid="{FB512E02-8C29-4058-AE8F-17B39632483E}"/>
    <cellStyle name="Tusenskille 3 6 3 9 2 2" xfId="4153" xr:uid="{0EB12DEE-CE3F-4E9C-B3C1-3FC50426F527}"/>
    <cellStyle name="Tusenskille 3 6 3 9 3" xfId="1649" xr:uid="{A60CCC7F-D061-4F2C-83D0-A7954FBC58A9}"/>
    <cellStyle name="Tusenskille 3 6 3 9 4" xfId="3319" xr:uid="{7D809035-A94E-42D4-A522-3BC3AB240367}"/>
    <cellStyle name="Tusenskille 3 6 4" xfId="135" xr:uid="{00000000-0005-0000-0000-000021030000}"/>
    <cellStyle name="Tusenskille 3 6 4 2" xfId="1811" xr:uid="{1B4F15F4-2D53-4AE1-8F44-9890E3550804}"/>
    <cellStyle name="Tusenskille 3 6 4 2 2" xfId="3479" xr:uid="{21020F56-6EE4-450A-A27B-4076339EF59D}"/>
    <cellStyle name="Tusenskille 3 6 4 3" xfId="975" xr:uid="{3FCE8FF3-CBFF-4D6A-B697-7D1638A6AAFC}"/>
    <cellStyle name="Tusenskille 3 6 4 4" xfId="2645" xr:uid="{7FBC7B47-1CD5-4AF1-85A7-C1524591DA75}"/>
    <cellStyle name="Tusenskille 3 6 5" xfId="225" xr:uid="{00000000-0005-0000-0000-000022030000}"/>
    <cellStyle name="Tusenskille 3 6 5 2" xfId="1901" xr:uid="{6198677E-6BFF-45BA-B53C-C5A713891053}"/>
    <cellStyle name="Tusenskille 3 6 5 2 2" xfId="3569" xr:uid="{9EF63A77-51E8-46DF-A41A-D4CB3D410EF5}"/>
    <cellStyle name="Tusenskille 3 6 5 3" xfId="1065" xr:uid="{B8D2AC12-1096-4760-A8CF-1C21A010F016}"/>
    <cellStyle name="Tusenskille 3 6 5 4" xfId="2735" xr:uid="{6535772D-C28E-42DF-88ED-9B7B4DC8972E}"/>
    <cellStyle name="Tusenskille 3 6 6" xfId="315" xr:uid="{00000000-0005-0000-0000-000023030000}"/>
    <cellStyle name="Tusenskille 3 6 6 2" xfId="1991" xr:uid="{AB42590E-4F08-47FF-BB34-A5A61F08E6F9}"/>
    <cellStyle name="Tusenskille 3 6 6 2 2" xfId="3659" xr:uid="{FE72CF6F-6E5D-47EE-81D3-C81FD33360C2}"/>
    <cellStyle name="Tusenskille 3 6 6 3" xfId="1155" xr:uid="{C9634E85-38CD-447D-9E9E-889DD755478C}"/>
    <cellStyle name="Tusenskille 3 6 6 4" xfId="2825" xr:uid="{B7908E10-AA1A-40C1-BD44-743005B0093E}"/>
    <cellStyle name="Tusenskille 3 6 7" xfId="405" xr:uid="{00000000-0005-0000-0000-000024030000}"/>
    <cellStyle name="Tusenskille 3 6 7 2" xfId="2081" xr:uid="{EA5F0800-B3F7-4F41-8CCD-112A3648CB0E}"/>
    <cellStyle name="Tusenskille 3 6 7 2 2" xfId="3749" xr:uid="{24FDEDC0-E132-426D-AC21-9177BDBB2844}"/>
    <cellStyle name="Tusenskille 3 6 7 3" xfId="1245" xr:uid="{484931FC-5E58-419B-A0D7-ED9316B6E5F1}"/>
    <cellStyle name="Tusenskille 3 6 7 4" xfId="2915" xr:uid="{53F48EEE-AB0C-4977-889B-BAD79FFFEA70}"/>
    <cellStyle name="Tusenskille 3 6 8" xfId="495" xr:uid="{00000000-0005-0000-0000-000025030000}"/>
    <cellStyle name="Tusenskille 3 6 8 2" xfId="2171" xr:uid="{2F9E3933-0E09-4280-BFFF-FDED591FC8A6}"/>
    <cellStyle name="Tusenskille 3 6 8 2 2" xfId="3839" xr:uid="{ADE1B1DF-24E7-4E87-955A-F3CAD30B40A3}"/>
    <cellStyle name="Tusenskille 3 6 8 3" xfId="1335" xr:uid="{8CB0A559-075F-44AA-A7CD-652CFEDFC01E}"/>
    <cellStyle name="Tusenskille 3 6 8 4" xfId="3005" xr:uid="{57EB4182-C7AE-4047-A3DB-3114F318D856}"/>
    <cellStyle name="Tusenskille 3 6 9" xfId="585" xr:uid="{00000000-0005-0000-0000-000026030000}"/>
    <cellStyle name="Tusenskille 3 6 9 2" xfId="2261" xr:uid="{EB07B8EA-D9F9-4203-8BED-CF2485E02ECF}"/>
    <cellStyle name="Tusenskille 3 6 9 2 2" xfId="3929" xr:uid="{6155A974-956E-4375-9AE1-FC7AA325C7BC}"/>
    <cellStyle name="Tusenskille 3 6 9 3" xfId="1425" xr:uid="{3163A698-1D43-4D74-8B76-7A6CA2101115}"/>
    <cellStyle name="Tusenskille 3 6 9 4" xfId="3095" xr:uid="{57F3A4D0-5DC7-49DC-9113-80F8ACE386CC}"/>
    <cellStyle name="Tusenskille 3 7" xfId="43" xr:uid="{00000000-0005-0000-0000-000027030000}"/>
    <cellStyle name="Tusenskille 3 7 10" xfId="775" xr:uid="{00000000-0005-0000-0000-000028030000}"/>
    <cellStyle name="Tusenskille 3 7 10 2" xfId="2451" xr:uid="{5B2E0DC1-0975-415B-AB0B-3AC16EB28307}"/>
    <cellStyle name="Tusenskille 3 7 10 2 2" xfId="4119" xr:uid="{7FED8497-948E-49AB-86E3-E879CF6E8AD5}"/>
    <cellStyle name="Tusenskille 3 7 10 3" xfId="1615" xr:uid="{2DB2A529-E9AE-4DF0-9311-275B31CD3B74}"/>
    <cellStyle name="Tusenskille 3 7 10 4" xfId="3285" xr:uid="{DC9FF435-DE01-4CAA-B537-635C6C2317C0}"/>
    <cellStyle name="Tusenskille 3 7 11" xfId="1722" xr:uid="{94876F51-23DE-459F-A4FB-EC35FFC705B2}"/>
    <cellStyle name="Tusenskille 3 7 11 2" xfId="3390" xr:uid="{F44EF889-FF38-420A-BBFC-137E35063943}"/>
    <cellStyle name="Tusenskille 3 7 12" xfId="886" xr:uid="{7BEFA7A6-1AD0-43A1-933C-B57ED899F185}"/>
    <cellStyle name="Tusenskille 3 7 13" xfId="2556" xr:uid="{01E53134-3DB8-4EFF-8F8A-A403DD37E760}"/>
    <cellStyle name="Tusenskille 3 7 2" xfId="83" xr:uid="{00000000-0005-0000-0000-000029030000}"/>
    <cellStyle name="Tusenskille 3 7 2 10" xfId="1760" xr:uid="{70BAB990-E32D-44E2-93AF-C4AE71D2FE49}"/>
    <cellStyle name="Tusenskille 3 7 2 10 2" xfId="3428" xr:uid="{263B4BCC-3A62-484A-968D-87E7EB88E0FF}"/>
    <cellStyle name="Tusenskille 3 7 2 11" xfId="924" xr:uid="{C99E866B-6305-4BDF-959F-55EC8BC46AC6}"/>
    <cellStyle name="Tusenskille 3 7 2 12" xfId="2594" xr:uid="{80A3269F-CCD6-4010-8BF2-4D80344E63B8}"/>
    <cellStyle name="Tusenskille 3 7 2 2" xfId="176" xr:uid="{00000000-0005-0000-0000-00002A030000}"/>
    <cellStyle name="Tusenskille 3 7 2 2 2" xfId="1852" xr:uid="{7D935208-A4A0-4201-AF13-DFD04A4C7328}"/>
    <cellStyle name="Tusenskille 3 7 2 2 2 2" xfId="3520" xr:uid="{4343AF2F-E458-435F-9D92-7A10A7F3F618}"/>
    <cellStyle name="Tusenskille 3 7 2 2 3" xfId="1016" xr:uid="{448E0904-63C7-4CFF-BD41-E87F121FCB79}"/>
    <cellStyle name="Tusenskille 3 7 2 2 4" xfId="2686" xr:uid="{FACEE178-7418-4D35-84A6-B348827F2D18}"/>
    <cellStyle name="Tusenskille 3 7 2 3" xfId="266" xr:uid="{00000000-0005-0000-0000-00002B030000}"/>
    <cellStyle name="Tusenskille 3 7 2 3 2" xfId="1942" xr:uid="{8F206748-4608-4B8A-9CD0-75341352FDBF}"/>
    <cellStyle name="Tusenskille 3 7 2 3 2 2" xfId="3610" xr:uid="{736818F7-7A0F-4A04-AEBB-68F0260F2EF3}"/>
    <cellStyle name="Tusenskille 3 7 2 3 3" xfId="1106" xr:uid="{7D4208A2-50FC-45BE-962C-95C6AC0DF405}"/>
    <cellStyle name="Tusenskille 3 7 2 3 4" xfId="2776" xr:uid="{3748F200-A1F9-4F3B-BEFC-6ADDA688EF11}"/>
    <cellStyle name="Tusenskille 3 7 2 4" xfId="356" xr:uid="{00000000-0005-0000-0000-00002C030000}"/>
    <cellStyle name="Tusenskille 3 7 2 4 2" xfId="2032" xr:uid="{B690A081-FEAB-4BAC-9FA1-9EFBE2AE977D}"/>
    <cellStyle name="Tusenskille 3 7 2 4 2 2" xfId="3700" xr:uid="{2824A5EE-9885-42A5-9ACC-6DF273DB2A06}"/>
    <cellStyle name="Tusenskille 3 7 2 4 3" xfId="1196" xr:uid="{F45E4464-BABC-4252-B2D7-2BBA278C7735}"/>
    <cellStyle name="Tusenskille 3 7 2 4 4" xfId="2866" xr:uid="{54E7264E-B92B-4752-8DB4-EFB0723D5A9C}"/>
    <cellStyle name="Tusenskille 3 7 2 5" xfId="446" xr:uid="{00000000-0005-0000-0000-00002D030000}"/>
    <cellStyle name="Tusenskille 3 7 2 5 2" xfId="2122" xr:uid="{E7065626-36CF-40BB-9290-38432CBADDFD}"/>
    <cellStyle name="Tusenskille 3 7 2 5 2 2" xfId="3790" xr:uid="{77CE39DC-A2DA-4F99-9C81-B22FF8B6D6D8}"/>
    <cellStyle name="Tusenskille 3 7 2 5 3" xfId="1286" xr:uid="{76B4E18A-6169-46EA-B6CD-3B1C35E0B37F}"/>
    <cellStyle name="Tusenskille 3 7 2 5 4" xfId="2956" xr:uid="{CA0E8EBE-AF61-4F8F-A423-59E636FB6938}"/>
    <cellStyle name="Tusenskille 3 7 2 6" xfId="536" xr:uid="{00000000-0005-0000-0000-00002E030000}"/>
    <cellStyle name="Tusenskille 3 7 2 6 2" xfId="2212" xr:uid="{16C7C0DC-5D42-4509-ADA3-C5468C0C018D}"/>
    <cellStyle name="Tusenskille 3 7 2 6 2 2" xfId="3880" xr:uid="{C7D890EC-766D-4FD8-93B2-F4D8483F0E4E}"/>
    <cellStyle name="Tusenskille 3 7 2 6 3" xfId="1376" xr:uid="{C2B432C0-5FD8-4E36-9CBB-82C373712A6E}"/>
    <cellStyle name="Tusenskille 3 7 2 6 4" xfId="3046" xr:uid="{1601D8A2-2F93-425F-8E68-893E0BE799D3}"/>
    <cellStyle name="Tusenskille 3 7 2 7" xfId="626" xr:uid="{00000000-0005-0000-0000-00002F030000}"/>
    <cellStyle name="Tusenskille 3 7 2 7 2" xfId="2302" xr:uid="{6265FBD3-20FF-46E8-9E60-A6A0BD209964}"/>
    <cellStyle name="Tusenskille 3 7 2 7 2 2" xfId="3970" xr:uid="{D019A303-916F-488A-8E18-5CE28E85DF1E}"/>
    <cellStyle name="Tusenskille 3 7 2 7 3" xfId="1466" xr:uid="{E5C6EE92-4DF2-4B69-BAC4-9CB27686E93C}"/>
    <cellStyle name="Tusenskille 3 7 2 7 4" xfId="3136" xr:uid="{698F0405-CDCE-4872-9A33-C21B2AA44313}"/>
    <cellStyle name="Tusenskille 3 7 2 8" xfId="716" xr:uid="{00000000-0005-0000-0000-000030030000}"/>
    <cellStyle name="Tusenskille 3 7 2 8 2" xfId="2392" xr:uid="{BB41C8E8-75B4-4B9D-B4ED-2772ECEBFAD3}"/>
    <cellStyle name="Tusenskille 3 7 2 8 2 2" xfId="4060" xr:uid="{4E65BA97-DCB3-495D-8444-B5ACEDFB9994}"/>
    <cellStyle name="Tusenskille 3 7 2 8 3" xfId="1556" xr:uid="{7FA6CDFD-144C-47C4-9AC9-E416D6DADB6B}"/>
    <cellStyle name="Tusenskille 3 7 2 8 4" xfId="3226" xr:uid="{A95FC01C-AB97-437C-A00A-E491875E3739}"/>
    <cellStyle name="Tusenskille 3 7 2 9" xfId="813" xr:uid="{00000000-0005-0000-0000-000031030000}"/>
    <cellStyle name="Tusenskille 3 7 2 9 2" xfId="2489" xr:uid="{D1ADE0E7-D2EF-434B-8051-A50022AB38A3}"/>
    <cellStyle name="Tusenskille 3 7 2 9 2 2" xfId="4157" xr:uid="{5C271CE8-FD1E-4E9C-A172-B03204AA31B6}"/>
    <cellStyle name="Tusenskille 3 7 2 9 3" xfId="1653" xr:uid="{0D7D2CC7-EAF5-4068-9D23-4318560E49E3}"/>
    <cellStyle name="Tusenskille 3 7 2 9 4" xfId="3323" xr:uid="{BA0D7403-E1C6-47E8-B092-34C553F82560}"/>
    <cellStyle name="Tusenskille 3 7 3" xfId="139" xr:uid="{00000000-0005-0000-0000-000032030000}"/>
    <cellStyle name="Tusenskille 3 7 3 2" xfId="1815" xr:uid="{6D55DE94-ABDB-4837-A5CD-631F0643B192}"/>
    <cellStyle name="Tusenskille 3 7 3 2 2" xfId="3483" xr:uid="{413F4DDE-3CCC-4718-9581-DB783A72CF98}"/>
    <cellStyle name="Tusenskille 3 7 3 3" xfId="979" xr:uid="{2D048F68-7062-4F2C-A532-6B55A341D6A8}"/>
    <cellStyle name="Tusenskille 3 7 3 4" xfId="2649" xr:uid="{03EE4FE9-B3ED-4CC2-AFBA-D8258C9D3B06}"/>
    <cellStyle name="Tusenskille 3 7 4" xfId="229" xr:uid="{00000000-0005-0000-0000-000033030000}"/>
    <cellStyle name="Tusenskille 3 7 4 2" xfId="1905" xr:uid="{8238E935-0CE5-44C6-995E-BE112C7B642A}"/>
    <cellStyle name="Tusenskille 3 7 4 2 2" xfId="3573" xr:uid="{B2577067-B745-4A7E-A2F4-BA4D5CDBBE53}"/>
    <cellStyle name="Tusenskille 3 7 4 3" xfId="1069" xr:uid="{48DCB564-D8BD-49C7-8CCA-0CA51BF84536}"/>
    <cellStyle name="Tusenskille 3 7 4 4" xfId="2739" xr:uid="{8C5706F1-21F6-4D1D-B9A1-C7521D216679}"/>
    <cellStyle name="Tusenskille 3 7 5" xfId="319" xr:uid="{00000000-0005-0000-0000-000034030000}"/>
    <cellStyle name="Tusenskille 3 7 5 2" xfId="1995" xr:uid="{3302DD94-E2E7-47BE-8DFE-8D9830B44579}"/>
    <cellStyle name="Tusenskille 3 7 5 2 2" xfId="3663" xr:uid="{009D2FC4-6954-4CC7-A5FB-AA5E86C37808}"/>
    <cellStyle name="Tusenskille 3 7 5 3" xfId="1159" xr:uid="{9788B450-5F2E-4919-AEFA-44DEBD353DD5}"/>
    <cellStyle name="Tusenskille 3 7 5 4" xfId="2829" xr:uid="{10DD8298-D1B3-4C09-B7D3-8B8B34C5FBEA}"/>
    <cellStyle name="Tusenskille 3 7 6" xfId="409" xr:uid="{00000000-0005-0000-0000-000035030000}"/>
    <cellStyle name="Tusenskille 3 7 6 2" xfId="2085" xr:uid="{B7209636-5A11-467C-88C5-F3D79C0BB4BB}"/>
    <cellStyle name="Tusenskille 3 7 6 2 2" xfId="3753" xr:uid="{ED34EDF1-B092-4B46-9A4E-C6B6C40AC08C}"/>
    <cellStyle name="Tusenskille 3 7 6 3" xfId="1249" xr:uid="{241BBF07-586D-4BC3-A12F-C75C256016C8}"/>
    <cellStyle name="Tusenskille 3 7 6 4" xfId="2919" xr:uid="{89B01996-B52E-4CC6-A309-9F12466F6805}"/>
    <cellStyle name="Tusenskille 3 7 7" xfId="499" xr:uid="{00000000-0005-0000-0000-000036030000}"/>
    <cellStyle name="Tusenskille 3 7 7 2" xfId="2175" xr:uid="{60B10883-650D-4B13-92DF-EC01B75E9441}"/>
    <cellStyle name="Tusenskille 3 7 7 2 2" xfId="3843" xr:uid="{878A01B5-B52C-4887-B47F-B0493B88040F}"/>
    <cellStyle name="Tusenskille 3 7 7 3" xfId="1339" xr:uid="{582324C0-E71F-4D48-B157-247E543DB8A4}"/>
    <cellStyle name="Tusenskille 3 7 7 4" xfId="3009" xr:uid="{628704E2-2B36-401A-970C-05034159EC7B}"/>
    <cellStyle name="Tusenskille 3 7 8" xfId="589" xr:uid="{00000000-0005-0000-0000-000037030000}"/>
    <cellStyle name="Tusenskille 3 7 8 2" xfId="2265" xr:uid="{62CFA65A-C78B-40BF-88FC-6FEDEF9735D4}"/>
    <cellStyle name="Tusenskille 3 7 8 2 2" xfId="3933" xr:uid="{85665DE2-7A06-4FFB-B897-1752EA17E784}"/>
    <cellStyle name="Tusenskille 3 7 8 3" xfId="1429" xr:uid="{906B29FA-8D09-44EC-86FD-88FC0FCA4E23}"/>
    <cellStyle name="Tusenskille 3 7 8 4" xfId="3099" xr:uid="{55989BDB-B9DF-4110-B700-A663CD942AB4}"/>
    <cellStyle name="Tusenskille 3 7 9" xfId="679" xr:uid="{00000000-0005-0000-0000-000038030000}"/>
    <cellStyle name="Tusenskille 3 7 9 2" xfId="2355" xr:uid="{94108FA9-9A8D-4295-919D-08B13136B064}"/>
    <cellStyle name="Tusenskille 3 7 9 2 2" xfId="4023" xr:uid="{34B43FCC-7255-45E7-B7C1-DF27C0B2AF63}"/>
    <cellStyle name="Tusenskille 3 7 9 3" xfId="1519" xr:uid="{AC80C592-1562-409A-A35D-233006831580}"/>
    <cellStyle name="Tusenskille 3 7 9 4" xfId="3189" xr:uid="{F0AB9862-D6EC-4CA1-A746-35AA9DA1AA63}"/>
    <cellStyle name="Tusenskille 3 8" xfId="64" xr:uid="{00000000-0005-0000-0000-000039030000}"/>
    <cellStyle name="Tusenskille 3 8 10" xfId="1741" xr:uid="{322CB06D-451C-4A93-918A-236709FF1ED0}"/>
    <cellStyle name="Tusenskille 3 8 10 2" xfId="3409" xr:uid="{31F48E19-AE6B-46D7-AAA2-7B5A7D8C3335}"/>
    <cellStyle name="Tusenskille 3 8 11" xfId="905" xr:uid="{3DC68721-D396-4B29-94EF-EBF5752F4F6B}"/>
    <cellStyle name="Tusenskille 3 8 12" xfId="2575" xr:uid="{B954AF1A-B7CF-4B1B-A393-C1BC53F6118C}"/>
    <cellStyle name="Tusenskille 3 8 2" xfId="157" xr:uid="{00000000-0005-0000-0000-00003A030000}"/>
    <cellStyle name="Tusenskille 3 8 2 2" xfId="1833" xr:uid="{FEF2406F-12FF-4902-87AE-69F87373BC67}"/>
    <cellStyle name="Tusenskille 3 8 2 2 2" xfId="3501" xr:uid="{2D5E34F9-F9C3-49FB-ABE9-DCF638022C92}"/>
    <cellStyle name="Tusenskille 3 8 2 3" xfId="997" xr:uid="{84CFE930-4E11-4F8E-963A-998FB09AC346}"/>
    <cellStyle name="Tusenskille 3 8 2 4" xfId="2667" xr:uid="{CEA90E6D-374B-4466-B571-607727DEDB81}"/>
    <cellStyle name="Tusenskille 3 8 3" xfId="247" xr:uid="{00000000-0005-0000-0000-00003B030000}"/>
    <cellStyle name="Tusenskille 3 8 3 2" xfId="1923" xr:uid="{796FF15D-033D-4F1F-8A5A-FA3637B52C68}"/>
    <cellStyle name="Tusenskille 3 8 3 2 2" xfId="3591" xr:uid="{F7125077-A448-436B-A702-94DE07993066}"/>
    <cellStyle name="Tusenskille 3 8 3 3" xfId="1087" xr:uid="{2575A1A7-D682-4F7C-BDB5-3A04971D7D6E}"/>
    <cellStyle name="Tusenskille 3 8 3 4" xfId="2757" xr:uid="{A02FFB81-4494-4128-9463-3B1C61EEDA4C}"/>
    <cellStyle name="Tusenskille 3 8 4" xfId="337" xr:uid="{00000000-0005-0000-0000-00003C030000}"/>
    <cellStyle name="Tusenskille 3 8 4 2" xfId="2013" xr:uid="{FFBF1283-57B1-426F-9682-F56C27E73A23}"/>
    <cellStyle name="Tusenskille 3 8 4 2 2" xfId="3681" xr:uid="{28FF20FE-3742-4135-8FDA-B213959C8B85}"/>
    <cellStyle name="Tusenskille 3 8 4 3" xfId="1177" xr:uid="{6DD440D7-F6DF-42D7-AD67-66B4E7169212}"/>
    <cellStyle name="Tusenskille 3 8 4 4" xfId="2847" xr:uid="{FB44029F-DAE6-4EAE-99CE-58D46B3EABF1}"/>
    <cellStyle name="Tusenskille 3 8 5" xfId="427" xr:uid="{00000000-0005-0000-0000-00003D030000}"/>
    <cellStyle name="Tusenskille 3 8 5 2" xfId="2103" xr:uid="{4D6F274B-4C13-4403-9907-45F3B4A4B0FB}"/>
    <cellStyle name="Tusenskille 3 8 5 2 2" xfId="3771" xr:uid="{5573BBE8-1003-4E37-B795-2F81E24393A0}"/>
    <cellStyle name="Tusenskille 3 8 5 3" xfId="1267" xr:uid="{0CCD39E8-6D2F-4BA9-B6C0-FBBA9770DC69}"/>
    <cellStyle name="Tusenskille 3 8 5 4" xfId="2937" xr:uid="{17EFF085-5897-43B3-97C9-0075823D450C}"/>
    <cellStyle name="Tusenskille 3 8 6" xfId="517" xr:uid="{00000000-0005-0000-0000-00003E030000}"/>
    <cellStyle name="Tusenskille 3 8 6 2" xfId="2193" xr:uid="{8D1D744E-0DF4-41DC-9038-E41D926EED17}"/>
    <cellStyle name="Tusenskille 3 8 6 2 2" xfId="3861" xr:uid="{5494D659-4BE7-42F6-806F-11A3C37AB71E}"/>
    <cellStyle name="Tusenskille 3 8 6 3" xfId="1357" xr:uid="{E68C3311-6064-4CCA-9814-6ACFE1FC9B2E}"/>
    <cellStyle name="Tusenskille 3 8 6 4" xfId="3027" xr:uid="{F136026A-F908-495E-8D78-9AA813F0AD15}"/>
    <cellStyle name="Tusenskille 3 8 7" xfId="607" xr:uid="{00000000-0005-0000-0000-00003F030000}"/>
    <cellStyle name="Tusenskille 3 8 7 2" xfId="2283" xr:uid="{1EDD821A-F3AB-4FAB-A0DC-46EE27D77BB6}"/>
    <cellStyle name="Tusenskille 3 8 7 2 2" xfId="3951" xr:uid="{2794F2AD-D471-49B4-8D98-59B97EF8AC84}"/>
    <cellStyle name="Tusenskille 3 8 7 3" xfId="1447" xr:uid="{CBBC48D1-C861-47E0-BFCF-88A3B78FD623}"/>
    <cellStyle name="Tusenskille 3 8 7 4" xfId="3117" xr:uid="{50954CD5-D0D8-459E-85F2-D5BD581D8FB3}"/>
    <cellStyle name="Tusenskille 3 8 8" xfId="697" xr:uid="{00000000-0005-0000-0000-000040030000}"/>
    <cellStyle name="Tusenskille 3 8 8 2" xfId="2373" xr:uid="{1AC056C5-9545-4CC4-B14E-35DCEE4FBAB1}"/>
    <cellStyle name="Tusenskille 3 8 8 2 2" xfId="4041" xr:uid="{A2FF0B7E-E378-4162-AF77-D5DB59FF0EE4}"/>
    <cellStyle name="Tusenskille 3 8 8 3" xfId="1537" xr:uid="{806929D2-BD6A-4627-93DB-5DF4AD103991}"/>
    <cellStyle name="Tusenskille 3 8 8 4" xfId="3207" xr:uid="{02763291-9822-45EB-92DC-F5D93A539474}"/>
    <cellStyle name="Tusenskille 3 8 9" xfId="794" xr:uid="{00000000-0005-0000-0000-000041030000}"/>
    <cellStyle name="Tusenskille 3 8 9 2" xfId="2470" xr:uid="{538C903E-B15C-40D3-AC11-E8799A9429B2}"/>
    <cellStyle name="Tusenskille 3 8 9 2 2" xfId="4138" xr:uid="{66F96526-75F0-4584-9547-07450159854E}"/>
    <cellStyle name="Tusenskille 3 8 9 3" xfId="1634" xr:uid="{32C88AFA-5D9F-41EB-9B98-CD9346CA9760}"/>
    <cellStyle name="Tusenskille 3 8 9 4" xfId="3304" xr:uid="{F8292EA3-C795-4199-996F-579E503BFDCF}"/>
    <cellStyle name="Tusenskille 3 9" xfId="102" xr:uid="{00000000-0005-0000-0000-000042030000}"/>
    <cellStyle name="Tusenskille 3 9 10" xfId="1778" xr:uid="{CE848B44-73E5-47C8-ABFE-BD1A6C08530D}"/>
    <cellStyle name="Tusenskille 3 9 10 2" xfId="3446" xr:uid="{50DB2232-AEDB-444B-898B-CA51765C681E}"/>
    <cellStyle name="Tusenskille 3 9 11" xfId="942" xr:uid="{B35BE5B1-2A53-4036-BEF2-49AA104863D5}"/>
    <cellStyle name="Tusenskille 3 9 12" xfId="2612" xr:uid="{4DF78309-F683-4A11-9D7E-4207A83381D3}"/>
    <cellStyle name="Tusenskille 3 9 2" xfId="194" xr:uid="{00000000-0005-0000-0000-000043030000}"/>
    <cellStyle name="Tusenskille 3 9 2 2" xfId="1870" xr:uid="{81B53D73-FDCE-48FB-8A03-9E66D94F47CC}"/>
    <cellStyle name="Tusenskille 3 9 2 2 2" xfId="3538" xr:uid="{1AE946AB-E3FA-409C-BF86-ACD525225F0A}"/>
    <cellStyle name="Tusenskille 3 9 2 3" xfId="1034" xr:uid="{EC451410-F9B3-44E6-8CCF-3AAB246CE756}"/>
    <cellStyle name="Tusenskille 3 9 2 4" xfId="2704" xr:uid="{C75F402B-8BA9-4034-8A41-EC9471A8C126}"/>
    <cellStyle name="Tusenskille 3 9 3" xfId="284" xr:uid="{00000000-0005-0000-0000-000044030000}"/>
    <cellStyle name="Tusenskille 3 9 3 2" xfId="1960" xr:uid="{70B70919-2E04-43D5-A2D3-96D693D70F72}"/>
    <cellStyle name="Tusenskille 3 9 3 2 2" xfId="3628" xr:uid="{C265AC11-A544-4006-B20D-3DF5043D97DD}"/>
    <cellStyle name="Tusenskille 3 9 3 3" xfId="1124" xr:uid="{B728A7E9-23EB-445F-92CC-785176BE3211}"/>
    <cellStyle name="Tusenskille 3 9 3 4" xfId="2794" xr:uid="{18AA003A-E33E-4010-A635-765F029ACAF2}"/>
    <cellStyle name="Tusenskille 3 9 4" xfId="374" xr:uid="{00000000-0005-0000-0000-000045030000}"/>
    <cellStyle name="Tusenskille 3 9 4 2" xfId="2050" xr:uid="{4AB9677F-5831-4F24-9F74-F67BFA87BC32}"/>
    <cellStyle name="Tusenskille 3 9 4 2 2" xfId="3718" xr:uid="{0E6AE1A2-6797-404E-84EB-74A73C1A8D7E}"/>
    <cellStyle name="Tusenskille 3 9 4 3" xfId="1214" xr:uid="{7A31EA0C-4961-4F44-A4D8-D2E240139BD9}"/>
    <cellStyle name="Tusenskille 3 9 4 4" xfId="2884" xr:uid="{60B2DCED-4CFC-4054-AC11-DA6831507E6D}"/>
    <cellStyle name="Tusenskille 3 9 5" xfId="464" xr:uid="{00000000-0005-0000-0000-000046030000}"/>
    <cellStyle name="Tusenskille 3 9 5 2" xfId="2140" xr:uid="{47074EB3-AE07-45E9-AF14-CE1CFB34F403}"/>
    <cellStyle name="Tusenskille 3 9 5 2 2" xfId="3808" xr:uid="{56C186F1-FFB1-472F-854A-F53C99C380D2}"/>
    <cellStyle name="Tusenskille 3 9 5 3" xfId="1304" xr:uid="{75529971-939F-4CBB-83A5-766AC1D301A7}"/>
    <cellStyle name="Tusenskille 3 9 5 4" xfId="2974" xr:uid="{233E65BF-58EC-4F11-BC0B-747FF14FF74A}"/>
    <cellStyle name="Tusenskille 3 9 6" xfId="554" xr:uid="{00000000-0005-0000-0000-000047030000}"/>
    <cellStyle name="Tusenskille 3 9 6 2" xfId="2230" xr:uid="{E3A4F807-212F-406B-842E-6DDEF64F9430}"/>
    <cellStyle name="Tusenskille 3 9 6 2 2" xfId="3898" xr:uid="{1751134A-27A9-4AB0-9396-76924A3F09BA}"/>
    <cellStyle name="Tusenskille 3 9 6 3" xfId="1394" xr:uid="{B9803FF4-4123-4143-A8AA-A55EF2D2A735}"/>
    <cellStyle name="Tusenskille 3 9 6 4" xfId="3064" xr:uid="{7DD2E7F0-2AA6-4389-9A72-EE8CFC981B66}"/>
    <cellStyle name="Tusenskille 3 9 7" xfId="644" xr:uid="{00000000-0005-0000-0000-000048030000}"/>
    <cellStyle name="Tusenskille 3 9 7 2" xfId="2320" xr:uid="{0906CD62-D7D4-4E20-9E12-AD66CD29D5BF}"/>
    <cellStyle name="Tusenskille 3 9 7 2 2" xfId="3988" xr:uid="{5CD8127A-C981-4D15-9759-EB3E5F9256ED}"/>
    <cellStyle name="Tusenskille 3 9 7 3" xfId="1484" xr:uid="{A74C3C25-0950-40DD-ADAA-9F7D6D7B43DF}"/>
    <cellStyle name="Tusenskille 3 9 7 4" xfId="3154" xr:uid="{249C1361-8587-4552-94BB-33145B976013}"/>
    <cellStyle name="Tusenskille 3 9 8" xfId="734" xr:uid="{00000000-0005-0000-0000-000049030000}"/>
    <cellStyle name="Tusenskille 3 9 8 2" xfId="2410" xr:uid="{B6D42AA4-D444-4530-9006-C84A33534CFB}"/>
    <cellStyle name="Tusenskille 3 9 8 2 2" xfId="4078" xr:uid="{C0AF82EE-A07C-46B9-BC9F-E18A292C5F0E}"/>
    <cellStyle name="Tusenskille 3 9 8 3" xfId="1574" xr:uid="{19C5DD5B-35AB-4106-BB66-0192F41A5466}"/>
    <cellStyle name="Tusenskille 3 9 8 4" xfId="3244" xr:uid="{6FB453DF-0AD0-46FF-B3FB-C8144DA221A6}"/>
    <cellStyle name="Tusenskille 3 9 9" xfId="831" xr:uid="{00000000-0005-0000-0000-00004A030000}"/>
    <cellStyle name="Tusenskille 3 9 9 2" xfId="2507" xr:uid="{C304AC82-3AD5-44DC-87B1-01AFB103C446}"/>
    <cellStyle name="Tusenskille 3 9 9 2 2" xfId="4175" xr:uid="{896E8204-8F2D-4891-B772-FFEDBAEEB4F7}"/>
    <cellStyle name="Tusenskille 3 9 9 3" xfId="1671" xr:uid="{585BBC90-B4A3-44F6-B11A-5D1CB423A48D}"/>
    <cellStyle name="Tusenskille 3 9 9 4" xfId="3341" xr:uid="{52D59471-431A-4123-9FB2-EA0E0124EDF5}"/>
    <cellStyle name="Tusenskille 4" xfId="17" xr:uid="{00000000-0005-0000-0000-00004B030000}"/>
    <cellStyle name="Tusenskille 4 2" xfId="753" xr:uid="{00000000-0005-0000-0000-00004C030000}"/>
    <cellStyle name="Tusenskille 4 2 2" xfId="2429" xr:uid="{0F487C93-B108-49C6-B68F-7FCFB6F3E6D7}"/>
    <cellStyle name="Tusenskille 4 2 2 2" xfId="4097" xr:uid="{FC038078-9ADA-4519-BD13-6704F7D9734A}"/>
    <cellStyle name="Tusenskille 4 2 3" xfId="1593" xr:uid="{B7037215-920B-4F33-A43F-1BEFF5971C70}"/>
    <cellStyle name="Tusenskille 4 2 4" xfId="3263" xr:uid="{9FE08B82-7A59-478D-BA63-38AE93BEA0AC}"/>
    <cellStyle name="Tusenskille 4 3" xfId="1700" xr:uid="{51A05C44-5EEC-431A-920E-D4C0CA66F52C}"/>
    <cellStyle name="Tusenskille 4 3 2" xfId="3368" xr:uid="{F9F03502-68E0-402B-AF3F-7520B1C7F468}"/>
    <cellStyle name="Tusenskille 4 4" xfId="864" xr:uid="{E450FACE-5414-4633-90A0-F8151DA07AC2}"/>
    <cellStyle name="Tusenskille 4 5" xfId="2534" xr:uid="{BF4F546D-1DCF-4D34-8DE4-CD74116EAEC1}"/>
    <cellStyle name="Tusenskille 5" xfId="13" xr:uid="{00000000-0005-0000-0000-00004D030000}"/>
    <cellStyle name="Tusenskille 5 2" xfId="749" xr:uid="{00000000-0005-0000-0000-00004E030000}"/>
    <cellStyle name="Tusenskille 5 2 2" xfId="2425" xr:uid="{D50D0FFF-AA8E-4031-9023-9D24D4722B2B}"/>
    <cellStyle name="Tusenskille 5 2 2 2" xfId="4093" xr:uid="{5F4C89E1-938F-4C7A-826A-F88BD27DA729}"/>
    <cellStyle name="Tusenskille 5 2 3" xfId="1589" xr:uid="{02B87E5F-D23A-4267-8F0C-FB6B0C33810C}"/>
    <cellStyle name="Tusenskille 5 2 4" xfId="3259" xr:uid="{D1D16929-F28B-44C7-B5BA-59CCCEAEF77F}"/>
    <cellStyle name="Tusenskille 5 3" xfId="1696" xr:uid="{328892C8-E3F7-4817-8AAE-B59AA9FFF8C6}"/>
    <cellStyle name="Tusenskille 5 3 2" xfId="3364" xr:uid="{F12170A2-78C1-4EC4-A689-C14C4A81179E}"/>
    <cellStyle name="Tusenskille 5 4" xfId="860" xr:uid="{4A2FE8E7-D44B-4B9A-ADBF-95D4244F9C13}"/>
    <cellStyle name="Tusenskille 5 5" xfId="2530" xr:uid="{58D9E97D-4A92-47EF-BA4B-A503CEC509D2}"/>
    <cellStyle name="Tusenskille 6" xfId="115" xr:uid="{00000000-0005-0000-0000-00004F030000}"/>
    <cellStyle name="Tusenskille 6 2" xfId="1791" xr:uid="{7C97F63F-92B7-4C9F-9216-23063BCF4D67}"/>
    <cellStyle name="Tusenskille 6 2 2" xfId="3459" xr:uid="{AECD7B0E-7752-4F71-AF30-C8569C0B772E}"/>
    <cellStyle name="Tusenskille 6 3" xfId="955" xr:uid="{4ACDA2D7-630F-4282-9D16-C7994F0B0C40}"/>
    <cellStyle name="Tusenskille 6 4" xfId="2625" xr:uid="{69A9895D-6728-4D4D-ADA1-45487E0E3DA7}"/>
    <cellStyle name="TusenskilleFjernNull" xfId="846" xr:uid="{00000000-0005-0000-0000-000050030000}"/>
  </cellStyles>
  <dxfs count="489">
    <dxf>
      <fill>
        <patternFill>
          <bgColor theme="4" tint="0.79998168889431442"/>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9" defaultPivotStyle="PivotStyleLight16"/>
  <colors>
    <mruColors>
      <color rgb="FFF8E9D6"/>
      <color rgb="FFFFFF99"/>
      <color rgb="FFF7D7F7"/>
      <color rgb="FFFCD2E2"/>
      <color rgb="FFD2FC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onnections" Target="connections.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7140801174953532"/>
          <c:y val="9.8477480734069936E-2"/>
          <c:w val="0.74903048765490665"/>
          <c:h val="0.65437502946862602"/>
        </c:manualLayout>
      </c:layout>
      <c:barChart>
        <c:barDir val="col"/>
        <c:grouping val="clustered"/>
        <c:varyColors val="0"/>
        <c:ser>
          <c:idx val="0"/>
          <c:order val="0"/>
          <c:tx>
            <c:strRef>
              <c:f>Figurer!$M$7</c:f>
              <c:strCache>
                <c:ptCount val="1"/>
                <c:pt idx="0">
                  <c:v>2025</c:v>
                </c:pt>
              </c:strCache>
            </c:strRef>
          </c:tx>
          <c:invertIfNegative val="0"/>
          <c:cat>
            <c:strRef>
              <c:f>Figurer!$L$8:$L$30</c:f>
              <c:strCache>
                <c:ptCount val="23"/>
                <c:pt idx="0">
                  <c:v>DNB Liv</c:v>
                </c:pt>
                <c:pt idx="1">
                  <c:v>Euro Accident</c:v>
                </c:pt>
                <c:pt idx="2">
                  <c:v>Fremtind</c:v>
                </c:pt>
                <c:pt idx="3">
                  <c:v>Frende Livsfors</c:v>
                </c:pt>
                <c:pt idx="4">
                  <c:v>Frende Skade</c:v>
                </c:pt>
                <c:pt idx="5">
                  <c:v>Gjensidige Fors</c:v>
                </c:pt>
                <c:pt idx="6">
                  <c:v>Gjensidige Pensj</c:v>
                </c:pt>
                <c:pt idx="7">
                  <c:v>If Skadefors</c:v>
                </c:pt>
                <c:pt idx="8">
                  <c:v>KLP</c:v>
                </c:pt>
                <c:pt idx="9">
                  <c:v>KLP Skadef</c:v>
                </c:pt>
                <c:pt idx="10">
                  <c:v>Knif Trygghet</c:v>
                </c:pt>
                <c:pt idx="11">
                  <c:v>Landkreditt Fors.</c:v>
                </c:pt>
                <c:pt idx="12">
                  <c:v>Ly Forsikring</c:v>
                </c:pt>
                <c:pt idx="13">
                  <c:v>Nordea Liv</c:v>
                </c:pt>
                <c:pt idx="14">
                  <c:v>Oslo Forsikring</c:v>
                </c:pt>
                <c:pt idx="15">
                  <c:v>OPF</c:v>
                </c:pt>
                <c:pt idx="16">
                  <c:v>Protector Fors</c:v>
                </c:pt>
                <c:pt idx="17">
                  <c:v>SpareBank 1 Forsikring</c:v>
                </c:pt>
                <c:pt idx="18">
                  <c:v>Storebrand Liv</c:v>
                </c:pt>
                <c:pt idx="19">
                  <c:v>Telenor Fors</c:v>
                </c:pt>
                <c:pt idx="20">
                  <c:v>Tryg Fors</c:v>
                </c:pt>
                <c:pt idx="21">
                  <c:v>WaterCircles Fors.</c:v>
                </c:pt>
                <c:pt idx="22">
                  <c:v>Youplus Livsf</c:v>
                </c:pt>
              </c:strCache>
            </c:strRef>
          </c:cat>
          <c:val>
            <c:numRef>
              <c:f>Figurer!$M$8:$M$30</c:f>
              <c:numCache>
                <c:formatCode>#,##0</c:formatCode>
                <c:ptCount val="23"/>
                <c:pt idx="0">
                  <c:v>1249688</c:v>
                </c:pt>
                <c:pt idx="1">
                  <c:v>30761</c:v>
                </c:pt>
                <c:pt idx="2">
                  <c:v>1271137.3383900002</c:v>
                </c:pt>
                <c:pt idx="3">
                  <c:v>713825</c:v>
                </c:pt>
                <c:pt idx="4">
                  <c:v>287.33699999999999</c:v>
                </c:pt>
                <c:pt idx="5">
                  <c:v>1611395.2398000001</c:v>
                </c:pt>
                <c:pt idx="6">
                  <c:v>361354</c:v>
                </c:pt>
                <c:pt idx="7">
                  <c:v>306096.54931210296</c:v>
                </c:pt>
                <c:pt idx="8">
                  <c:v>8049379.79641</c:v>
                </c:pt>
                <c:pt idx="9">
                  <c:v>234700.55499999999</c:v>
                </c:pt>
                <c:pt idx="10">
                  <c:v>0</c:v>
                </c:pt>
                <c:pt idx="11">
                  <c:v>82536</c:v>
                </c:pt>
                <c:pt idx="12">
                  <c:v>15177</c:v>
                </c:pt>
                <c:pt idx="13">
                  <c:v>811738.02410864085</c:v>
                </c:pt>
                <c:pt idx="14">
                  <c:v>8970</c:v>
                </c:pt>
                <c:pt idx="15">
                  <c:v>908116</c:v>
                </c:pt>
                <c:pt idx="16">
                  <c:v>318529</c:v>
                </c:pt>
                <c:pt idx="17">
                  <c:v>287814.84760999994</c:v>
                </c:pt>
                <c:pt idx="18">
                  <c:v>2689958.4868299998</c:v>
                </c:pt>
                <c:pt idx="19">
                  <c:v>2290</c:v>
                </c:pt>
                <c:pt idx="20">
                  <c:v>758059</c:v>
                </c:pt>
                <c:pt idx="21">
                  <c:v>1680</c:v>
                </c:pt>
                <c:pt idx="22">
                  <c:v>43878</c:v>
                </c:pt>
              </c:numCache>
            </c:numRef>
          </c:val>
          <c:extLst>
            <c:ext xmlns:c16="http://schemas.microsoft.com/office/drawing/2014/chart" uri="{C3380CC4-5D6E-409C-BE32-E72D297353CC}">
              <c16:uniqueId val="{00000002-93AE-4CD9-98AD-A52686D1F9FB}"/>
            </c:ext>
          </c:extLst>
        </c:ser>
        <c:ser>
          <c:idx val="1"/>
          <c:order val="1"/>
          <c:tx>
            <c:strRef>
              <c:f>Figurer!$N$7</c:f>
              <c:strCache>
                <c:ptCount val="1"/>
                <c:pt idx="0">
                  <c:v>2026</c:v>
                </c:pt>
              </c:strCache>
            </c:strRef>
          </c:tx>
          <c:invertIfNegative val="0"/>
          <c:cat>
            <c:strRef>
              <c:f>Figurer!$L$8:$L$30</c:f>
              <c:strCache>
                <c:ptCount val="23"/>
                <c:pt idx="0">
                  <c:v>DNB Liv</c:v>
                </c:pt>
                <c:pt idx="1">
                  <c:v>Euro Accident</c:v>
                </c:pt>
                <c:pt idx="2">
                  <c:v>Fremtind</c:v>
                </c:pt>
                <c:pt idx="3">
                  <c:v>Frende Livsfors</c:v>
                </c:pt>
                <c:pt idx="4">
                  <c:v>Frende Skade</c:v>
                </c:pt>
                <c:pt idx="5">
                  <c:v>Gjensidige Fors</c:v>
                </c:pt>
                <c:pt idx="6">
                  <c:v>Gjensidige Pensj</c:v>
                </c:pt>
                <c:pt idx="7">
                  <c:v>If Skadefors</c:v>
                </c:pt>
                <c:pt idx="8">
                  <c:v>KLP</c:v>
                </c:pt>
                <c:pt idx="9">
                  <c:v>KLP Skadef</c:v>
                </c:pt>
                <c:pt idx="10">
                  <c:v>Knif Trygghet</c:v>
                </c:pt>
                <c:pt idx="11">
                  <c:v>Landkreditt Fors.</c:v>
                </c:pt>
                <c:pt idx="12">
                  <c:v>Ly Forsikring</c:v>
                </c:pt>
                <c:pt idx="13">
                  <c:v>Nordea Liv</c:v>
                </c:pt>
                <c:pt idx="14">
                  <c:v>Oslo Forsikring</c:v>
                </c:pt>
                <c:pt idx="15">
                  <c:v>OPF</c:v>
                </c:pt>
                <c:pt idx="16">
                  <c:v>Protector Fors</c:v>
                </c:pt>
                <c:pt idx="17">
                  <c:v>SpareBank 1 Forsikring</c:v>
                </c:pt>
                <c:pt idx="18">
                  <c:v>Storebrand Liv</c:v>
                </c:pt>
                <c:pt idx="19">
                  <c:v>Telenor Fors</c:v>
                </c:pt>
                <c:pt idx="20">
                  <c:v>Tryg Fors</c:v>
                </c:pt>
                <c:pt idx="21">
                  <c:v>WaterCircles Fors.</c:v>
                </c:pt>
                <c:pt idx="22">
                  <c:v>Youplus Livsf</c:v>
                </c:pt>
              </c:strCache>
            </c:strRef>
          </c:cat>
          <c:val>
            <c:numRef>
              <c:f>Figurer!$N$8:$N$30</c:f>
              <c:numCache>
                <c:formatCode>#,##0</c:formatCode>
                <c:ptCount val="23"/>
                <c:pt idx="0">
                  <c:v>1251034.2379600001</c:v>
                </c:pt>
                <c:pt idx="1">
                  <c:v>46204</c:v>
                </c:pt>
                <c:pt idx="2">
                  <c:v>1220218.7109099999</c:v>
                </c:pt>
                <c:pt idx="3">
                  <c:v>787243</c:v>
                </c:pt>
                <c:pt idx="4">
                  <c:v>25.518999999999998</c:v>
                </c:pt>
                <c:pt idx="5">
                  <c:v>1562214.5224200001</c:v>
                </c:pt>
                <c:pt idx="6">
                  <c:v>385947</c:v>
                </c:pt>
                <c:pt idx="7">
                  <c:v>344301.01800000004</c:v>
                </c:pt>
                <c:pt idx="8">
                  <c:v>8744623.9051599987</c:v>
                </c:pt>
                <c:pt idx="9">
                  <c:v>696348.86199999996</c:v>
                </c:pt>
                <c:pt idx="10">
                  <c:v>53091</c:v>
                </c:pt>
                <c:pt idx="11">
                  <c:v>71658</c:v>
                </c:pt>
                <c:pt idx="12">
                  <c:v>16314</c:v>
                </c:pt>
                <c:pt idx="13">
                  <c:v>855566.53582891263</c:v>
                </c:pt>
                <c:pt idx="14">
                  <c:v>9386</c:v>
                </c:pt>
                <c:pt idx="15">
                  <c:v>694944</c:v>
                </c:pt>
                <c:pt idx="16">
                  <c:v>387470</c:v>
                </c:pt>
                <c:pt idx="17">
                  <c:v>287093.53328999999</c:v>
                </c:pt>
                <c:pt idx="18">
                  <c:v>2940213.8751999997</c:v>
                </c:pt>
                <c:pt idx="19">
                  <c:v>2001</c:v>
                </c:pt>
                <c:pt idx="20">
                  <c:v>772427</c:v>
                </c:pt>
                <c:pt idx="21">
                  <c:v>1584</c:v>
                </c:pt>
                <c:pt idx="22">
                  <c:v>16577</c:v>
                </c:pt>
              </c:numCache>
            </c:numRef>
          </c:val>
          <c:extLst>
            <c:ext xmlns:c16="http://schemas.microsoft.com/office/drawing/2014/chart" uri="{C3380CC4-5D6E-409C-BE32-E72D297353CC}">
              <c16:uniqueId val="{00000003-93AE-4CD9-98AD-A52686D1F9FB}"/>
            </c:ext>
          </c:extLst>
        </c:ser>
        <c:dLbls>
          <c:showLegendKey val="0"/>
          <c:showVal val="0"/>
          <c:showCatName val="0"/>
          <c:showSerName val="0"/>
          <c:showPercent val="0"/>
          <c:showBubbleSize val="0"/>
        </c:dLbls>
        <c:gapWidth val="150"/>
        <c:axId val="242174208"/>
        <c:axId val="242180096"/>
      </c:barChart>
      <c:catAx>
        <c:axId val="242174208"/>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nb-NO"/>
          </a:p>
        </c:txPr>
        <c:crossAx val="242180096"/>
        <c:crosses val="autoZero"/>
        <c:auto val="1"/>
        <c:lblAlgn val="ctr"/>
        <c:lblOffset val="100"/>
        <c:tickLblSkip val="1"/>
        <c:tickMarkSkip val="1"/>
        <c:noMultiLvlLbl val="0"/>
      </c:catAx>
      <c:valAx>
        <c:axId val="242180096"/>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6.9444532284870034E-3"/>
              <c:y val="0.35171127561150661"/>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2174208"/>
        <c:crosses val="autoZero"/>
        <c:crossBetween val="between"/>
      </c:valAx>
    </c:plotArea>
    <c:legend>
      <c:legendPos val="b"/>
      <c:layout>
        <c:manualLayout>
          <c:xMode val="edge"/>
          <c:yMode val="edge"/>
          <c:x val="0.35321900023541236"/>
          <c:y val="0.94486784960263159"/>
          <c:w val="9.5093936551103805E-2"/>
          <c:h val="3.8797994562056987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6608656849620704"/>
          <c:y val="0.10754105736782903"/>
          <c:w val="0.77619271486646502"/>
          <c:h val="0.61573077622722905"/>
        </c:manualLayout>
      </c:layout>
      <c:barChart>
        <c:barDir val="col"/>
        <c:grouping val="clustered"/>
        <c:varyColors val="0"/>
        <c:ser>
          <c:idx val="0"/>
          <c:order val="0"/>
          <c:tx>
            <c:strRef>
              <c:f>Figurer!$M$34</c:f>
              <c:strCache>
                <c:ptCount val="1"/>
                <c:pt idx="0">
                  <c:v>2025</c:v>
                </c:pt>
              </c:strCache>
            </c:strRef>
          </c:tx>
          <c:invertIfNegative val="0"/>
          <c:cat>
            <c:strRef>
              <c:f>Figurer!$L$35:$L$40</c:f>
              <c:strCache>
                <c:ptCount val="6"/>
                <c:pt idx="0">
                  <c:v>DNB Liv</c:v>
                </c:pt>
                <c:pt idx="1">
                  <c:v>Gjensidige Pensj</c:v>
                </c:pt>
                <c:pt idx="2">
                  <c:v>KLP</c:v>
                </c:pt>
                <c:pt idx="3">
                  <c:v>Nordea Liv</c:v>
                </c:pt>
                <c:pt idx="4">
                  <c:v>SpareBank 1 Forsikring</c:v>
                </c:pt>
                <c:pt idx="5">
                  <c:v>Storebrand Liv</c:v>
                </c:pt>
              </c:strCache>
            </c:strRef>
          </c:cat>
          <c:val>
            <c:numRef>
              <c:f>Figurer!$M$35:$M$40</c:f>
              <c:numCache>
                <c:formatCode>#,##0</c:formatCode>
                <c:ptCount val="6"/>
                <c:pt idx="0">
                  <c:v>4416210.9040000001</c:v>
                </c:pt>
                <c:pt idx="1">
                  <c:v>1741309</c:v>
                </c:pt>
                <c:pt idx="2">
                  <c:v>20929.275000000001</c:v>
                </c:pt>
                <c:pt idx="3">
                  <c:v>4781667.1471800003</c:v>
                </c:pt>
                <c:pt idx="4">
                  <c:v>2096094.96572</c:v>
                </c:pt>
                <c:pt idx="5">
                  <c:v>4815430.6112099998</c:v>
                </c:pt>
              </c:numCache>
            </c:numRef>
          </c:val>
          <c:extLst>
            <c:ext xmlns:c16="http://schemas.microsoft.com/office/drawing/2014/chart" uri="{C3380CC4-5D6E-409C-BE32-E72D297353CC}">
              <c16:uniqueId val="{00000000-3971-4F9A-B5A3-CF52C774B823}"/>
            </c:ext>
          </c:extLst>
        </c:ser>
        <c:ser>
          <c:idx val="1"/>
          <c:order val="1"/>
          <c:tx>
            <c:strRef>
              <c:f>Figurer!$N$34</c:f>
              <c:strCache>
                <c:ptCount val="1"/>
                <c:pt idx="0">
                  <c:v>2026</c:v>
                </c:pt>
              </c:strCache>
            </c:strRef>
          </c:tx>
          <c:invertIfNegative val="0"/>
          <c:cat>
            <c:strRef>
              <c:f>Figurer!$L$35:$L$40</c:f>
              <c:strCache>
                <c:ptCount val="6"/>
                <c:pt idx="0">
                  <c:v>DNB Liv</c:v>
                </c:pt>
                <c:pt idx="1">
                  <c:v>Gjensidige Pensj</c:v>
                </c:pt>
                <c:pt idx="2">
                  <c:v>KLP</c:v>
                </c:pt>
                <c:pt idx="3">
                  <c:v>Nordea Liv</c:v>
                </c:pt>
                <c:pt idx="4">
                  <c:v>SpareBank 1 Forsikring</c:v>
                </c:pt>
                <c:pt idx="5">
                  <c:v>Storebrand Liv</c:v>
                </c:pt>
              </c:strCache>
            </c:strRef>
          </c:cat>
          <c:val>
            <c:numRef>
              <c:f>Figurer!$N$35:$N$40</c:f>
              <c:numCache>
                <c:formatCode>#,##0</c:formatCode>
                <c:ptCount val="6"/>
                <c:pt idx="0">
                  <c:v>4595185.1543399999</c:v>
                </c:pt>
                <c:pt idx="1">
                  <c:v>1912502</c:v>
                </c:pt>
                <c:pt idx="2">
                  <c:v>30212.771000000001</c:v>
                </c:pt>
                <c:pt idx="3">
                  <c:v>5869756.8764300002</c:v>
                </c:pt>
                <c:pt idx="4">
                  <c:v>2204043.2582200002</c:v>
                </c:pt>
                <c:pt idx="5">
                  <c:v>4843337.3624900002</c:v>
                </c:pt>
              </c:numCache>
            </c:numRef>
          </c:val>
          <c:extLst>
            <c:ext xmlns:c16="http://schemas.microsoft.com/office/drawing/2014/chart" uri="{C3380CC4-5D6E-409C-BE32-E72D297353CC}">
              <c16:uniqueId val="{00000001-3971-4F9A-B5A3-CF52C774B823}"/>
            </c:ext>
          </c:extLst>
        </c:ser>
        <c:dLbls>
          <c:showLegendKey val="0"/>
          <c:showVal val="0"/>
          <c:showCatName val="0"/>
          <c:showSerName val="0"/>
          <c:showPercent val="0"/>
          <c:showBubbleSize val="0"/>
        </c:dLbls>
        <c:gapWidth val="150"/>
        <c:axId val="242208128"/>
        <c:axId val="242427008"/>
      </c:barChart>
      <c:catAx>
        <c:axId val="242208128"/>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nb-NO"/>
          </a:p>
        </c:txPr>
        <c:crossAx val="242427008"/>
        <c:crosses val="autoZero"/>
        <c:auto val="1"/>
        <c:lblAlgn val="ctr"/>
        <c:lblOffset val="100"/>
        <c:tickLblSkip val="1"/>
        <c:tickMarkSkip val="1"/>
        <c:noMultiLvlLbl val="0"/>
      </c:catAx>
      <c:valAx>
        <c:axId val="242427008"/>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6.9541508114698515E-3"/>
              <c:y val="0.33962311853875432"/>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2208128"/>
        <c:crosses val="autoZero"/>
        <c:crossBetween val="between"/>
      </c:valAx>
    </c:plotArea>
    <c:legend>
      <c:legendPos val="b"/>
      <c:layout>
        <c:manualLayout>
          <c:xMode val="edge"/>
          <c:yMode val="edge"/>
          <c:x val="0.34749475592659351"/>
          <c:y val="0.93710900423161392"/>
          <c:w val="0.23943149676571668"/>
          <c:h val="5.0314424982592074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9034622721340161"/>
          <c:y val="7.9682070044274814E-2"/>
          <c:w val="0.72950920069418312"/>
          <c:h val="0.62009389947752291"/>
        </c:manualLayout>
      </c:layout>
      <c:barChart>
        <c:barDir val="col"/>
        <c:grouping val="clustered"/>
        <c:varyColors val="0"/>
        <c:ser>
          <c:idx val="0"/>
          <c:order val="0"/>
          <c:tx>
            <c:strRef>
              <c:f>Figurer!$M$52</c:f>
              <c:strCache>
                <c:ptCount val="1"/>
                <c:pt idx="0">
                  <c:v>2025</c:v>
                </c:pt>
              </c:strCache>
            </c:strRef>
          </c:tx>
          <c:invertIfNegative val="0"/>
          <c:cat>
            <c:strRef>
              <c:f>Figurer!$L$53:$L$73</c:f>
              <c:strCache>
                <c:ptCount val="21"/>
                <c:pt idx="0">
                  <c:v>DNB Liv</c:v>
                </c:pt>
                <c:pt idx="1">
                  <c:v>Euro Accident</c:v>
                </c:pt>
                <c:pt idx="2">
                  <c:v>Fremtind</c:v>
                </c:pt>
                <c:pt idx="3">
                  <c:v>Frende Livsfors</c:v>
                </c:pt>
                <c:pt idx="4">
                  <c:v>Gjensidige Fors</c:v>
                </c:pt>
                <c:pt idx="5">
                  <c:v>Gjensidige Pensj</c:v>
                </c:pt>
                <c:pt idx="6">
                  <c:v>If Skadefors</c:v>
                </c:pt>
                <c:pt idx="7">
                  <c:v>KLP</c:v>
                </c:pt>
                <c:pt idx="8">
                  <c:v>KLP Skadef</c:v>
                </c:pt>
                <c:pt idx="9">
                  <c:v>Knif Trygghet Fors.</c:v>
                </c:pt>
                <c:pt idx="10">
                  <c:v>Landkreditt Fors</c:v>
                </c:pt>
                <c:pt idx="11">
                  <c:v>Ly Forsikring</c:v>
                </c:pt>
                <c:pt idx="12">
                  <c:v>Nordea Liv</c:v>
                </c:pt>
                <c:pt idx="13">
                  <c:v>Oslo Forsikring</c:v>
                </c:pt>
                <c:pt idx="14">
                  <c:v>OPF</c:v>
                </c:pt>
                <c:pt idx="15">
                  <c:v>SpareBank 1 Forsikring</c:v>
                </c:pt>
                <c:pt idx="16">
                  <c:v>Storebrand Liv</c:v>
                </c:pt>
                <c:pt idx="17">
                  <c:v>Telenor Forsikring</c:v>
                </c:pt>
                <c:pt idx="18">
                  <c:v>Tryg Forsikring</c:v>
                </c:pt>
                <c:pt idx="19">
                  <c:v>WaterCicles Fors.</c:v>
                </c:pt>
                <c:pt idx="20">
                  <c:v>Youplus Livsf</c:v>
                </c:pt>
              </c:strCache>
            </c:strRef>
          </c:cat>
          <c:val>
            <c:numRef>
              <c:f>Figurer!$M$53:$M$73</c:f>
              <c:numCache>
                <c:formatCode>#,##0</c:formatCode>
                <c:ptCount val="21"/>
                <c:pt idx="0">
                  <c:v>179684402.72244999</c:v>
                </c:pt>
                <c:pt idx="1">
                  <c:v>0</c:v>
                </c:pt>
                <c:pt idx="2">
                  <c:v>6000495.18102</c:v>
                </c:pt>
                <c:pt idx="3">
                  <c:v>2437488</c:v>
                </c:pt>
                <c:pt idx="4">
                  <c:v>0</c:v>
                </c:pt>
                <c:pt idx="5">
                  <c:v>11279029</c:v>
                </c:pt>
                <c:pt idx="6">
                  <c:v>0</c:v>
                </c:pt>
                <c:pt idx="7">
                  <c:v>794812677.44805002</c:v>
                </c:pt>
                <c:pt idx="8">
                  <c:v>173603.853</c:v>
                </c:pt>
                <c:pt idx="9">
                  <c:v>0</c:v>
                </c:pt>
                <c:pt idx="10">
                  <c:v>0</c:v>
                </c:pt>
                <c:pt idx="11">
                  <c:v>0</c:v>
                </c:pt>
                <c:pt idx="12">
                  <c:v>54964640.000001788</c:v>
                </c:pt>
                <c:pt idx="13">
                  <c:v>0</c:v>
                </c:pt>
                <c:pt idx="14">
                  <c:v>97889000</c:v>
                </c:pt>
                <c:pt idx="15">
                  <c:v>23632770.244150002</c:v>
                </c:pt>
                <c:pt idx="16">
                  <c:v>215118616.59341002</c:v>
                </c:pt>
                <c:pt idx="17">
                  <c:v>0</c:v>
                </c:pt>
                <c:pt idx="18">
                  <c:v>0</c:v>
                </c:pt>
                <c:pt idx="19">
                  <c:v>0</c:v>
                </c:pt>
                <c:pt idx="20">
                  <c:v>69378</c:v>
                </c:pt>
              </c:numCache>
            </c:numRef>
          </c:val>
          <c:extLst>
            <c:ext xmlns:c16="http://schemas.microsoft.com/office/drawing/2014/chart" uri="{C3380CC4-5D6E-409C-BE32-E72D297353CC}">
              <c16:uniqueId val="{00000000-F5D7-4882-A9B6-45C2F0317A05}"/>
            </c:ext>
          </c:extLst>
        </c:ser>
        <c:ser>
          <c:idx val="1"/>
          <c:order val="1"/>
          <c:tx>
            <c:strRef>
              <c:f>Figurer!$N$52</c:f>
              <c:strCache>
                <c:ptCount val="1"/>
                <c:pt idx="0">
                  <c:v>2026</c:v>
                </c:pt>
              </c:strCache>
            </c:strRef>
          </c:tx>
          <c:invertIfNegative val="0"/>
          <c:cat>
            <c:strRef>
              <c:f>Figurer!$L$53:$L$73</c:f>
              <c:strCache>
                <c:ptCount val="21"/>
                <c:pt idx="0">
                  <c:v>DNB Liv</c:v>
                </c:pt>
                <c:pt idx="1">
                  <c:v>Euro Accident</c:v>
                </c:pt>
                <c:pt idx="2">
                  <c:v>Fremtind</c:v>
                </c:pt>
                <c:pt idx="3">
                  <c:v>Frende Livsfors</c:v>
                </c:pt>
                <c:pt idx="4">
                  <c:v>Gjensidige Fors</c:v>
                </c:pt>
                <c:pt idx="5">
                  <c:v>Gjensidige Pensj</c:v>
                </c:pt>
                <c:pt idx="6">
                  <c:v>If Skadefors</c:v>
                </c:pt>
                <c:pt idx="7">
                  <c:v>KLP</c:v>
                </c:pt>
                <c:pt idx="8">
                  <c:v>KLP Skadef</c:v>
                </c:pt>
                <c:pt idx="9">
                  <c:v>Knif Trygghet Fors.</c:v>
                </c:pt>
                <c:pt idx="10">
                  <c:v>Landkreditt Fors</c:v>
                </c:pt>
                <c:pt idx="11">
                  <c:v>Ly Forsikring</c:v>
                </c:pt>
                <c:pt idx="12">
                  <c:v>Nordea Liv</c:v>
                </c:pt>
                <c:pt idx="13">
                  <c:v>Oslo Forsikring</c:v>
                </c:pt>
                <c:pt idx="14">
                  <c:v>OPF</c:v>
                </c:pt>
                <c:pt idx="15">
                  <c:v>SpareBank 1 Forsikring</c:v>
                </c:pt>
                <c:pt idx="16">
                  <c:v>Storebrand Liv</c:v>
                </c:pt>
                <c:pt idx="17">
                  <c:v>Telenor Forsikring</c:v>
                </c:pt>
                <c:pt idx="18">
                  <c:v>Tryg Forsikring</c:v>
                </c:pt>
                <c:pt idx="19">
                  <c:v>WaterCicles Fors.</c:v>
                </c:pt>
                <c:pt idx="20">
                  <c:v>Youplus Livsf</c:v>
                </c:pt>
              </c:strCache>
            </c:strRef>
          </c:cat>
          <c:val>
            <c:numRef>
              <c:f>Figurer!$N$53:$N$73</c:f>
              <c:numCache>
                <c:formatCode>#,##0</c:formatCode>
                <c:ptCount val="21"/>
                <c:pt idx="0">
                  <c:v>178517753.45691475</c:v>
                </c:pt>
                <c:pt idx="1">
                  <c:v>0</c:v>
                </c:pt>
                <c:pt idx="2">
                  <c:v>6592758.1898499997</c:v>
                </c:pt>
                <c:pt idx="3">
                  <c:v>2794309</c:v>
                </c:pt>
                <c:pt idx="4">
                  <c:v>0</c:v>
                </c:pt>
                <c:pt idx="5">
                  <c:v>12086275</c:v>
                </c:pt>
                <c:pt idx="6">
                  <c:v>0</c:v>
                </c:pt>
                <c:pt idx="7">
                  <c:v>876265272.58194005</c:v>
                </c:pt>
                <c:pt idx="8">
                  <c:v>284694.43099999998</c:v>
                </c:pt>
                <c:pt idx="9">
                  <c:v>3595</c:v>
                </c:pt>
                <c:pt idx="10">
                  <c:v>0</c:v>
                </c:pt>
                <c:pt idx="11">
                  <c:v>0</c:v>
                </c:pt>
                <c:pt idx="12">
                  <c:v>56434150.000000753</c:v>
                </c:pt>
                <c:pt idx="13">
                  <c:v>0</c:v>
                </c:pt>
                <c:pt idx="14">
                  <c:v>104208000</c:v>
                </c:pt>
                <c:pt idx="15">
                  <c:v>26630201.299020004</c:v>
                </c:pt>
                <c:pt idx="16">
                  <c:v>221419656.01634002</c:v>
                </c:pt>
                <c:pt idx="17">
                  <c:v>0</c:v>
                </c:pt>
                <c:pt idx="18">
                  <c:v>0</c:v>
                </c:pt>
                <c:pt idx="19">
                  <c:v>0</c:v>
                </c:pt>
                <c:pt idx="20">
                  <c:v>94134</c:v>
                </c:pt>
              </c:numCache>
            </c:numRef>
          </c:val>
          <c:extLst>
            <c:ext xmlns:c16="http://schemas.microsoft.com/office/drawing/2014/chart" uri="{C3380CC4-5D6E-409C-BE32-E72D297353CC}">
              <c16:uniqueId val="{00000001-F5D7-4882-A9B6-45C2F0317A05}"/>
            </c:ext>
          </c:extLst>
        </c:ser>
        <c:dLbls>
          <c:showLegendKey val="0"/>
          <c:showVal val="0"/>
          <c:showCatName val="0"/>
          <c:showSerName val="0"/>
          <c:showPercent val="0"/>
          <c:showBubbleSize val="0"/>
        </c:dLbls>
        <c:gapWidth val="150"/>
        <c:axId val="242742784"/>
        <c:axId val="242744320"/>
      </c:barChart>
      <c:catAx>
        <c:axId val="242742784"/>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nb-NO"/>
          </a:p>
        </c:txPr>
        <c:crossAx val="242744320"/>
        <c:crosses val="autoZero"/>
        <c:auto val="1"/>
        <c:lblAlgn val="ctr"/>
        <c:lblOffset val="100"/>
        <c:tickLblSkip val="1"/>
        <c:tickMarkSkip val="1"/>
        <c:noMultiLvlLbl val="0"/>
      </c:catAx>
      <c:valAx>
        <c:axId val="242744320"/>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2.4590163934426229E-2"/>
              <c:y val="0.34865976584387876"/>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2742784"/>
        <c:crosses val="autoZero"/>
        <c:crossBetween val="between"/>
      </c:valAx>
    </c:plotArea>
    <c:legend>
      <c:legendPos val="b"/>
      <c:layout>
        <c:manualLayout>
          <c:xMode val="edge"/>
          <c:yMode val="edge"/>
          <c:x val="0.36156705821608365"/>
          <c:y val="0.94061493998643431"/>
          <c:w val="0.21357027092924838"/>
          <c:h val="4.5976938275973926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826753749914957"/>
          <c:y val="9.2115610054672017E-2"/>
          <c:w val="0.74306560247500353"/>
          <c:h val="0.6114621490399017"/>
        </c:manualLayout>
      </c:layout>
      <c:barChart>
        <c:barDir val="col"/>
        <c:grouping val="clustered"/>
        <c:varyColors val="0"/>
        <c:ser>
          <c:idx val="0"/>
          <c:order val="0"/>
          <c:tx>
            <c:strRef>
              <c:f>Figurer!$M$84</c:f>
              <c:strCache>
                <c:ptCount val="1"/>
                <c:pt idx="0">
                  <c:v>2025</c:v>
                </c:pt>
              </c:strCache>
            </c:strRef>
          </c:tx>
          <c:invertIfNegative val="0"/>
          <c:cat>
            <c:strRef>
              <c:f>Figurer!$L$85:$L$90</c:f>
              <c:strCache>
                <c:ptCount val="6"/>
                <c:pt idx="0">
                  <c:v>DNB Liv</c:v>
                </c:pt>
                <c:pt idx="1">
                  <c:v>Gjensidige Pensj</c:v>
                </c:pt>
                <c:pt idx="2">
                  <c:v>KLP</c:v>
                </c:pt>
                <c:pt idx="3">
                  <c:v>Nordea Liv</c:v>
                </c:pt>
                <c:pt idx="4">
                  <c:v>SpareBank 1 Forsikring</c:v>
                </c:pt>
                <c:pt idx="5">
                  <c:v>Storebrand Liv</c:v>
                </c:pt>
              </c:strCache>
            </c:strRef>
          </c:cat>
          <c:val>
            <c:numRef>
              <c:f>Figurer!$M$85:$M$90</c:f>
              <c:numCache>
                <c:formatCode>#,##0</c:formatCode>
                <c:ptCount val="6"/>
                <c:pt idx="0">
                  <c:v>203568699.91183773</c:v>
                </c:pt>
                <c:pt idx="1">
                  <c:v>76968991</c:v>
                </c:pt>
                <c:pt idx="2">
                  <c:v>2888738.0707899998</c:v>
                </c:pt>
                <c:pt idx="3">
                  <c:v>177451030</c:v>
                </c:pt>
                <c:pt idx="4">
                  <c:v>85714629.687940001</c:v>
                </c:pt>
                <c:pt idx="5">
                  <c:v>244753007.38714001</c:v>
                </c:pt>
              </c:numCache>
            </c:numRef>
          </c:val>
          <c:extLst>
            <c:ext xmlns:c16="http://schemas.microsoft.com/office/drawing/2014/chart" uri="{C3380CC4-5D6E-409C-BE32-E72D297353CC}">
              <c16:uniqueId val="{00000000-62B1-4395-80F9-424B1553CC96}"/>
            </c:ext>
          </c:extLst>
        </c:ser>
        <c:ser>
          <c:idx val="1"/>
          <c:order val="1"/>
          <c:tx>
            <c:strRef>
              <c:f>Figurer!$N$84</c:f>
              <c:strCache>
                <c:ptCount val="1"/>
                <c:pt idx="0">
                  <c:v>2026</c:v>
                </c:pt>
              </c:strCache>
            </c:strRef>
          </c:tx>
          <c:invertIfNegative val="0"/>
          <c:cat>
            <c:strRef>
              <c:f>Figurer!$L$85:$L$90</c:f>
              <c:strCache>
                <c:ptCount val="6"/>
                <c:pt idx="0">
                  <c:v>DNB Liv</c:v>
                </c:pt>
                <c:pt idx="1">
                  <c:v>Gjensidige Pensj</c:v>
                </c:pt>
                <c:pt idx="2">
                  <c:v>KLP</c:v>
                </c:pt>
                <c:pt idx="3">
                  <c:v>Nordea Liv</c:v>
                </c:pt>
                <c:pt idx="4">
                  <c:v>SpareBank 1 Forsikring</c:v>
                </c:pt>
                <c:pt idx="5">
                  <c:v>Storebrand Liv</c:v>
                </c:pt>
              </c:strCache>
            </c:strRef>
          </c:cat>
          <c:val>
            <c:numRef>
              <c:f>Figurer!$N$85:$N$90</c:f>
              <c:numCache>
                <c:formatCode>#,##0</c:formatCode>
                <c:ptCount val="6"/>
                <c:pt idx="0">
                  <c:v>245957648.95815971</c:v>
                </c:pt>
                <c:pt idx="1">
                  <c:v>91000808</c:v>
                </c:pt>
                <c:pt idx="2">
                  <c:v>2410575.5415099999</c:v>
                </c:pt>
                <c:pt idx="3">
                  <c:v>217451090</c:v>
                </c:pt>
                <c:pt idx="4">
                  <c:v>96535673.192670003</c:v>
                </c:pt>
                <c:pt idx="5">
                  <c:v>282668554.81304002</c:v>
                </c:pt>
              </c:numCache>
            </c:numRef>
          </c:val>
          <c:extLst>
            <c:ext xmlns:c16="http://schemas.microsoft.com/office/drawing/2014/chart" uri="{C3380CC4-5D6E-409C-BE32-E72D297353CC}">
              <c16:uniqueId val="{00000001-62B1-4395-80F9-424B1553CC96}"/>
            </c:ext>
          </c:extLst>
        </c:ser>
        <c:dLbls>
          <c:showLegendKey val="0"/>
          <c:showVal val="0"/>
          <c:showCatName val="0"/>
          <c:showSerName val="0"/>
          <c:showPercent val="0"/>
          <c:showBubbleSize val="0"/>
        </c:dLbls>
        <c:gapWidth val="150"/>
        <c:axId val="243158400"/>
        <c:axId val="243164288"/>
      </c:barChart>
      <c:catAx>
        <c:axId val="243158400"/>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nb-NO"/>
          </a:p>
        </c:txPr>
        <c:crossAx val="243164288"/>
        <c:crosses val="autoZero"/>
        <c:auto val="1"/>
        <c:lblAlgn val="ctr"/>
        <c:lblOffset val="100"/>
        <c:tickLblSkip val="1"/>
        <c:tickMarkSkip val="1"/>
        <c:noMultiLvlLbl val="0"/>
      </c:catAx>
      <c:valAx>
        <c:axId val="243164288"/>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2.5920873124147342E-2"/>
              <c:y val="0.33544386003133031"/>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3158400"/>
        <c:crosses val="autoZero"/>
        <c:crossBetween val="between"/>
      </c:valAx>
    </c:plotArea>
    <c:legend>
      <c:legendPos val="b"/>
      <c:layout>
        <c:manualLayout>
          <c:xMode val="edge"/>
          <c:yMode val="edge"/>
          <c:x val="0.34561192811335145"/>
          <c:y val="0.93671075700518092"/>
          <c:w val="0.23419750566649891"/>
          <c:h val="4.8523233014845533E-2"/>
        </c:manualLayout>
      </c:layout>
      <c:overlay val="0"/>
      <c:txPr>
        <a:bodyPr/>
        <a:lstStyle/>
        <a:p>
          <a:pPr>
            <a:defRPr sz="595"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614144699303892"/>
          <c:y val="8.40864305054419E-2"/>
          <c:w val="0.75271796188519913"/>
          <c:h val="0.62564087493112053"/>
        </c:manualLayout>
      </c:layout>
      <c:barChart>
        <c:barDir val="col"/>
        <c:grouping val="clustered"/>
        <c:varyColors val="0"/>
        <c:ser>
          <c:idx val="0"/>
          <c:order val="0"/>
          <c:tx>
            <c:strRef>
              <c:f>Figurer!$M$99</c:f>
              <c:strCache>
                <c:ptCount val="1"/>
                <c:pt idx="0">
                  <c:v>2025</c:v>
                </c:pt>
              </c:strCache>
            </c:strRef>
          </c:tx>
          <c:invertIfNegative val="0"/>
          <c:cat>
            <c:strRef>
              <c:f>Figurer!$L$100:$L$105</c:f>
              <c:strCache>
                <c:ptCount val="6"/>
                <c:pt idx="0">
                  <c:v>DNB Liv</c:v>
                </c:pt>
                <c:pt idx="1">
                  <c:v>Gjensidige Pensj</c:v>
                </c:pt>
                <c:pt idx="2">
                  <c:v>KLP</c:v>
                </c:pt>
                <c:pt idx="3">
                  <c:v>Nordea Liv</c:v>
                </c:pt>
                <c:pt idx="4">
                  <c:v>SpareBank 1 Forsikring</c:v>
                </c:pt>
                <c:pt idx="5">
                  <c:v>Storebrand Liv</c:v>
                </c:pt>
              </c:strCache>
            </c:strRef>
          </c:cat>
          <c:val>
            <c:numRef>
              <c:f>Figurer!$M$100:$M$105</c:f>
              <c:numCache>
                <c:formatCode>#,##0</c:formatCode>
                <c:ptCount val="6"/>
                <c:pt idx="0">
                  <c:v>147076</c:v>
                </c:pt>
                <c:pt idx="1">
                  <c:v>101054</c:v>
                </c:pt>
                <c:pt idx="2">
                  <c:v>-4249512.1230000006</c:v>
                </c:pt>
                <c:pt idx="3">
                  <c:v>-1617</c:v>
                </c:pt>
                <c:pt idx="4">
                  <c:v>883335.18560999993</c:v>
                </c:pt>
                <c:pt idx="5">
                  <c:v>3145828.2314200001</c:v>
                </c:pt>
              </c:numCache>
            </c:numRef>
          </c:val>
          <c:extLst>
            <c:ext xmlns:c16="http://schemas.microsoft.com/office/drawing/2014/chart" uri="{C3380CC4-5D6E-409C-BE32-E72D297353CC}">
              <c16:uniqueId val="{00000000-2BF8-4278-857F-91A0E7196849}"/>
            </c:ext>
          </c:extLst>
        </c:ser>
        <c:ser>
          <c:idx val="1"/>
          <c:order val="1"/>
          <c:tx>
            <c:strRef>
              <c:f>Figurer!$N$99</c:f>
              <c:strCache>
                <c:ptCount val="1"/>
                <c:pt idx="0">
                  <c:v>2026</c:v>
                </c:pt>
              </c:strCache>
            </c:strRef>
          </c:tx>
          <c:invertIfNegative val="0"/>
          <c:cat>
            <c:strRef>
              <c:f>Figurer!$L$100:$L$105</c:f>
              <c:strCache>
                <c:ptCount val="6"/>
                <c:pt idx="0">
                  <c:v>DNB Liv</c:v>
                </c:pt>
                <c:pt idx="1">
                  <c:v>Gjensidige Pensj</c:v>
                </c:pt>
                <c:pt idx="2">
                  <c:v>KLP</c:v>
                </c:pt>
                <c:pt idx="3">
                  <c:v>Nordea Liv</c:v>
                </c:pt>
                <c:pt idx="4">
                  <c:v>SpareBank 1 Forsikring</c:v>
                </c:pt>
                <c:pt idx="5">
                  <c:v>Storebrand Liv</c:v>
                </c:pt>
              </c:strCache>
            </c:strRef>
          </c:cat>
          <c:val>
            <c:numRef>
              <c:f>Figurer!$N$100:$N$105</c:f>
              <c:numCache>
                <c:formatCode>#,##0</c:formatCode>
                <c:ptCount val="6"/>
                <c:pt idx="0">
                  <c:v>131287.93179</c:v>
                </c:pt>
                <c:pt idx="1">
                  <c:v>-1479</c:v>
                </c:pt>
                <c:pt idx="2">
                  <c:v>2396174.2173800003</c:v>
                </c:pt>
                <c:pt idx="3">
                  <c:v>-4218.1660299999603</c:v>
                </c:pt>
                <c:pt idx="4">
                  <c:v>-110937.06258</c:v>
                </c:pt>
                <c:pt idx="5">
                  <c:v>61330.092560000005</c:v>
                </c:pt>
              </c:numCache>
            </c:numRef>
          </c:val>
          <c:extLst>
            <c:ext xmlns:c16="http://schemas.microsoft.com/office/drawing/2014/chart" uri="{C3380CC4-5D6E-409C-BE32-E72D297353CC}">
              <c16:uniqueId val="{00000000-0891-419B-84DB-F579F6588129}"/>
            </c:ext>
          </c:extLst>
        </c:ser>
        <c:dLbls>
          <c:showLegendKey val="0"/>
          <c:showVal val="0"/>
          <c:showCatName val="0"/>
          <c:showSerName val="0"/>
          <c:showPercent val="0"/>
          <c:showBubbleSize val="0"/>
        </c:dLbls>
        <c:gapWidth val="150"/>
        <c:axId val="243201536"/>
        <c:axId val="243203072"/>
      </c:barChart>
      <c:catAx>
        <c:axId val="243201536"/>
        <c:scaling>
          <c:orientation val="minMax"/>
        </c:scaling>
        <c:delete val="0"/>
        <c:axPos val="b"/>
        <c:numFmt formatCode="General" sourceLinked="1"/>
        <c:majorTickMark val="out"/>
        <c:minorTickMark val="none"/>
        <c:tickLblPos val="low"/>
        <c:txPr>
          <a:bodyPr rot="-5400000" vert="horz"/>
          <a:lstStyle/>
          <a:p>
            <a:pPr>
              <a:defRPr sz="1000" b="0" i="0" u="none" strike="noStrike" baseline="0">
                <a:solidFill>
                  <a:srgbClr val="000000"/>
                </a:solidFill>
                <a:latin typeface="Calibri"/>
                <a:ea typeface="Calibri"/>
                <a:cs typeface="Calibri"/>
              </a:defRPr>
            </a:pPr>
            <a:endParaRPr lang="nb-NO"/>
          </a:p>
        </c:txPr>
        <c:crossAx val="243203072"/>
        <c:crosses val="autoZero"/>
        <c:auto val="1"/>
        <c:lblAlgn val="ctr"/>
        <c:lblOffset val="100"/>
        <c:tickLblSkip val="1"/>
        <c:tickMarkSkip val="1"/>
        <c:noMultiLvlLbl val="0"/>
      </c:catAx>
      <c:valAx>
        <c:axId val="243203072"/>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2.1739130434782612E-2"/>
              <c:y val="0.35755283411244326"/>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3201536"/>
        <c:crosses val="autoZero"/>
        <c:crossBetween val="between"/>
      </c:valAx>
    </c:plotArea>
    <c:legend>
      <c:legendPos val="b"/>
      <c:layout>
        <c:manualLayout>
          <c:xMode val="edge"/>
          <c:yMode val="edge"/>
          <c:x val="0.34737347369622462"/>
          <c:y val="0.94455128774817365"/>
          <c:w val="9.6515177450644751E-2"/>
          <c:h val="4.5533613518745276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7253853430922791"/>
          <c:y val="8.5614035087719767E-2"/>
          <c:w val="0.75564702786135474"/>
          <c:h val="0.63649189114519311"/>
        </c:manualLayout>
      </c:layout>
      <c:barChart>
        <c:barDir val="col"/>
        <c:grouping val="clustered"/>
        <c:varyColors val="0"/>
        <c:ser>
          <c:idx val="0"/>
          <c:order val="0"/>
          <c:tx>
            <c:strRef>
              <c:f>Figurer!$M$121</c:f>
              <c:strCache>
                <c:ptCount val="1"/>
                <c:pt idx="0">
                  <c:v>2025</c:v>
                </c:pt>
              </c:strCache>
            </c:strRef>
          </c:tx>
          <c:invertIfNegative val="0"/>
          <c:cat>
            <c:strRef>
              <c:f>Figurer!$L$122:$L$127</c:f>
              <c:strCache>
                <c:ptCount val="6"/>
                <c:pt idx="0">
                  <c:v>DNB Liv</c:v>
                </c:pt>
                <c:pt idx="1">
                  <c:v>Gjensidige Pensj</c:v>
                </c:pt>
                <c:pt idx="2">
                  <c:v>KLP</c:v>
                </c:pt>
                <c:pt idx="3">
                  <c:v>Nordea Liv</c:v>
                </c:pt>
                <c:pt idx="4">
                  <c:v>SpareBank 1 Forsikring</c:v>
                </c:pt>
                <c:pt idx="5">
                  <c:v>Storebrand Liv</c:v>
                </c:pt>
              </c:strCache>
            </c:strRef>
          </c:cat>
          <c:val>
            <c:numRef>
              <c:f>Figurer!$M$122:$M$127</c:f>
              <c:numCache>
                <c:formatCode>#,##0</c:formatCode>
                <c:ptCount val="6"/>
                <c:pt idx="0">
                  <c:v>191688.12112999987</c:v>
                </c:pt>
                <c:pt idx="1">
                  <c:v>1211447</c:v>
                </c:pt>
                <c:pt idx="2">
                  <c:v>0</c:v>
                </c:pt>
                <c:pt idx="3">
                  <c:v>-750691.37333999947</c:v>
                </c:pt>
                <c:pt idx="4">
                  <c:v>-242578.44872999983</c:v>
                </c:pt>
                <c:pt idx="5">
                  <c:v>-1684310.4050499997</c:v>
                </c:pt>
              </c:numCache>
            </c:numRef>
          </c:val>
          <c:extLst>
            <c:ext xmlns:c16="http://schemas.microsoft.com/office/drawing/2014/chart" uri="{C3380CC4-5D6E-409C-BE32-E72D297353CC}">
              <c16:uniqueId val="{00000000-B400-4C26-965B-0553A4A37873}"/>
            </c:ext>
          </c:extLst>
        </c:ser>
        <c:ser>
          <c:idx val="1"/>
          <c:order val="1"/>
          <c:tx>
            <c:strRef>
              <c:f>Figurer!$N$121</c:f>
              <c:strCache>
                <c:ptCount val="1"/>
                <c:pt idx="0">
                  <c:v>2026</c:v>
                </c:pt>
              </c:strCache>
            </c:strRef>
          </c:tx>
          <c:invertIfNegative val="0"/>
          <c:cat>
            <c:strRef>
              <c:f>Figurer!$L$122:$L$127</c:f>
              <c:strCache>
                <c:ptCount val="6"/>
                <c:pt idx="0">
                  <c:v>DNB Liv</c:v>
                </c:pt>
                <c:pt idx="1">
                  <c:v>Gjensidige Pensj</c:v>
                </c:pt>
                <c:pt idx="2">
                  <c:v>KLP</c:v>
                </c:pt>
                <c:pt idx="3">
                  <c:v>Nordea Liv</c:v>
                </c:pt>
                <c:pt idx="4">
                  <c:v>SpareBank 1 Forsikring</c:v>
                </c:pt>
                <c:pt idx="5">
                  <c:v>Storebrand Liv</c:v>
                </c:pt>
              </c:strCache>
            </c:strRef>
          </c:cat>
          <c:val>
            <c:numRef>
              <c:f>Figurer!$N$122:$N$127</c:f>
              <c:numCache>
                <c:formatCode>#,##0</c:formatCode>
                <c:ptCount val="6"/>
                <c:pt idx="0">
                  <c:v>-1493198.5864599999</c:v>
                </c:pt>
                <c:pt idx="1">
                  <c:v>76146</c:v>
                </c:pt>
                <c:pt idx="2">
                  <c:v>-516456.22738</c:v>
                </c:pt>
                <c:pt idx="3">
                  <c:v>4408319.6772600003</c:v>
                </c:pt>
                <c:pt idx="4">
                  <c:v>-1212130.24456</c:v>
                </c:pt>
                <c:pt idx="5">
                  <c:v>-2669506.1094199992</c:v>
                </c:pt>
              </c:numCache>
            </c:numRef>
          </c:val>
          <c:extLst>
            <c:ext xmlns:c16="http://schemas.microsoft.com/office/drawing/2014/chart" uri="{C3380CC4-5D6E-409C-BE32-E72D297353CC}">
              <c16:uniqueId val="{00000001-B400-4C26-965B-0553A4A37873}"/>
            </c:ext>
          </c:extLst>
        </c:ser>
        <c:dLbls>
          <c:showLegendKey val="0"/>
          <c:showVal val="0"/>
          <c:showCatName val="0"/>
          <c:showSerName val="0"/>
          <c:showPercent val="0"/>
          <c:showBubbleSize val="0"/>
        </c:dLbls>
        <c:gapWidth val="150"/>
        <c:axId val="243686400"/>
        <c:axId val="243700480"/>
      </c:barChart>
      <c:catAx>
        <c:axId val="243686400"/>
        <c:scaling>
          <c:orientation val="minMax"/>
        </c:scaling>
        <c:delete val="0"/>
        <c:axPos val="b"/>
        <c:numFmt formatCode="General" sourceLinked="1"/>
        <c:majorTickMark val="out"/>
        <c:minorTickMark val="none"/>
        <c:tickLblPos val="low"/>
        <c:txPr>
          <a:bodyPr rot="-5400000" vert="horz"/>
          <a:lstStyle/>
          <a:p>
            <a:pPr>
              <a:defRPr sz="1000" b="0" i="0" u="none" strike="noStrike" baseline="0">
                <a:solidFill>
                  <a:srgbClr val="000000"/>
                </a:solidFill>
                <a:latin typeface="Calibri"/>
                <a:ea typeface="Calibri"/>
                <a:cs typeface="Calibri"/>
              </a:defRPr>
            </a:pPr>
            <a:endParaRPr lang="nb-NO"/>
          </a:p>
        </c:txPr>
        <c:crossAx val="243700480"/>
        <c:crosses val="autoZero"/>
        <c:auto val="1"/>
        <c:lblAlgn val="ctr"/>
        <c:lblOffset val="100"/>
        <c:tickLblSkip val="1"/>
        <c:tickMarkSkip val="1"/>
        <c:noMultiLvlLbl val="0"/>
      </c:catAx>
      <c:valAx>
        <c:axId val="243700480"/>
        <c:scaling>
          <c:orientation val="minMax"/>
        </c:scaling>
        <c:delete val="0"/>
        <c:axPos val="l"/>
        <c:title>
          <c:tx>
            <c:rich>
              <a:bodyPr/>
              <a:lstStyle/>
              <a:p>
                <a:pPr>
                  <a:defRPr sz="1000" b="1" i="0" u="none" strike="noStrike" baseline="0">
                    <a:solidFill>
                      <a:srgbClr val="000000"/>
                    </a:solidFill>
                    <a:latin typeface="Calibri"/>
                    <a:ea typeface="Calibri"/>
                    <a:cs typeface="Calibri"/>
                  </a:defRPr>
                </a:pPr>
                <a:r>
                  <a:rPr lang="nb-NO"/>
                  <a:t>i 1000 kr.</a:t>
                </a:r>
              </a:p>
            </c:rich>
          </c:tx>
          <c:layout>
            <c:manualLayout>
              <c:xMode val="edge"/>
              <c:yMode val="edge"/>
              <c:x val="3.3875338753387642E-2"/>
              <c:y val="0.330526785811528"/>
            </c:manualLayout>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nb-NO"/>
          </a:p>
        </c:txPr>
        <c:crossAx val="243686400"/>
        <c:crosses val="autoZero"/>
        <c:crossBetween val="between"/>
      </c:valAx>
    </c:plotArea>
    <c:legend>
      <c:legendPos val="b"/>
      <c:layout>
        <c:manualLayout>
          <c:xMode val="edge"/>
          <c:yMode val="edge"/>
          <c:x val="0.35049740733627832"/>
          <c:y val="0.93473780507726956"/>
          <c:w val="0.23080411696505387"/>
          <c:h val="4.8421167271103877E-2"/>
        </c:manualLayout>
      </c:layout>
      <c:overlay val="0"/>
      <c:txPr>
        <a:bodyPr/>
        <a:lstStyle/>
        <a:p>
          <a:pPr>
            <a:defRPr sz="710" b="0" i="0" u="none" strike="noStrike" baseline="0">
              <a:solidFill>
                <a:srgbClr val="000000"/>
              </a:solidFill>
              <a:latin typeface="Calibri"/>
              <a:ea typeface="Calibri"/>
              <a:cs typeface="Calibri"/>
            </a:defRPr>
          </a:pPr>
          <a:endParaRPr lang="nb-N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nb-NO"/>
    </a:p>
  </c:txPr>
  <c:printSettings>
    <c:headerFooter alignWithMargins="0"/>
    <c:pageMargins b="0.98425196899999956" l="0.78740157499999996" r="0.78740157499999996" t="0.98425196899999956"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389792</xdr:colOff>
      <xdr:row>15</xdr:row>
      <xdr:rowOff>381000</xdr:rowOff>
    </xdr:from>
    <xdr:to>
      <xdr:col>4</xdr:col>
      <xdr:colOff>598714</xdr:colOff>
      <xdr:row>17</xdr:row>
      <xdr:rowOff>137745</xdr:rowOff>
    </xdr:to>
    <xdr:sp macro="" textlink="">
      <xdr:nvSpPr>
        <xdr:cNvPr id="2" name="Text Box 6">
          <a:extLst>
            <a:ext uri="{FF2B5EF4-FFF2-40B4-BE49-F238E27FC236}">
              <a16:creationId xmlns:a16="http://schemas.microsoft.com/office/drawing/2014/main" id="{499D6C09-8686-4BF0-B91B-3858981A64B8}"/>
            </a:ext>
          </a:extLst>
        </xdr:cNvPr>
        <xdr:cNvSpPr txBox="1"/>
      </xdr:nvSpPr>
      <xdr:spPr>
        <a:xfrm>
          <a:off x="389792" y="3343275"/>
          <a:ext cx="3256922" cy="613995"/>
        </a:xfrm>
        <a:prstGeom prst="rect">
          <a:avLst/>
        </a:prstGeom>
        <a:noFill/>
        <a:ln>
          <a:noFill/>
        </a:ln>
        <a:effectLst/>
        <a:extLst>
          <a:ext uri="{C572A759-6A51-4108-AA02-DFA0A04FC94B}">
            <ma14:wrappingTextBoxFlag xmlns="" xmlns:ma14="http://schemas.microsoft.com/office/mac/drawingml/2011/main"/>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nb-NO" sz="1600" b="1">
              <a:effectLst/>
              <a:latin typeface="Arial"/>
              <a:ea typeface="ＭＳ 明朝"/>
              <a:cs typeface="Times New Roman"/>
            </a:rPr>
            <a:t>1. KVARTAL 2026 </a:t>
          </a:r>
          <a:r>
            <a:rPr lang="nb-NO" sz="1200">
              <a:effectLst/>
              <a:latin typeface="Arial"/>
              <a:ea typeface="ＭＳ 明朝"/>
              <a:cs typeface="Times New Roman"/>
            </a:rPr>
            <a:t>(27</a:t>
          </a:r>
          <a:r>
            <a:rPr lang="nb-NO" sz="1200">
              <a:solidFill>
                <a:schemeClr val="dk1"/>
              </a:solidFill>
              <a:effectLst/>
              <a:latin typeface="Arial"/>
              <a:ea typeface="ＭＳ 明朝"/>
              <a:cs typeface="Times New Roman"/>
            </a:rPr>
            <a:t>.05.2026</a:t>
          </a:r>
          <a:r>
            <a:rPr lang="nb-NO" sz="1200">
              <a:effectLst/>
              <a:latin typeface="Arial"/>
              <a:ea typeface="ＭＳ 明朝"/>
              <a:cs typeface="Times New Roman"/>
            </a:rPr>
            <a:t>)</a:t>
          </a:r>
        </a:p>
        <a:p>
          <a:pPr>
            <a:spcAft>
              <a:spcPts val="0"/>
            </a:spcAft>
          </a:pPr>
          <a:r>
            <a:rPr lang="nb-NO" sz="1000">
              <a:effectLst/>
              <a:latin typeface="Arial"/>
              <a:ea typeface="ＭＳ 明朝"/>
              <a:cs typeface="Times New Roman"/>
            </a:rPr>
            <a:t>senest endret 21.09.2026</a:t>
          </a:r>
          <a:endParaRPr lang="nb-NO" sz="1000">
            <a:effectLst/>
            <a:ea typeface="ＭＳ 明朝"/>
            <a:cs typeface="Times New Roman"/>
          </a:endParaRPr>
        </a:p>
      </xdr:txBody>
    </xdr:sp>
    <xdr:clientData/>
  </xdr:twoCellAnchor>
  <xdr:twoCellAnchor>
    <xdr:from>
      <xdr:col>0</xdr:col>
      <xdr:colOff>306161</xdr:colOff>
      <xdr:row>11</xdr:row>
      <xdr:rowOff>31750</xdr:rowOff>
    </xdr:from>
    <xdr:to>
      <xdr:col>12</xdr:col>
      <xdr:colOff>677636</xdr:colOff>
      <xdr:row>15</xdr:row>
      <xdr:rowOff>391583</xdr:rowOff>
    </xdr:to>
    <xdr:sp macro="" textlink="">
      <xdr:nvSpPr>
        <xdr:cNvPr id="3" name="Text Box 4">
          <a:extLst>
            <a:ext uri="{FF2B5EF4-FFF2-40B4-BE49-F238E27FC236}">
              <a16:creationId xmlns:a16="http://schemas.microsoft.com/office/drawing/2014/main" id="{4B1AAB3F-EC6D-47A5-BFC8-57614BB19A63}"/>
            </a:ext>
          </a:extLst>
        </xdr:cNvPr>
        <xdr:cNvSpPr txBox="1"/>
      </xdr:nvSpPr>
      <xdr:spPr>
        <a:xfrm>
          <a:off x="306161" y="2053167"/>
          <a:ext cx="9515475" cy="1269999"/>
        </a:xfrm>
        <a:prstGeom prst="rect">
          <a:avLst/>
        </a:prstGeom>
        <a:noFill/>
        <a:ln>
          <a:noFill/>
        </a:ln>
        <a:effectLst/>
        <a:extLst>
          <a:ext uri="{C572A759-6A51-4108-AA02-DFA0A04FC94B}">
            <ma14:wrappingTextBoxFlag xmlns="" xmlns:ma14="http://schemas.microsoft.com/office/mac/drawingml/2011/main"/>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r>
            <a:rPr lang="nb-NO" sz="2800" b="1">
              <a:solidFill>
                <a:srgbClr val="005670"/>
              </a:solidFill>
              <a:effectLst/>
              <a:latin typeface="Arial"/>
              <a:ea typeface="ＭＳ 明朝"/>
              <a:cs typeface="Times New Roman"/>
            </a:rPr>
            <a:t>Markedsandeler</a:t>
          </a:r>
        </a:p>
        <a:p>
          <a:pPr>
            <a:spcAft>
              <a:spcPts val="0"/>
            </a:spcAft>
          </a:pPr>
          <a:r>
            <a:rPr lang="nb-NO" sz="2200" b="0" baseline="0">
              <a:solidFill>
                <a:srgbClr val="005670"/>
              </a:solidFill>
              <a:effectLst/>
              <a:latin typeface="Arial"/>
              <a:ea typeface="ＭＳ 明朝"/>
              <a:cs typeface="Times New Roman"/>
            </a:rPr>
            <a:t> </a:t>
          </a:r>
          <a:r>
            <a:rPr lang="nb-NO" sz="2600" b="0" baseline="0">
              <a:solidFill>
                <a:srgbClr val="005670"/>
              </a:solidFill>
              <a:effectLst/>
              <a:latin typeface="Arial"/>
              <a:ea typeface="ＭＳ 明朝"/>
              <a:cs typeface="Times New Roman"/>
            </a:rPr>
            <a:t>- endelige tall og regnskapsstatistikk</a:t>
          </a:r>
          <a:r>
            <a:rPr lang="nb-NO" sz="2800" b="0">
              <a:solidFill>
                <a:srgbClr val="005670"/>
              </a:solidFill>
              <a:effectLst/>
              <a:latin typeface="Arial"/>
              <a:ea typeface="ＭＳ 明朝"/>
              <a:cs typeface="Times New Roman"/>
            </a:rPr>
            <a:t>	</a:t>
          </a:r>
          <a:endParaRPr lang="nb-NO" sz="1200" b="0">
            <a:solidFill>
              <a:srgbClr val="005670"/>
            </a:solidFill>
            <a:effectLst/>
            <a:ea typeface="ＭＳ 明朝"/>
            <a:cs typeface="Times New Roman"/>
          </a:endParaRPr>
        </a:p>
      </xdr:txBody>
    </xdr:sp>
    <xdr:clientData/>
  </xdr:twoCellAnchor>
  <xdr:twoCellAnchor editAs="oneCell">
    <xdr:from>
      <xdr:col>0</xdr:col>
      <xdr:colOff>419099</xdr:colOff>
      <xdr:row>1</xdr:row>
      <xdr:rowOff>79524</xdr:rowOff>
    </xdr:from>
    <xdr:to>
      <xdr:col>5</xdr:col>
      <xdr:colOff>539750</xdr:colOff>
      <xdr:row>8</xdr:row>
      <xdr:rowOff>40422</xdr:rowOff>
    </xdr:to>
    <xdr:pic>
      <xdr:nvPicPr>
        <xdr:cNvPr id="4" name="Bilde 7">
          <a:extLst>
            <a:ext uri="{FF2B5EF4-FFF2-40B4-BE49-F238E27FC236}">
              <a16:creationId xmlns:a16="http://schemas.microsoft.com/office/drawing/2014/main" id="{1A0320DA-F81B-48DC-A876-A2AA50D0DB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099" y="238274"/>
          <a:ext cx="3930651" cy="12097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6</xdr:row>
      <xdr:rowOff>0</xdr:rowOff>
    </xdr:from>
    <xdr:to>
      <xdr:col>9</xdr:col>
      <xdr:colOff>352425</xdr:colOff>
      <xdr:row>27</xdr:row>
      <xdr:rowOff>9525</xdr:rowOff>
    </xdr:to>
    <xdr:graphicFrame macro="">
      <xdr:nvGraphicFramePr>
        <xdr:cNvPr id="2" name="Chart 1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31</xdr:row>
      <xdr:rowOff>219075</xdr:rowOff>
    </xdr:from>
    <xdr:to>
      <xdr:col>9</xdr:col>
      <xdr:colOff>285750</xdr:colOff>
      <xdr:row>50</xdr:row>
      <xdr:rowOff>123825</xdr:rowOff>
    </xdr:to>
    <xdr:graphicFrame macro="">
      <xdr:nvGraphicFramePr>
        <xdr:cNvPr id="3" name="Chart 1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28575</xdr:colOff>
      <xdr:row>56</xdr:row>
      <xdr:rowOff>228600</xdr:rowOff>
    </xdr:from>
    <xdr:to>
      <xdr:col>9</xdr:col>
      <xdr:colOff>142875</xdr:colOff>
      <xdr:row>73</xdr:row>
      <xdr:rowOff>180975</xdr:rowOff>
    </xdr:to>
    <xdr:graphicFrame macro="">
      <xdr:nvGraphicFramePr>
        <xdr:cNvPr id="6" name="Chart 1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81</xdr:row>
      <xdr:rowOff>57150</xdr:rowOff>
    </xdr:from>
    <xdr:to>
      <xdr:col>9</xdr:col>
      <xdr:colOff>123825</xdr:colOff>
      <xdr:row>100</xdr:row>
      <xdr:rowOff>114300</xdr:rowOff>
    </xdr:to>
    <xdr:graphicFrame macro="">
      <xdr:nvGraphicFramePr>
        <xdr:cNvPr id="7" name="Chart 1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28575</xdr:colOff>
      <xdr:row>107</xdr:row>
      <xdr:rowOff>28575</xdr:rowOff>
    </xdr:from>
    <xdr:to>
      <xdr:col>9</xdr:col>
      <xdr:colOff>180975</xdr:colOff>
      <xdr:row>123</xdr:row>
      <xdr:rowOff>200025</xdr:rowOff>
    </xdr:to>
    <xdr:graphicFrame macro="">
      <xdr:nvGraphicFramePr>
        <xdr:cNvPr id="8" name="Chart 1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131</xdr:row>
      <xdr:rowOff>57150</xdr:rowOff>
    </xdr:from>
    <xdr:to>
      <xdr:col>9</xdr:col>
      <xdr:colOff>171450</xdr:colOff>
      <xdr:row>149</xdr:row>
      <xdr:rowOff>123825</xdr:rowOff>
    </xdr:to>
    <xdr:graphicFrame macro="">
      <xdr:nvGraphicFramePr>
        <xdr:cNvPr id="9" name="Chart 1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10583</xdr:colOff>
      <xdr:row>4</xdr:row>
      <xdr:rowOff>137583</xdr:rowOff>
    </xdr:from>
    <xdr:to>
      <xdr:col>0</xdr:col>
      <xdr:colOff>4064000</xdr:colOff>
      <xdr:row>40</xdr:row>
      <xdr:rowOff>84666</xdr:rowOff>
    </xdr:to>
    <xdr:sp macro="" textlink="">
      <xdr:nvSpPr>
        <xdr:cNvPr id="4" name="Text Box 1026">
          <a:extLst>
            <a:ext uri="{FF2B5EF4-FFF2-40B4-BE49-F238E27FC236}">
              <a16:creationId xmlns:a16="http://schemas.microsoft.com/office/drawing/2014/main" id="{00000000-0008-0000-2100-000004000000}"/>
            </a:ext>
          </a:extLst>
        </xdr:cNvPr>
        <xdr:cNvSpPr txBox="1">
          <a:spLocks noChangeArrowheads="1"/>
        </xdr:cNvSpPr>
      </xdr:nvSpPr>
      <xdr:spPr bwMode="auto">
        <a:xfrm>
          <a:off x="10583" y="772583"/>
          <a:ext cx="4053417" cy="10318750"/>
        </a:xfrm>
        <a:prstGeom prst="rect">
          <a:avLst/>
        </a:prstGeom>
        <a:solidFill>
          <a:srgbClr val="FFFFFF"/>
        </a:solidFill>
        <a:ln w="9525">
          <a:noFill/>
          <a:miter lim="800000"/>
          <a:headEnd/>
          <a:tailEnd/>
        </a:ln>
      </xdr:spPr>
      <xdr:txBody>
        <a:bodyPr vertOverflow="clip" wrap="square" lIns="36576" tIns="32004" rIns="0" bIns="0" anchor="t" upright="1"/>
        <a:lstStyle/>
        <a:p>
          <a:pPr algn="l" rtl="0">
            <a:lnSpc>
              <a:spcPts val="1600"/>
            </a:lnSpc>
            <a:defRPr sz="1000"/>
          </a:pPr>
          <a:r>
            <a:rPr lang="nb-NO" sz="1200" b="1" i="0" strike="noStrike">
              <a:solidFill>
                <a:srgbClr val="000000"/>
              </a:solidFill>
              <a:latin typeface="Times New Roman"/>
              <a:cs typeface="Times New Roman"/>
            </a:rPr>
            <a:t>Selskaper som inngår i statistikken</a:t>
          </a:r>
        </a:p>
        <a:p>
          <a:pPr algn="l" rtl="0">
            <a:lnSpc>
              <a:spcPts val="1600"/>
            </a:lnSpc>
            <a:defRPr sz="1000"/>
          </a:pPr>
          <a:r>
            <a:rPr lang="nb-NO" sz="1200" b="0" i="0" strike="noStrike">
              <a:solidFill>
                <a:srgbClr val="000000"/>
              </a:solidFill>
              <a:latin typeface="Times New Roman"/>
              <a:cs typeface="Times New Roman"/>
            </a:rPr>
            <a:t>Statistikken viser tall for medlemsselskaper i Finans Norge som </a:t>
          </a:r>
          <a:br>
            <a:rPr lang="nb-NO" sz="1200" b="0" i="0" strike="noStrike">
              <a:solidFill>
                <a:srgbClr val="000000"/>
              </a:solidFill>
              <a:latin typeface="Times New Roman"/>
              <a:cs typeface="Times New Roman"/>
            </a:rPr>
          </a:br>
          <a:r>
            <a:rPr lang="nb-NO" sz="1200" b="0" i="0" strike="noStrike">
              <a:solidFill>
                <a:srgbClr val="000000"/>
              </a:solidFill>
              <a:latin typeface="Times New Roman"/>
              <a:cs typeface="Times New Roman"/>
            </a:rPr>
            <a:t>selger livprodukter.</a:t>
          </a:r>
        </a:p>
        <a:p>
          <a:pPr algn="l" rtl="0">
            <a:lnSpc>
              <a:spcPts val="1600"/>
            </a:lnSpc>
            <a:defRPr sz="1000"/>
          </a:pPr>
          <a:endParaRPr lang="nb-NO" sz="1200" b="1" i="0" strike="noStrike">
            <a:solidFill>
              <a:srgbClr val="000000"/>
            </a:solidFill>
            <a:latin typeface="Times New Roman"/>
            <a:cs typeface="Times New Roman"/>
          </a:endParaRPr>
        </a:p>
        <a:p>
          <a:pPr algn="l" rtl="0">
            <a:lnSpc>
              <a:spcPts val="1600"/>
            </a:lnSpc>
            <a:defRPr sz="1000"/>
          </a:pPr>
          <a:r>
            <a:rPr lang="nb-NO" sz="1200" b="0" i="0" u="sng" strike="noStrike">
              <a:solidFill>
                <a:srgbClr val="000000"/>
              </a:solidFill>
              <a:latin typeface="Times New Roman"/>
              <a:cs typeface="Times New Roman"/>
            </a:rPr>
            <a:t>Produkter uten investeringsvalg</a:t>
          </a:r>
          <a:r>
            <a:rPr lang="nb-NO" sz="1200" b="0" i="0" strike="noStrike">
              <a:solidFill>
                <a:srgbClr val="000000"/>
              </a:solidFill>
              <a:latin typeface="Times New Roman"/>
              <a:cs typeface="Times New Roman"/>
            </a:rPr>
            <a:t>:</a:t>
          </a:r>
        </a:p>
        <a:p>
          <a:pPr marL="0" marR="0" indent="0" algn="l" defTabSz="914400" rtl="0" eaLnBrk="1" fontAlgn="auto" latinLnBrk="0" hangingPunct="1">
            <a:lnSpc>
              <a:spcPts val="1600"/>
            </a:lnSpc>
            <a:spcBef>
              <a:spcPts val="0"/>
            </a:spcBef>
            <a:spcAft>
              <a:spcPts val="0"/>
            </a:spcAft>
            <a:buClrTx/>
            <a:buSzTx/>
            <a:buFontTx/>
            <a:buNone/>
            <a:tabLst/>
            <a:defRPr sz="1000"/>
          </a:pPr>
          <a:r>
            <a:rPr lang="nb-NO" sz="1200" b="0" i="0" strike="noStrike">
              <a:solidFill>
                <a:srgbClr val="000000"/>
              </a:solidFill>
              <a:latin typeface="Times New Roman"/>
              <a:cs typeface="Times New Roman"/>
            </a:rPr>
            <a:t>DNB Livsforsikring ASA</a:t>
          </a:r>
          <a:endParaRPr lang="nb-NO" sz="1200" b="0" i="0" strike="noStrike" baseline="0">
            <a:solidFill>
              <a:srgbClr val="000000"/>
            </a:solidFill>
            <a:latin typeface="Times New Roman"/>
            <a:cs typeface="Times New Roman"/>
          </a:endParaRPr>
        </a:p>
        <a:p>
          <a:pPr algn="l" rtl="0">
            <a:lnSpc>
              <a:spcPts val="1600"/>
            </a:lnSpc>
            <a:defRPr sz="1000"/>
          </a:pPr>
          <a:r>
            <a:rPr lang="nb-NO" sz="1200" b="0" i="0" strike="noStrike" baseline="0">
              <a:solidFill>
                <a:srgbClr val="000000"/>
              </a:solidFill>
              <a:latin typeface="Times New Roman"/>
              <a:cs typeface="Times New Roman"/>
            </a:rPr>
            <a:t>Euro Accident</a:t>
          </a:r>
        </a:p>
        <a:p>
          <a:pPr algn="l" rtl="0">
            <a:lnSpc>
              <a:spcPts val="1600"/>
            </a:lnSpc>
            <a:defRPr sz="1000"/>
          </a:pPr>
          <a:r>
            <a:rPr lang="nb-NO" sz="1200" b="0" i="0" strike="noStrike" baseline="0">
              <a:solidFill>
                <a:srgbClr val="000000"/>
              </a:solidFill>
              <a:latin typeface="Times New Roman"/>
              <a:cs typeface="Times New Roman"/>
            </a:rPr>
            <a:t>Fremtind Forsikring (skadeselskap)</a:t>
          </a:r>
        </a:p>
        <a:p>
          <a:pPr algn="l" rtl="0">
            <a:lnSpc>
              <a:spcPts val="1600"/>
            </a:lnSpc>
            <a:defRPr sz="1000"/>
          </a:pPr>
          <a:r>
            <a:rPr lang="nb-NO" sz="1200" b="0" i="0" strike="noStrike" baseline="0">
              <a:solidFill>
                <a:srgbClr val="000000"/>
              </a:solidFill>
              <a:latin typeface="Times New Roman"/>
              <a:cs typeface="Times New Roman"/>
            </a:rPr>
            <a:t>Fremtind Livsforsikring</a:t>
          </a:r>
        </a:p>
        <a:p>
          <a:pPr algn="l" rtl="0">
            <a:lnSpc>
              <a:spcPts val="1600"/>
            </a:lnSpc>
            <a:defRPr sz="1000"/>
          </a:pPr>
          <a:r>
            <a:rPr lang="nb-NO" sz="1200" b="0" i="0" strike="noStrike">
              <a:solidFill>
                <a:srgbClr val="000000"/>
              </a:solidFill>
              <a:latin typeface="Times New Roman"/>
              <a:cs typeface="Times New Roman"/>
            </a:rPr>
            <a:t>Frende Livsforsikring</a:t>
          </a:r>
        </a:p>
        <a:p>
          <a:pPr algn="l" rtl="0">
            <a:lnSpc>
              <a:spcPts val="1600"/>
            </a:lnSpc>
            <a:defRPr sz="1000"/>
          </a:pPr>
          <a:r>
            <a:rPr lang="nb-NO" sz="1200" b="0" i="0" strike="noStrike">
              <a:solidFill>
                <a:srgbClr val="000000"/>
              </a:solidFill>
              <a:latin typeface="Times New Roman"/>
              <a:cs typeface="Times New Roman"/>
            </a:rPr>
            <a:t>Frende Skadeforsikring (skadeselskap)</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Gjensidige Forsikring (skadeselskap)</a:t>
          </a:r>
        </a:p>
        <a:p>
          <a:pPr algn="l" rtl="0">
            <a:lnSpc>
              <a:spcPts val="1600"/>
            </a:lnSpc>
            <a:defRPr sz="1000"/>
          </a:pPr>
          <a:r>
            <a:rPr lang="nb-NO" sz="1200" b="0" i="0" strike="noStrike">
              <a:solidFill>
                <a:srgbClr val="000000"/>
              </a:solidFill>
              <a:latin typeface="Times New Roman"/>
              <a:cs typeface="Times New Roman"/>
            </a:rPr>
            <a:t>Gjensidige Pensjonsforsikring</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If Skadeforsikring NUF (skadeselskap)</a:t>
          </a:r>
        </a:p>
        <a:p>
          <a:pPr algn="l" rtl="0">
            <a:lnSpc>
              <a:spcPts val="1600"/>
            </a:lnSpc>
            <a:defRPr sz="1000"/>
          </a:pPr>
          <a:r>
            <a:rPr lang="nb-NO" sz="1200" b="0" i="0" strike="noStrike">
              <a:solidFill>
                <a:srgbClr val="000000"/>
              </a:solidFill>
              <a:latin typeface="Times New Roman"/>
              <a:cs typeface="Times New Roman"/>
            </a:rPr>
            <a:t>KLP</a:t>
          </a:r>
        </a:p>
        <a:p>
          <a:pPr algn="l" rtl="0">
            <a:lnSpc>
              <a:spcPts val="1600"/>
            </a:lnSpc>
            <a:defRPr sz="1000"/>
          </a:pPr>
          <a:r>
            <a:rPr lang="nb-NO" sz="1200" b="0" i="0" strike="noStrike" baseline="0">
              <a:solidFill>
                <a:srgbClr val="000000"/>
              </a:solidFill>
              <a:latin typeface="Times New Roman"/>
              <a:cs typeface="Times New Roman"/>
            </a:rPr>
            <a:t>KLP Skadeforsikring AS</a:t>
          </a:r>
        </a:p>
        <a:p>
          <a:pPr algn="l" rtl="0">
            <a:lnSpc>
              <a:spcPts val="1600"/>
            </a:lnSpc>
            <a:defRPr sz="1000"/>
          </a:pPr>
          <a:r>
            <a:rPr lang="nb-NO" sz="1200" b="0" i="0" strike="noStrike" baseline="0">
              <a:solidFill>
                <a:srgbClr val="000000"/>
              </a:solidFill>
              <a:latin typeface="Times New Roman"/>
              <a:cs typeface="Times New Roman"/>
            </a:rPr>
            <a:t>Knif Trygghet Forsikring (skadeselskap)</a:t>
          </a:r>
        </a:p>
        <a:p>
          <a:pPr algn="l" rtl="0">
            <a:lnSpc>
              <a:spcPts val="1600"/>
            </a:lnSpc>
            <a:defRPr sz="1000"/>
          </a:pPr>
          <a:r>
            <a:rPr lang="nb-NO" sz="1200" b="0" i="0" strike="noStrike" baseline="0">
              <a:solidFill>
                <a:srgbClr val="000000"/>
              </a:solidFill>
              <a:latin typeface="Times New Roman"/>
              <a:cs typeface="Times New Roman"/>
            </a:rPr>
            <a:t>Landkreditt Forsikring (skadeselskap)</a:t>
          </a:r>
          <a:endParaRPr lang="nb-NO" sz="1200" b="0" i="0" strike="noStrike">
            <a:solidFill>
              <a:srgbClr val="000000"/>
            </a:solidFill>
            <a:latin typeface="Times New Roman"/>
            <a:cs typeface="Times New Roman"/>
          </a:endParaRPr>
        </a:p>
        <a:p>
          <a:pPr algn="l" rtl="0">
            <a:lnSpc>
              <a:spcPts val="1600"/>
            </a:lnSpc>
            <a:defRPr sz="1000"/>
          </a:pPr>
          <a:r>
            <a:rPr lang="nb-NO" sz="1200" b="0" i="0" strike="noStrike">
              <a:solidFill>
                <a:srgbClr val="000000"/>
              </a:solidFill>
              <a:latin typeface="Times New Roman"/>
              <a:cs typeface="Times New Roman"/>
            </a:rPr>
            <a:t>Nordea Liv Forsikring</a:t>
          </a:r>
        </a:p>
        <a:p>
          <a:pPr algn="l" rtl="0">
            <a:lnSpc>
              <a:spcPts val="1600"/>
            </a:lnSpc>
            <a:defRPr sz="1000"/>
          </a:pPr>
          <a:r>
            <a:rPr lang="nb-NO" sz="1200" b="0" i="0" strike="noStrike">
              <a:solidFill>
                <a:srgbClr val="000000"/>
              </a:solidFill>
              <a:latin typeface="Times New Roman"/>
              <a:cs typeface="Times New Roman"/>
            </a:rPr>
            <a:t>Ly Forsikring (skadeselskap)</a:t>
          </a:r>
        </a:p>
        <a:p>
          <a:pPr algn="l" rtl="0">
            <a:lnSpc>
              <a:spcPts val="1700"/>
            </a:lnSpc>
            <a:defRPr sz="1000"/>
          </a:pPr>
          <a:r>
            <a:rPr lang="nb-NO" sz="1200" b="0" i="0" strike="noStrike">
              <a:solidFill>
                <a:srgbClr val="000000"/>
              </a:solidFill>
              <a:latin typeface="Times New Roman"/>
              <a:cs typeface="Times New Roman"/>
            </a:rPr>
            <a:t>Oslo Pensjonsforsikring</a:t>
          </a:r>
        </a:p>
        <a:p>
          <a:pPr algn="l" rtl="0">
            <a:lnSpc>
              <a:spcPts val="1600"/>
            </a:lnSpc>
            <a:defRPr sz="1000"/>
          </a:pPr>
          <a:r>
            <a:rPr lang="nb-NO" sz="1200" b="0" i="0" strike="noStrike">
              <a:solidFill>
                <a:srgbClr val="000000"/>
              </a:solidFill>
              <a:latin typeface="Times New Roman"/>
              <a:cs typeface="Times New Roman"/>
            </a:rPr>
            <a:t>Protector Forsikring (skadeselskap)</a:t>
          </a:r>
        </a:p>
        <a:p>
          <a:pPr algn="l" rtl="0">
            <a:lnSpc>
              <a:spcPts val="1700"/>
            </a:lnSpc>
            <a:defRPr sz="1000"/>
          </a:pPr>
          <a:r>
            <a:rPr lang="nb-NO" sz="1200" b="0" i="0" strike="noStrike">
              <a:solidFill>
                <a:srgbClr val="000000"/>
              </a:solidFill>
              <a:latin typeface="Times New Roman"/>
              <a:cs typeface="Times New Roman"/>
            </a:rPr>
            <a:t>SpareBank 1 Forsikring</a:t>
          </a:r>
        </a:p>
        <a:p>
          <a:pPr algn="l" rtl="0">
            <a:lnSpc>
              <a:spcPts val="1600"/>
            </a:lnSpc>
            <a:defRPr sz="1000"/>
          </a:pPr>
          <a:r>
            <a:rPr lang="nb-NO" sz="1200" b="0" i="0" strike="noStrike">
              <a:solidFill>
                <a:srgbClr val="000000"/>
              </a:solidFill>
              <a:latin typeface="Times New Roman"/>
              <a:cs typeface="Times New Roman"/>
            </a:rPr>
            <a:t>Storebrand Livsforsikring</a:t>
          </a:r>
        </a:p>
        <a:p>
          <a:pPr marL="0" marR="0" lvl="0" indent="0" algn="l" defTabSz="914400" rtl="0" eaLnBrk="1" fontAlgn="auto" latinLnBrk="0" hangingPunct="1">
            <a:lnSpc>
              <a:spcPts val="17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Telenor Forsikring (skadeselskap)</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Tryg Forsikring (skadeselskap)</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WaterCircles Forsikring (Skadeforsikring)</a:t>
          </a:r>
        </a:p>
        <a:p>
          <a:pPr marL="0" marR="0" lvl="0" indent="0" algn="l" defTabSz="914400" rtl="0" eaLnBrk="1" fontAlgn="auto" latinLnBrk="0" hangingPunct="1">
            <a:lnSpc>
              <a:spcPts val="1600"/>
            </a:lnSpc>
            <a:spcBef>
              <a:spcPts val="0"/>
            </a:spcBef>
            <a:spcAft>
              <a:spcPts val="0"/>
            </a:spcAft>
            <a:buClrTx/>
            <a:buSzTx/>
            <a:buFontTx/>
            <a:buNone/>
            <a:tabLst/>
            <a:defRPr sz="1000"/>
          </a:pPr>
          <a:r>
            <a:rPr kumimoji="0" lang="nb-NO" sz="1200" b="0" i="0" u="none" strike="noStrike" kern="0" cap="none" spc="0" normalizeH="0" baseline="0" noProof="0">
              <a:ln>
                <a:noFill/>
              </a:ln>
              <a:solidFill>
                <a:srgbClr val="000000"/>
              </a:solidFill>
              <a:effectLst/>
              <a:uLnTx/>
              <a:uFillTx/>
              <a:latin typeface="Times New Roman"/>
              <a:ea typeface="+mn-ea"/>
              <a:cs typeface="Times New Roman"/>
            </a:rPr>
            <a:t>Youplus Livsforsikring nuf</a:t>
          </a:r>
        </a:p>
        <a:p>
          <a:pPr algn="l" rtl="0">
            <a:lnSpc>
              <a:spcPts val="1300"/>
            </a:lnSpc>
            <a:defRPr sz="1000"/>
          </a:pPr>
          <a:endParaRPr lang="nb-NO" sz="1200" b="0" i="0" strike="noStrike">
            <a:solidFill>
              <a:srgbClr val="000000"/>
            </a:solidFill>
            <a:latin typeface="Times New Roman"/>
            <a:cs typeface="Times New Roman"/>
          </a:endParaRPr>
        </a:p>
        <a:p>
          <a:pPr algn="l" rtl="0">
            <a:lnSpc>
              <a:spcPts val="1700"/>
            </a:lnSpc>
            <a:defRPr sz="1000"/>
          </a:pPr>
          <a:r>
            <a:rPr lang="nb-NO" sz="1200" b="0" i="0" u="sng" strike="noStrike">
              <a:solidFill>
                <a:srgbClr val="000000"/>
              </a:solidFill>
              <a:latin typeface="Times New Roman"/>
              <a:cs typeface="Times New Roman"/>
            </a:rPr>
            <a:t>Produkter med investeringsvalg</a:t>
          </a:r>
          <a:r>
            <a:rPr lang="nb-NO" sz="1200" b="0" i="0" strike="noStrike">
              <a:solidFill>
                <a:srgbClr val="000000"/>
              </a:solidFill>
              <a:latin typeface="Times New Roman"/>
              <a:cs typeface="Times New Roman"/>
            </a:rPr>
            <a:t>:</a:t>
          </a:r>
        </a:p>
        <a:p>
          <a:pPr algn="l" rtl="0">
            <a:lnSpc>
              <a:spcPts val="1700"/>
            </a:lnSpc>
            <a:defRPr sz="1000"/>
          </a:pPr>
          <a:r>
            <a:rPr lang="nb-NO" sz="1200" b="0" i="0" strike="noStrike">
              <a:solidFill>
                <a:srgbClr val="000000"/>
              </a:solidFill>
              <a:latin typeface="Times New Roman"/>
              <a:cs typeface="Times New Roman"/>
            </a:rPr>
            <a:t>DNB Livsforsikring ASA</a:t>
          </a:r>
        </a:p>
        <a:p>
          <a:pPr algn="l" rtl="0">
            <a:lnSpc>
              <a:spcPts val="1600"/>
            </a:lnSpc>
            <a:defRPr sz="1000"/>
          </a:pPr>
          <a:r>
            <a:rPr lang="nb-NO" sz="1200" b="0" i="0" strike="noStrike">
              <a:solidFill>
                <a:srgbClr val="000000"/>
              </a:solidFill>
              <a:latin typeface="Times New Roman"/>
              <a:cs typeface="Times New Roman"/>
            </a:rPr>
            <a:t>Gjensidige Pensjonsforsikring</a:t>
          </a:r>
        </a:p>
        <a:p>
          <a:pPr algn="l" rtl="0">
            <a:lnSpc>
              <a:spcPts val="1700"/>
            </a:lnSpc>
            <a:defRPr sz="1000"/>
          </a:pPr>
          <a:r>
            <a:rPr lang="nb-NO" sz="1200" b="0" i="0" strike="noStrike">
              <a:solidFill>
                <a:srgbClr val="000000"/>
              </a:solidFill>
              <a:latin typeface="Times New Roman"/>
              <a:cs typeface="Times New Roman"/>
            </a:rPr>
            <a:t>KLP</a:t>
          </a:r>
        </a:p>
        <a:p>
          <a:pPr algn="l" rtl="0">
            <a:lnSpc>
              <a:spcPts val="1700"/>
            </a:lnSpc>
            <a:defRPr sz="1000"/>
          </a:pPr>
          <a:r>
            <a:rPr lang="nb-NO" sz="1200" b="0" i="0" strike="noStrike">
              <a:solidFill>
                <a:srgbClr val="000000"/>
              </a:solidFill>
              <a:latin typeface="Times New Roman"/>
              <a:cs typeface="Times New Roman"/>
            </a:rPr>
            <a:t>Nordea Liv Forsikring</a:t>
          </a:r>
          <a:endParaRPr kumimoji="0" lang="nb-NO" sz="1200" b="0" i="0" u="none" strike="noStrike" kern="0" cap="none" spc="0" normalizeH="0" baseline="0" noProof="0">
            <a:ln>
              <a:noFill/>
            </a:ln>
            <a:solidFill>
              <a:srgbClr val="000000"/>
            </a:solidFill>
            <a:effectLst/>
            <a:uLnTx/>
            <a:uFillTx/>
            <a:latin typeface="Times New Roman"/>
            <a:ea typeface="+mn-ea"/>
            <a:cs typeface="Times New Roman"/>
          </a:endParaRPr>
        </a:p>
        <a:p>
          <a:pPr algn="l" rtl="0">
            <a:lnSpc>
              <a:spcPts val="1600"/>
            </a:lnSpc>
            <a:defRPr sz="1000"/>
          </a:pPr>
          <a:r>
            <a:rPr lang="nb-NO" sz="1200" b="0" i="0" strike="noStrike">
              <a:solidFill>
                <a:srgbClr val="000000"/>
              </a:solidFill>
              <a:latin typeface="Times New Roman"/>
              <a:cs typeface="Times New Roman"/>
            </a:rPr>
            <a:t>SpareBank 1 Forsikring</a:t>
          </a:r>
        </a:p>
        <a:p>
          <a:pPr algn="l" rtl="0">
            <a:lnSpc>
              <a:spcPts val="1700"/>
            </a:lnSpc>
            <a:defRPr sz="1000"/>
          </a:pPr>
          <a:r>
            <a:rPr lang="nb-NO" sz="1200" b="0" i="0" strike="noStrike">
              <a:solidFill>
                <a:srgbClr val="000000"/>
              </a:solidFill>
              <a:latin typeface="Times New Roman"/>
              <a:cs typeface="Times New Roman"/>
            </a:rPr>
            <a:t>Storebrand Livsforsikring</a:t>
          </a:r>
        </a:p>
        <a:p>
          <a:pPr algn="l" rtl="0">
            <a:lnSpc>
              <a:spcPts val="1300"/>
            </a:lnSpc>
            <a:defRPr sz="1000"/>
          </a:pPr>
          <a:endParaRPr lang="nb-NO" sz="1200" b="0" i="0" strike="noStrike">
            <a:solidFill>
              <a:srgbClr val="000000"/>
            </a:solidFill>
            <a:latin typeface="Times New Roman"/>
            <a:cs typeface="Times New Roman"/>
          </a:endParaRPr>
        </a:p>
        <a:p>
          <a:pPr algn="l" rtl="0">
            <a:lnSpc>
              <a:spcPts val="1600"/>
            </a:lnSpc>
            <a:defRPr sz="1000"/>
          </a:pPr>
          <a:r>
            <a:rPr lang="nb-NO" sz="1200" b="0" i="0" u="sng" strike="noStrike">
              <a:solidFill>
                <a:srgbClr val="000000"/>
              </a:solidFill>
              <a:latin typeface="Times New Roman"/>
              <a:cs typeface="Times New Roman"/>
            </a:rPr>
            <a:t>Utenlandske filialer</a:t>
          </a:r>
          <a:r>
            <a:rPr lang="nb-NO" sz="1200" b="0" i="0" strike="noStrike">
              <a:solidFill>
                <a:srgbClr val="000000"/>
              </a:solidFill>
              <a:latin typeface="Times New Roman"/>
              <a:cs typeface="Times New Roman"/>
            </a:rPr>
            <a:t>:</a:t>
          </a:r>
        </a:p>
        <a:p>
          <a:pPr algn="l" rtl="0">
            <a:lnSpc>
              <a:spcPts val="1700"/>
            </a:lnSpc>
            <a:defRPr sz="1000"/>
          </a:pPr>
          <a:r>
            <a:rPr lang="nb-NO" sz="1200" b="0" i="0" strike="noStrike">
              <a:solidFill>
                <a:srgbClr val="000000"/>
              </a:solidFill>
              <a:latin typeface="Times New Roman"/>
              <a:cs typeface="Times New Roman"/>
            </a:rPr>
            <a:t>Disse har ikke samme krav til regnskapsføring som norske livselskaper, og rapporterer derfor kun utvalgte</a:t>
          </a:r>
          <a:r>
            <a:rPr lang="nb-NO" sz="1200" b="0" i="0" strike="noStrike" baseline="0">
              <a:solidFill>
                <a:srgbClr val="000000"/>
              </a:solidFill>
              <a:latin typeface="Times New Roman"/>
              <a:cs typeface="Times New Roman"/>
            </a:rPr>
            <a:t> poster</a:t>
          </a:r>
          <a:r>
            <a:rPr lang="nb-NO" sz="1200" b="0" i="0" strike="noStrike">
              <a:solidFill>
                <a:srgbClr val="000000"/>
              </a:solidFill>
              <a:latin typeface="Times New Roman"/>
              <a:cs typeface="Times New Roman"/>
            </a:rPr>
            <a:t>.</a:t>
          </a:r>
        </a:p>
        <a:p>
          <a:pPr algn="l" rtl="0">
            <a:lnSpc>
              <a:spcPts val="1600"/>
            </a:lnSpc>
            <a:defRPr sz="1000"/>
          </a:pPr>
          <a:endParaRPr lang="nb-NO" sz="1200" b="0" i="0" strike="noStrike">
            <a:solidFill>
              <a:srgbClr val="000000"/>
            </a:solidFill>
            <a:latin typeface="Times New Roman"/>
            <a:cs typeface="Times New Roman"/>
          </a:endParaRPr>
        </a:p>
        <a:p>
          <a:pPr algn="l" rtl="0">
            <a:lnSpc>
              <a:spcPts val="1600"/>
            </a:lnSpc>
            <a:defRPr sz="1000"/>
          </a:pPr>
          <a:r>
            <a:rPr lang="nb-NO" sz="1200" b="0" i="0" strike="noStrike">
              <a:solidFill>
                <a:srgbClr val="000000"/>
              </a:solidFill>
              <a:latin typeface="Times New Roman"/>
              <a:cs typeface="Times New Roman"/>
            </a:rPr>
            <a:t>I figurer og tabeller har enkelte selskap "forkortede" navn.</a:t>
          </a:r>
        </a:p>
        <a:p>
          <a:pPr algn="l" rtl="0">
            <a:lnSpc>
              <a:spcPts val="13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r>
            <a:rPr lang="nb-NO" sz="1200" b="0" i="0" strike="noStrike">
              <a:solidFill>
                <a:srgbClr val="000000"/>
              </a:solidFill>
              <a:latin typeface="Times New Roman"/>
              <a:cs typeface="Times New Roman"/>
            </a:rPr>
            <a:t> </a:t>
          </a:r>
        </a:p>
        <a:p>
          <a:pPr algn="l" rtl="0">
            <a:lnSpc>
              <a:spcPts val="1400"/>
            </a:lnSpc>
            <a:defRPr sz="1000"/>
          </a:pPr>
          <a:endParaRPr lang="nb-NO" sz="1200" b="0" i="0" strike="noStrike">
            <a:solidFill>
              <a:srgbClr val="000000"/>
            </a:solidFill>
            <a:latin typeface="Times New Roman"/>
            <a:cs typeface="Times New Roman"/>
          </a:endParaRPr>
        </a:p>
        <a:p>
          <a:pPr algn="l" rtl="0">
            <a:lnSpc>
              <a:spcPts val="1400"/>
            </a:lnSpc>
            <a:defRPr sz="1000"/>
          </a:pPr>
          <a:r>
            <a:rPr lang="nb-NO" sz="1200" b="0" i="0" strike="noStrike">
              <a:solidFill>
                <a:srgbClr val="000000"/>
              </a:solidFill>
              <a:latin typeface="Times New Roman"/>
              <a:cs typeface="Times New Roman"/>
            </a:rPr>
            <a:t>     </a:t>
          </a: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000"/>
            </a:lnSpc>
            <a:defRPr sz="1000"/>
          </a:pPr>
          <a:r>
            <a:rPr lang="nb-NO" sz="1200" b="0" i="0" strike="noStrike">
              <a:solidFill>
                <a:srgbClr val="000000"/>
              </a:solidFill>
              <a:latin typeface="Times New Roman"/>
              <a:cs typeface="Times New Roman"/>
            </a:rPr>
            <a:t> </a:t>
          </a:r>
        </a:p>
        <a:p>
          <a:pPr algn="l" rtl="0">
            <a:lnSpc>
              <a:spcPts val="1100"/>
            </a:lnSpc>
            <a:defRPr sz="1000"/>
          </a:pPr>
          <a:endParaRPr lang="nb-NO" sz="1200" b="0" i="0" strike="noStrike">
            <a:solidFill>
              <a:srgbClr val="000000"/>
            </a:solidFill>
            <a:latin typeface="Times New Roman"/>
            <a:cs typeface="Times New Roman"/>
          </a:endParaRPr>
        </a:p>
        <a:p>
          <a:pPr algn="l" rtl="0">
            <a:lnSpc>
              <a:spcPts val="1000"/>
            </a:lnSpc>
            <a:defRPr sz="1000"/>
          </a:pPr>
          <a:r>
            <a:rPr lang="nb-NO" sz="1200" b="0" i="0" strike="noStrike">
              <a:solidFill>
                <a:srgbClr val="000000"/>
              </a:solidFill>
              <a:latin typeface="Times New Roman"/>
              <a:cs typeface="Times New Roman"/>
            </a:rPr>
            <a:t>   </a:t>
          </a:r>
        </a:p>
        <a:p>
          <a:pPr algn="l" rtl="0">
            <a:lnSpc>
              <a:spcPts val="1100"/>
            </a:lnSpc>
            <a:defRPr sz="1000"/>
          </a:pPr>
          <a:endParaRPr lang="nb-NO" sz="1200" b="0" i="0" strike="noStrike">
            <a:solidFill>
              <a:srgbClr val="000000"/>
            </a:solidFill>
            <a:latin typeface="Times New Roman"/>
            <a:cs typeface="Times New Roman"/>
          </a:endParaRPr>
        </a:p>
        <a:p>
          <a:pPr algn="l" rtl="0">
            <a:lnSpc>
              <a:spcPts val="10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0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200" b="0" i="0" strike="noStrike">
            <a:solidFill>
              <a:srgbClr val="000000"/>
            </a:solidFill>
            <a:latin typeface="Times New Roman"/>
            <a:cs typeface="Times New Roman"/>
          </a:endParaRPr>
        </a:p>
        <a:p>
          <a:pPr algn="l" rtl="0">
            <a:lnSpc>
              <a:spcPts val="1100"/>
            </a:lnSpc>
            <a:defRPr sz="1000"/>
          </a:pPr>
          <a:endParaRPr lang="nb-NO" sz="1400" b="0" i="0" strike="noStrike">
            <a:solidFill>
              <a:srgbClr val="000000"/>
            </a:solidFill>
            <a:latin typeface="Times New Roman"/>
            <a:cs typeface="Times New Roman"/>
          </a:endParaRPr>
        </a:p>
        <a:p>
          <a:pPr algn="l" rtl="0">
            <a:lnSpc>
              <a:spcPts val="1000"/>
            </a:lnSpc>
            <a:defRPr sz="1000"/>
          </a:pPr>
          <a:endParaRPr lang="nb-NO" sz="1400" b="0" i="0" strike="noStrike">
            <a:solidFill>
              <a:srgbClr val="000000"/>
            </a:solidFill>
            <a:latin typeface="Times New Roman"/>
            <a:cs typeface="Times New Roman"/>
          </a:endParaRPr>
        </a:p>
        <a:p>
          <a:pPr algn="l" rtl="0">
            <a:lnSpc>
              <a:spcPts val="1100"/>
            </a:lnSpc>
            <a:defRPr sz="1000"/>
          </a:pPr>
          <a:endParaRPr lang="nb-NO" sz="1400" b="0" i="0" strike="noStrike">
            <a:solidFill>
              <a:srgbClr val="000000"/>
            </a:solidFill>
            <a:latin typeface="Times New Roman"/>
            <a:cs typeface="Times New Roman"/>
          </a:endParaRPr>
        </a:p>
        <a:p>
          <a:pPr algn="l" rtl="0">
            <a:lnSpc>
              <a:spcPts val="1100"/>
            </a:lnSpc>
            <a:defRPr sz="1000"/>
          </a:pPr>
          <a:endParaRPr lang="nb-NO" sz="1400" b="0" i="0" strike="noStrike">
            <a:solidFill>
              <a:srgbClr val="000000"/>
            </a:solidFill>
            <a:latin typeface="Times New Roman"/>
            <a:cs typeface="Times New Roman"/>
          </a:endParaRPr>
        </a:p>
        <a:p>
          <a:pPr algn="l" rtl="0">
            <a:lnSpc>
              <a:spcPts val="1000"/>
            </a:lnSpc>
            <a:defRPr sz="1000"/>
          </a:pPr>
          <a:endParaRPr lang="nb-NO" sz="1400" b="0" i="0" strike="noStrike">
            <a:solidFill>
              <a:srgbClr val="000000"/>
            </a:solidFill>
            <a:latin typeface="Times New Roman"/>
            <a:cs typeface="Times New Roman"/>
          </a:endParaRPr>
        </a:p>
      </xdr:txBody>
    </xdr:sp>
    <xdr:clientData/>
  </xdr:twoCellAnchor>
  <xdr:twoCellAnchor>
    <xdr:from>
      <xdr:col>3</xdr:col>
      <xdr:colOff>455084</xdr:colOff>
      <xdr:row>5</xdr:row>
      <xdr:rowOff>10583</xdr:rowOff>
    </xdr:from>
    <xdr:to>
      <xdr:col>11</xdr:col>
      <xdr:colOff>349250</xdr:colOff>
      <xdr:row>29</xdr:row>
      <xdr:rowOff>63500</xdr:rowOff>
    </xdr:to>
    <xdr:sp macro="" textlink="">
      <xdr:nvSpPr>
        <xdr:cNvPr id="5" name="TekstSylinder 4">
          <a:extLst>
            <a:ext uri="{FF2B5EF4-FFF2-40B4-BE49-F238E27FC236}">
              <a16:creationId xmlns:a16="http://schemas.microsoft.com/office/drawing/2014/main" id="{00000000-0008-0000-2100-000005000000}"/>
            </a:ext>
          </a:extLst>
        </xdr:cNvPr>
        <xdr:cNvSpPr txBox="1"/>
      </xdr:nvSpPr>
      <xdr:spPr>
        <a:xfrm>
          <a:off x="12170834" y="804333"/>
          <a:ext cx="6413499" cy="828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endParaRPr lang="nb-NO">
            <a:effectLst/>
          </a:endParaRPr>
        </a:p>
        <a:p>
          <a:pPr rtl="0" eaLnBrk="1" fontAlgn="auto" latinLnBrk="0" hangingPunct="1"/>
          <a:r>
            <a:rPr lang="nb-NO" sz="1100" b="1" i="0" baseline="0">
              <a:solidFill>
                <a:schemeClr val="dk1"/>
              </a:solidFill>
              <a:effectLst/>
              <a:latin typeface="Times New Roman" panose="02020603050405020304" pitchFamily="18" charset="0"/>
              <a:ea typeface="+mn-ea"/>
              <a:cs typeface="Times New Roman" panose="02020603050405020304" pitchFamily="18" charset="0"/>
            </a:rPr>
            <a:t>Kommentarer til dataene</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0" i="0" u="sng"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u="sng" baseline="0">
              <a:solidFill>
                <a:schemeClr val="dk1"/>
              </a:solidFill>
              <a:effectLst/>
              <a:latin typeface="Times New Roman" panose="02020603050405020304" pitchFamily="18" charset="0"/>
              <a:ea typeface="+mn-ea"/>
              <a:cs typeface="Times New Roman" panose="02020603050405020304" pitchFamily="18" charset="0"/>
            </a:rPr>
            <a:t>Generelle kommentarer</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Når det nedenfor står "Endring i 20xx-tall", menes endringer i forhold til tilsvarende periode året før.</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0"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For Brutto forfalt premie kan regnskapstallene (Tabell 4) være høyere enn markedstallene (Tabell 2a) fordi de kan inneholde tall for skadeforsikring og utenlandsk virksomhet.</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0"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For Overførte reserver til/fra andre i markedstallene inngår ikke overførte reserver som gjelder Gruppeliv. Disse vil imidlertid inngå i Tabell 4.</a:t>
          </a:r>
          <a:endParaRPr lang="nb-NO" sz="1100">
            <a:latin typeface="Times New Roman" panose="02020603050405020304" pitchFamily="18" charset="0"/>
            <a:cs typeface="Times New Roman" panose="02020603050405020304" pitchFamily="18" charset="0"/>
          </a:endParaRPr>
        </a:p>
        <a:p>
          <a:endParaRPr lang="nb-NO" sz="1100" u="sng">
            <a:latin typeface="Times New Roman" panose="02020603050405020304" pitchFamily="18" charset="0"/>
            <a:cs typeface="Times New Roman" panose="02020603050405020304" pitchFamily="18" charset="0"/>
          </a:endParaRPr>
        </a:p>
        <a:p>
          <a:pPr rtl="0" eaLnBrk="1" fontAlgn="auto" latinLnBrk="0" hangingPunct="1"/>
          <a:r>
            <a:rPr lang="nb-NO" sz="1100" u="sng">
              <a:solidFill>
                <a:schemeClr val="dk1"/>
              </a:solidFill>
              <a:effectLst/>
              <a:latin typeface="+mn-lt"/>
              <a:ea typeface="+mn-ea"/>
              <a:cs typeface="+mn-cs"/>
            </a:rPr>
            <a:t>Fremtind:</a:t>
          </a:r>
          <a:endParaRPr lang="nb-NO">
            <a:effectLst/>
          </a:endParaRPr>
        </a:p>
        <a:p>
          <a:pPr rtl="0" eaLnBrk="1" fontAlgn="auto" latinLnBrk="0" hangingPunct="1"/>
          <a:r>
            <a:rPr lang="nb-NO" sz="1100">
              <a:solidFill>
                <a:schemeClr val="dk1"/>
              </a:solidFill>
              <a:effectLst/>
              <a:latin typeface="+mn-lt"/>
              <a:ea typeface="+mn-ea"/>
              <a:cs typeface="+mn-cs"/>
            </a:rPr>
            <a:t>I</a:t>
          </a:r>
          <a:r>
            <a:rPr lang="nb-NO" sz="1100" baseline="0">
              <a:solidFill>
                <a:schemeClr val="dk1"/>
              </a:solidFill>
              <a:effectLst/>
              <a:latin typeface="+mn-lt"/>
              <a:ea typeface="+mn-ea"/>
              <a:cs typeface="+mn-cs"/>
            </a:rPr>
            <a:t> statistikken fra og med 1.kvartal 2026 inngår Fremtind Livsforsikring og Fremtind Forsikring samlet som Fremtind i markedsdelen. Forsikringsforpliktelser for 1.-3.kvartal omfatter kun Fremtind Livsforsikring. I regnskapsdelen inngår kun Fremtind Livsforsikring.</a:t>
          </a:r>
          <a:br>
            <a:rPr lang="nb-NO" sz="1100" baseline="0">
              <a:solidFill>
                <a:schemeClr val="dk1"/>
              </a:solidFill>
              <a:effectLst/>
              <a:latin typeface="+mn-lt"/>
              <a:ea typeface="+mn-ea"/>
              <a:cs typeface="+mn-cs"/>
            </a:rPr>
          </a:br>
          <a:endParaRPr lang="nb-NO" sz="1100" baseline="0">
            <a:solidFill>
              <a:schemeClr val="dk1"/>
            </a:solidFill>
            <a:effectLst/>
            <a:latin typeface="+mn-lt"/>
            <a:ea typeface="+mn-ea"/>
            <a:cs typeface="+mn-cs"/>
          </a:endParaRPr>
        </a:p>
        <a:p>
          <a:pPr rtl="0" eaLnBrk="1" fontAlgn="auto" latinLnBrk="0" hangingPunct="1"/>
          <a:r>
            <a:rPr lang="nb-NO" sz="1100" u="sng">
              <a:solidFill>
                <a:schemeClr val="dk1"/>
              </a:solidFill>
              <a:effectLst/>
              <a:latin typeface="+mn-lt"/>
              <a:ea typeface="+mn-ea"/>
              <a:cs typeface="+mn-cs"/>
            </a:rPr>
            <a:t>Oslo Pensjonsforsikring:</a:t>
          </a:r>
          <a:endParaRPr lang="nb-NO">
            <a:effectLst/>
          </a:endParaRPr>
        </a:p>
        <a:p>
          <a:r>
            <a:rPr lang="nb-NO" sz="1100">
              <a:effectLst/>
              <a:latin typeface="Aptos" panose="020B0004020202020204" pitchFamily="34" charset="0"/>
              <a:ea typeface="Aptos" panose="020B0004020202020204" pitchFamily="34" charset="0"/>
              <a:cs typeface="Calibri" panose="020F0502020204030204" pitchFamily="34" charset="0"/>
            </a:rPr>
            <a:t>Det tas forbehold om at tallene er foreløpige og vil kunne bli endret.</a:t>
          </a:r>
          <a:br>
            <a:rPr lang="nb-NO" sz="1100">
              <a:effectLst/>
              <a:latin typeface="Aptos" panose="020B0004020202020204" pitchFamily="34" charset="0"/>
              <a:ea typeface="Aptos" panose="020B0004020202020204" pitchFamily="34" charset="0"/>
              <a:cs typeface="Calibri" panose="020F0502020204030204" pitchFamily="34" charset="0"/>
            </a:rPr>
          </a:br>
          <a:br>
            <a:rPr lang="nb-NO" sz="1100">
              <a:effectLst/>
              <a:latin typeface="Aptos" panose="020B0004020202020204" pitchFamily="34" charset="0"/>
              <a:ea typeface="Aptos" panose="020B0004020202020204" pitchFamily="34" charset="0"/>
              <a:cs typeface="Calibri" panose="020F0502020204030204" pitchFamily="34" charset="0"/>
            </a:rPr>
          </a:br>
          <a:endParaRPr lang="nb-NO" sz="1100">
            <a:latin typeface="Times New Roman" panose="02020603050405020304" pitchFamily="18" charset="0"/>
            <a:cs typeface="Times New Roman" panose="02020603050405020304" pitchFamily="18" charset="0"/>
          </a:endParaRPr>
        </a:p>
        <a:p>
          <a:pPr rtl="0" eaLnBrk="1" fontAlgn="auto" latinLnBrk="0" hangingPunct="1"/>
          <a:r>
            <a:rPr lang="nb-NO" sz="1100" b="1" i="0" baseline="0">
              <a:solidFill>
                <a:schemeClr val="dk1"/>
              </a:solidFill>
              <a:effectLst/>
              <a:latin typeface="Times New Roman" panose="02020603050405020304" pitchFamily="18" charset="0"/>
              <a:ea typeface="+mn-ea"/>
              <a:cs typeface="Times New Roman" panose="02020603050405020304" pitchFamily="18" charset="0"/>
            </a:rPr>
            <a:t>Innsamlede data</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De innsamlede data er identiske med det som forekommer i statistikken.</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0"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De underliggende tallene for statistikken er med en desimal, men statistikktallene publiseres uten desimaler. </a:t>
          </a:r>
        </a:p>
        <a:p>
          <a:pPr rtl="0" eaLnBrk="1" fontAlgn="auto" latinLnBrk="0" hangingPunct="1"/>
          <a:endParaRPr lang="nb-NO" sz="1100" b="0"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Det betyr at sumtall i formler kan avvike fra de synlige summene.</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endParaRPr lang="nb-NO" sz="1100" b="1" i="0" baseline="0">
            <a:solidFill>
              <a:schemeClr val="dk1"/>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100" b="1" i="0" baseline="0">
              <a:solidFill>
                <a:schemeClr val="dk1"/>
              </a:solidFill>
              <a:effectLst/>
              <a:latin typeface="Times New Roman" panose="02020603050405020304" pitchFamily="18" charset="0"/>
              <a:ea typeface="+mn-ea"/>
              <a:cs typeface="Times New Roman" panose="02020603050405020304" pitchFamily="18" charset="0"/>
            </a:rPr>
            <a:t>Prosentendringer</a:t>
          </a:r>
          <a:endParaRPr lang="nb-NO" sz="1100">
            <a:effectLst/>
            <a:latin typeface="Times New Roman" panose="02020603050405020304" pitchFamily="18" charset="0"/>
            <a:cs typeface="Times New Roman" panose="02020603050405020304" pitchFamily="18" charset="0"/>
          </a:endParaRPr>
        </a:p>
        <a:p>
          <a:pPr rtl="0" eaLnBrk="1" fontAlgn="auto" latinLnBrk="0" hangingPunct="1"/>
          <a:r>
            <a:rPr lang="nb-NO" sz="1100" b="0" i="0" baseline="0">
              <a:solidFill>
                <a:schemeClr val="dk1"/>
              </a:solidFill>
              <a:effectLst/>
              <a:latin typeface="Times New Roman" panose="02020603050405020304" pitchFamily="18" charset="0"/>
              <a:ea typeface="+mn-ea"/>
              <a:cs typeface="Times New Roman" panose="02020603050405020304" pitchFamily="18" charset="0"/>
            </a:rPr>
            <a:t>Prosentendringer med tallverdi ≥ 1000 gjengis som enten 999 eller - 999. Sammenligner vi tall med samme fortegn, vil vi få prosentøkning når vi går fra lavere tallverdi til høyere tallverdi. Sammenligner vi tall med ulike fortegn, vil vi få prosentøkning når vi går fra negative tall til positive tall. Prosentendringer fra negative tall til 0 (null) = + 100, mens prosentendringer fra positive tall til 0 (null) = - 100. Prosentendringer fra 0 til positive eller negative tall angis ikke (---). Det samme gjelder små tallstørrelser som vises som 0.</a:t>
          </a:r>
          <a:endParaRPr lang="nb-NO" sz="1100">
            <a:effectLst/>
            <a:latin typeface="Times New Roman" panose="02020603050405020304" pitchFamily="18" charset="0"/>
            <a:cs typeface="Times New Roman" panose="02020603050405020304" pitchFamily="18" charset="0"/>
          </a:endParaRPr>
        </a:p>
        <a:p>
          <a:endParaRPr lang="nb-NO" sz="1100">
            <a:latin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ile01\finansnorge\SFA\Statistikk%20og%20analyse\Fellessaker\Ny%20presentasjon%20MA\Overset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at"/>
      <sheetName val="Oppslagstabeller"/>
      <sheetName val="Oversetter"/>
    </sheetNames>
    <sheetDataSet>
      <sheetData sheetId="0"/>
      <sheetData sheetId="1">
        <row r="1">
          <cell r="A1" t="str">
            <v>selskap_id</v>
          </cell>
          <cell r="B1" t="str">
            <v>sortering</v>
          </cell>
          <cell r="C1" t="str">
            <v>2a</v>
          </cell>
          <cell r="D1" t="str">
            <v>2b</v>
          </cell>
          <cell r="E1" t="str">
            <v>3a</v>
          </cell>
          <cell r="F1" t="str">
            <v>3b</v>
          </cell>
          <cell r="G1" t="str">
            <v>selskap_navn</v>
          </cell>
        </row>
        <row r="2">
          <cell r="A2" t="str">
            <v>19</v>
          </cell>
          <cell r="B2" t="str">
            <v>01</v>
          </cell>
          <cell r="C2">
            <v>3</v>
          </cell>
          <cell r="E2">
            <v>3</v>
          </cell>
          <cell r="G2" t="str">
            <v>ACE European Group Ltd</v>
          </cell>
        </row>
        <row r="3">
          <cell r="A3" t="str">
            <v>34</v>
          </cell>
          <cell r="B3" t="str">
            <v>02</v>
          </cell>
          <cell r="C3">
            <v>7</v>
          </cell>
          <cell r="D3">
            <v>3</v>
          </cell>
          <cell r="E3">
            <v>7</v>
          </cell>
          <cell r="F3">
            <v>3</v>
          </cell>
          <cell r="G3" t="str">
            <v>Danica Pensjonsforsikring</v>
          </cell>
        </row>
        <row r="4">
          <cell r="A4" t="str">
            <v>35</v>
          </cell>
          <cell r="B4" t="str">
            <v>03</v>
          </cell>
          <cell r="C4">
            <v>11</v>
          </cell>
          <cell r="D4">
            <v>7</v>
          </cell>
          <cell r="E4">
            <v>11</v>
          </cell>
          <cell r="F4">
            <v>7</v>
          </cell>
          <cell r="G4" t="str">
            <v>DNB Livsforsikring ASA</v>
          </cell>
          <cell r="N4">
            <v>16</v>
          </cell>
        </row>
        <row r="5">
          <cell r="A5" t="str">
            <v>15</v>
          </cell>
          <cell r="B5" t="str">
            <v>04</v>
          </cell>
          <cell r="C5">
            <v>15</v>
          </cell>
          <cell r="E5">
            <v>15</v>
          </cell>
          <cell r="G5" t="str">
            <v>Eika Gruppen AS</v>
          </cell>
          <cell r="N5" t="str">
            <v>4.-kvartal-2015-markedsandeler---endelige-tall-og-regnskapsstatistikk.xlsx</v>
          </cell>
        </row>
        <row r="6">
          <cell r="A6" t="str">
            <v>36</v>
          </cell>
          <cell r="B6" t="str">
            <v>05</v>
          </cell>
          <cell r="C6">
            <v>19</v>
          </cell>
          <cell r="D6">
            <v>11</v>
          </cell>
          <cell r="E6">
            <v>19</v>
          </cell>
          <cell r="F6">
            <v>11</v>
          </cell>
          <cell r="G6" t="str">
            <v>Frende Livsforsikring AS</v>
          </cell>
        </row>
        <row r="7">
          <cell r="A7" t="str">
            <v>20</v>
          </cell>
          <cell r="B7" t="str">
            <v>06</v>
          </cell>
          <cell r="C7">
            <v>23</v>
          </cell>
          <cell r="E7">
            <v>23</v>
          </cell>
          <cell r="G7" t="str">
            <v>Frende Skadeforsikring AS</v>
          </cell>
        </row>
        <row r="8">
          <cell r="A8" t="str">
            <v>4</v>
          </cell>
          <cell r="B8" t="str">
            <v>07</v>
          </cell>
          <cell r="C8">
            <v>27</v>
          </cell>
          <cell r="E8">
            <v>27</v>
          </cell>
          <cell r="G8" t="str">
            <v>Gjensidige Forsikring ASA</v>
          </cell>
        </row>
        <row r="9">
          <cell r="A9" t="str">
            <v>37</v>
          </cell>
          <cell r="B9" t="str">
            <v>08</v>
          </cell>
          <cell r="C9">
            <v>31</v>
          </cell>
          <cell r="D9">
            <v>15</v>
          </cell>
          <cell r="E9">
            <v>31</v>
          </cell>
          <cell r="F9">
            <v>15</v>
          </cell>
          <cell r="G9" t="str">
            <v>Gjensidige Pensjon og Sparing</v>
          </cell>
        </row>
        <row r="10">
          <cell r="A10" t="str">
            <v>38</v>
          </cell>
          <cell r="B10" t="str">
            <v>09</v>
          </cell>
          <cell r="C10">
            <v>35</v>
          </cell>
          <cell r="E10">
            <v>35</v>
          </cell>
          <cell r="G10" t="str">
            <v>Handelsbanken Liv</v>
          </cell>
        </row>
        <row r="11">
          <cell r="A11" t="str">
            <v>6</v>
          </cell>
          <cell r="B11" t="str">
            <v>10</v>
          </cell>
          <cell r="C11">
            <v>39</v>
          </cell>
          <cell r="E11">
            <v>39</v>
          </cell>
          <cell r="G11" t="str">
            <v>If Skadeforsikring nuf</v>
          </cell>
        </row>
        <row r="12">
          <cell r="A12" t="str">
            <v>39</v>
          </cell>
          <cell r="B12" t="str">
            <v>11</v>
          </cell>
          <cell r="C12">
            <v>47</v>
          </cell>
          <cell r="D12">
            <v>23</v>
          </cell>
          <cell r="E12">
            <v>47</v>
          </cell>
          <cell r="F12">
            <v>23</v>
          </cell>
          <cell r="G12" t="str">
            <v>KLP Bedriftspensjon AS</v>
          </cell>
        </row>
        <row r="13">
          <cell r="A13" t="str">
            <v>5</v>
          </cell>
          <cell r="B13" t="str">
            <v>12</v>
          </cell>
          <cell r="C13">
            <v>43</v>
          </cell>
          <cell r="D13">
            <v>19</v>
          </cell>
          <cell r="E13">
            <v>43</v>
          </cell>
          <cell r="F13">
            <v>19</v>
          </cell>
          <cell r="G13" t="str">
            <v>KLP</v>
          </cell>
        </row>
        <row r="14">
          <cell r="A14" t="str">
            <v>22</v>
          </cell>
          <cell r="B14" t="str">
            <v>13</v>
          </cell>
          <cell r="C14">
            <v>55</v>
          </cell>
          <cell r="E14">
            <v>55</v>
          </cell>
          <cell r="G14" t="str">
            <v>Landbruksforsikring AS</v>
          </cell>
        </row>
        <row r="15">
          <cell r="A15" t="str">
            <v>17</v>
          </cell>
          <cell r="B15" t="str">
            <v>14</v>
          </cell>
          <cell r="C15">
            <v>59</v>
          </cell>
          <cell r="E15">
            <v>59</v>
          </cell>
          <cell r="G15" t="str">
            <v>NEMI Forsikring AS</v>
          </cell>
        </row>
        <row r="16">
          <cell r="A16" t="str">
            <v>40</v>
          </cell>
          <cell r="B16" t="str">
            <v>15</v>
          </cell>
          <cell r="C16">
            <v>63</v>
          </cell>
          <cell r="D16">
            <v>27</v>
          </cell>
          <cell r="E16">
            <v>63</v>
          </cell>
          <cell r="F16">
            <v>27</v>
          </cell>
          <cell r="G16" t="str">
            <v>Livsforsikringsselskapet Nordea Liv Norge AS</v>
          </cell>
        </row>
        <row r="17">
          <cell r="A17" t="str">
            <v>41</v>
          </cell>
          <cell r="B17" t="str">
            <v>16</v>
          </cell>
          <cell r="C17">
            <v>67</v>
          </cell>
          <cell r="E17">
            <v>67</v>
          </cell>
          <cell r="G17" t="str">
            <v>Oslo Pensjonsforsikring</v>
          </cell>
        </row>
        <row r="18">
          <cell r="A18" t="str">
            <v>43</v>
          </cell>
          <cell r="B18" t="str">
            <v>17</v>
          </cell>
          <cell r="C18">
            <v>71</v>
          </cell>
          <cell r="D18">
            <v>35</v>
          </cell>
          <cell r="E18">
            <v>71</v>
          </cell>
          <cell r="F18">
            <v>35</v>
          </cell>
          <cell r="G18" t="str">
            <v>Silver Pensjonsforsikring  AS</v>
          </cell>
        </row>
        <row r="19">
          <cell r="A19" t="str">
            <v>49</v>
          </cell>
          <cell r="B19" t="str">
            <v>18</v>
          </cell>
          <cell r="C19">
            <v>75</v>
          </cell>
          <cell r="D19">
            <v>39</v>
          </cell>
          <cell r="E19">
            <v>75</v>
          </cell>
          <cell r="F19">
            <v>39</v>
          </cell>
          <cell r="G19" t="str">
            <v>Sparebank 1 Fondsforsikring</v>
          </cell>
        </row>
        <row r="20">
          <cell r="A20" t="str">
            <v>50</v>
          </cell>
          <cell r="B20" t="str">
            <v>19</v>
          </cell>
          <cell r="C20">
            <v>79</v>
          </cell>
          <cell r="D20">
            <v>43</v>
          </cell>
          <cell r="E20">
            <v>79</v>
          </cell>
          <cell r="F20">
            <v>43</v>
          </cell>
          <cell r="G20" t="str">
            <v>Storebrand Fondsforsikring</v>
          </cell>
        </row>
        <row r="21">
          <cell r="A21" t="str">
            <v>16</v>
          </cell>
          <cell r="B21" t="str">
            <v>20</v>
          </cell>
          <cell r="C21">
            <v>83</v>
          </cell>
          <cell r="E21">
            <v>83</v>
          </cell>
          <cell r="G21" t="str">
            <v>Telenor Forsikring AS</v>
          </cell>
        </row>
        <row r="22">
          <cell r="A22" t="str">
            <v>47</v>
          </cell>
          <cell r="B22" t="str">
            <v>21</v>
          </cell>
          <cell r="G22" t="str">
            <v>TrygVesta Forsikring</v>
          </cell>
        </row>
        <row r="23">
          <cell r="A23" t="str">
            <v>8</v>
          </cell>
          <cell r="B23" t="str">
            <v>22</v>
          </cell>
          <cell r="C23">
            <v>87</v>
          </cell>
          <cell r="E23">
            <v>87</v>
          </cell>
          <cell r="G23" t="str">
            <v>Tryg Forsikring</v>
          </cell>
        </row>
        <row r="24">
          <cell r="A24" t="str">
            <v>10</v>
          </cell>
          <cell r="B24" t="str">
            <v>23</v>
          </cell>
          <cell r="G24" t="str">
            <v>SpareBank 1 Forsikring AS</v>
          </cell>
        </row>
        <row r="25">
          <cell r="A25" t="str">
            <v>32</v>
          </cell>
          <cell r="B25" t="str">
            <v>24</v>
          </cell>
          <cell r="G25" t="str">
            <v>Storebrand ASA</v>
          </cell>
        </row>
        <row r="26">
          <cell r="A26" t="str">
            <v>33</v>
          </cell>
          <cell r="B26" t="str">
            <v>25</v>
          </cell>
          <cell r="G26" t="str">
            <v>Altraplan Luxembourg</v>
          </cell>
        </row>
        <row r="27">
          <cell r="A27" t="str">
            <v>42</v>
          </cell>
          <cell r="B27" t="str">
            <v>26</v>
          </cell>
          <cell r="D27">
            <v>31</v>
          </cell>
          <cell r="F27">
            <v>31</v>
          </cell>
          <cell r="G27" t="str">
            <v>SHB Liv</v>
          </cell>
        </row>
        <row r="28">
          <cell r="A28" t="str">
            <v>44</v>
          </cell>
          <cell r="B28" t="str">
            <v>27</v>
          </cell>
          <cell r="C28">
            <v>51</v>
          </cell>
          <cell r="E28">
            <v>51</v>
          </cell>
          <cell r="G28" t="str">
            <v>KLP Skadeforsikring</v>
          </cell>
        </row>
        <row r="29">
          <cell r="A29" t="str">
            <v>45</v>
          </cell>
          <cell r="B29" t="str">
            <v>28</v>
          </cell>
          <cell r="G29" t="str">
            <v>Commercial Union International Life</v>
          </cell>
        </row>
        <row r="30">
          <cell r="A30" t="str">
            <v>46</v>
          </cell>
          <cell r="B30" t="str">
            <v>29</v>
          </cell>
          <cell r="G30" t="str">
            <v>Gjensidige NOR Spareforsikring</v>
          </cell>
        </row>
        <row r="31">
          <cell r="A31" t="str">
            <v>48</v>
          </cell>
          <cell r="B31" t="str">
            <v>30</v>
          </cell>
          <cell r="G31" t="str">
            <v>Vesta</v>
          </cell>
        </row>
        <row r="32">
          <cell r="A32" t="str">
            <v>51</v>
          </cell>
          <cell r="B32" t="str">
            <v>31</v>
          </cell>
          <cell r="G32" t="str">
            <v>Danica Link</v>
          </cell>
        </row>
        <row r="33">
          <cell r="A33" t="str">
            <v>52</v>
          </cell>
          <cell r="B33" t="str">
            <v>32</v>
          </cell>
          <cell r="G33" t="str">
            <v>Danica Fondsforsikring</v>
          </cell>
        </row>
        <row r="34">
          <cell r="A34" t="str">
            <v>53</v>
          </cell>
          <cell r="B34" t="str">
            <v>33</v>
          </cell>
          <cell r="G34" t="str">
            <v>Gjensidige NOR Fondsforsikring</v>
          </cell>
        </row>
        <row r="35">
          <cell r="A35" t="str">
            <v>54</v>
          </cell>
          <cell r="B35" t="str">
            <v>34</v>
          </cell>
          <cell r="G35" t="str">
            <v>Vital Link</v>
          </cell>
        </row>
        <row r="36">
          <cell r="A36" t="str">
            <v>55</v>
          </cell>
          <cell r="B36" t="str">
            <v>35</v>
          </cell>
          <cell r="G36" t="str">
            <v>Nordea Link</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BF6A5-CA05-4275-B867-34D92981BF97}">
  <sheetPr codeName="Ark1"/>
  <dimension ref="A1:M38"/>
  <sheetViews>
    <sheetView showGridLines="0" zoomScale="90" zoomScaleNormal="90" workbookViewId="0">
      <selection activeCell="A24" sqref="A24"/>
    </sheetView>
  </sheetViews>
  <sheetFormatPr baseColWidth="10" defaultColWidth="11.42578125" defaultRowHeight="12.75" x14ac:dyDescent="0.2"/>
  <sheetData>
    <row r="1" spans="1:13" x14ac:dyDescent="0.2">
      <c r="A1" s="469"/>
      <c r="B1" s="469"/>
      <c r="C1" s="469"/>
      <c r="D1" s="469"/>
      <c r="E1" s="469"/>
      <c r="F1" s="469"/>
      <c r="G1" s="469"/>
      <c r="H1" s="469"/>
      <c r="I1" s="469"/>
      <c r="J1" s="469"/>
      <c r="K1" s="469"/>
      <c r="L1" s="469"/>
      <c r="M1" s="469"/>
    </row>
    <row r="2" spans="1:13" x14ac:dyDescent="0.2">
      <c r="A2" s="469"/>
      <c r="B2" s="469"/>
      <c r="C2" s="469"/>
      <c r="D2" s="469"/>
      <c r="E2" s="469"/>
      <c r="F2" s="469"/>
      <c r="G2" s="469"/>
      <c r="H2" s="469"/>
      <c r="I2" s="469"/>
      <c r="J2" s="469"/>
      <c r="K2" s="469"/>
      <c r="L2" s="469"/>
      <c r="M2" s="469"/>
    </row>
    <row r="3" spans="1:13" x14ac:dyDescent="0.2">
      <c r="A3" s="469"/>
      <c r="B3" s="469"/>
      <c r="C3" s="469"/>
      <c r="D3" s="469"/>
      <c r="E3" s="469"/>
      <c r="F3" s="469"/>
      <c r="G3" s="469"/>
      <c r="H3" s="469"/>
      <c r="I3" s="469"/>
      <c r="J3" s="469"/>
      <c r="K3" s="469"/>
      <c r="L3" s="469"/>
      <c r="M3" s="469"/>
    </row>
    <row r="4" spans="1:13" x14ac:dyDescent="0.2">
      <c r="A4" s="469"/>
      <c r="B4" s="469"/>
      <c r="C4" s="469"/>
      <c r="D4" s="469"/>
      <c r="E4" s="469"/>
      <c r="F4" s="469"/>
      <c r="G4" s="469"/>
      <c r="H4" s="469"/>
      <c r="I4" s="469"/>
      <c r="J4" s="469"/>
      <c r="K4" s="469"/>
      <c r="L4" s="469"/>
      <c r="M4" s="469"/>
    </row>
    <row r="5" spans="1:13" x14ac:dyDescent="0.2">
      <c r="A5" s="469"/>
      <c r="B5" s="470"/>
      <c r="C5" s="470"/>
      <c r="D5" s="470"/>
      <c r="E5" s="470"/>
      <c r="F5" s="470"/>
      <c r="G5" s="470"/>
      <c r="H5" s="470"/>
      <c r="I5" s="469"/>
      <c r="J5" s="469"/>
      <c r="K5" s="469"/>
      <c r="L5" s="469"/>
      <c r="M5" s="469"/>
    </row>
    <row r="6" spans="1:13" ht="23.25" x14ac:dyDescent="0.35">
      <c r="A6" s="469"/>
      <c r="B6" s="471"/>
      <c r="C6" s="470"/>
      <c r="D6" s="470"/>
      <c r="E6" s="470"/>
      <c r="F6" s="470"/>
      <c r="G6" s="470"/>
      <c r="H6" s="470"/>
      <c r="I6" s="472"/>
      <c r="J6" s="469"/>
      <c r="K6" s="469"/>
      <c r="L6" s="469"/>
      <c r="M6" s="469"/>
    </row>
    <row r="7" spans="1:13" x14ac:dyDescent="0.2">
      <c r="A7" s="469"/>
      <c r="B7" s="470"/>
      <c r="C7" s="470"/>
      <c r="D7" s="470"/>
      <c r="E7" s="470"/>
      <c r="F7" s="470"/>
      <c r="G7" s="470"/>
      <c r="H7" s="470"/>
      <c r="I7" s="470"/>
      <c r="J7" s="469"/>
      <c r="K7" s="469"/>
      <c r="L7" s="469"/>
      <c r="M7" s="469"/>
    </row>
    <row r="8" spans="1:13" x14ac:dyDescent="0.2">
      <c r="A8" s="469"/>
      <c r="B8" s="470"/>
      <c r="C8" s="470"/>
      <c r="D8" s="470"/>
      <c r="E8" s="469"/>
      <c r="F8" s="470"/>
      <c r="G8" s="470"/>
      <c r="H8" s="470"/>
      <c r="I8" s="469"/>
      <c r="J8" s="469"/>
      <c r="K8" s="469"/>
      <c r="L8" s="469"/>
      <c r="M8" s="469"/>
    </row>
    <row r="9" spans="1:13" x14ac:dyDescent="0.2">
      <c r="A9" s="469"/>
      <c r="B9" s="470"/>
      <c r="C9" s="470"/>
      <c r="D9" s="470"/>
      <c r="E9" s="470"/>
      <c r="F9" s="470"/>
      <c r="G9" s="470"/>
      <c r="H9" s="470"/>
      <c r="I9" s="469"/>
      <c r="J9" s="469"/>
      <c r="K9" s="469"/>
      <c r="L9" s="469"/>
      <c r="M9" s="469"/>
    </row>
    <row r="10" spans="1:13" ht="23.25" x14ac:dyDescent="0.35">
      <c r="A10" s="469"/>
      <c r="B10" s="470"/>
      <c r="C10" s="470"/>
      <c r="D10" s="470"/>
      <c r="E10" s="469"/>
      <c r="F10" s="469"/>
      <c r="G10" s="469"/>
      <c r="H10" s="469"/>
      <c r="I10" s="472"/>
      <c r="J10" s="469"/>
      <c r="K10" s="469"/>
      <c r="L10" s="469"/>
      <c r="M10" s="469"/>
    </row>
    <row r="11" spans="1:13" x14ac:dyDescent="0.2">
      <c r="A11" s="469"/>
      <c r="B11" s="470"/>
      <c r="C11" s="470"/>
      <c r="D11" s="470"/>
      <c r="E11" s="469"/>
      <c r="F11" s="469"/>
      <c r="G11" s="469"/>
      <c r="H11" s="469"/>
      <c r="I11" s="469"/>
      <c r="J11" s="469"/>
      <c r="K11" s="469"/>
      <c r="L11" s="469"/>
      <c r="M11" s="469"/>
    </row>
    <row r="12" spans="1:13" ht="23.25" x14ac:dyDescent="0.35">
      <c r="A12" s="469"/>
      <c r="B12" s="470"/>
      <c r="C12" s="470"/>
      <c r="D12" s="470"/>
      <c r="E12" s="470"/>
      <c r="F12" s="470"/>
      <c r="G12" s="470"/>
      <c r="H12" s="470"/>
      <c r="I12" s="472"/>
      <c r="J12" s="469"/>
      <c r="K12" s="469"/>
      <c r="L12" s="469"/>
      <c r="M12" s="469"/>
    </row>
    <row r="13" spans="1:13" ht="23.25" x14ac:dyDescent="0.35">
      <c r="A13" s="469"/>
      <c r="B13" s="470"/>
      <c r="C13" s="473"/>
      <c r="D13" s="473"/>
      <c r="E13" s="473"/>
      <c r="F13" s="473"/>
      <c r="G13" s="473"/>
      <c r="H13" s="473"/>
      <c r="I13" s="472"/>
      <c r="J13" s="469"/>
      <c r="K13" s="469"/>
      <c r="L13" s="469"/>
      <c r="M13" s="469"/>
    </row>
    <row r="14" spans="1:13" x14ac:dyDescent="0.2">
      <c r="A14" s="469"/>
      <c r="B14" s="470"/>
      <c r="C14" s="470"/>
      <c r="D14" s="470"/>
      <c r="E14" s="469"/>
      <c r="F14" s="470"/>
      <c r="G14" s="470"/>
      <c r="H14" s="470"/>
      <c r="I14" s="469"/>
      <c r="J14" s="469"/>
      <c r="K14" s="469"/>
      <c r="L14" s="469"/>
      <c r="M14" s="469"/>
    </row>
    <row r="15" spans="1:13" x14ac:dyDescent="0.2">
      <c r="A15" s="469"/>
      <c r="B15" s="470"/>
      <c r="C15" s="470"/>
      <c r="D15" s="470"/>
      <c r="E15" s="469"/>
      <c r="F15" s="470"/>
      <c r="G15" s="470"/>
      <c r="H15" s="470"/>
      <c r="I15" s="470"/>
      <c r="J15" s="469"/>
      <c r="K15" s="469"/>
      <c r="L15" s="469"/>
      <c r="M15" s="469"/>
    </row>
    <row r="16" spans="1:13" ht="34.5" x14ac:dyDescent="0.45">
      <c r="A16" s="469"/>
      <c r="B16" s="470"/>
      <c r="C16" s="470"/>
      <c r="D16" s="470"/>
      <c r="E16" s="474"/>
      <c r="F16" s="470"/>
      <c r="G16" s="470"/>
      <c r="H16" s="470"/>
      <c r="I16" s="470"/>
      <c r="J16" s="469"/>
      <c r="K16" s="469"/>
      <c r="L16" s="469"/>
      <c r="M16" s="469"/>
    </row>
    <row r="17" spans="1:13" ht="33" x14ac:dyDescent="0.45">
      <c r="A17" s="469"/>
      <c r="B17" s="470"/>
      <c r="C17" s="470"/>
      <c r="D17" s="470"/>
      <c r="E17" s="475"/>
      <c r="F17" s="470"/>
      <c r="G17" s="470"/>
      <c r="H17" s="470"/>
      <c r="I17" s="470"/>
      <c r="J17" s="469"/>
      <c r="K17" s="469"/>
      <c r="L17" s="469"/>
      <c r="M17" s="469"/>
    </row>
    <row r="18" spans="1:13" ht="33" x14ac:dyDescent="0.45">
      <c r="A18" s="469"/>
      <c r="B18" s="469"/>
      <c r="C18" s="469"/>
      <c r="D18" s="475"/>
      <c r="E18" s="469"/>
      <c r="F18" s="469"/>
      <c r="G18" s="469"/>
      <c r="H18" s="469"/>
      <c r="I18" s="469"/>
      <c r="J18" s="469"/>
      <c r="K18" s="469"/>
      <c r="L18" s="469"/>
      <c r="M18" s="469"/>
    </row>
    <row r="19" spans="1:13" ht="18.75" x14ac:dyDescent="0.3">
      <c r="A19" s="469"/>
      <c r="B19" s="469"/>
      <c r="C19" s="469"/>
      <c r="D19" s="469"/>
      <c r="E19" s="476"/>
      <c r="F19" s="469"/>
      <c r="G19" s="469"/>
      <c r="H19" s="469"/>
      <c r="I19" s="477"/>
      <c r="J19" s="469"/>
      <c r="K19" s="469"/>
      <c r="L19" s="469"/>
      <c r="M19" s="469"/>
    </row>
    <row r="20" spans="1:13" x14ac:dyDescent="0.2">
      <c r="A20" s="469"/>
      <c r="B20" s="469"/>
      <c r="C20" s="469"/>
      <c r="D20" s="469"/>
      <c r="E20" s="469"/>
      <c r="F20" s="469"/>
      <c r="G20" s="469"/>
      <c r="H20" s="469"/>
      <c r="I20" s="469"/>
      <c r="J20" s="469"/>
      <c r="K20" s="469"/>
      <c r="L20" s="469"/>
      <c r="M20" s="469"/>
    </row>
    <row r="21" spans="1:13" x14ac:dyDescent="0.2">
      <c r="A21" s="469"/>
      <c r="B21" s="469"/>
      <c r="C21" s="469"/>
      <c r="D21" s="469"/>
      <c r="E21" s="478"/>
      <c r="F21" s="469"/>
      <c r="G21" s="469"/>
      <c r="H21" s="469"/>
      <c r="I21" s="469"/>
      <c r="J21" s="469"/>
      <c r="K21" s="469"/>
      <c r="L21" s="469"/>
      <c r="M21" s="469"/>
    </row>
    <row r="22" spans="1:13" ht="26.25" x14ac:dyDescent="0.4">
      <c r="A22" s="469"/>
      <c r="B22" s="469"/>
      <c r="C22" s="469"/>
      <c r="D22" s="469"/>
      <c r="E22" s="479"/>
      <c r="F22" s="469"/>
      <c r="G22" s="469"/>
      <c r="H22" s="469"/>
      <c r="I22" s="469"/>
      <c r="J22" s="469"/>
      <c r="K22" s="469"/>
      <c r="L22" s="469"/>
      <c r="M22" s="469"/>
    </row>
    <row r="23" spans="1:13" x14ac:dyDescent="0.2">
      <c r="A23" s="469"/>
      <c r="B23" s="469"/>
      <c r="C23" s="469"/>
      <c r="D23" s="469"/>
      <c r="E23" s="469"/>
      <c r="F23" s="469"/>
      <c r="G23" s="469"/>
      <c r="H23" s="469"/>
      <c r="I23" s="469"/>
      <c r="J23" s="469"/>
      <c r="K23" s="469"/>
      <c r="L23" s="469"/>
      <c r="M23" s="469"/>
    </row>
    <row r="24" spans="1:13" x14ac:dyDescent="0.2">
      <c r="A24" s="469"/>
      <c r="B24" s="469"/>
      <c r="C24" s="469"/>
      <c r="D24" s="469"/>
      <c r="E24" s="469"/>
      <c r="F24" s="469"/>
      <c r="G24" s="469"/>
      <c r="H24" s="469"/>
      <c r="I24" s="469"/>
      <c r="J24" s="469"/>
      <c r="K24" s="469"/>
      <c r="L24" s="469"/>
      <c r="M24" s="469"/>
    </row>
    <row r="25" spans="1:13" ht="18.75" x14ac:dyDescent="0.3">
      <c r="A25" s="469"/>
      <c r="B25" s="469"/>
      <c r="C25" s="469"/>
      <c r="D25" s="469"/>
      <c r="E25" s="480"/>
      <c r="F25" s="469"/>
      <c r="G25" s="469"/>
      <c r="H25" s="469"/>
      <c r="I25" s="469"/>
      <c r="J25" s="469"/>
      <c r="K25" s="469"/>
      <c r="L25" s="469"/>
      <c r="M25" s="469"/>
    </row>
    <row r="26" spans="1:13" ht="18.75" x14ac:dyDescent="0.3">
      <c r="A26" s="469"/>
      <c r="B26" s="469"/>
      <c r="C26" s="469"/>
      <c r="D26" s="469"/>
      <c r="E26" s="481"/>
      <c r="F26" s="469"/>
      <c r="G26" s="469"/>
      <c r="H26" s="469"/>
      <c r="I26" s="469"/>
      <c r="J26" s="469"/>
      <c r="K26" s="469"/>
      <c r="L26" s="469"/>
      <c r="M26" s="469"/>
    </row>
    <row r="27" spans="1:13" x14ac:dyDescent="0.2">
      <c r="A27" s="469"/>
      <c r="B27" s="469"/>
      <c r="C27" s="469"/>
      <c r="D27" s="469"/>
      <c r="E27" s="469"/>
      <c r="F27" s="469"/>
      <c r="G27" s="469"/>
      <c r="H27" s="469"/>
      <c r="I27" s="469"/>
      <c r="J27" s="469"/>
      <c r="K27" s="469"/>
      <c r="L27" s="469"/>
      <c r="M27" s="469"/>
    </row>
    <row r="28" spans="1:13" x14ac:dyDescent="0.2">
      <c r="A28" s="469"/>
      <c r="B28" s="469"/>
      <c r="C28" s="469"/>
      <c r="D28" s="473"/>
      <c r="E28" s="473"/>
      <c r="F28" s="473"/>
      <c r="G28" s="473"/>
      <c r="H28" s="473"/>
      <c r="I28" s="469"/>
      <c r="J28" s="469"/>
      <c r="K28" s="469"/>
      <c r="L28" s="469"/>
      <c r="M28" s="469"/>
    </row>
    <row r="29" spans="1:13" x14ac:dyDescent="0.2">
      <c r="A29" s="469"/>
      <c r="B29" s="469"/>
      <c r="C29" s="469"/>
      <c r="D29" s="469"/>
      <c r="E29" s="469"/>
      <c r="F29" s="469"/>
      <c r="G29" s="469"/>
      <c r="H29" s="469"/>
      <c r="I29" s="469"/>
      <c r="J29" s="469"/>
      <c r="K29" s="469"/>
      <c r="L29" s="469"/>
      <c r="M29" s="469"/>
    </row>
    <row r="30" spans="1:13" x14ac:dyDescent="0.2">
      <c r="A30" s="469"/>
      <c r="B30" s="469"/>
      <c r="C30" s="469"/>
      <c r="D30" s="469"/>
      <c r="E30" s="469"/>
      <c r="F30" s="469"/>
      <c r="G30" s="469"/>
      <c r="H30" s="469"/>
      <c r="I30" s="469"/>
      <c r="J30" s="469"/>
      <c r="K30" s="469"/>
      <c r="L30" s="469"/>
      <c r="M30" s="469"/>
    </row>
    <row r="31" spans="1:13" x14ac:dyDescent="0.2">
      <c r="A31" s="469"/>
      <c r="B31" s="469"/>
      <c r="C31" s="469"/>
      <c r="D31" s="469"/>
      <c r="E31" s="469"/>
      <c r="F31" s="469"/>
      <c r="G31" s="469"/>
      <c r="H31" s="469"/>
      <c r="I31" s="469"/>
      <c r="J31" s="469"/>
      <c r="K31" s="469"/>
      <c r="L31" s="469"/>
      <c r="M31" s="469"/>
    </row>
    <row r="32" spans="1:13" x14ac:dyDescent="0.2">
      <c r="A32" s="469"/>
      <c r="B32" s="469"/>
      <c r="C32" s="469"/>
      <c r="D32" s="469"/>
      <c r="E32" s="469"/>
      <c r="F32" s="469"/>
      <c r="G32" s="469"/>
      <c r="H32" s="469"/>
      <c r="I32" s="469"/>
      <c r="J32" s="469"/>
      <c r="K32" s="469"/>
      <c r="L32" s="469"/>
      <c r="M32" s="469"/>
    </row>
    <row r="33" spans="1:13" ht="35.25" x14ac:dyDescent="0.2">
      <c r="A33" s="482"/>
      <c r="B33" s="469"/>
      <c r="C33" s="469"/>
      <c r="D33" s="469"/>
      <c r="E33" s="469"/>
      <c r="F33" s="469"/>
      <c r="G33" s="469"/>
      <c r="H33" s="469"/>
      <c r="I33" s="469"/>
      <c r="J33" s="469"/>
      <c r="K33" s="469"/>
      <c r="L33" s="469"/>
      <c r="M33" s="469"/>
    </row>
    <row r="34" spans="1:13" x14ac:dyDescent="0.2">
      <c r="A34" s="469"/>
      <c r="B34" s="469"/>
      <c r="C34" s="469"/>
      <c r="D34" s="469"/>
      <c r="E34" s="469"/>
      <c r="F34" s="469"/>
      <c r="G34" s="469"/>
      <c r="H34" s="469"/>
      <c r="I34" s="469"/>
      <c r="J34" s="469"/>
      <c r="K34" s="469"/>
      <c r="L34" s="469"/>
      <c r="M34" s="469"/>
    </row>
    <row r="35" spans="1:13" x14ac:dyDescent="0.2">
      <c r="A35" s="469"/>
      <c r="B35" s="469"/>
      <c r="C35" s="469"/>
      <c r="D35" s="469"/>
      <c r="E35" s="469"/>
      <c r="F35" s="469"/>
      <c r="G35" s="469"/>
      <c r="H35" s="469"/>
      <c r="I35" s="469"/>
      <c r="J35" s="469"/>
      <c r="K35" s="469"/>
      <c r="L35" s="469"/>
      <c r="M35" s="469"/>
    </row>
    <row r="36" spans="1:13" ht="33" x14ac:dyDescent="0.2">
      <c r="A36" s="469"/>
      <c r="B36" s="483"/>
      <c r="C36" s="469"/>
      <c r="D36" s="469"/>
      <c r="E36" s="469"/>
      <c r="F36" s="469"/>
      <c r="G36" s="469"/>
      <c r="H36" s="469"/>
      <c r="I36" s="469"/>
      <c r="J36" s="469"/>
      <c r="K36" s="469"/>
      <c r="L36" s="469"/>
      <c r="M36" s="469"/>
    </row>
    <row r="37" spans="1:13" x14ac:dyDescent="0.2">
      <c r="A37" s="469"/>
      <c r="B37" s="469"/>
      <c r="C37" s="469"/>
      <c r="D37" s="469"/>
      <c r="E37" s="469"/>
      <c r="F37" s="469"/>
      <c r="G37" s="469"/>
      <c r="H37" s="469"/>
      <c r="I37" s="469"/>
      <c r="J37" s="469"/>
      <c r="K37" s="469"/>
      <c r="L37" s="469"/>
      <c r="M37" s="469"/>
    </row>
    <row r="38" spans="1:13" x14ac:dyDescent="0.2">
      <c r="A38" s="469"/>
      <c r="B38" s="469"/>
      <c r="C38" s="469"/>
      <c r="D38" s="469"/>
      <c r="E38" s="469"/>
      <c r="F38" s="469"/>
      <c r="G38" s="469"/>
      <c r="H38" s="469"/>
      <c r="I38" s="469"/>
      <c r="J38" s="469"/>
      <c r="K38" s="469"/>
      <c r="L38" s="469"/>
      <c r="M38" s="4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N58"/>
  <sheetViews>
    <sheetView showGridLines="0" tabSelected="1" zoomScale="70" zoomScaleNormal="70" workbookViewId="0"/>
  </sheetViews>
  <sheetFormatPr baseColWidth="10" defaultColWidth="11.42578125" defaultRowHeight="25.5" x14ac:dyDescent="0.35"/>
  <cols>
    <col min="1" max="1" width="11.42578125" style="41"/>
    <col min="2" max="2" width="25" style="41" customWidth="1"/>
    <col min="3" max="3" width="141.7109375" style="41" customWidth="1"/>
    <col min="4" max="16384" width="11.42578125" style="41"/>
  </cols>
  <sheetData>
    <row r="1" spans="1:14" ht="20.100000000000001" customHeight="1" x14ac:dyDescent="0.35">
      <c r="C1" s="42"/>
      <c r="D1" s="43"/>
      <c r="E1" s="43"/>
      <c r="F1" s="43"/>
      <c r="G1" s="43"/>
      <c r="H1" s="43"/>
      <c r="I1" s="43"/>
      <c r="J1" s="43"/>
      <c r="K1" s="43"/>
      <c r="L1" s="43"/>
      <c r="M1" s="43"/>
      <c r="N1" s="43"/>
    </row>
    <row r="2" spans="1:14" ht="20.100000000000001" customHeight="1" x14ac:dyDescent="0.35">
      <c r="C2" s="222" t="s">
        <v>0</v>
      </c>
      <c r="D2" s="43"/>
      <c r="E2" s="43"/>
      <c r="F2" s="43"/>
      <c r="G2" s="43"/>
      <c r="H2" s="43"/>
      <c r="I2" s="43"/>
      <c r="J2" s="43"/>
      <c r="K2" s="43"/>
      <c r="L2" s="43"/>
      <c r="M2" s="43"/>
      <c r="N2" s="43"/>
    </row>
    <row r="3" spans="1:14" ht="20.100000000000001" customHeight="1" x14ac:dyDescent="0.35">
      <c r="C3" s="44"/>
      <c r="D3" s="43"/>
      <c r="E3" s="43"/>
      <c r="F3" s="43"/>
      <c r="G3" s="43"/>
      <c r="H3" s="43"/>
      <c r="I3" s="43"/>
      <c r="J3" s="43"/>
      <c r="K3" s="43"/>
      <c r="L3" s="43"/>
      <c r="M3" s="43"/>
      <c r="N3" s="43"/>
    </row>
    <row r="4" spans="1:14" ht="20.100000000000001" customHeight="1" x14ac:dyDescent="0.35">
      <c r="C4" s="44"/>
      <c r="D4" s="43"/>
      <c r="E4" s="43"/>
      <c r="F4" s="43"/>
      <c r="G4" s="43"/>
      <c r="H4" s="43"/>
      <c r="I4" s="43"/>
      <c r="J4" s="43"/>
      <c r="K4" s="43"/>
      <c r="L4" s="43"/>
      <c r="M4" s="43"/>
      <c r="N4" s="43"/>
    </row>
    <row r="5" spans="1:14" ht="20.100000000000001" customHeight="1" x14ac:dyDescent="0.35">
      <c r="A5" s="44"/>
      <c r="B5" s="44"/>
      <c r="C5" s="44"/>
      <c r="D5" s="43"/>
      <c r="E5" s="43"/>
      <c r="F5" s="43"/>
      <c r="G5" s="43"/>
      <c r="H5" s="43"/>
      <c r="I5" s="43"/>
      <c r="J5" s="43"/>
      <c r="K5" s="43"/>
      <c r="L5" s="43"/>
      <c r="M5" s="43"/>
      <c r="N5" s="43"/>
    </row>
    <row r="6" spans="1:14" ht="20.100000000000001" customHeight="1" x14ac:dyDescent="0.35">
      <c r="A6" s="45" t="s">
        <v>1</v>
      </c>
      <c r="B6" s="45"/>
      <c r="C6" s="44"/>
      <c r="D6" s="43"/>
      <c r="E6" s="43"/>
      <c r="F6" s="43"/>
      <c r="G6" s="43"/>
      <c r="H6" s="43"/>
      <c r="I6" s="43"/>
      <c r="J6" s="43"/>
      <c r="K6" s="43"/>
      <c r="L6" s="43"/>
      <c r="M6" s="43"/>
      <c r="N6" s="43"/>
    </row>
    <row r="7" spans="1:14" ht="20.100000000000001" customHeight="1" x14ac:dyDescent="0.35">
      <c r="A7" s="44"/>
      <c r="B7" s="44" t="s">
        <v>2</v>
      </c>
      <c r="C7" s="44" t="s">
        <v>3</v>
      </c>
      <c r="D7" s="43"/>
      <c r="E7" s="43"/>
      <c r="F7" s="43"/>
      <c r="G7" s="43"/>
      <c r="H7" s="43"/>
      <c r="I7" s="43"/>
      <c r="J7" s="43"/>
      <c r="K7" s="43"/>
      <c r="L7" s="43"/>
      <c r="M7" s="43"/>
      <c r="N7" s="43"/>
    </row>
    <row r="8" spans="1:14" ht="20.100000000000001" customHeight="1" x14ac:dyDescent="0.35">
      <c r="A8" s="44"/>
      <c r="B8" s="44" t="s">
        <v>4</v>
      </c>
      <c r="C8" s="44" t="s">
        <v>5</v>
      </c>
      <c r="D8" s="43"/>
      <c r="E8" s="43"/>
      <c r="F8" s="43"/>
      <c r="G8" s="43"/>
      <c r="H8" s="43"/>
      <c r="I8" s="43"/>
      <c r="J8" s="43"/>
      <c r="K8" s="43"/>
      <c r="L8" s="43"/>
      <c r="M8" s="43"/>
      <c r="N8" s="43"/>
    </row>
    <row r="9" spans="1:14" ht="20.100000000000001" customHeight="1" x14ac:dyDescent="0.35">
      <c r="A9" s="44"/>
      <c r="B9" s="44" t="s">
        <v>6</v>
      </c>
      <c r="C9" s="44" t="s">
        <v>7</v>
      </c>
      <c r="D9" s="43"/>
      <c r="E9" s="43"/>
      <c r="F9" s="43"/>
      <c r="G9" s="43"/>
      <c r="H9" s="43"/>
      <c r="I9" s="43"/>
      <c r="J9" s="43"/>
      <c r="K9" s="43"/>
      <c r="L9" s="43"/>
      <c r="M9" s="43"/>
      <c r="N9" s="43"/>
    </row>
    <row r="10" spans="1:14" ht="20.100000000000001" customHeight="1" x14ac:dyDescent="0.35">
      <c r="A10" s="44"/>
      <c r="B10" s="44" t="s">
        <v>8</v>
      </c>
      <c r="C10" s="44" t="s">
        <v>9</v>
      </c>
      <c r="D10" s="43"/>
      <c r="E10" s="43"/>
      <c r="F10" s="43"/>
      <c r="G10" s="43"/>
      <c r="H10" s="43"/>
      <c r="I10" s="43"/>
      <c r="J10" s="43"/>
      <c r="K10" s="43"/>
      <c r="L10" s="43"/>
      <c r="M10" s="43"/>
      <c r="N10" s="43"/>
    </row>
    <row r="11" spans="1:14" ht="20.100000000000001" customHeight="1" x14ac:dyDescent="0.35">
      <c r="A11" s="44"/>
      <c r="B11" s="44" t="s">
        <v>10</v>
      </c>
      <c r="C11" s="44" t="s">
        <v>11</v>
      </c>
      <c r="D11" s="43"/>
      <c r="E11" s="43"/>
      <c r="F11" s="43"/>
      <c r="G11" s="43"/>
      <c r="H11" s="43"/>
      <c r="I11" s="43"/>
      <c r="J11" s="43"/>
      <c r="K11" s="43"/>
      <c r="L11" s="43"/>
      <c r="M11" s="43"/>
      <c r="N11" s="43"/>
    </row>
    <row r="12" spans="1:14" ht="20.100000000000001" customHeight="1" x14ac:dyDescent="0.35">
      <c r="A12" s="44"/>
      <c r="B12" s="44" t="s">
        <v>12</v>
      </c>
      <c r="C12" s="44" t="s">
        <v>13</v>
      </c>
      <c r="D12" s="43"/>
      <c r="E12" s="43"/>
      <c r="F12" s="43"/>
      <c r="G12" s="43"/>
      <c r="H12" s="43"/>
      <c r="I12" s="43"/>
      <c r="J12" s="43"/>
      <c r="K12" s="43"/>
      <c r="L12" s="43"/>
      <c r="M12" s="43"/>
      <c r="N12" s="43"/>
    </row>
    <row r="13" spans="1:14" ht="18.75" customHeight="1" x14ac:dyDescent="0.35">
      <c r="A13" s="44"/>
      <c r="B13" s="44"/>
      <c r="C13" s="44"/>
      <c r="D13" s="43"/>
      <c r="E13" s="43"/>
      <c r="F13" s="43"/>
      <c r="G13" s="43"/>
      <c r="H13" s="43"/>
      <c r="I13" s="43"/>
      <c r="J13" s="43"/>
      <c r="K13" s="43"/>
      <c r="L13" s="43"/>
      <c r="M13" s="43"/>
      <c r="N13" s="43"/>
    </row>
    <row r="14" spans="1:14" ht="20.100000000000001" customHeight="1" x14ac:dyDescent="0.35">
      <c r="A14" s="221" t="s">
        <v>14</v>
      </c>
      <c r="B14" s="45"/>
      <c r="C14" s="44"/>
      <c r="D14" s="43"/>
      <c r="E14" s="43"/>
      <c r="F14" s="43"/>
      <c r="G14" s="43"/>
      <c r="H14" s="43"/>
      <c r="I14" s="43"/>
      <c r="J14" s="43"/>
      <c r="K14" s="43"/>
      <c r="L14" s="43"/>
      <c r="M14" s="43"/>
      <c r="N14" s="43"/>
    </row>
    <row r="15" spans="1:14" ht="20.100000000000001" customHeight="1" x14ac:dyDescent="0.35">
      <c r="A15" s="44"/>
      <c r="B15" s="44" t="s">
        <v>15</v>
      </c>
      <c r="C15" s="44"/>
      <c r="D15" s="43"/>
      <c r="E15" s="43"/>
      <c r="F15" s="43"/>
      <c r="G15" s="43"/>
      <c r="H15" s="43"/>
      <c r="I15" s="43"/>
      <c r="J15" s="43"/>
      <c r="K15" s="43"/>
      <c r="L15" s="43"/>
      <c r="M15" s="43"/>
      <c r="N15" s="43"/>
    </row>
    <row r="16" spans="1:14" ht="20.100000000000001" customHeight="1" x14ac:dyDescent="0.35">
      <c r="A16" s="44"/>
      <c r="B16" s="45" t="s">
        <v>16</v>
      </c>
      <c r="C16" s="44" t="s">
        <v>17</v>
      </c>
      <c r="D16" s="43"/>
      <c r="E16" s="43"/>
      <c r="F16" s="43"/>
      <c r="G16" s="43"/>
      <c r="H16" s="43"/>
      <c r="I16" s="43"/>
      <c r="J16" s="43"/>
      <c r="K16" s="43"/>
      <c r="L16" s="43"/>
      <c r="M16" s="43"/>
      <c r="N16" s="43"/>
    </row>
    <row r="17" spans="1:14" ht="20.100000000000001" customHeight="1" x14ac:dyDescent="0.35">
      <c r="A17" s="44"/>
      <c r="B17" s="45" t="s">
        <v>18</v>
      </c>
      <c r="C17" s="44" t="s">
        <v>19</v>
      </c>
      <c r="D17" s="43"/>
      <c r="E17" s="43"/>
      <c r="F17" s="43"/>
      <c r="G17" s="43"/>
      <c r="H17" s="43"/>
      <c r="I17" s="43"/>
      <c r="J17" s="43"/>
      <c r="K17" s="43"/>
      <c r="L17" s="43"/>
      <c r="M17" s="43"/>
      <c r="N17" s="43"/>
    </row>
    <row r="18" spans="1:14" ht="20.100000000000001" customHeight="1" x14ac:dyDescent="0.35">
      <c r="A18" s="44"/>
      <c r="B18" s="45" t="s">
        <v>20</v>
      </c>
      <c r="C18" s="44" t="s">
        <v>21</v>
      </c>
      <c r="D18" s="43"/>
      <c r="E18" s="43"/>
      <c r="F18" s="43"/>
      <c r="G18" s="43"/>
      <c r="H18" s="43"/>
      <c r="I18" s="43"/>
      <c r="J18" s="43"/>
      <c r="K18" s="43"/>
      <c r="L18" s="43"/>
      <c r="M18" s="43"/>
      <c r="N18" s="43"/>
    </row>
    <row r="19" spans="1:14" ht="20.100000000000001" customHeight="1" x14ac:dyDescent="0.35">
      <c r="A19" s="44"/>
      <c r="B19" s="44" t="s">
        <v>22</v>
      </c>
      <c r="C19" s="44" t="s">
        <v>23</v>
      </c>
      <c r="D19" s="43"/>
      <c r="E19" s="43"/>
      <c r="F19" s="43"/>
      <c r="G19" s="43"/>
      <c r="H19" s="43"/>
      <c r="I19" s="43"/>
      <c r="J19" s="43"/>
      <c r="K19" s="43"/>
      <c r="L19" s="43"/>
      <c r="M19" s="43"/>
      <c r="N19" s="43"/>
    </row>
    <row r="20" spans="1:14" ht="20.100000000000001" customHeight="1" x14ac:dyDescent="0.35">
      <c r="A20" s="44"/>
      <c r="B20" s="44" t="s">
        <v>24</v>
      </c>
      <c r="C20" s="44" t="s">
        <v>25</v>
      </c>
      <c r="D20" s="43"/>
      <c r="E20" s="43"/>
      <c r="F20" s="43"/>
      <c r="G20" s="43"/>
      <c r="H20" s="43"/>
      <c r="I20" s="43"/>
      <c r="J20" s="43"/>
      <c r="K20" s="43"/>
      <c r="L20" s="43"/>
      <c r="M20" s="43"/>
      <c r="N20" s="43"/>
    </row>
    <row r="21" spans="1:14" ht="20.100000000000001" customHeight="1" x14ac:dyDescent="0.35">
      <c r="A21" s="44"/>
      <c r="B21" s="44"/>
      <c r="C21" s="44"/>
    </row>
    <row r="22" spans="1:14" ht="18.75" customHeight="1" x14ac:dyDescent="0.35">
      <c r="A22" s="44"/>
      <c r="B22" s="44" t="s">
        <v>26</v>
      </c>
      <c r="C22" s="44"/>
    </row>
    <row r="23" spans="1:14" ht="20.100000000000001" customHeight="1" x14ac:dyDescent="0.35">
      <c r="A23" s="44"/>
      <c r="B23" s="284" t="s">
        <v>27</v>
      </c>
      <c r="C23" s="44" t="s">
        <v>28</v>
      </c>
    </row>
    <row r="24" spans="1:14" ht="20.100000000000001" hidden="1" customHeight="1" x14ac:dyDescent="0.35">
      <c r="A24" s="44"/>
      <c r="B24" s="284" t="s">
        <v>29</v>
      </c>
      <c r="C24" s="44" t="s">
        <v>30</v>
      </c>
    </row>
    <row r="25" spans="1:14" ht="20.100000000000001" hidden="1" customHeight="1" x14ac:dyDescent="0.35">
      <c r="A25" s="44"/>
      <c r="B25" s="284" t="s">
        <v>31</v>
      </c>
      <c r="C25" s="44" t="s">
        <v>32</v>
      </c>
    </row>
    <row r="26" spans="1:14" ht="20.100000000000001" hidden="1" customHeight="1" x14ac:dyDescent="0.35">
      <c r="A26" s="44"/>
      <c r="B26" s="284" t="s">
        <v>33</v>
      </c>
      <c r="C26" s="44" t="s">
        <v>34</v>
      </c>
    </row>
    <row r="27" spans="1:14" ht="20.100000000000001" customHeight="1" x14ac:dyDescent="0.35">
      <c r="A27" s="44"/>
      <c r="B27" s="284" t="s">
        <v>35</v>
      </c>
      <c r="C27" s="44" t="s">
        <v>36</v>
      </c>
    </row>
    <row r="28" spans="1:14" ht="20.100000000000001" hidden="1" customHeight="1" x14ac:dyDescent="0.35">
      <c r="A28" s="44"/>
      <c r="B28" s="281" t="s">
        <v>37</v>
      </c>
      <c r="C28" s="220" t="s">
        <v>38</v>
      </c>
    </row>
    <row r="29" spans="1:14" ht="20.100000000000001" hidden="1" customHeight="1" x14ac:dyDescent="0.35">
      <c r="A29" s="44"/>
      <c r="B29" s="281" t="s">
        <v>39</v>
      </c>
      <c r="C29" s="220" t="s">
        <v>40</v>
      </c>
    </row>
    <row r="30" spans="1:14" ht="18.75" customHeight="1" x14ac:dyDescent="0.35">
      <c r="A30" s="44"/>
      <c r="B30" s="284" t="s">
        <v>41</v>
      </c>
      <c r="C30" s="44" t="s">
        <v>42</v>
      </c>
    </row>
    <row r="31" spans="1:14" ht="18.75" customHeight="1" x14ac:dyDescent="0.35">
      <c r="A31" s="44"/>
      <c r="B31" s="284"/>
      <c r="C31" s="44"/>
    </row>
    <row r="32" spans="1:14" ht="20.100000000000001" customHeight="1" x14ac:dyDescent="0.35">
      <c r="A32" s="44"/>
      <c r="B32" s="44"/>
      <c r="C32" s="44"/>
    </row>
    <row r="33" spans="1:4" x14ac:dyDescent="0.35">
      <c r="A33" s="45" t="s">
        <v>43</v>
      </c>
      <c r="B33" s="44"/>
      <c r="C33" s="44"/>
    </row>
    <row r="34" spans="1:4" ht="26.25" hidden="1" customHeight="1" x14ac:dyDescent="0.4">
      <c r="C34" s="46"/>
    </row>
    <row r="35" spans="1:4" ht="26.25" hidden="1" customHeight="1" x14ac:dyDescent="0.4">
      <c r="C35" s="46"/>
    </row>
    <row r="36" spans="1:4" ht="18.75" customHeight="1" x14ac:dyDescent="0.4">
      <c r="C36" s="282"/>
      <c r="D36" s="283"/>
    </row>
    <row r="37" spans="1:4" ht="26.25" x14ac:dyDescent="0.4">
      <c r="C37" s="46"/>
    </row>
    <row r="38" spans="1:4" ht="26.25" x14ac:dyDescent="0.4">
      <c r="C38" s="46"/>
    </row>
    <row r="39" spans="1:4" ht="26.25" x14ac:dyDescent="0.4">
      <c r="C39" s="282"/>
    </row>
    <row r="40" spans="1:4" ht="26.25" x14ac:dyDescent="0.4">
      <c r="C40" s="46"/>
    </row>
    <row r="41" spans="1:4" ht="26.25" x14ac:dyDescent="0.4">
      <c r="C41" s="46"/>
    </row>
    <row r="42" spans="1:4" ht="26.25" x14ac:dyDescent="0.4">
      <c r="C42" s="46"/>
    </row>
    <row r="43" spans="1:4" ht="26.25" x14ac:dyDescent="0.4">
      <c r="C43" s="46"/>
    </row>
    <row r="44" spans="1:4" ht="26.25" x14ac:dyDescent="0.4">
      <c r="C44" s="46"/>
    </row>
    <row r="45" spans="1:4" ht="26.25" x14ac:dyDescent="0.4">
      <c r="C45" s="46"/>
    </row>
    <row r="46" spans="1:4" ht="26.25" x14ac:dyDescent="0.4">
      <c r="C46" s="46"/>
    </row>
    <row r="47" spans="1:4" ht="26.25" x14ac:dyDescent="0.4">
      <c r="C47" s="46"/>
    </row>
    <row r="48" spans="1:4" ht="26.25" x14ac:dyDescent="0.4">
      <c r="C48" s="46"/>
    </row>
    <row r="49" spans="3:3" ht="26.25" x14ac:dyDescent="0.4">
      <c r="C49" s="46"/>
    </row>
    <row r="50" spans="3:3" ht="26.25" x14ac:dyDescent="0.4">
      <c r="C50" s="46"/>
    </row>
    <row r="51" spans="3:3" ht="26.25" x14ac:dyDescent="0.4">
      <c r="C51" s="46"/>
    </row>
    <row r="52" spans="3:3" ht="26.25" x14ac:dyDescent="0.4">
      <c r="C52" s="46"/>
    </row>
    <row r="53" spans="3:3" ht="26.25" x14ac:dyDescent="0.4">
      <c r="C53" s="46"/>
    </row>
    <row r="54" spans="3:3" ht="26.25" x14ac:dyDescent="0.4">
      <c r="C54" s="46"/>
    </row>
    <row r="55" spans="3:3" ht="26.25" x14ac:dyDescent="0.4">
      <c r="C55" s="46"/>
    </row>
    <row r="56" spans="3:3" ht="26.25" x14ac:dyDescent="0.4">
      <c r="C56" s="46"/>
    </row>
    <row r="57" spans="3:3" ht="26.25" x14ac:dyDescent="0.4">
      <c r="C57" s="46"/>
    </row>
    <row r="58" spans="3:3" ht="26.25" x14ac:dyDescent="0.4">
      <c r="C58" s="46"/>
    </row>
  </sheetData>
  <hyperlinks>
    <hyperlink ref="A6" location="Figurer!A1" display="FIGURER" xr:uid="{00000000-0004-0000-0100-000000000000}"/>
    <hyperlink ref="A14" location="'Tabel 1.1'!A1" display="TABELLER" xr:uid="{00000000-0004-0000-0100-000001000000}"/>
    <hyperlink ref="B16" location="'Tabell 1.1'!A1" display="Tabell 1.1" xr:uid="{00000000-0004-0000-0100-000002000000}"/>
    <hyperlink ref="B17" location="'Tabell 1.2'!A1" display="Tabell 1.2" xr:uid="{00000000-0004-0000-0100-000003000000}"/>
    <hyperlink ref="A33" location="'Noter og kommentarer'!A1" display="NOTER OG KOMMENTARER" xr:uid="{00000000-0004-0000-0100-000004000000}"/>
    <hyperlink ref="B23" location="'Tabell 4'!A1" display="Tabell 4" xr:uid="{00000000-0004-0000-0100-000005000000}"/>
    <hyperlink ref="B27" location="'Tabell 6'!A1" display="Tabell 6" xr:uid="{00000000-0004-0000-0100-000006000000}"/>
    <hyperlink ref="B30" location="'Tabell 8'!A1" display="Tabell 8" xr:uid="{00000000-0004-0000-0100-000007000000}"/>
    <hyperlink ref="B24" location="'Tabell 5.1'!A1" display="Tabell 5.1" xr:uid="{00000000-0004-0000-0100-000008000000}"/>
    <hyperlink ref="B25" location="'Tabell 5.2'!A1" display="Tabell 5.2" xr:uid="{00000000-0004-0000-0100-000009000000}"/>
    <hyperlink ref="B26" location="'Tabell 5.3'!A1" display="Tabell 5.3" xr:uid="{00000000-0004-0000-0100-00000A000000}"/>
    <hyperlink ref="B28" location="'Tabell 7a'!A1" display="Tabell 7a" xr:uid="{00000000-0004-0000-0100-00000B000000}"/>
    <hyperlink ref="B29" location="'Tabell 7b'!A1" display="Tabell 7b" xr:uid="{00000000-0004-0000-0100-00000C000000}"/>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Q176"/>
  <sheetViews>
    <sheetView showGridLines="0" showZeros="0" zoomScale="90" zoomScaleNormal="90" workbookViewId="0">
      <selection activeCell="A2" sqref="A2"/>
    </sheetView>
  </sheetViews>
  <sheetFormatPr baseColWidth="10" defaultColWidth="11.42578125" defaultRowHeight="18.75" x14ac:dyDescent="0.3"/>
  <cols>
    <col min="10" max="11" width="16.7109375" customWidth="1"/>
    <col min="12" max="12" width="24.42578125" style="48" customWidth="1"/>
    <col min="13" max="14" width="15.7109375" style="48" bestFit="1" customWidth="1"/>
    <col min="15" max="15" width="22.7109375" customWidth="1"/>
    <col min="16" max="16" width="13.42578125" customWidth="1"/>
    <col min="17" max="17" width="13.7109375" customWidth="1"/>
  </cols>
  <sheetData>
    <row r="1" spans="1:15" x14ac:dyDescent="0.3">
      <c r="A1" s="47" t="s">
        <v>44</v>
      </c>
    </row>
    <row r="2" spans="1:15" x14ac:dyDescent="0.3">
      <c r="A2" s="49"/>
      <c r="B2" s="48"/>
      <c r="C2" s="48"/>
      <c r="D2" s="48"/>
      <c r="E2" s="48"/>
      <c r="F2" s="48"/>
      <c r="G2" s="48"/>
      <c r="H2" s="48"/>
      <c r="I2" s="48"/>
      <c r="J2" s="48"/>
      <c r="K2" s="48"/>
      <c r="O2" s="48"/>
    </row>
    <row r="3" spans="1:15" x14ac:dyDescent="0.3">
      <c r="A3" s="49" t="s">
        <v>1</v>
      </c>
      <c r="B3" s="48"/>
      <c r="C3" s="48"/>
      <c r="D3" s="48"/>
      <c r="E3" s="48"/>
      <c r="F3" s="48"/>
      <c r="G3" s="48"/>
      <c r="H3" s="48"/>
      <c r="I3" s="48"/>
      <c r="J3" s="48"/>
      <c r="K3" s="48"/>
      <c r="O3" s="48"/>
    </row>
    <row r="4" spans="1:15" x14ac:dyDescent="0.3">
      <c r="A4" s="48"/>
      <c r="B4" s="48"/>
      <c r="C4" s="48"/>
      <c r="D4" s="48"/>
      <c r="E4" s="48"/>
      <c r="F4" s="48"/>
      <c r="G4" s="48"/>
      <c r="H4" s="48"/>
      <c r="I4" s="48"/>
      <c r="J4" s="48"/>
      <c r="K4" s="48"/>
      <c r="L4" s="50"/>
      <c r="O4" s="48"/>
    </row>
    <row r="5" spans="1:15" x14ac:dyDescent="0.3">
      <c r="A5" s="49" t="s">
        <v>417</v>
      </c>
      <c r="B5" s="48"/>
      <c r="C5" s="48"/>
      <c r="D5" s="48"/>
      <c r="E5" s="48"/>
      <c r="F5" s="48"/>
      <c r="G5" s="48"/>
      <c r="H5" s="48"/>
      <c r="I5" s="48"/>
      <c r="J5" s="48"/>
      <c r="K5" s="48"/>
      <c r="L5" s="48" t="s">
        <v>45</v>
      </c>
      <c r="O5" s="48"/>
    </row>
    <row r="6" spans="1:15" x14ac:dyDescent="0.3">
      <c r="A6" s="48"/>
      <c r="B6" s="48"/>
      <c r="C6" s="48"/>
      <c r="D6" s="48"/>
      <c r="E6" s="48"/>
      <c r="F6" s="48"/>
      <c r="G6" s="48"/>
      <c r="H6" s="48"/>
      <c r="I6" s="48"/>
      <c r="J6" s="48"/>
      <c r="K6" s="48"/>
      <c r="L6" s="48" t="s">
        <v>46</v>
      </c>
      <c r="O6" s="48"/>
    </row>
    <row r="7" spans="1:15" x14ac:dyDescent="0.3">
      <c r="A7" s="48"/>
      <c r="B7" s="48"/>
      <c r="C7" s="48"/>
      <c r="D7" s="48"/>
      <c r="E7" s="48"/>
      <c r="F7" s="48"/>
      <c r="G7" s="48"/>
      <c r="H7" s="48"/>
      <c r="I7" s="48"/>
      <c r="J7" s="48"/>
      <c r="K7" s="48"/>
      <c r="M7" s="48">
        <v>2025</v>
      </c>
      <c r="N7" s="48">
        <v>2026</v>
      </c>
      <c r="O7" s="48"/>
    </row>
    <row r="8" spans="1:15" x14ac:dyDescent="0.3">
      <c r="A8" s="48"/>
      <c r="B8" s="48"/>
      <c r="C8" s="48"/>
      <c r="D8" s="48"/>
      <c r="E8" s="48"/>
      <c r="F8" s="48"/>
      <c r="G8" s="48"/>
      <c r="H8" s="48"/>
      <c r="I8" s="48"/>
      <c r="J8" s="48"/>
      <c r="K8" s="48"/>
      <c r="L8" s="48" t="s">
        <v>47</v>
      </c>
      <c r="M8" s="51">
        <f>'Tabel 1.1'!B9</f>
        <v>1249688</v>
      </c>
      <c r="N8" s="51">
        <f>'Tabel 1.1'!C9</f>
        <v>1251034.2379600001</v>
      </c>
      <c r="O8" s="48"/>
    </row>
    <row r="9" spans="1:15" x14ac:dyDescent="0.3">
      <c r="A9" s="48"/>
      <c r="B9" s="48"/>
      <c r="C9" s="48"/>
      <c r="D9" s="48"/>
      <c r="E9" s="48"/>
      <c r="F9" s="48"/>
      <c r="G9" s="48"/>
      <c r="H9" s="48"/>
      <c r="I9" s="48"/>
      <c r="J9" s="48"/>
      <c r="K9" s="48"/>
      <c r="L9" s="48" t="s">
        <v>48</v>
      </c>
      <c r="M9" s="51">
        <f>'Tabel 1.1'!B10</f>
        <v>30761</v>
      </c>
      <c r="N9" s="51">
        <f>'Tabel 1.1'!C10</f>
        <v>46204</v>
      </c>
      <c r="O9" s="48"/>
    </row>
    <row r="10" spans="1:15" x14ac:dyDescent="0.3">
      <c r="A10" s="48"/>
      <c r="B10" s="48"/>
      <c r="C10" s="48"/>
      <c r="D10" s="48"/>
      <c r="E10" s="48"/>
      <c r="F10" s="48"/>
      <c r="G10" s="48"/>
      <c r="H10" s="48"/>
      <c r="I10" s="48"/>
      <c r="J10" s="48"/>
      <c r="K10" s="48"/>
      <c r="L10" s="48" t="s">
        <v>409</v>
      </c>
      <c r="M10" s="51">
        <f>'Tabel 1.1'!B11</f>
        <v>1271137.3383900002</v>
      </c>
      <c r="N10" s="51">
        <f>'Tabel 1.1'!C11</f>
        <v>1220218.7109099999</v>
      </c>
      <c r="O10" s="48"/>
    </row>
    <row r="11" spans="1:15" x14ac:dyDescent="0.3">
      <c r="A11" s="48"/>
      <c r="B11" s="48"/>
      <c r="C11" s="48"/>
      <c r="D11" s="48"/>
      <c r="E11" s="48"/>
      <c r="F11" s="48"/>
      <c r="G11" s="48"/>
      <c r="H11" s="48"/>
      <c r="I11" s="48"/>
      <c r="J11" s="48"/>
      <c r="K11" s="48"/>
      <c r="L11" s="48" t="s">
        <v>49</v>
      </c>
      <c r="M11" s="51">
        <f>'Tabel 1.1'!B12</f>
        <v>713825</v>
      </c>
      <c r="N11" s="51">
        <f>'Tabel 1.1'!C12</f>
        <v>787243</v>
      </c>
      <c r="O11" s="48"/>
    </row>
    <row r="12" spans="1:15" x14ac:dyDescent="0.3">
      <c r="A12" s="48"/>
      <c r="B12" s="48"/>
      <c r="C12" s="48"/>
      <c r="D12" s="48"/>
      <c r="E12" s="48"/>
      <c r="F12" s="48"/>
      <c r="G12" s="48"/>
      <c r="H12" s="48"/>
      <c r="I12" s="48"/>
      <c r="J12" s="48"/>
      <c r="K12" s="48"/>
      <c r="L12" s="48" t="s">
        <v>50</v>
      </c>
      <c r="M12" s="51">
        <f>'Tabel 1.1'!B13</f>
        <v>287.33699999999999</v>
      </c>
      <c r="N12" s="51">
        <f>'Tabel 1.1'!C13</f>
        <v>25.518999999999998</v>
      </c>
      <c r="O12" s="48"/>
    </row>
    <row r="13" spans="1:15" x14ac:dyDescent="0.3">
      <c r="A13" s="48"/>
      <c r="B13" s="48"/>
      <c r="C13" s="48"/>
      <c r="D13" s="48"/>
      <c r="E13" s="48"/>
      <c r="F13" s="48"/>
      <c r="G13" s="48"/>
      <c r="H13" s="48"/>
      <c r="I13" s="48"/>
      <c r="J13" s="48"/>
      <c r="K13" s="48"/>
      <c r="L13" s="48" t="s">
        <v>51</v>
      </c>
      <c r="M13" s="51">
        <f>'Tabel 1.1'!B14</f>
        <v>1611395.2398000001</v>
      </c>
      <c r="N13" s="51">
        <f>'Tabel 1.1'!C14</f>
        <v>1562214.5224200001</v>
      </c>
      <c r="O13" s="48"/>
    </row>
    <row r="14" spans="1:15" x14ac:dyDescent="0.3">
      <c r="A14" s="48"/>
      <c r="B14" s="48"/>
      <c r="C14" s="48"/>
      <c r="D14" s="48"/>
      <c r="E14" s="48"/>
      <c r="F14" s="48"/>
      <c r="G14" s="48"/>
      <c r="H14" s="48"/>
      <c r="I14" s="48"/>
      <c r="J14" s="48"/>
      <c r="K14" s="48"/>
      <c r="L14" s="48" t="s">
        <v>52</v>
      </c>
      <c r="M14" s="51">
        <f>'Tabel 1.1'!B15</f>
        <v>361354</v>
      </c>
      <c r="N14" s="51">
        <f>'Tabel 1.1'!C15</f>
        <v>385947</v>
      </c>
      <c r="O14" s="48"/>
    </row>
    <row r="15" spans="1:15" x14ac:dyDescent="0.3">
      <c r="A15" s="48"/>
      <c r="B15" s="48"/>
      <c r="C15" s="48"/>
      <c r="D15" s="48"/>
      <c r="E15" s="48"/>
      <c r="F15" s="48"/>
      <c r="G15" s="48"/>
      <c r="H15" s="48"/>
      <c r="I15" s="48"/>
      <c r="J15" s="48"/>
      <c r="K15" s="48"/>
      <c r="L15" s="48" t="s">
        <v>53</v>
      </c>
      <c r="M15" s="51">
        <f>'Tabel 1.1'!B16</f>
        <v>306096.54931210296</v>
      </c>
      <c r="N15" s="51">
        <f>'Tabel 1.1'!C16</f>
        <v>344301.01800000004</v>
      </c>
      <c r="O15" s="48"/>
    </row>
    <row r="16" spans="1:15" x14ac:dyDescent="0.3">
      <c r="A16" s="48"/>
      <c r="B16" s="48"/>
      <c r="C16" s="48"/>
      <c r="D16" s="48"/>
      <c r="E16" s="48"/>
      <c r="F16" s="48"/>
      <c r="G16" s="48"/>
      <c r="H16" s="48"/>
      <c r="I16" s="48"/>
      <c r="J16" s="48"/>
      <c r="K16" s="48"/>
      <c r="L16" s="48" t="s">
        <v>54</v>
      </c>
      <c r="M16" s="51">
        <f>'Tabel 1.1'!B17</f>
        <v>8049379.79641</v>
      </c>
      <c r="N16" s="51">
        <f>'Tabel 1.1'!C17</f>
        <v>8744623.9051599987</v>
      </c>
      <c r="O16" s="48"/>
    </row>
    <row r="17" spans="1:15" x14ac:dyDescent="0.3">
      <c r="A17" s="48"/>
      <c r="B17" s="48"/>
      <c r="C17" s="48"/>
      <c r="D17" s="48"/>
      <c r="E17" s="48"/>
      <c r="F17" s="48"/>
      <c r="G17" s="48"/>
      <c r="H17" s="48"/>
      <c r="I17" s="48"/>
      <c r="J17" s="48"/>
      <c r="K17" s="48"/>
      <c r="L17" s="48" t="s">
        <v>55</v>
      </c>
      <c r="M17" s="51">
        <f>'Tabel 1.1'!B18</f>
        <v>234700.55499999999</v>
      </c>
      <c r="N17" s="51">
        <f>'Tabel 1.1'!C18</f>
        <v>696348.86199999996</v>
      </c>
      <c r="O17" s="48"/>
    </row>
    <row r="18" spans="1:15" x14ac:dyDescent="0.3">
      <c r="A18" s="48"/>
      <c r="B18" s="48"/>
      <c r="C18" s="48"/>
      <c r="D18" s="48"/>
      <c r="E18" s="48"/>
      <c r="F18" s="48"/>
      <c r="G18" s="48"/>
      <c r="H18" s="48"/>
      <c r="I18" s="48"/>
      <c r="J18" s="48"/>
      <c r="K18" s="48"/>
      <c r="L18" s="48" t="s">
        <v>422</v>
      </c>
      <c r="M18" s="51">
        <f>'Tabel 1.1'!B19</f>
        <v>0</v>
      </c>
      <c r="N18" s="51">
        <f>'Tabel 1.1'!C19</f>
        <v>53091</v>
      </c>
      <c r="O18" s="48"/>
    </row>
    <row r="19" spans="1:15" x14ac:dyDescent="0.3">
      <c r="A19" s="48"/>
      <c r="B19" s="48"/>
      <c r="C19" s="48"/>
      <c r="D19" s="48"/>
      <c r="E19" s="48"/>
      <c r="F19" s="48"/>
      <c r="G19" s="48"/>
      <c r="H19" s="48"/>
      <c r="I19" s="48"/>
      <c r="J19" s="48"/>
      <c r="K19" s="48"/>
      <c r="L19" s="48" t="s">
        <v>57</v>
      </c>
      <c r="M19" s="51">
        <f>'Tabel 1.1'!B20</f>
        <v>82536</v>
      </c>
      <c r="N19" s="51">
        <f>'Tabel 1.1'!C20</f>
        <v>71658</v>
      </c>
      <c r="O19" s="48"/>
    </row>
    <row r="20" spans="1:15" x14ac:dyDescent="0.3">
      <c r="A20" s="48"/>
      <c r="B20" s="48"/>
      <c r="C20" s="48"/>
      <c r="D20" s="48"/>
      <c r="E20" s="48"/>
      <c r="F20" s="48"/>
      <c r="G20" s="48"/>
      <c r="H20" s="48"/>
      <c r="I20" s="48"/>
      <c r="J20" s="48"/>
      <c r="K20" s="48"/>
      <c r="L20" s="48" t="s">
        <v>58</v>
      </c>
      <c r="M20" s="51">
        <f>'Tabel 1.1'!B21</f>
        <v>15177</v>
      </c>
      <c r="N20" s="51">
        <f>'Tabel 1.1'!C21</f>
        <v>16314</v>
      </c>
      <c r="O20" s="48"/>
    </row>
    <row r="21" spans="1:15" x14ac:dyDescent="0.3">
      <c r="A21" s="48"/>
      <c r="B21" s="48"/>
      <c r="C21" s="48"/>
      <c r="D21" s="48"/>
      <c r="E21" s="48"/>
      <c r="F21" s="48"/>
      <c r="G21" s="48"/>
      <c r="H21" s="48"/>
      <c r="I21" s="48"/>
      <c r="J21" s="48"/>
      <c r="K21" s="48"/>
      <c r="L21" s="48" t="s">
        <v>59</v>
      </c>
      <c r="M21" s="51">
        <f>'Tabel 1.1'!B22</f>
        <v>811738.02410864085</v>
      </c>
      <c r="N21" s="51">
        <f>'Tabel 1.1'!C22</f>
        <v>855566.53582891263</v>
      </c>
      <c r="O21" s="48"/>
    </row>
    <row r="22" spans="1:15" x14ac:dyDescent="0.3">
      <c r="A22" s="48"/>
      <c r="B22" s="48"/>
      <c r="C22" s="48"/>
      <c r="D22" s="48"/>
      <c r="E22" s="48"/>
      <c r="F22" s="48"/>
      <c r="G22" s="48"/>
      <c r="H22" s="48"/>
      <c r="I22" s="48"/>
      <c r="J22" s="48"/>
      <c r="K22" s="48"/>
      <c r="L22" s="48" t="s">
        <v>60</v>
      </c>
      <c r="M22" s="51">
        <f>'Tabel 1.1'!B23</f>
        <v>8970</v>
      </c>
      <c r="N22" s="51">
        <f>'Tabel 1.1'!C23</f>
        <v>9386</v>
      </c>
      <c r="O22" s="48"/>
    </row>
    <row r="23" spans="1:15" x14ac:dyDescent="0.3">
      <c r="A23" s="48"/>
      <c r="B23" s="48"/>
      <c r="C23" s="48"/>
      <c r="D23" s="48"/>
      <c r="E23" s="48"/>
      <c r="F23" s="48"/>
      <c r="G23" s="48"/>
      <c r="H23" s="48"/>
      <c r="I23" s="48"/>
      <c r="J23" s="48"/>
      <c r="K23" s="48"/>
      <c r="L23" s="48" t="s">
        <v>61</v>
      </c>
      <c r="M23" s="51">
        <f>'Tabel 1.1'!B24</f>
        <v>908116</v>
      </c>
      <c r="N23" s="51">
        <f>'Tabel 1.1'!C24</f>
        <v>694944</v>
      </c>
      <c r="O23" s="48"/>
    </row>
    <row r="24" spans="1:15" x14ac:dyDescent="0.3">
      <c r="A24" s="48"/>
      <c r="B24" s="48"/>
      <c r="C24" s="48"/>
      <c r="D24" s="48"/>
      <c r="E24" s="48"/>
      <c r="F24" s="48"/>
      <c r="G24" s="48"/>
      <c r="H24" s="48"/>
      <c r="I24" s="48"/>
      <c r="J24" s="48"/>
      <c r="K24" s="48"/>
      <c r="L24" s="48" t="s">
        <v>62</v>
      </c>
      <c r="M24" s="51">
        <f>'Tabel 1.1'!B25</f>
        <v>318529</v>
      </c>
      <c r="N24" s="51">
        <f>'Tabel 1.1'!C25</f>
        <v>387470</v>
      </c>
      <c r="O24" s="48"/>
    </row>
    <row r="25" spans="1:15" x14ac:dyDescent="0.3">
      <c r="A25" s="48"/>
      <c r="B25" s="48"/>
      <c r="C25" s="48"/>
      <c r="D25" s="48"/>
      <c r="E25" s="48"/>
      <c r="F25" s="48"/>
      <c r="G25" s="48"/>
      <c r="H25" s="48"/>
      <c r="I25" s="48"/>
      <c r="J25" s="48"/>
      <c r="K25" s="48"/>
      <c r="L25" s="48" t="s">
        <v>63</v>
      </c>
      <c r="M25" s="51">
        <f>'Tabel 1.1'!B26</f>
        <v>287814.84760999994</v>
      </c>
      <c r="N25" s="51">
        <f>'Tabel 1.1'!C26</f>
        <v>287093.53328999999</v>
      </c>
      <c r="O25" s="48"/>
    </row>
    <row r="26" spans="1:15" x14ac:dyDescent="0.3">
      <c r="A26" s="48"/>
      <c r="B26" s="48"/>
      <c r="C26" s="48"/>
      <c r="D26" s="48"/>
      <c r="E26" s="48"/>
      <c r="F26" s="48"/>
      <c r="G26" s="48"/>
      <c r="H26" s="48"/>
      <c r="I26" s="48"/>
      <c r="J26" s="48"/>
      <c r="K26" s="48"/>
      <c r="L26" s="48" t="s">
        <v>64</v>
      </c>
      <c r="M26" s="51">
        <f>'Tabel 1.1'!B27</f>
        <v>2689958.4868299998</v>
      </c>
      <c r="N26" s="51">
        <f>'Tabel 1.1'!C27</f>
        <v>2940213.8751999997</v>
      </c>
      <c r="O26" s="48"/>
    </row>
    <row r="27" spans="1:15" x14ac:dyDescent="0.3">
      <c r="A27" s="48"/>
      <c r="B27" s="48"/>
      <c r="C27" s="48"/>
      <c r="D27" s="48"/>
      <c r="E27" s="48"/>
      <c r="F27" s="48"/>
      <c r="G27" s="48"/>
      <c r="H27" s="48"/>
      <c r="I27" s="48"/>
      <c r="J27" s="48"/>
      <c r="K27" s="48"/>
      <c r="L27" s="48" t="s">
        <v>65</v>
      </c>
      <c r="M27" s="51">
        <f>'Tabel 1.1'!B28</f>
        <v>2290</v>
      </c>
      <c r="N27" s="51">
        <f>'Tabel 1.1'!C28</f>
        <v>2001</v>
      </c>
      <c r="O27" s="48"/>
    </row>
    <row r="28" spans="1:15" x14ac:dyDescent="0.3">
      <c r="A28" s="48"/>
      <c r="B28" s="48"/>
      <c r="C28" s="48"/>
      <c r="D28" s="48"/>
      <c r="E28" s="48"/>
      <c r="F28" s="48"/>
      <c r="G28" s="48"/>
      <c r="H28" s="48"/>
      <c r="I28" s="48"/>
      <c r="J28" s="48"/>
      <c r="K28" s="48"/>
      <c r="L28" s="48" t="s">
        <v>66</v>
      </c>
      <c r="M28" s="51">
        <f>'Tabel 1.1'!B29</f>
        <v>758059</v>
      </c>
      <c r="N28" s="51">
        <f>'Tabel 1.1'!C29</f>
        <v>772427</v>
      </c>
    </row>
    <row r="29" spans="1:15" x14ac:dyDescent="0.3">
      <c r="A29" s="48"/>
      <c r="B29" s="48"/>
      <c r="C29" s="48"/>
      <c r="D29" s="48"/>
      <c r="E29" s="48"/>
      <c r="F29" s="48"/>
      <c r="G29" s="48"/>
      <c r="H29" s="48"/>
      <c r="I29" s="48"/>
      <c r="J29" s="48"/>
      <c r="K29" s="48"/>
      <c r="L29" s="48" t="s">
        <v>67</v>
      </c>
      <c r="M29" s="51">
        <f>'Tabel 1.1'!B30</f>
        <v>1680</v>
      </c>
      <c r="N29" s="51">
        <f>'Tabel 1.1'!C30</f>
        <v>1584</v>
      </c>
    </row>
    <row r="30" spans="1:15" x14ac:dyDescent="0.3">
      <c r="A30" s="48"/>
      <c r="B30" s="48"/>
      <c r="C30" s="48"/>
      <c r="D30" s="48"/>
      <c r="E30" s="48"/>
      <c r="F30" s="48"/>
      <c r="G30" s="48"/>
      <c r="H30" s="48"/>
      <c r="I30" s="48"/>
      <c r="J30" s="48"/>
      <c r="K30" s="48"/>
      <c r="L30" s="48" t="s">
        <v>68</v>
      </c>
      <c r="M30" s="51">
        <f>'Tabel 1.1'!B31</f>
        <v>43878</v>
      </c>
      <c r="N30" s="51">
        <f>'Tabel 1.1'!C31</f>
        <v>16577</v>
      </c>
    </row>
    <row r="31" spans="1:15" x14ac:dyDescent="0.3">
      <c r="A31" s="49" t="s">
        <v>412</v>
      </c>
      <c r="B31" s="48"/>
      <c r="C31" s="48"/>
      <c r="D31" s="48"/>
      <c r="E31" s="48"/>
      <c r="F31" s="48"/>
      <c r="G31" s="48"/>
      <c r="H31" s="48"/>
      <c r="I31" s="48"/>
      <c r="J31" s="48"/>
      <c r="K31" s="48"/>
    </row>
    <row r="32" spans="1:15" x14ac:dyDescent="0.3">
      <c r="B32" s="48"/>
      <c r="C32" s="48"/>
      <c r="D32" s="48"/>
      <c r="E32" s="48"/>
      <c r="F32" s="48"/>
      <c r="G32" s="48"/>
      <c r="H32" s="48"/>
      <c r="I32" s="48"/>
      <c r="J32" s="48"/>
      <c r="K32" s="48"/>
      <c r="L32" s="48" t="s">
        <v>45</v>
      </c>
    </row>
    <row r="33" spans="1:15" x14ac:dyDescent="0.3">
      <c r="B33" s="48"/>
      <c r="C33" s="48"/>
      <c r="D33" s="48"/>
      <c r="E33" s="48"/>
      <c r="F33" s="48"/>
      <c r="G33" s="48"/>
      <c r="H33" s="48"/>
      <c r="I33" s="48"/>
      <c r="J33" s="48"/>
      <c r="K33" s="48"/>
      <c r="L33" s="48" t="s">
        <v>69</v>
      </c>
    </row>
    <row r="34" spans="1:15" x14ac:dyDescent="0.3">
      <c r="A34" s="48"/>
      <c r="B34" s="48"/>
      <c r="C34" s="48"/>
      <c r="D34" s="48"/>
      <c r="E34" s="48"/>
      <c r="F34" s="48"/>
      <c r="G34" s="48"/>
      <c r="H34" s="48"/>
      <c r="I34" s="48"/>
      <c r="J34" s="48"/>
      <c r="K34" s="48"/>
      <c r="M34" s="48">
        <f>M7</f>
        <v>2025</v>
      </c>
      <c r="N34" s="48">
        <f>N7</f>
        <v>2026</v>
      </c>
    </row>
    <row r="35" spans="1:15" x14ac:dyDescent="0.3">
      <c r="A35" s="48"/>
      <c r="B35" s="48"/>
      <c r="C35" s="48"/>
      <c r="D35" s="48"/>
      <c r="E35" s="48"/>
      <c r="F35" s="48"/>
      <c r="G35" s="48"/>
      <c r="H35" s="48"/>
      <c r="I35" s="48"/>
      <c r="J35" s="48"/>
      <c r="K35" s="48"/>
      <c r="L35" s="48" t="s">
        <v>47</v>
      </c>
      <c r="M35" s="51">
        <f>'Tabel 1.1'!B35</f>
        <v>4416210.9040000001</v>
      </c>
      <c r="N35" s="51">
        <f>'Tabel 1.1'!C35</f>
        <v>4595185.1543399999</v>
      </c>
    </row>
    <row r="36" spans="1:15" x14ac:dyDescent="0.3">
      <c r="A36" s="48"/>
      <c r="B36" s="48"/>
      <c r="C36" s="48"/>
      <c r="D36" s="48"/>
      <c r="E36" s="48"/>
      <c r="F36" s="48"/>
      <c r="G36" s="48"/>
      <c r="H36" s="48"/>
      <c r="I36" s="48"/>
      <c r="J36" s="48"/>
      <c r="K36" s="48"/>
      <c r="L36" s="48" t="s">
        <v>52</v>
      </c>
      <c r="M36" s="51">
        <f>'Tabel 1.1'!B36</f>
        <v>1741309</v>
      </c>
      <c r="N36" s="51">
        <f>'Tabel 1.1'!C36</f>
        <v>1912502</v>
      </c>
    </row>
    <row r="37" spans="1:15" x14ac:dyDescent="0.3">
      <c r="A37" s="48"/>
      <c r="B37" s="48"/>
      <c r="C37" s="48"/>
      <c r="D37" s="48"/>
      <c r="E37" s="48"/>
      <c r="F37" s="48"/>
      <c r="G37" s="48"/>
      <c r="H37" s="48"/>
      <c r="I37" s="48"/>
      <c r="J37" s="48"/>
      <c r="K37" s="48"/>
      <c r="L37" s="48" t="s">
        <v>54</v>
      </c>
      <c r="M37" s="51">
        <f>'Tabel 1.1'!B37</f>
        <v>20929.275000000001</v>
      </c>
      <c r="N37" s="51">
        <f>'Tabel 1.1'!C37</f>
        <v>30212.771000000001</v>
      </c>
    </row>
    <row r="38" spans="1:15" x14ac:dyDescent="0.3">
      <c r="A38" s="48"/>
      <c r="B38" s="48"/>
      <c r="C38" s="48"/>
      <c r="D38" s="48"/>
      <c r="E38" s="48"/>
      <c r="F38" s="48"/>
      <c r="G38" s="48"/>
      <c r="H38" s="48"/>
      <c r="I38" s="48"/>
      <c r="J38" s="48"/>
      <c r="K38" s="48"/>
      <c r="L38" s="48" t="s">
        <v>59</v>
      </c>
      <c r="M38" s="51">
        <f>'Tabel 1.1'!B38</f>
        <v>4781667.1471800003</v>
      </c>
      <c r="N38" s="51">
        <f>'Tabel 1.1'!C38</f>
        <v>5869756.8764300002</v>
      </c>
    </row>
    <row r="39" spans="1:15" x14ac:dyDescent="0.3">
      <c r="A39" s="48"/>
      <c r="B39" s="48"/>
      <c r="C39" s="48"/>
      <c r="D39" s="48"/>
      <c r="E39" s="48"/>
      <c r="F39" s="48"/>
      <c r="G39" s="48"/>
      <c r="H39" s="48"/>
      <c r="I39" s="48"/>
      <c r="J39" s="48"/>
      <c r="K39" s="48"/>
      <c r="L39" s="48" t="s">
        <v>63</v>
      </c>
      <c r="M39" s="51">
        <f>'Tabel 1.1'!B39</f>
        <v>2096094.96572</v>
      </c>
      <c r="N39" s="51">
        <f>'Tabel 1.1'!C39</f>
        <v>2204043.2582200002</v>
      </c>
    </row>
    <row r="40" spans="1:15" x14ac:dyDescent="0.3">
      <c r="A40" s="48"/>
      <c r="B40" s="48"/>
      <c r="C40" s="48"/>
      <c r="D40" s="48"/>
      <c r="E40" s="48"/>
      <c r="F40" s="48"/>
      <c r="G40" s="48"/>
      <c r="H40" s="48"/>
      <c r="I40" s="48"/>
      <c r="J40" s="48"/>
      <c r="K40" s="48"/>
      <c r="L40" s="48" t="s">
        <v>64</v>
      </c>
      <c r="M40" s="51">
        <f>'Tabel 1.1'!B40</f>
        <v>4815430.6112099998</v>
      </c>
      <c r="N40" s="51">
        <f>'Tabel 1.1'!C40</f>
        <v>4843337.3624900002</v>
      </c>
    </row>
    <row r="41" spans="1:15" x14ac:dyDescent="0.3">
      <c r="A41" s="48"/>
      <c r="B41" s="48"/>
      <c r="C41" s="48"/>
      <c r="D41" s="48"/>
      <c r="E41" s="48"/>
      <c r="F41" s="48"/>
      <c r="G41" s="48"/>
      <c r="H41" s="48"/>
      <c r="I41" s="48"/>
      <c r="J41" s="48"/>
      <c r="K41" s="48"/>
      <c r="O41" s="48"/>
    </row>
    <row r="42" spans="1:15" x14ac:dyDescent="0.3">
      <c r="A42" s="48"/>
      <c r="B42" s="48"/>
      <c r="C42" s="48"/>
      <c r="D42" s="48"/>
      <c r="E42" s="48"/>
      <c r="F42" s="48"/>
      <c r="G42" s="48"/>
      <c r="H42" s="48"/>
      <c r="I42" s="48"/>
      <c r="J42" s="48"/>
      <c r="K42" s="48"/>
      <c r="M42" s="51"/>
      <c r="N42" s="51"/>
      <c r="O42" s="48"/>
    </row>
    <row r="43" spans="1:15" x14ac:dyDescent="0.3">
      <c r="A43" s="48"/>
      <c r="B43" s="48"/>
      <c r="C43" s="48"/>
      <c r="D43" s="48"/>
      <c r="E43" s="48"/>
      <c r="F43" s="48"/>
      <c r="G43" s="48"/>
      <c r="H43" s="48"/>
      <c r="I43" s="48"/>
      <c r="J43" s="48"/>
      <c r="K43" s="48"/>
      <c r="M43" s="51"/>
      <c r="N43" s="51"/>
      <c r="O43" s="48"/>
    </row>
    <row r="44" spans="1:15" x14ac:dyDescent="0.3">
      <c r="A44" s="48"/>
      <c r="B44" s="48"/>
      <c r="C44" s="48"/>
      <c r="D44" s="48"/>
      <c r="E44" s="48"/>
      <c r="F44" s="48"/>
      <c r="G44" s="48"/>
      <c r="H44" s="48"/>
      <c r="I44" s="48"/>
      <c r="J44" s="48"/>
      <c r="K44" s="48"/>
      <c r="M44" s="51"/>
      <c r="N44" s="51"/>
      <c r="O44" s="48"/>
    </row>
    <row r="45" spans="1:15" x14ac:dyDescent="0.3">
      <c r="A45" s="48"/>
      <c r="B45" s="48"/>
      <c r="C45" s="48"/>
      <c r="D45" s="48"/>
      <c r="E45" s="48"/>
      <c r="F45" s="48"/>
      <c r="G45" s="48"/>
      <c r="H45" s="48"/>
      <c r="I45" s="48"/>
      <c r="J45" s="48"/>
      <c r="K45" s="48"/>
      <c r="M45" s="51"/>
      <c r="N45" s="51"/>
      <c r="O45" s="48"/>
    </row>
    <row r="46" spans="1:15" x14ac:dyDescent="0.3">
      <c r="A46" s="48"/>
      <c r="B46" s="48"/>
      <c r="C46" s="48"/>
      <c r="D46" s="48"/>
      <c r="E46" s="48"/>
      <c r="F46" s="48"/>
      <c r="G46" s="48"/>
      <c r="H46" s="48"/>
      <c r="I46" s="48"/>
      <c r="J46" s="48"/>
      <c r="K46" s="48"/>
      <c r="M46" s="51"/>
      <c r="N46" s="51"/>
      <c r="O46" s="48"/>
    </row>
    <row r="47" spans="1:15" x14ac:dyDescent="0.3">
      <c r="A47" s="48"/>
      <c r="B47" s="48"/>
      <c r="C47" s="48"/>
      <c r="D47" s="48"/>
      <c r="E47" s="48"/>
      <c r="F47" s="48"/>
      <c r="G47" s="48"/>
      <c r="H47" s="48"/>
      <c r="I47" s="48"/>
      <c r="J47" s="48"/>
      <c r="K47" s="48"/>
      <c r="O47" s="48"/>
    </row>
    <row r="48" spans="1:15" x14ac:dyDescent="0.3">
      <c r="A48" s="48"/>
      <c r="B48" s="48"/>
      <c r="C48" s="48"/>
      <c r="D48" s="48"/>
      <c r="E48" s="48"/>
      <c r="F48" s="48"/>
      <c r="G48" s="48"/>
      <c r="H48" s="48"/>
      <c r="I48" s="48"/>
      <c r="J48" s="48"/>
      <c r="K48" s="48"/>
      <c r="O48" s="48"/>
    </row>
    <row r="49" spans="1:15" x14ac:dyDescent="0.3">
      <c r="A49" s="48"/>
      <c r="B49" s="48"/>
      <c r="C49" s="48"/>
      <c r="D49" s="48"/>
      <c r="E49" s="48"/>
      <c r="F49" s="48"/>
      <c r="G49" s="48"/>
      <c r="H49" s="48"/>
      <c r="I49" s="48"/>
      <c r="J49" s="48"/>
      <c r="K49" s="48"/>
      <c r="O49" s="48"/>
    </row>
    <row r="50" spans="1:15" x14ac:dyDescent="0.3">
      <c r="A50" s="48"/>
      <c r="B50" s="48"/>
      <c r="C50" s="48"/>
      <c r="D50" s="48"/>
      <c r="E50" s="48"/>
      <c r="F50" s="48"/>
      <c r="G50" s="48"/>
      <c r="H50" s="48"/>
      <c r="I50" s="48"/>
      <c r="J50" s="48"/>
      <c r="K50" s="48"/>
      <c r="L50" s="48" t="s">
        <v>70</v>
      </c>
      <c r="O50" s="48"/>
    </row>
    <row r="51" spans="1:15" x14ac:dyDescent="0.3">
      <c r="A51" s="48"/>
      <c r="B51" s="48"/>
      <c r="C51" s="48"/>
      <c r="D51" s="48"/>
      <c r="E51" s="48"/>
      <c r="F51" s="48"/>
      <c r="G51" s="48"/>
      <c r="H51" s="48"/>
      <c r="I51" s="48"/>
      <c r="J51" s="48"/>
      <c r="K51" s="48"/>
      <c r="L51" s="48" t="s">
        <v>46</v>
      </c>
      <c r="O51" s="48"/>
    </row>
    <row r="52" spans="1:15" x14ac:dyDescent="0.3">
      <c r="A52" s="48"/>
      <c r="B52" s="48"/>
      <c r="C52" s="48"/>
      <c r="D52" s="48"/>
      <c r="E52" s="48"/>
      <c r="F52" s="48"/>
      <c r="G52" s="48"/>
      <c r="H52" s="48"/>
      <c r="I52" s="48"/>
      <c r="J52" s="48"/>
      <c r="K52" s="48"/>
      <c r="M52" s="48">
        <f>M7</f>
        <v>2025</v>
      </c>
      <c r="N52" s="48">
        <f>N7</f>
        <v>2026</v>
      </c>
      <c r="O52" s="48"/>
    </row>
    <row r="53" spans="1:15" x14ac:dyDescent="0.3">
      <c r="A53" s="48"/>
      <c r="B53" s="48"/>
      <c r="C53" s="48"/>
      <c r="D53" s="48"/>
      <c r="E53" s="48"/>
      <c r="F53" s="48"/>
      <c r="G53" s="48"/>
      <c r="H53" s="48"/>
      <c r="I53" s="48"/>
      <c r="J53" s="48"/>
      <c r="K53" s="48"/>
      <c r="L53" s="48" t="s">
        <v>47</v>
      </c>
      <c r="M53" s="51">
        <f>'Tabel 1.1'!G9</f>
        <v>179684402.72244999</v>
      </c>
      <c r="N53" s="51">
        <f>'Tabel 1.1'!H9</f>
        <v>178517753.45691475</v>
      </c>
      <c r="O53" s="48"/>
    </row>
    <row r="54" spans="1:15" x14ac:dyDescent="0.3">
      <c r="A54" s="48"/>
      <c r="B54" s="48"/>
      <c r="C54" s="48"/>
      <c r="D54" s="48"/>
      <c r="E54" s="48"/>
      <c r="F54" s="48"/>
      <c r="G54" s="48"/>
      <c r="H54" s="48"/>
      <c r="I54" s="48"/>
      <c r="J54" s="48"/>
      <c r="K54" s="48"/>
      <c r="L54" s="48" t="s">
        <v>48</v>
      </c>
      <c r="M54" s="51">
        <f>'Tabel 1.1'!G10</f>
        <v>0</v>
      </c>
      <c r="N54" s="51">
        <f>'Tabel 1.1'!H10</f>
        <v>0</v>
      </c>
      <c r="O54" s="48"/>
    </row>
    <row r="55" spans="1:15" x14ac:dyDescent="0.3">
      <c r="A55" s="48"/>
      <c r="B55" s="48"/>
      <c r="C55" s="48"/>
      <c r="D55" s="48"/>
      <c r="E55" s="48"/>
      <c r="F55" s="48"/>
      <c r="G55" s="48"/>
      <c r="H55" s="48"/>
      <c r="I55" s="48"/>
      <c r="J55" s="48"/>
      <c r="K55" s="48"/>
      <c r="L55" s="48" t="s">
        <v>409</v>
      </c>
      <c r="M55" s="51">
        <f>'Tabel 1.1'!G11</f>
        <v>6000495.18102</v>
      </c>
      <c r="N55" s="51">
        <f>'Tabel 1.1'!H11</f>
        <v>6592758.1898499997</v>
      </c>
      <c r="O55" s="48"/>
    </row>
    <row r="56" spans="1:15" x14ac:dyDescent="0.3">
      <c r="A56" s="49" t="s">
        <v>413</v>
      </c>
      <c r="B56" s="48"/>
      <c r="C56" s="48"/>
      <c r="D56" s="48"/>
      <c r="E56" s="48"/>
      <c r="F56" s="48"/>
      <c r="G56" s="48"/>
      <c r="H56" s="48"/>
      <c r="I56" s="48"/>
      <c r="J56" s="48"/>
      <c r="K56" s="48"/>
      <c r="L56" s="48" t="s">
        <v>49</v>
      </c>
      <c r="M56" s="51">
        <f>'Tabel 1.1'!G12</f>
        <v>2437488</v>
      </c>
      <c r="N56" s="51">
        <f>'Tabel 1.1'!H12</f>
        <v>2794309</v>
      </c>
      <c r="O56" s="48"/>
    </row>
    <row r="57" spans="1:15" x14ac:dyDescent="0.3">
      <c r="A57" s="48"/>
      <c r="B57" s="48"/>
      <c r="C57" s="48"/>
      <c r="D57" s="48"/>
      <c r="E57" s="48"/>
      <c r="F57" s="48"/>
      <c r="G57" s="48"/>
      <c r="H57" s="48"/>
      <c r="I57" s="48"/>
      <c r="J57" s="48"/>
      <c r="K57" s="48"/>
      <c r="L57" s="48" t="s">
        <v>51</v>
      </c>
      <c r="M57" s="51">
        <f>'Tabel 1.1'!G13</f>
        <v>0</v>
      </c>
      <c r="N57" s="51">
        <f>'Tabel 1.1'!H13</f>
        <v>0</v>
      </c>
      <c r="O57" s="48"/>
    </row>
    <row r="58" spans="1:15" x14ac:dyDescent="0.3">
      <c r="A58" s="48"/>
      <c r="B58" s="48"/>
      <c r="C58" s="48"/>
      <c r="D58" s="48"/>
      <c r="E58" s="48"/>
      <c r="F58" s="48"/>
      <c r="G58" s="48"/>
      <c r="H58" s="48"/>
      <c r="I58" s="48"/>
      <c r="J58" s="48"/>
      <c r="K58" s="48"/>
      <c r="L58" s="48" t="s">
        <v>52</v>
      </c>
      <c r="M58" s="51">
        <f>'Tabel 1.1'!G15</f>
        <v>11279029</v>
      </c>
      <c r="N58" s="51">
        <f>'Tabel 1.1'!H15</f>
        <v>12086275</v>
      </c>
      <c r="O58" s="48"/>
    </row>
    <row r="59" spans="1:15" x14ac:dyDescent="0.3">
      <c r="A59" s="48"/>
      <c r="B59" s="48"/>
      <c r="C59" s="48"/>
      <c r="D59" s="48"/>
      <c r="E59" s="48"/>
      <c r="F59" s="48"/>
      <c r="G59" s="48"/>
      <c r="H59" s="48"/>
      <c r="I59" s="48"/>
      <c r="J59" s="48"/>
      <c r="K59" s="48"/>
      <c r="L59" s="48" t="s">
        <v>53</v>
      </c>
      <c r="M59" s="51">
        <f>'Tabel 1.1'!G16</f>
        <v>0</v>
      </c>
      <c r="N59" s="51">
        <f>'Tabel 1.1'!H16</f>
        <v>0</v>
      </c>
      <c r="O59" s="48"/>
    </row>
    <row r="60" spans="1:15" x14ac:dyDescent="0.3">
      <c r="A60" s="48"/>
      <c r="B60" s="48"/>
      <c r="C60" s="48"/>
      <c r="D60" s="48"/>
      <c r="E60" s="48"/>
      <c r="F60" s="48"/>
      <c r="G60" s="48"/>
      <c r="H60" s="48"/>
      <c r="I60" s="48"/>
      <c r="J60" s="48"/>
      <c r="K60" s="48"/>
      <c r="L60" s="48" t="s">
        <v>54</v>
      </c>
      <c r="M60" s="51">
        <f>'Tabel 1.1'!G17</f>
        <v>794812677.44805002</v>
      </c>
      <c r="N60" s="51">
        <f>'Tabel 1.1'!H17</f>
        <v>876265272.58194005</v>
      </c>
      <c r="O60" s="48"/>
    </row>
    <row r="61" spans="1:15" x14ac:dyDescent="0.3">
      <c r="A61" s="48"/>
      <c r="B61" s="48"/>
      <c r="C61" s="48"/>
      <c r="D61" s="48"/>
      <c r="E61" s="48"/>
      <c r="F61" s="48"/>
      <c r="G61" s="48"/>
      <c r="H61" s="48"/>
      <c r="I61" s="48"/>
      <c r="J61" s="48"/>
      <c r="K61" s="48"/>
      <c r="L61" s="48" t="s">
        <v>55</v>
      </c>
      <c r="M61" s="51">
        <f>'Tabel 1.1'!G18</f>
        <v>173603.853</v>
      </c>
      <c r="N61" s="51">
        <f>'Tabel 1.1'!H18</f>
        <v>284694.43099999998</v>
      </c>
      <c r="O61" s="48"/>
    </row>
    <row r="62" spans="1:15" x14ac:dyDescent="0.3">
      <c r="A62" s="48"/>
      <c r="B62" s="48"/>
      <c r="C62" s="48"/>
      <c r="D62" s="48"/>
      <c r="E62" s="48"/>
      <c r="F62" s="48"/>
      <c r="G62" s="48"/>
      <c r="H62" s="48"/>
      <c r="I62" s="48"/>
      <c r="J62" s="48"/>
      <c r="K62" s="48"/>
      <c r="L62" s="48" t="s">
        <v>56</v>
      </c>
      <c r="M62" s="51">
        <f>'Tabel 1.1'!G19</f>
        <v>0</v>
      </c>
      <c r="N62" s="51">
        <f>'Tabel 1.1'!H19</f>
        <v>3595</v>
      </c>
      <c r="O62" s="48"/>
    </row>
    <row r="63" spans="1:15" x14ac:dyDescent="0.3">
      <c r="A63" s="48"/>
      <c r="B63" s="48"/>
      <c r="C63" s="48"/>
      <c r="D63" s="48"/>
      <c r="E63" s="48"/>
      <c r="F63" s="48"/>
      <c r="G63" s="48"/>
      <c r="H63" s="48"/>
      <c r="I63" s="48"/>
      <c r="J63" s="48"/>
      <c r="K63" s="48"/>
      <c r="L63" s="48" t="s">
        <v>71</v>
      </c>
      <c r="M63" s="51">
        <f>'Tabel 1.1'!G20</f>
        <v>0</v>
      </c>
      <c r="N63" s="51">
        <f>'Tabel 1.1'!H20</f>
        <v>0</v>
      </c>
      <c r="O63" s="48"/>
    </row>
    <row r="64" spans="1:15" x14ac:dyDescent="0.3">
      <c r="A64" s="48"/>
      <c r="B64" s="48"/>
      <c r="C64" s="48"/>
      <c r="D64" s="48"/>
      <c r="E64" s="48"/>
      <c r="F64" s="48"/>
      <c r="G64" s="48"/>
      <c r="H64" s="48"/>
      <c r="I64" s="48"/>
      <c r="J64" s="48"/>
      <c r="K64" s="48"/>
      <c r="L64" s="48" t="s">
        <v>58</v>
      </c>
      <c r="M64" s="51">
        <f>'Tabel 1.1'!G21</f>
        <v>0</v>
      </c>
      <c r="N64" s="51">
        <f>'Tabel 1.1'!H21</f>
        <v>0</v>
      </c>
      <c r="O64" s="48"/>
    </row>
    <row r="65" spans="1:15" x14ac:dyDescent="0.3">
      <c r="A65" s="48"/>
      <c r="B65" s="48"/>
      <c r="C65" s="48"/>
      <c r="D65" s="48"/>
      <c r="E65" s="48"/>
      <c r="F65" s="48"/>
      <c r="G65" s="48"/>
      <c r="H65" s="48"/>
      <c r="I65" s="48"/>
      <c r="J65" s="48"/>
      <c r="K65" s="48"/>
      <c r="L65" s="48" t="s">
        <v>59</v>
      </c>
      <c r="M65" s="51">
        <f>'Tabel 1.1'!G22</f>
        <v>54964640.000001788</v>
      </c>
      <c r="N65" s="51">
        <f>'Tabel 1.1'!H22</f>
        <v>56434150.000000753</v>
      </c>
      <c r="O65" s="48"/>
    </row>
    <row r="66" spans="1:15" x14ac:dyDescent="0.3">
      <c r="A66" s="48"/>
      <c r="B66" s="48"/>
      <c r="C66" s="48"/>
      <c r="D66" s="48"/>
      <c r="E66" s="48"/>
      <c r="F66" s="48"/>
      <c r="G66" s="48"/>
      <c r="H66" s="48"/>
      <c r="I66" s="48"/>
      <c r="J66" s="48"/>
      <c r="K66" s="48"/>
      <c r="L66" s="48" t="s">
        <v>60</v>
      </c>
      <c r="M66" s="51">
        <f>'Tabel 1.1'!G23</f>
        <v>0</v>
      </c>
      <c r="N66" s="51">
        <f>'Tabel 1.1'!H23</f>
        <v>0</v>
      </c>
      <c r="O66" s="48"/>
    </row>
    <row r="67" spans="1:15" x14ac:dyDescent="0.3">
      <c r="A67" s="48"/>
      <c r="B67" s="48"/>
      <c r="C67" s="48"/>
      <c r="D67" s="48"/>
      <c r="E67" s="48"/>
      <c r="F67" s="48"/>
      <c r="G67" s="48"/>
      <c r="H67" s="48"/>
      <c r="I67" s="48"/>
      <c r="J67" s="48"/>
      <c r="K67" s="48"/>
      <c r="L67" s="48" t="s">
        <v>61</v>
      </c>
      <c r="M67" s="51">
        <f>'Tabel 1.1'!G24</f>
        <v>97889000</v>
      </c>
      <c r="N67" s="51">
        <f>'Tabel 1.1'!H24</f>
        <v>104208000</v>
      </c>
      <c r="O67" s="48"/>
    </row>
    <row r="68" spans="1:15" x14ac:dyDescent="0.3">
      <c r="A68" s="48"/>
      <c r="B68" s="48"/>
      <c r="C68" s="48"/>
      <c r="D68" s="48"/>
      <c r="E68" s="48"/>
      <c r="F68" s="48"/>
      <c r="G68" s="48"/>
      <c r="H68" s="48"/>
      <c r="I68" s="48"/>
      <c r="J68" s="48"/>
      <c r="K68" s="48"/>
      <c r="L68" s="48" t="s">
        <v>63</v>
      </c>
      <c r="M68" s="51">
        <f>'Tabel 1.1'!G26</f>
        <v>23632770.244150002</v>
      </c>
      <c r="N68" s="51">
        <f>'Tabel 1.1'!H26</f>
        <v>26630201.299020004</v>
      </c>
      <c r="O68" s="48"/>
    </row>
    <row r="69" spans="1:15" x14ac:dyDescent="0.3">
      <c r="A69" s="48"/>
      <c r="B69" s="48"/>
      <c r="C69" s="48"/>
      <c r="D69" s="48"/>
      <c r="E69" s="48"/>
      <c r="F69" s="48"/>
      <c r="G69" s="48"/>
      <c r="H69" s="48"/>
      <c r="I69" s="48"/>
      <c r="J69" s="48"/>
      <c r="K69" s="48"/>
      <c r="L69" s="48" t="s">
        <v>64</v>
      </c>
      <c r="M69" s="51">
        <f>'Tabel 1.1'!G27</f>
        <v>215118616.59341002</v>
      </c>
      <c r="N69" s="51">
        <f>'Tabel 1.1'!H27</f>
        <v>221419656.01634002</v>
      </c>
      <c r="O69" s="48"/>
    </row>
    <row r="70" spans="1:15" x14ac:dyDescent="0.3">
      <c r="A70" s="48"/>
      <c r="B70" s="48"/>
      <c r="C70" s="48"/>
      <c r="D70" s="48"/>
      <c r="E70" s="48"/>
      <c r="F70" s="48"/>
      <c r="G70" s="48"/>
      <c r="H70" s="48"/>
      <c r="I70" s="48"/>
      <c r="J70" s="48"/>
      <c r="K70" s="48"/>
      <c r="L70" s="48" t="s">
        <v>72</v>
      </c>
      <c r="M70" s="51">
        <f>'Tabel 1.1'!G28</f>
        <v>0</v>
      </c>
      <c r="N70" s="51">
        <f>'Tabel 1.1'!H28</f>
        <v>0</v>
      </c>
      <c r="O70" s="48"/>
    </row>
    <row r="71" spans="1:15" x14ac:dyDescent="0.3">
      <c r="A71" s="48"/>
      <c r="B71" s="48"/>
      <c r="C71" s="48"/>
      <c r="D71" s="48"/>
      <c r="E71" s="48"/>
      <c r="F71" s="48"/>
      <c r="G71" s="48"/>
      <c r="H71" s="48"/>
      <c r="I71" s="48"/>
      <c r="J71" s="48"/>
      <c r="K71" s="48"/>
      <c r="L71" s="48" t="s">
        <v>73</v>
      </c>
      <c r="M71" s="51">
        <f>'Tabel 1.1'!G29</f>
        <v>0</v>
      </c>
      <c r="N71" s="51">
        <f>'Tabel 1.1'!H29</f>
        <v>0</v>
      </c>
      <c r="O71" s="48"/>
    </row>
    <row r="72" spans="1:15" x14ac:dyDescent="0.3">
      <c r="A72" s="48"/>
      <c r="B72" s="48"/>
      <c r="C72" s="48"/>
      <c r="D72" s="48"/>
      <c r="E72" s="48"/>
      <c r="F72" s="48"/>
      <c r="G72" s="48"/>
      <c r="H72" s="48"/>
      <c r="I72" s="48"/>
      <c r="J72" s="48"/>
      <c r="K72" s="48"/>
      <c r="L72" s="48" t="s">
        <v>74</v>
      </c>
      <c r="M72" s="51">
        <f>'Tabel 1.1'!G30</f>
        <v>0</v>
      </c>
      <c r="N72" s="51">
        <f>'Tabel 1.1'!H30</f>
        <v>0</v>
      </c>
      <c r="O72" s="48"/>
    </row>
    <row r="73" spans="1:15" x14ac:dyDescent="0.3">
      <c r="A73" s="48"/>
      <c r="B73" s="48"/>
      <c r="C73" s="48"/>
      <c r="D73" s="48"/>
      <c r="E73" s="48"/>
      <c r="F73" s="48"/>
      <c r="G73" s="48"/>
      <c r="H73" s="48"/>
      <c r="I73" s="48"/>
      <c r="J73" s="48"/>
      <c r="K73" s="48"/>
      <c r="L73" s="48" t="s">
        <v>68</v>
      </c>
      <c r="M73" s="51">
        <f>'Tabel 1.1'!G31</f>
        <v>69378</v>
      </c>
      <c r="N73" s="51">
        <f>'Tabel 1.1'!H31</f>
        <v>94134</v>
      </c>
      <c r="O73" s="48"/>
    </row>
    <row r="74" spans="1:15" x14ac:dyDescent="0.3">
      <c r="A74" s="48"/>
      <c r="B74" s="48"/>
      <c r="C74" s="48"/>
      <c r="D74" s="48"/>
      <c r="E74" s="48"/>
      <c r="F74" s="48"/>
      <c r="G74" s="48"/>
      <c r="H74" s="48"/>
      <c r="I74" s="48"/>
      <c r="J74" s="48"/>
      <c r="K74" s="48"/>
      <c r="O74" s="48"/>
    </row>
    <row r="75" spans="1:15" x14ac:dyDescent="0.3">
      <c r="A75" s="48"/>
      <c r="B75" s="48"/>
      <c r="C75" s="48"/>
      <c r="D75" s="48"/>
      <c r="E75" s="48"/>
      <c r="F75" s="48"/>
      <c r="G75" s="48"/>
      <c r="H75" s="48"/>
      <c r="I75" s="48"/>
      <c r="J75" s="48"/>
      <c r="K75" s="48"/>
      <c r="O75" s="48"/>
    </row>
    <row r="76" spans="1:15" x14ac:dyDescent="0.3">
      <c r="A76" s="48"/>
      <c r="B76" s="48"/>
      <c r="C76" s="48"/>
      <c r="D76" s="48"/>
      <c r="E76" s="48"/>
      <c r="F76" s="48"/>
      <c r="G76" s="48"/>
      <c r="H76" s="48"/>
      <c r="I76" s="48"/>
      <c r="J76" s="48"/>
      <c r="K76" s="48"/>
      <c r="O76" s="48"/>
    </row>
    <row r="77" spans="1:15" x14ac:dyDescent="0.3">
      <c r="A77" s="48"/>
      <c r="B77" s="48"/>
      <c r="C77" s="48"/>
      <c r="D77" s="48"/>
      <c r="E77" s="48"/>
      <c r="F77" s="48"/>
      <c r="G77" s="48"/>
      <c r="H77" s="48"/>
      <c r="I77" s="48"/>
      <c r="J77" s="48"/>
      <c r="K77" s="48"/>
      <c r="O77" s="48"/>
    </row>
    <row r="78" spans="1:15" x14ac:dyDescent="0.3">
      <c r="A78" s="48"/>
      <c r="B78" s="48"/>
      <c r="C78" s="48"/>
      <c r="D78" s="48"/>
      <c r="E78" s="48"/>
      <c r="F78" s="48"/>
      <c r="G78" s="48"/>
      <c r="H78" s="48"/>
      <c r="I78" s="48"/>
      <c r="J78" s="48"/>
      <c r="K78" s="48"/>
      <c r="O78" s="48"/>
    </row>
    <row r="79" spans="1:15" x14ac:dyDescent="0.3">
      <c r="A79" s="48"/>
      <c r="B79" s="48"/>
      <c r="C79" s="48"/>
      <c r="D79" s="48"/>
      <c r="E79" s="48"/>
      <c r="F79" s="48"/>
      <c r="G79" s="48"/>
      <c r="H79" s="48"/>
      <c r="I79" s="48"/>
      <c r="J79" s="48"/>
      <c r="K79" s="48"/>
      <c r="O79" s="48"/>
    </row>
    <row r="80" spans="1:15" x14ac:dyDescent="0.3">
      <c r="A80" s="49" t="s">
        <v>414</v>
      </c>
      <c r="B80" s="48"/>
      <c r="C80" s="48"/>
      <c r="D80" s="48"/>
      <c r="E80" s="48"/>
      <c r="F80" s="48"/>
      <c r="G80" s="48"/>
      <c r="H80" s="48"/>
      <c r="I80" s="48"/>
      <c r="J80" s="48"/>
      <c r="K80" s="48"/>
      <c r="O80" s="48"/>
    </row>
    <row r="81" spans="1:15" x14ac:dyDescent="0.3">
      <c r="B81" s="48"/>
      <c r="C81" s="48"/>
      <c r="D81" s="48"/>
      <c r="E81" s="48"/>
      <c r="F81" s="48"/>
      <c r="G81" s="48"/>
      <c r="H81" s="48"/>
      <c r="I81" s="48"/>
      <c r="J81" s="48"/>
      <c r="K81" s="48"/>
      <c r="O81" s="48"/>
    </row>
    <row r="82" spans="1:15" x14ac:dyDescent="0.3">
      <c r="A82" s="48"/>
      <c r="B82" s="48"/>
      <c r="C82" s="48"/>
      <c r="D82" s="48"/>
      <c r="E82" s="48"/>
      <c r="F82" s="48"/>
      <c r="G82" s="48"/>
      <c r="H82" s="48"/>
      <c r="I82" s="48"/>
      <c r="J82" s="48"/>
      <c r="K82" s="48"/>
      <c r="L82" s="48" t="s">
        <v>70</v>
      </c>
      <c r="O82" s="48"/>
    </row>
    <row r="83" spans="1:15" x14ac:dyDescent="0.3">
      <c r="A83" s="48"/>
      <c r="B83" s="48"/>
      <c r="C83" s="48"/>
      <c r="D83" s="48"/>
      <c r="E83" s="48"/>
      <c r="F83" s="48"/>
      <c r="G83" s="48"/>
      <c r="H83" s="48"/>
      <c r="I83" s="48"/>
      <c r="J83" s="48"/>
      <c r="K83" s="48"/>
      <c r="L83" s="48" t="s">
        <v>69</v>
      </c>
      <c r="O83" s="48"/>
    </row>
    <row r="84" spans="1:15" x14ac:dyDescent="0.3">
      <c r="A84" s="48"/>
      <c r="B84" s="48"/>
      <c r="C84" s="48"/>
      <c r="D84" s="48"/>
      <c r="E84" s="48"/>
      <c r="F84" s="48"/>
      <c r="G84" s="48"/>
      <c r="H84" s="48"/>
      <c r="I84" s="48"/>
      <c r="J84" s="48"/>
      <c r="K84" s="48"/>
      <c r="M84" s="48">
        <f>M7</f>
        <v>2025</v>
      </c>
      <c r="N84" s="48">
        <f>N7</f>
        <v>2026</v>
      </c>
      <c r="O84" s="48"/>
    </row>
    <row r="85" spans="1:15" x14ac:dyDescent="0.3">
      <c r="B85" s="48"/>
      <c r="C85" s="48"/>
      <c r="D85" s="48"/>
      <c r="E85" s="48"/>
      <c r="F85" s="48"/>
      <c r="G85" s="48"/>
      <c r="H85" s="48"/>
      <c r="I85" s="48"/>
      <c r="J85" s="48"/>
      <c r="K85" s="48"/>
      <c r="L85" s="48" t="s">
        <v>47</v>
      </c>
      <c r="M85" s="51">
        <f>'Tabel 1.1'!G35</f>
        <v>203568699.91183773</v>
      </c>
      <c r="N85" s="51">
        <f>'Tabel 1.1'!H35</f>
        <v>245957648.95815971</v>
      </c>
      <c r="O85" s="48"/>
    </row>
    <row r="86" spans="1:15" x14ac:dyDescent="0.3">
      <c r="B86" s="48"/>
      <c r="C86" s="48"/>
      <c r="D86" s="48"/>
      <c r="E86" s="48"/>
      <c r="F86" s="48"/>
      <c r="G86" s="48"/>
      <c r="H86" s="48"/>
      <c r="I86" s="48"/>
      <c r="J86" s="48"/>
      <c r="K86" s="48"/>
      <c r="L86" s="48" t="s">
        <v>52</v>
      </c>
      <c r="M86" s="51">
        <f>'Tabel 1.1'!G36</f>
        <v>76968991</v>
      </c>
      <c r="N86" s="51">
        <f>'Tabel 1.1'!H36</f>
        <v>91000808</v>
      </c>
      <c r="O86" s="48"/>
    </row>
    <row r="87" spans="1:15" x14ac:dyDescent="0.3">
      <c r="B87" s="48"/>
      <c r="C87" s="48"/>
      <c r="D87" s="48"/>
      <c r="E87" s="48"/>
      <c r="F87" s="48"/>
      <c r="G87" s="48"/>
      <c r="H87" s="48"/>
      <c r="I87" s="48"/>
      <c r="J87" s="48"/>
      <c r="K87" s="48"/>
      <c r="L87" s="48" t="s">
        <v>54</v>
      </c>
      <c r="M87" s="51">
        <f>'Tabel 1.1'!G37</f>
        <v>2888738.0707899998</v>
      </c>
      <c r="N87" s="51">
        <f>'Tabel 1.1'!H37</f>
        <v>2410575.5415099999</v>
      </c>
      <c r="O87" s="48"/>
    </row>
    <row r="88" spans="1:15" x14ac:dyDescent="0.3">
      <c r="B88" s="48"/>
      <c r="C88" s="48"/>
      <c r="D88" s="48"/>
      <c r="E88" s="48"/>
      <c r="F88" s="48"/>
      <c r="G88" s="48"/>
      <c r="H88" s="48"/>
      <c r="I88" s="48"/>
      <c r="J88" s="48"/>
      <c r="K88" s="48"/>
      <c r="L88" s="48" t="s">
        <v>59</v>
      </c>
      <c r="M88" s="51">
        <f>'Tabel 1.1'!G38</f>
        <v>177451030</v>
      </c>
      <c r="N88" s="51">
        <f>'Tabel 1.1'!H38</f>
        <v>217451090</v>
      </c>
      <c r="O88" s="48"/>
    </row>
    <row r="89" spans="1:15" x14ac:dyDescent="0.3">
      <c r="B89" s="48"/>
      <c r="C89" s="48"/>
      <c r="D89" s="48"/>
      <c r="E89" s="48"/>
      <c r="F89" s="48"/>
      <c r="G89" s="48"/>
      <c r="H89" s="48"/>
      <c r="I89" s="48"/>
      <c r="J89" s="48"/>
      <c r="K89" s="48"/>
      <c r="L89" s="48" t="s">
        <v>63</v>
      </c>
      <c r="M89" s="51">
        <f>'Tabel 1.1'!G39</f>
        <v>85714629.687940001</v>
      </c>
      <c r="N89" s="51">
        <f>'Tabel 1.1'!H39</f>
        <v>96535673.192670003</v>
      </c>
      <c r="O89" s="48"/>
    </row>
    <row r="90" spans="1:15" x14ac:dyDescent="0.3">
      <c r="B90" s="48"/>
      <c r="C90" s="48"/>
      <c r="D90" s="48"/>
      <c r="E90" s="48"/>
      <c r="F90" s="48"/>
      <c r="G90" s="48"/>
      <c r="H90" s="48"/>
      <c r="I90" s="48"/>
      <c r="J90" s="48"/>
      <c r="K90" s="48"/>
      <c r="L90" s="48" t="s">
        <v>64</v>
      </c>
      <c r="M90" s="51">
        <f>'Tabel 1.1'!G40</f>
        <v>244753007.38714001</v>
      </c>
      <c r="N90" s="51">
        <f>'Tabel 1.1'!H40</f>
        <v>282668554.81304002</v>
      </c>
      <c r="O90" s="48"/>
    </row>
    <row r="91" spans="1:15" x14ac:dyDescent="0.3">
      <c r="A91" s="48"/>
      <c r="B91" s="48"/>
      <c r="C91" s="48"/>
      <c r="D91" s="48"/>
      <c r="E91" s="48"/>
      <c r="F91" s="48"/>
      <c r="G91" s="48"/>
      <c r="H91" s="48"/>
      <c r="I91" s="48"/>
      <c r="J91" s="48"/>
      <c r="K91" s="48"/>
      <c r="O91" s="48"/>
    </row>
    <row r="92" spans="1:15" ht="18.75" customHeight="1" x14ac:dyDescent="0.3">
      <c r="A92" s="48"/>
      <c r="B92" s="48"/>
      <c r="C92" s="48"/>
      <c r="D92" s="48"/>
      <c r="E92" s="48"/>
      <c r="F92" s="48"/>
      <c r="G92" s="48"/>
      <c r="H92" s="48"/>
      <c r="I92" s="48"/>
      <c r="J92" s="48"/>
      <c r="K92" s="48"/>
      <c r="O92" s="48"/>
    </row>
    <row r="93" spans="1:15" ht="18.75" customHeight="1" x14ac:dyDescent="0.3">
      <c r="A93" s="48"/>
      <c r="B93" s="48"/>
      <c r="C93" s="48"/>
      <c r="D93" s="48"/>
      <c r="E93" s="48"/>
      <c r="F93" s="48"/>
      <c r="G93" s="48"/>
      <c r="H93" s="48"/>
      <c r="I93" s="48"/>
      <c r="J93" s="48"/>
      <c r="K93" s="48"/>
      <c r="O93" s="48"/>
    </row>
    <row r="94" spans="1:15" ht="18.75" customHeight="1" x14ac:dyDescent="0.3">
      <c r="A94" s="48"/>
      <c r="B94" s="48"/>
      <c r="C94" s="48"/>
      <c r="D94" s="48"/>
      <c r="E94" s="48"/>
      <c r="F94" s="48"/>
      <c r="G94" s="48"/>
      <c r="H94" s="48"/>
      <c r="I94" s="48"/>
      <c r="J94" s="48"/>
      <c r="K94" s="48"/>
      <c r="O94" s="48"/>
    </row>
    <row r="95" spans="1:15" ht="18.75" customHeight="1" x14ac:dyDescent="0.3">
      <c r="A95" s="48"/>
      <c r="B95" s="48"/>
      <c r="C95" s="48"/>
      <c r="D95" s="48"/>
      <c r="E95" s="48"/>
      <c r="F95" s="48"/>
      <c r="G95" s="48"/>
      <c r="H95" s="48"/>
      <c r="I95" s="48"/>
      <c r="J95" s="48"/>
      <c r="K95" s="48"/>
      <c r="O95" s="48"/>
    </row>
    <row r="96" spans="1:15" ht="18.75" customHeight="1" x14ac:dyDescent="0.3">
      <c r="A96" s="48"/>
      <c r="B96" s="48"/>
      <c r="C96" s="48"/>
      <c r="D96" s="48"/>
      <c r="E96" s="48"/>
      <c r="F96" s="48"/>
      <c r="G96" s="48"/>
      <c r="H96" s="48"/>
      <c r="I96" s="48"/>
      <c r="J96" s="48"/>
      <c r="K96" s="48"/>
      <c r="O96" s="48"/>
    </row>
    <row r="97" spans="1:17" ht="18.75" customHeight="1" x14ac:dyDescent="0.3">
      <c r="A97" s="48"/>
      <c r="B97" s="48"/>
      <c r="C97" s="48"/>
      <c r="D97" s="48"/>
      <c r="E97" s="48"/>
      <c r="F97" s="48"/>
      <c r="G97" s="48"/>
      <c r="H97" s="48"/>
      <c r="I97" s="48"/>
      <c r="J97" s="48"/>
      <c r="K97" s="48"/>
      <c r="L97" s="48" t="s">
        <v>75</v>
      </c>
      <c r="O97" s="48"/>
      <c r="Q97" s="48"/>
    </row>
    <row r="98" spans="1:17" ht="18.75" customHeight="1" x14ac:dyDescent="0.3">
      <c r="A98" s="48"/>
      <c r="B98" s="48"/>
      <c r="C98" s="48"/>
      <c r="D98" s="48"/>
      <c r="E98" s="48"/>
      <c r="F98" s="48"/>
      <c r="G98" s="48"/>
      <c r="H98" s="48"/>
      <c r="I98" s="48"/>
      <c r="J98" s="48"/>
      <c r="K98" s="48"/>
      <c r="L98" s="48" t="s">
        <v>46</v>
      </c>
      <c r="O98" s="48"/>
      <c r="Q98" s="48"/>
    </row>
    <row r="99" spans="1:17" ht="18.75" customHeight="1" x14ac:dyDescent="0.3">
      <c r="A99" s="48"/>
      <c r="B99" s="48"/>
      <c r="C99" s="48"/>
      <c r="D99" s="48"/>
      <c r="E99" s="48"/>
      <c r="F99" s="48"/>
      <c r="G99" s="48"/>
      <c r="H99" s="48"/>
      <c r="I99" s="48"/>
      <c r="J99" s="48"/>
      <c r="K99" s="48"/>
      <c r="M99" s="48">
        <f>M7</f>
        <v>2025</v>
      </c>
      <c r="N99" s="48">
        <f>N7</f>
        <v>2026</v>
      </c>
      <c r="O99" s="48"/>
      <c r="Q99" s="48"/>
    </row>
    <row r="100" spans="1:17" ht="18.75" customHeight="1" x14ac:dyDescent="0.3">
      <c r="A100" s="48"/>
      <c r="B100" s="48"/>
      <c r="C100" s="48"/>
      <c r="D100" s="48"/>
      <c r="E100" s="48"/>
      <c r="F100" s="48"/>
      <c r="G100" s="48"/>
      <c r="H100" s="48"/>
      <c r="I100" s="48"/>
      <c r="J100" s="48"/>
      <c r="K100" s="48"/>
      <c r="L100" s="48" t="s">
        <v>47</v>
      </c>
      <c r="M100" s="51">
        <f>'DNB Livsforsikring'!B11-'DNB Livsforsikring'!B12+'DNB Livsforsikring'!B34-'DNB Livsforsikring'!B35+'DNB Livsforsikring'!B38-'DNB Livsforsikring'!B39+'DNB Livsforsikring'!B111-'DNB Livsforsikring'!B119+'DNB Livsforsikring'!B136-'DNB Livsforsikring'!B137</f>
        <v>147076</v>
      </c>
      <c r="N100" s="51">
        <f>'DNB Livsforsikring'!C11-'DNB Livsforsikring'!C12+'DNB Livsforsikring'!C34-'DNB Livsforsikring'!C35+'DNB Livsforsikring'!C38-'DNB Livsforsikring'!C39+'DNB Livsforsikring'!C111-'DNB Livsforsikring'!C119+'DNB Livsforsikring'!C136-'DNB Livsforsikring'!C137</f>
        <v>131287.93179</v>
      </c>
      <c r="O100" s="48"/>
      <c r="Q100" s="48"/>
    </row>
    <row r="101" spans="1:17" ht="18.75" customHeight="1" x14ac:dyDescent="0.3">
      <c r="A101" s="48"/>
      <c r="B101" s="48"/>
      <c r="C101" s="48"/>
      <c r="D101" s="48"/>
      <c r="E101" s="48"/>
      <c r="F101" s="48"/>
      <c r="G101" s="48"/>
      <c r="H101" s="48"/>
      <c r="I101" s="48"/>
      <c r="J101" s="48"/>
      <c r="K101" s="48"/>
      <c r="L101" s="48" t="s">
        <v>52</v>
      </c>
      <c r="M101" s="51">
        <f>'Gjensidige Pensjon'!B11-'Gjensidige Pensjon'!B12+'Gjensidige Pensjon'!B34-'Gjensidige Pensjon'!B35+'Gjensidige Pensjon'!B38-'Gjensidige Pensjon'!B39+'Gjensidige Pensjon'!B111-'Gjensidige Pensjon'!B119+'Gjensidige Pensjon'!B136-'Gjensidige Pensjon'!B137</f>
        <v>101054</v>
      </c>
      <c r="N101" s="51">
        <f>'Gjensidige Pensjon'!C11-'Gjensidige Pensjon'!C12+'Gjensidige Pensjon'!C34-'Gjensidige Pensjon'!C35+'Gjensidige Pensjon'!C38-'Gjensidige Pensjon'!C39+'Gjensidige Pensjon'!C111-'Gjensidige Pensjon'!C119+'Gjensidige Pensjon'!C136-'Gjensidige Pensjon'!C137</f>
        <v>-1479</v>
      </c>
      <c r="O101" s="48"/>
      <c r="Q101" s="48"/>
    </row>
    <row r="102" spans="1:17" ht="18.75" customHeight="1" x14ac:dyDescent="0.3">
      <c r="A102" s="48"/>
      <c r="B102" s="48"/>
      <c r="C102" s="48"/>
      <c r="D102" s="48"/>
      <c r="E102" s="48"/>
      <c r="F102" s="48"/>
      <c r="G102" s="48"/>
      <c r="H102" s="48"/>
      <c r="I102" s="48"/>
      <c r="J102" s="48"/>
      <c r="K102" s="48"/>
      <c r="L102" s="48" t="s">
        <v>54</v>
      </c>
      <c r="M102" s="51">
        <f>KLP!B11-KLP!B12+KLP!B34-KLP!B35+KLP!B38-KLP!B39+KLP!B111-KLP!B119+KLP!B136-KLP!B137</f>
        <v>-4249512.1230000006</v>
      </c>
      <c r="N102" s="51">
        <f>KLP!C11-KLP!C12+KLP!C34-KLP!C35+KLP!C38-KLP!C39+KLP!C111-KLP!C119+KLP!C136-KLP!C137</f>
        <v>2396174.2173800003</v>
      </c>
      <c r="O102" s="48"/>
      <c r="Q102" s="48"/>
    </row>
    <row r="103" spans="1:17" ht="18.75" customHeight="1" x14ac:dyDescent="0.3">
      <c r="A103" s="48"/>
      <c r="B103" s="48"/>
      <c r="C103" s="48"/>
      <c r="D103" s="48"/>
      <c r="E103" s="48"/>
      <c r="F103" s="48"/>
      <c r="G103" s="48"/>
      <c r="H103" s="48"/>
      <c r="I103" s="48"/>
      <c r="J103" s="48"/>
      <c r="K103" s="48"/>
      <c r="L103" s="48" t="s">
        <v>59</v>
      </c>
      <c r="M103" s="51">
        <f>'Nordea Liv '!B11-'Nordea Liv '!B12+'Nordea Liv '!B34-'Nordea Liv '!B35+'Nordea Liv '!B38-'Nordea Liv '!B39+'Nordea Liv '!B111-'Nordea Liv '!B119+'Nordea Liv '!B136-'Nordea Liv '!B137</f>
        <v>-1617</v>
      </c>
      <c r="N103" s="51">
        <f>'Nordea Liv '!C11-'Nordea Liv '!C12+'Nordea Liv '!C34-'Nordea Liv '!C35+'Nordea Liv '!C38-'Nordea Liv '!C39+'Nordea Liv '!C111-'Nordea Liv '!C119+'Nordea Liv '!C136-'Nordea Liv '!C137</f>
        <v>-4218.1660299999603</v>
      </c>
      <c r="O103" s="48"/>
      <c r="Q103" s="48"/>
    </row>
    <row r="104" spans="1:17" ht="18.75" customHeight="1" x14ac:dyDescent="0.3">
      <c r="A104" s="48"/>
      <c r="B104" s="48"/>
      <c r="C104" s="48"/>
      <c r="D104" s="48"/>
      <c r="E104" s="48"/>
      <c r="F104" s="48"/>
      <c r="G104" s="48"/>
      <c r="H104" s="48"/>
      <c r="I104" s="48"/>
      <c r="J104" s="48"/>
      <c r="K104" s="48"/>
      <c r="L104" s="48" t="s">
        <v>63</v>
      </c>
      <c r="M104" s="51">
        <f>'Sparebank 1 Fors.'!B11-'Sparebank 1 Fors.'!B12+'Sparebank 1 Fors.'!B34-'Sparebank 1 Fors.'!B35+'Sparebank 1 Fors.'!B38-'Sparebank 1 Fors.'!B39+'Sparebank 1 Fors.'!B111-'Sparebank 1 Fors.'!B119+'Sparebank 1 Fors.'!B136-'Sparebank 1 Fors.'!B137</f>
        <v>883335.18560999993</v>
      </c>
      <c r="N104" s="51">
        <f>'Sparebank 1 Fors.'!C11-'Sparebank 1 Fors.'!C12+'Sparebank 1 Fors.'!C34-'Sparebank 1 Fors.'!C35+'Sparebank 1 Fors.'!C38-'Sparebank 1 Fors.'!C39+'Sparebank 1 Fors.'!C111-'Sparebank 1 Fors.'!C119+'Sparebank 1 Fors.'!C136-'Sparebank 1 Fors.'!C137</f>
        <v>-110937.06258</v>
      </c>
      <c r="O104" s="48"/>
      <c r="Q104" s="48"/>
    </row>
    <row r="105" spans="1:17" ht="18.75" customHeight="1" x14ac:dyDescent="0.3">
      <c r="A105" s="48"/>
      <c r="B105" s="48"/>
      <c r="C105" s="48"/>
      <c r="D105" s="48"/>
      <c r="E105" s="48"/>
      <c r="F105" s="48"/>
      <c r="G105" s="48"/>
      <c r="H105" s="48"/>
      <c r="I105" s="48"/>
      <c r="J105" s="48"/>
      <c r="K105" s="48"/>
      <c r="L105" s="48" t="s">
        <v>64</v>
      </c>
      <c r="M105" s="51">
        <f>'Storebrand Livsforsikring'!B11-'Storebrand Livsforsikring'!B12+'Storebrand Livsforsikring'!B34-'Storebrand Livsforsikring'!B35+'Storebrand Livsforsikring'!B38-'Storebrand Livsforsikring'!B39+'Storebrand Livsforsikring'!B111-'Storebrand Livsforsikring'!B119+'Storebrand Livsforsikring'!B136-'Storebrand Livsforsikring'!B137</f>
        <v>3145828.2314200001</v>
      </c>
      <c r="N105" s="51">
        <f>'Storebrand Livsforsikring'!C11-'Storebrand Livsforsikring'!C12+'Storebrand Livsforsikring'!C34-'Storebrand Livsforsikring'!C35+'Storebrand Livsforsikring'!C38-'Storebrand Livsforsikring'!C39+'Storebrand Livsforsikring'!C111-'Storebrand Livsforsikring'!C119+'Storebrand Livsforsikring'!C136-'Storebrand Livsforsikring'!C137</f>
        <v>61330.092560000005</v>
      </c>
      <c r="O105" s="48"/>
      <c r="Q105" s="48"/>
    </row>
    <row r="106" spans="1:17" ht="18.75" customHeight="1" x14ac:dyDescent="0.3">
      <c r="A106" s="49" t="s">
        <v>415</v>
      </c>
      <c r="B106" s="48"/>
      <c r="C106" s="48"/>
      <c r="D106" s="48"/>
      <c r="E106" s="48"/>
      <c r="F106" s="48"/>
      <c r="G106" s="48"/>
      <c r="H106" s="48"/>
      <c r="I106" s="48"/>
      <c r="J106" s="48"/>
      <c r="K106" s="48"/>
      <c r="M106" s="51"/>
      <c r="N106" s="51"/>
      <c r="O106" s="48"/>
      <c r="Q106" s="48"/>
    </row>
    <row r="107" spans="1:17" ht="18.75" customHeight="1" x14ac:dyDescent="0.3">
      <c r="A107" s="48"/>
      <c r="B107" s="48"/>
      <c r="C107" s="48"/>
      <c r="D107" s="48"/>
      <c r="E107" s="48"/>
      <c r="F107" s="48"/>
      <c r="G107" s="48"/>
      <c r="H107" s="48"/>
      <c r="I107" s="48"/>
      <c r="J107" s="48"/>
      <c r="K107" s="48"/>
      <c r="M107" s="51"/>
      <c r="N107" s="51"/>
      <c r="O107" s="48"/>
      <c r="Q107" s="48"/>
    </row>
    <row r="108" spans="1:17" ht="18.75" customHeight="1" x14ac:dyDescent="0.3">
      <c r="A108" s="48"/>
      <c r="B108" s="48"/>
      <c r="C108" s="48"/>
      <c r="D108" s="48"/>
      <c r="E108" s="48"/>
      <c r="F108" s="48"/>
      <c r="G108" s="48"/>
      <c r="H108" s="48"/>
      <c r="I108" s="48"/>
      <c r="J108" s="48"/>
      <c r="K108" s="48"/>
      <c r="M108" s="51"/>
      <c r="N108" s="51"/>
      <c r="O108" s="48"/>
      <c r="Q108" s="48"/>
    </row>
    <row r="109" spans="1:17" ht="18.75" customHeight="1" x14ac:dyDescent="0.3">
      <c r="A109" s="48"/>
      <c r="B109" s="48"/>
      <c r="C109" s="48"/>
      <c r="D109" s="48"/>
      <c r="E109" s="48"/>
      <c r="F109" s="48"/>
      <c r="G109" s="48"/>
      <c r="H109" s="48"/>
      <c r="I109" s="48"/>
      <c r="J109" s="48"/>
      <c r="K109" s="48"/>
      <c r="M109" s="51"/>
      <c r="N109" s="51"/>
      <c r="O109" s="48"/>
      <c r="Q109" s="48"/>
    </row>
    <row r="110" spans="1:17" ht="18.75" customHeight="1" x14ac:dyDescent="0.3">
      <c r="A110" s="48"/>
      <c r="B110" s="48"/>
      <c r="C110" s="48"/>
      <c r="D110" s="48"/>
      <c r="E110" s="48"/>
      <c r="F110" s="48"/>
      <c r="G110" s="48"/>
      <c r="H110" s="48"/>
      <c r="I110" s="48"/>
      <c r="J110" s="48"/>
      <c r="K110" s="48"/>
      <c r="M110" s="51"/>
      <c r="N110" s="51"/>
      <c r="O110" s="48"/>
      <c r="Q110" s="48"/>
    </row>
    <row r="111" spans="1:17" ht="18.75" customHeight="1" x14ac:dyDescent="0.3">
      <c r="A111" s="48"/>
      <c r="B111" s="48"/>
      <c r="C111" s="48"/>
      <c r="D111" s="48"/>
      <c r="E111" s="48"/>
      <c r="F111" s="48"/>
      <c r="G111" s="48"/>
      <c r="H111" s="48"/>
      <c r="I111" s="48"/>
      <c r="J111" s="48"/>
      <c r="K111" s="48"/>
      <c r="M111" s="51"/>
      <c r="N111" s="51"/>
      <c r="O111" s="48"/>
      <c r="Q111" s="48"/>
    </row>
    <row r="112" spans="1:17" ht="18.75" customHeight="1" x14ac:dyDescent="0.3">
      <c r="A112" s="48"/>
      <c r="B112" s="48"/>
      <c r="C112" s="48"/>
      <c r="D112" s="48"/>
      <c r="E112" s="48"/>
      <c r="F112" s="48"/>
      <c r="G112" s="48"/>
      <c r="H112" s="48"/>
      <c r="I112" s="48"/>
      <c r="J112" s="48"/>
      <c r="K112" s="48"/>
      <c r="M112" s="51"/>
      <c r="N112" s="51"/>
      <c r="O112" s="48"/>
      <c r="Q112" s="48"/>
    </row>
    <row r="113" spans="1:17" ht="18.75" customHeight="1" x14ac:dyDescent="0.3">
      <c r="A113" s="48"/>
      <c r="B113" s="48"/>
      <c r="C113" s="48"/>
      <c r="D113" s="48"/>
      <c r="E113" s="48"/>
      <c r="F113" s="48"/>
      <c r="G113" s="48"/>
      <c r="H113" s="48"/>
      <c r="I113" s="48"/>
      <c r="J113" s="48"/>
      <c r="K113" s="48"/>
      <c r="O113" s="48"/>
      <c r="Q113" s="48"/>
    </row>
    <row r="114" spans="1:17" ht="18.75" customHeight="1" x14ac:dyDescent="0.3">
      <c r="A114" s="48"/>
      <c r="B114" s="48"/>
      <c r="C114" s="48"/>
      <c r="D114" s="48"/>
      <c r="E114" s="48"/>
      <c r="F114" s="48"/>
      <c r="G114" s="48"/>
      <c r="H114" s="48"/>
      <c r="I114" s="48"/>
      <c r="J114" s="48"/>
      <c r="K114" s="48"/>
      <c r="O114" s="48"/>
      <c r="Q114" s="48"/>
    </row>
    <row r="115" spans="1:17" ht="18.75" customHeight="1" x14ac:dyDescent="0.3">
      <c r="A115" s="48"/>
      <c r="B115" s="48"/>
      <c r="C115" s="48"/>
      <c r="D115" s="48"/>
      <c r="E115" s="48"/>
      <c r="F115" s="48"/>
      <c r="G115" s="48"/>
      <c r="H115" s="48"/>
      <c r="I115" s="48"/>
      <c r="J115" s="48"/>
      <c r="K115" s="48"/>
      <c r="O115" s="48"/>
      <c r="Q115" s="48"/>
    </row>
    <row r="116" spans="1:17" ht="18.75" customHeight="1" x14ac:dyDescent="0.3">
      <c r="A116" s="48"/>
      <c r="B116" s="48"/>
      <c r="C116" s="48"/>
      <c r="D116" s="48"/>
      <c r="E116" s="48"/>
      <c r="F116" s="48"/>
      <c r="G116" s="48"/>
      <c r="H116" s="48"/>
      <c r="I116" s="48"/>
      <c r="J116" s="48"/>
      <c r="K116" s="48"/>
      <c r="O116" s="48"/>
      <c r="Q116" s="48"/>
    </row>
    <row r="117" spans="1:17" ht="18.75" customHeight="1" x14ac:dyDescent="0.3">
      <c r="A117" s="48"/>
      <c r="B117" s="48"/>
      <c r="C117" s="48"/>
      <c r="D117" s="48"/>
      <c r="E117" s="48"/>
      <c r="F117" s="48"/>
      <c r="G117" s="48"/>
      <c r="H117" s="48"/>
      <c r="I117" s="48"/>
      <c r="J117" s="48"/>
      <c r="K117" s="48"/>
      <c r="O117" s="48"/>
    </row>
    <row r="118" spans="1:17" ht="18.75" customHeight="1" x14ac:dyDescent="0.3">
      <c r="A118" s="48"/>
      <c r="B118" s="48"/>
      <c r="C118" s="48"/>
      <c r="D118" s="48"/>
      <c r="E118" s="48"/>
      <c r="F118" s="48"/>
      <c r="G118" s="48"/>
      <c r="H118" s="48"/>
      <c r="I118" s="48"/>
      <c r="J118" s="48"/>
      <c r="K118" s="48"/>
      <c r="O118" s="48"/>
    </row>
    <row r="119" spans="1:17" ht="18.75" customHeight="1" x14ac:dyDescent="0.3">
      <c r="A119" s="48"/>
      <c r="B119" s="48"/>
      <c r="C119" s="48"/>
      <c r="D119" s="48"/>
      <c r="E119" s="48"/>
      <c r="F119" s="48"/>
      <c r="G119" s="48"/>
      <c r="H119" s="48"/>
      <c r="I119" s="48"/>
      <c r="J119" s="48"/>
      <c r="K119" s="48"/>
      <c r="L119" s="48" t="s">
        <v>76</v>
      </c>
      <c r="O119" s="48"/>
    </row>
    <row r="120" spans="1:17" ht="18.75" customHeight="1" x14ac:dyDescent="0.3">
      <c r="A120" s="48"/>
      <c r="B120" s="48"/>
      <c r="C120" s="48"/>
      <c r="D120" s="48"/>
      <c r="E120" s="48"/>
      <c r="F120" s="48"/>
      <c r="G120" s="48"/>
      <c r="H120" s="48"/>
      <c r="I120" s="48"/>
      <c r="J120" s="48"/>
      <c r="K120" s="48"/>
      <c r="L120" s="48" t="s">
        <v>69</v>
      </c>
      <c r="O120" s="48"/>
    </row>
    <row r="121" spans="1:17" ht="18.75" customHeight="1" x14ac:dyDescent="0.3">
      <c r="A121" s="48"/>
      <c r="B121" s="48"/>
      <c r="C121" s="48"/>
      <c r="D121" s="48"/>
      <c r="E121" s="48"/>
      <c r="F121" s="48"/>
      <c r="G121" s="48"/>
      <c r="H121" s="48"/>
      <c r="I121" s="48"/>
      <c r="J121" s="48"/>
      <c r="K121" s="48"/>
      <c r="M121" s="48">
        <f>M7</f>
        <v>2025</v>
      </c>
      <c r="N121" s="48">
        <f>N7</f>
        <v>2026</v>
      </c>
      <c r="O121" s="48"/>
    </row>
    <row r="122" spans="1:17" ht="18.75" customHeight="1" x14ac:dyDescent="0.3">
      <c r="A122" s="48"/>
      <c r="B122" s="48"/>
      <c r="C122" s="48"/>
      <c r="D122" s="48"/>
      <c r="E122" s="48"/>
      <c r="F122" s="48"/>
      <c r="G122" s="48"/>
      <c r="H122" s="48"/>
      <c r="I122" s="48"/>
      <c r="J122" s="48"/>
      <c r="K122" s="48"/>
      <c r="L122" s="48" t="s">
        <v>47</v>
      </c>
      <c r="M122" s="51">
        <f>'DNB Livsforsikring'!F11-'DNB Livsforsikring'!F12+'DNB Livsforsikring'!F34-'DNB Livsforsikring'!F35+'DNB Livsforsikring'!F38-'DNB Livsforsikring'!F39+'DNB Livsforsikring'!F111-'DNB Livsforsikring'!F119+'DNB Livsforsikring'!F136-'DNB Livsforsikring'!F137</f>
        <v>191688.12112999987</v>
      </c>
      <c r="N122" s="51">
        <f>'DNB Livsforsikring'!G11-'DNB Livsforsikring'!G12+'DNB Livsforsikring'!G34-'DNB Livsforsikring'!G35+'DNB Livsforsikring'!G38-'DNB Livsforsikring'!G39+'DNB Livsforsikring'!G111-'DNB Livsforsikring'!G119+'DNB Livsforsikring'!G136-'DNB Livsforsikring'!G137</f>
        <v>-1493198.5864599999</v>
      </c>
      <c r="O122" s="48"/>
    </row>
    <row r="123" spans="1:17" x14ac:dyDescent="0.3">
      <c r="A123" s="48"/>
      <c r="B123" s="48"/>
      <c r="C123" s="48"/>
      <c r="D123" s="48"/>
      <c r="E123" s="48"/>
      <c r="F123" s="48"/>
      <c r="G123" s="48"/>
      <c r="H123" s="48"/>
      <c r="I123" s="48"/>
      <c r="J123" s="48"/>
      <c r="K123" s="48"/>
      <c r="L123" s="48" t="s">
        <v>52</v>
      </c>
      <c r="M123" s="51">
        <f>'Gjensidige Pensjon'!F11-'Gjensidige Pensjon'!F12+'Gjensidige Pensjon'!F34-'Gjensidige Pensjon'!F35+'Gjensidige Pensjon'!F38-'Gjensidige Pensjon'!F39+'Gjensidige Pensjon'!F111-'Gjensidige Pensjon'!F119+'Gjensidige Pensjon'!F136-'Gjensidige Pensjon'!F137</f>
        <v>1211447</v>
      </c>
      <c r="N123" s="51">
        <f>'Gjensidige Pensjon'!G11-'Gjensidige Pensjon'!G12+'Gjensidige Pensjon'!G34-'Gjensidige Pensjon'!G35+'Gjensidige Pensjon'!G38-'Gjensidige Pensjon'!G39+'Gjensidige Pensjon'!G111-'Gjensidige Pensjon'!G119+'Gjensidige Pensjon'!G136-'Gjensidige Pensjon'!G137</f>
        <v>76146</v>
      </c>
      <c r="O123" s="48"/>
    </row>
    <row r="124" spans="1:17" x14ac:dyDescent="0.3">
      <c r="A124" s="48"/>
      <c r="B124" s="48"/>
      <c r="C124" s="48"/>
      <c r="D124" s="48"/>
      <c r="E124" s="48"/>
      <c r="F124" s="48"/>
      <c r="G124" s="48"/>
      <c r="H124" s="48"/>
      <c r="I124" s="48"/>
      <c r="J124" s="48"/>
      <c r="K124" s="48"/>
      <c r="L124" s="48" t="s">
        <v>54</v>
      </c>
      <c r="M124" s="51">
        <f>KLP!F11-KLP!F12+KLP!F34-KLP!F35+KLP!F38-KLP!F39+KLP!F111-KLP!F119+KLP!F136-KLP!F137</f>
        <v>0</v>
      </c>
      <c r="N124" s="51">
        <f>KLP!G11-KLP!G12+KLP!G34-KLP!G35+KLP!G38-KLP!G39+KLP!G111-KLP!G119+KLP!G136-KLP!G137</f>
        <v>-516456.22738</v>
      </c>
      <c r="O124" s="48"/>
    </row>
    <row r="125" spans="1:17" x14ac:dyDescent="0.3">
      <c r="A125" s="48"/>
      <c r="B125" s="48"/>
      <c r="C125" s="48"/>
      <c r="D125" s="48"/>
      <c r="E125" s="48"/>
      <c r="F125" s="48"/>
      <c r="G125" s="48"/>
      <c r="H125" s="48"/>
      <c r="I125" s="48"/>
      <c r="J125" s="48"/>
      <c r="K125" s="48"/>
      <c r="L125" s="48" t="s">
        <v>59</v>
      </c>
      <c r="M125" s="51">
        <f>'Nordea Liv '!F11-'Nordea Liv '!F12+'Nordea Liv '!F34-'Nordea Liv '!F35+'Nordea Liv '!F38-'Nordea Liv '!F39+'Nordea Liv '!F111-'Nordea Liv '!F119+'Nordea Liv '!F136-'Nordea Liv '!F137</f>
        <v>-750691.37333999947</v>
      </c>
      <c r="N125" s="51">
        <f>'Nordea Liv '!G11-'Nordea Liv '!G12+'Nordea Liv '!G34-'Nordea Liv '!G35+'Nordea Liv '!G38-'Nordea Liv '!G39+'Nordea Liv '!G111-'Nordea Liv '!G119+'Nordea Liv '!G136-'Nordea Liv '!G137</f>
        <v>4408319.6772600003</v>
      </c>
      <c r="O125" s="48"/>
    </row>
    <row r="126" spans="1:17" x14ac:dyDescent="0.3">
      <c r="A126" s="48"/>
      <c r="B126" s="48"/>
      <c r="C126" s="48"/>
      <c r="D126" s="48"/>
      <c r="E126" s="48"/>
      <c r="F126" s="48"/>
      <c r="G126" s="48"/>
      <c r="H126" s="48"/>
      <c r="I126" s="48"/>
      <c r="J126" s="48"/>
      <c r="K126" s="48"/>
      <c r="L126" s="48" t="s">
        <v>63</v>
      </c>
      <c r="M126" s="51">
        <f>'Sparebank 1 Fors.'!F11-'Sparebank 1 Fors.'!F12+'Sparebank 1 Fors.'!F34-'Sparebank 1 Fors.'!F35+'Sparebank 1 Fors.'!F38-'Sparebank 1 Fors.'!F39+'Sparebank 1 Fors.'!F111-'Sparebank 1 Fors.'!F119+'Sparebank 1 Fors.'!F136-'Sparebank 1 Fors.'!F137</f>
        <v>-242578.44872999983</v>
      </c>
      <c r="N126" s="51">
        <f>'Sparebank 1 Fors.'!G11-'Sparebank 1 Fors.'!G12+'Sparebank 1 Fors.'!G34-'Sparebank 1 Fors.'!G35+'Sparebank 1 Fors.'!G38-'Sparebank 1 Fors.'!G39+'Sparebank 1 Fors.'!G111-'Sparebank 1 Fors.'!G119+'Sparebank 1 Fors.'!G136-'Sparebank 1 Fors.'!G137</f>
        <v>-1212130.24456</v>
      </c>
      <c r="O126" s="48"/>
    </row>
    <row r="127" spans="1:17" x14ac:dyDescent="0.3">
      <c r="A127" s="48"/>
      <c r="B127" s="48"/>
      <c r="C127" s="48"/>
      <c r="D127" s="48"/>
      <c r="E127" s="48"/>
      <c r="F127" s="48"/>
      <c r="G127" s="48"/>
      <c r="H127" s="48"/>
      <c r="I127" s="48"/>
      <c r="J127" s="48"/>
      <c r="K127" s="48"/>
      <c r="L127" s="48" t="s">
        <v>64</v>
      </c>
      <c r="M127" s="51">
        <f>'Storebrand Livsforsikring'!F11-'Storebrand Livsforsikring'!F12+'Storebrand Livsforsikring'!F34-'Storebrand Livsforsikring'!F35+'Storebrand Livsforsikring'!F38-'Storebrand Livsforsikring'!F39+'Storebrand Livsforsikring'!F111-'Storebrand Livsforsikring'!F119+'Storebrand Livsforsikring'!F136-'Storebrand Livsforsikring'!F137</f>
        <v>-1684310.4050499997</v>
      </c>
      <c r="N127" s="51">
        <f>'Storebrand Livsforsikring'!G11-'Storebrand Livsforsikring'!G12+'Storebrand Livsforsikring'!G34-'Storebrand Livsforsikring'!G35+'Storebrand Livsforsikring'!G38-'Storebrand Livsforsikring'!G39+'Storebrand Livsforsikring'!G111-'Storebrand Livsforsikring'!G119+'Storebrand Livsforsikring'!G136-'Storebrand Livsforsikring'!G137</f>
        <v>-2669506.1094199992</v>
      </c>
      <c r="O127" s="48"/>
    </row>
    <row r="128" spans="1:17" x14ac:dyDescent="0.3">
      <c r="A128" s="48"/>
      <c r="B128" s="48"/>
      <c r="C128" s="48"/>
      <c r="D128" s="48"/>
      <c r="E128" s="48"/>
      <c r="F128" s="48"/>
      <c r="G128" s="48"/>
      <c r="H128" s="48"/>
      <c r="I128" s="48"/>
      <c r="J128" s="48"/>
      <c r="K128" s="48"/>
      <c r="O128" s="48"/>
    </row>
    <row r="129" spans="1:15" x14ac:dyDescent="0.3">
      <c r="A129" s="48"/>
      <c r="B129" s="48"/>
      <c r="C129" s="48"/>
      <c r="D129" s="48"/>
      <c r="E129" s="48"/>
      <c r="F129" s="48"/>
      <c r="G129" s="48"/>
      <c r="H129" s="48"/>
      <c r="I129" s="48"/>
      <c r="J129" s="48"/>
      <c r="K129" s="48"/>
      <c r="O129" s="48"/>
    </row>
    <row r="130" spans="1:15" x14ac:dyDescent="0.3">
      <c r="A130" s="49" t="s">
        <v>416</v>
      </c>
      <c r="B130" s="48"/>
      <c r="C130" s="48"/>
      <c r="D130" s="48"/>
      <c r="E130" s="48"/>
      <c r="F130" s="48"/>
      <c r="G130" s="48"/>
      <c r="H130" s="48"/>
      <c r="I130" s="48"/>
      <c r="J130" s="48"/>
      <c r="K130" s="48"/>
      <c r="O130" s="48"/>
    </row>
    <row r="131" spans="1:15" x14ac:dyDescent="0.3">
      <c r="B131" s="48"/>
      <c r="C131" s="48"/>
      <c r="D131" s="48"/>
      <c r="E131" s="48"/>
      <c r="F131" s="48"/>
      <c r="G131" s="48"/>
      <c r="H131" s="48"/>
      <c r="I131" s="48"/>
      <c r="J131" s="48"/>
      <c r="K131" s="48"/>
      <c r="O131" s="48"/>
    </row>
    <row r="132" spans="1:15" x14ac:dyDescent="0.3">
      <c r="A132" s="48"/>
      <c r="B132" s="48"/>
      <c r="C132" s="48"/>
      <c r="D132" s="48"/>
      <c r="E132" s="48"/>
      <c r="F132" s="48"/>
      <c r="G132" s="48"/>
      <c r="H132" s="48"/>
      <c r="I132" s="48"/>
      <c r="J132" s="48"/>
      <c r="K132" s="48"/>
      <c r="O132" s="48"/>
    </row>
    <row r="133" spans="1:15" x14ac:dyDescent="0.3">
      <c r="A133" s="48"/>
      <c r="B133" s="48"/>
      <c r="C133" s="48"/>
      <c r="D133" s="48"/>
      <c r="E133" s="48"/>
      <c r="F133" s="48"/>
      <c r="G133" s="48"/>
      <c r="H133" s="48"/>
      <c r="I133" s="48"/>
      <c r="J133" s="48"/>
      <c r="K133" s="48"/>
      <c r="O133" s="48"/>
    </row>
    <row r="134" spans="1:15" x14ac:dyDescent="0.3">
      <c r="A134" s="48"/>
      <c r="B134" s="48"/>
      <c r="C134" s="48"/>
      <c r="D134" s="48"/>
      <c r="E134" s="48"/>
      <c r="F134" s="48"/>
      <c r="G134" s="48"/>
      <c r="H134" s="48"/>
      <c r="I134" s="48"/>
      <c r="J134" s="48"/>
      <c r="K134" s="48"/>
      <c r="O134" s="48"/>
    </row>
    <row r="135" spans="1:15" x14ac:dyDescent="0.3">
      <c r="A135" s="48"/>
      <c r="B135" s="48"/>
      <c r="C135" s="48"/>
      <c r="D135" s="48"/>
      <c r="E135" s="48"/>
      <c r="F135" s="48"/>
      <c r="G135" s="48"/>
      <c r="H135" s="48"/>
      <c r="I135" s="48"/>
      <c r="J135" s="48"/>
      <c r="K135" s="48"/>
      <c r="O135" s="48"/>
    </row>
    <row r="136" spans="1:15" x14ac:dyDescent="0.3">
      <c r="A136" s="48"/>
      <c r="B136" s="48"/>
      <c r="C136" s="48"/>
      <c r="D136" s="48"/>
      <c r="E136" s="48"/>
      <c r="F136" s="48"/>
      <c r="G136" s="48"/>
      <c r="H136" s="48"/>
      <c r="I136" s="48"/>
      <c r="J136" s="48"/>
      <c r="K136" s="48"/>
      <c r="O136" s="48"/>
    </row>
    <row r="137" spans="1:15" x14ac:dyDescent="0.3">
      <c r="A137" s="48"/>
      <c r="B137" s="48"/>
      <c r="C137" s="48"/>
      <c r="D137" s="48"/>
      <c r="E137" s="48"/>
      <c r="F137" s="48"/>
      <c r="G137" s="48"/>
      <c r="H137" s="48"/>
      <c r="I137" s="48"/>
      <c r="J137" s="48"/>
      <c r="K137" s="48"/>
      <c r="O137" s="48"/>
    </row>
    <row r="138" spans="1:15" x14ac:dyDescent="0.3">
      <c r="A138" s="48"/>
      <c r="B138" s="48"/>
      <c r="C138" s="48"/>
      <c r="D138" s="48"/>
      <c r="E138" s="48"/>
      <c r="F138" s="48"/>
      <c r="G138" s="48"/>
      <c r="H138" s="48"/>
      <c r="I138" s="48"/>
      <c r="J138" s="48"/>
      <c r="K138" s="48"/>
      <c r="O138" s="48"/>
    </row>
    <row r="139" spans="1:15" x14ac:dyDescent="0.3">
      <c r="A139" s="48"/>
      <c r="B139" s="48"/>
      <c r="C139" s="48"/>
      <c r="D139" s="48"/>
      <c r="E139" s="48"/>
      <c r="F139" s="48"/>
      <c r="G139" s="48"/>
      <c r="H139" s="48"/>
      <c r="I139" s="48"/>
      <c r="J139" s="48"/>
      <c r="K139" s="48"/>
      <c r="O139" s="48"/>
    </row>
    <row r="140" spans="1:15" x14ac:dyDescent="0.3">
      <c r="A140" s="48"/>
      <c r="B140" s="48"/>
      <c r="C140" s="48"/>
      <c r="D140" s="48"/>
      <c r="E140" s="48"/>
      <c r="F140" s="48"/>
      <c r="G140" s="48"/>
      <c r="H140" s="48"/>
      <c r="I140" s="48"/>
      <c r="J140" s="48"/>
      <c r="K140" s="48"/>
      <c r="O140" s="48"/>
    </row>
    <row r="141" spans="1:15" x14ac:dyDescent="0.3">
      <c r="A141" s="48"/>
      <c r="B141" s="48"/>
      <c r="C141" s="48"/>
      <c r="D141" s="48"/>
      <c r="E141" s="48"/>
      <c r="F141" s="48"/>
      <c r="G141" s="48"/>
      <c r="H141" s="48"/>
      <c r="I141" s="48"/>
      <c r="J141" s="48"/>
      <c r="K141" s="48"/>
      <c r="O141" s="48"/>
    </row>
    <row r="142" spans="1:15" x14ac:dyDescent="0.3">
      <c r="A142" s="48"/>
      <c r="B142" s="48"/>
      <c r="C142" s="48"/>
      <c r="D142" s="48"/>
      <c r="E142" s="48"/>
      <c r="F142" s="48"/>
      <c r="G142" s="48"/>
      <c r="H142" s="48"/>
      <c r="I142" s="48"/>
      <c r="J142" s="48"/>
      <c r="K142" s="48"/>
      <c r="O142" s="48"/>
    </row>
    <row r="143" spans="1:15" x14ac:dyDescent="0.3">
      <c r="A143" s="48"/>
      <c r="B143" s="48"/>
      <c r="C143" s="48"/>
      <c r="D143" s="48"/>
      <c r="E143" s="48"/>
      <c r="F143" s="48"/>
      <c r="G143" s="48"/>
      <c r="H143" s="48"/>
      <c r="I143" s="48"/>
      <c r="J143" s="48"/>
      <c r="K143" s="48"/>
      <c r="O143" s="48"/>
    </row>
    <row r="144" spans="1:15" x14ac:dyDescent="0.3">
      <c r="A144" s="48"/>
      <c r="B144" s="48"/>
      <c r="C144" s="48"/>
      <c r="D144" s="48"/>
      <c r="E144" s="48"/>
      <c r="F144" s="48"/>
      <c r="G144" s="48"/>
      <c r="H144" s="48"/>
      <c r="I144" s="48"/>
      <c r="J144" s="48"/>
      <c r="K144" s="48"/>
      <c r="O144" s="48"/>
    </row>
    <row r="145" spans="1:15" x14ac:dyDescent="0.3">
      <c r="A145" s="48"/>
      <c r="B145" s="48"/>
      <c r="C145" s="48"/>
      <c r="D145" s="48"/>
      <c r="E145" s="48"/>
      <c r="F145" s="48"/>
      <c r="G145" s="48"/>
      <c r="H145" s="48"/>
      <c r="I145" s="48"/>
      <c r="J145" s="48"/>
      <c r="K145" s="48"/>
      <c r="O145" s="48"/>
    </row>
    <row r="146" spans="1:15" x14ac:dyDescent="0.3">
      <c r="A146" s="48"/>
      <c r="B146" s="48"/>
      <c r="C146" s="48"/>
      <c r="D146" s="48"/>
      <c r="E146" s="48"/>
      <c r="F146" s="48"/>
      <c r="G146" s="48"/>
      <c r="H146" s="48"/>
      <c r="I146" s="48"/>
      <c r="J146" s="48"/>
      <c r="K146" s="48"/>
      <c r="O146" s="48"/>
    </row>
    <row r="147" spans="1:15" x14ac:dyDescent="0.3">
      <c r="A147" s="48"/>
      <c r="B147" s="48"/>
      <c r="C147" s="48"/>
      <c r="D147" s="48"/>
      <c r="E147" s="48"/>
      <c r="F147" s="48"/>
      <c r="G147" s="48"/>
      <c r="H147" s="48"/>
      <c r="I147" s="48"/>
      <c r="J147" s="48"/>
      <c r="K147" s="48"/>
      <c r="O147" s="48"/>
    </row>
    <row r="148" spans="1:15" x14ac:dyDescent="0.3">
      <c r="A148" s="48"/>
      <c r="B148" s="48"/>
      <c r="C148" s="48"/>
      <c r="D148" s="48"/>
      <c r="E148" s="48"/>
      <c r="F148" s="48"/>
      <c r="G148" s="48"/>
      <c r="H148" s="48"/>
      <c r="I148" s="48"/>
      <c r="J148" s="48"/>
      <c r="K148" s="48"/>
      <c r="O148" s="48"/>
    </row>
    <row r="149" spans="1:15" x14ac:dyDescent="0.3">
      <c r="A149" s="48"/>
      <c r="B149" s="48"/>
      <c r="C149" s="48"/>
      <c r="D149" s="48"/>
      <c r="E149" s="48"/>
      <c r="F149" s="48"/>
      <c r="G149" s="48"/>
      <c r="H149" s="48"/>
      <c r="I149" s="48"/>
      <c r="J149" s="48"/>
      <c r="K149" s="48"/>
      <c r="O149" s="48"/>
    </row>
    <row r="150" spans="1:15" x14ac:dyDescent="0.3">
      <c r="A150" s="48"/>
      <c r="B150" s="48"/>
      <c r="C150" s="48"/>
      <c r="D150" s="48"/>
      <c r="E150" s="48"/>
      <c r="F150" s="48"/>
      <c r="G150" s="48"/>
      <c r="H150" s="48"/>
      <c r="I150" s="48"/>
      <c r="J150" s="48"/>
      <c r="K150" s="48"/>
      <c r="O150" s="48"/>
    </row>
    <row r="151" spans="1:15" x14ac:dyDescent="0.3">
      <c r="A151" s="48"/>
      <c r="B151" s="48"/>
      <c r="C151" s="48"/>
      <c r="D151" s="48"/>
      <c r="E151" s="48"/>
      <c r="F151" s="48"/>
      <c r="G151" s="48"/>
      <c r="H151" s="48"/>
      <c r="I151" s="48"/>
      <c r="J151" s="48"/>
      <c r="K151" s="48"/>
      <c r="O151" s="48"/>
    </row>
    <row r="152" spans="1:15" x14ac:dyDescent="0.3">
      <c r="A152" s="48"/>
      <c r="B152" s="48"/>
      <c r="C152" s="48"/>
      <c r="D152" s="48"/>
      <c r="E152" s="48"/>
      <c r="F152" s="48"/>
      <c r="G152" s="48"/>
      <c r="H152" s="48"/>
      <c r="I152" s="48"/>
      <c r="J152" s="48"/>
      <c r="K152" s="48"/>
      <c r="O152" s="48"/>
    </row>
    <row r="153" spans="1:15" x14ac:dyDescent="0.3">
      <c r="A153" s="48"/>
      <c r="B153" s="48"/>
      <c r="C153" s="48"/>
      <c r="D153" s="48"/>
      <c r="E153" s="48"/>
      <c r="F153" s="48"/>
      <c r="G153" s="48"/>
      <c r="H153" s="48"/>
      <c r="I153" s="48"/>
      <c r="J153" s="48"/>
      <c r="K153" s="48"/>
      <c r="O153" s="48"/>
    </row>
    <row r="154" spans="1:15" x14ac:dyDescent="0.3">
      <c r="O154" s="48"/>
    </row>
    <row r="155" spans="1:15" x14ac:dyDescent="0.3">
      <c r="O155" s="48"/>
    </row>
    <row r="156" spans="1:15" x14ac:dyDescent="0.3">
      <c r="O156" s="48"/>
    </row>
    <row r="157" spans="1:15" x14ac:dyDescent="0.3">
      <c r="O157" s="48"/>
    </row>
    <row r="158" spans="1:15" x14ac:dyDescent="0.3">
      <c r="O158" s="48"/>
    </row>
    <row r="159" spans="1:15" x14ac:dyDescent="0.3">
      <c r="O159" s="48"/>
    </row>
    <row r="160" spans="1:15" x14ac:dyDescent="0.3">
      <c r="O160" s="48"/>
    </row>
    <row r="161" spans="1:15" x14ac:dyDescent="0.3">
      <c r="O161" s="48"/>
    </row>
    <row r="162" spans="1:15" x14ac:dyDescent="0.3">
      <c r="O162" s="48"/>
    </row>
    <row r="163" spans="1:15" x14ac:dyDescent="0.3">
      <c r="O163" s="48"/>
    </row>
    <row r="164" spans="1:15" x14ac:dyDescent="0.3">
      <c r="O164" s="48"/>
    </row>
    <row r="165" spans="1:15" x14ac:dyDescent="0.3">
      <c r="O165" s="48"/>
    </row>
    <row r="166" spans="1:15" x14ac:dyDescent="0.3">
      <c r="O166" s="48"/>
    </row>
    <row r="167" spans="1:15" x14ac:dyDescent="0.3">
      <c r="O167" s="48"/>
    </row>
    <row r="168" spans="1:15" x14ac:dyDescent="0.3">
      <c r="O168" s="48"/>
    </row>
    <row r="169" spans="1:15" x14ac:dyDescent="0.3">
      <c r="O169" s="48"/>
    </row>
    <row r="170" spans="1:15" x14ac:dyDescent="0.3">
      <c r="A170" s="48"/>
      <c r="B170" s="48"/>
      <c r="C170" s="48"/>
      <c r="D170" s="48"/>
      <c r="E170" s="48"/>
      <c r="F170" s="48"/>
      <c r="G170" s="48"/>
      <c r="H170" s="48"/>
      <c r="I170" s="48"/>
      <c r="J170" s="48"/>
      <c r="K170" s="48"/>
      <c r="O170" s="48"/>
    </row>
    <row r="171" spans="1:15" x14ac:dyDescent="0.3">
      <c r="A171" s="48"/>
      <c r="B171" s="48"/>
      <c r="C171" s="48"/>
      <c r="D171" s="48"/>
      <c r="E171" s="48"/>
      <c r="F171" s="48"/>
      <c r="G171" s="48"/>
      <c r="H171" s="48"/>
      <c r="I171" s="48"/>
      <c r="J171" s="48"/>
      <c r="K171" s="48"/>
      <c r="O171" s="48"/>
    </row>
    <row r="172" spans="1:15" x14ac:dyDescent="0.3">
      <c r="A172" s="48"/>
      <c r="B172" s="48"/>
      <c r="C172" s="48"/>
      <c r="D172" s="48"/>
      <c r="E172" s="48"/>
      <c r="F172" s="48"/>
      <c r="G172" s="48"/>
      <c r="H172" s="48"/>
      <c r="I172" s="48"/>
      <c r="J172" s="48"/>
      <c r="K172" s="48"/>
      <c r="O172" s="48"/>
    </row>
    <row r="173" spans="1:15" x14ac:dyDescent="0.3">
      <c r="A173" s="48"/>
      <c r="B173" s="48"/>
      <c r="C173" s="48"/>
      <c r="D173" s="48"/>
      <c r="E173" s="48"/>
      <c r="F173" s="48"/>
      <c r="G173" s="48"/>
      <c r="H173" s="48"/>
      <c r="I173" s="48"/>
      <c r="J173" s="48"/>
      <c r="K173" s="48"/>
      <c r="O173" s="48"/>
    </row>
    <row r="174" spans="1:15" x14ac:dyDescent="0.3">
      <c r="A174" s="48"/>
      <c r="B174" s="48"/>
      <c r="C174" s="48"/>
      <c r="D174" s="48"/>
      <c r="E174" s="48"/>
      <c r="F174" s="48"/>
      <c r="G174" s="48"/>
      <c r="H174" s="48"/>
      <c r="I174" s="48"/>
      <c r="J174" s="48"/>
      <c r="K174" s="48"/>
      <c r="O174" s="48"/>
    </row>
    <row r="175" spans="1:15" x14ac:dyDescent="0.3">
      <c r="A175" s="48"/>
      <c r="B175" s="48"/>
      <c r="C175" s="48"/>
      <c r="D175" s="48"/>
      <c r="E175" s="48"/>
      <c r="F175" s="48"/>
      <c r="G175" s="48"/>
      <c r="H175" s="48"/>
      <c r="I175" s="48"/>
      <c r="J175" s="48"/>
      <c r="K175" s="48"/>
      <c r="O175" s="48"/>
    </row>
    <row r="176" spans="1:15" x14ac:dyDescent="0.3">
      <c r="A176" s="48"/>
      <c r="B176" s="48"/>
      <c r="C176" s="48"/>
      <c r="D176" s="48"/>
      <c r="E176" s="48"/>
      <c r="F176" s="48"/>
      <c r="G176" s="48"/>
      <c r="H176" s="48"/>
      <c r="I176" s="48"/>
      <c r="J176" s="48"/>
      <c r="K176" s="48"/>
      <c r="O176" s="48"/>
    </row>
  </sheetData>
  <hyperlinks>
    <hyperlink ref="A1" location="Innhold!A1" display="Tilbake" xr:uid="{00000000-0004-0000-0200-000000000000}"/>
  </hyperlink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1:IF107"/>
  <sheetViews>
    <sheetView showGridLines="0" showZeros="0" zoomScale="70" zoomScaleNormal="70" workbookViewId="0">
      <pane xSplit="1" ySplit="7" topLeftCell="B8" activePane="bottomRight" state="frozen"/>
      <selection pane="topRight" activeCell="H73" sqref="H73"/>
      <selection pane="bottomLeft" activeCell="H73" sqref="H73"/>
      <selection pane="bottomRight" activeCell="A4" sqref="A4"/>
    </sheetView>
  </sheetViews>
  <sheetFormatPr baseColWidth="10" defaultColWidth="11.42578125" defaultRowHeight="12.75" x14ac:dyDescent="0.2"/>
  <cols>
    <col min="1" max="1" width="49" style="59" customWidth="1"/>
    <col min="2" max="3" width="15.7109375" style="59" customWidth="1"/>
    <col min="4" max="4" width="8.7109375" style="59" customWidth="1"/>
    <col min="5" max="5" width="12.140625" style="59" bestFit="1" customWidth="1"/>
    <col min="6" max="6" width="4.7109375" style="59" customWidth="1"/>
    <col min="7" max="7" width="18.42578125" style="59" customWidth="1"/>
    <col min="8" max="8" width="17.7109375" style="59" customWidth="1"/>
    <col min="9" max="9" width="8.7109375" style="59" customWidth="1"/>
    <col min="10" max="10" width="12.140625" style="59" bestFit="1" customWidth="1"/>
    <col min="11" max="11" width="13.42578125" style="59" hidden="1" customWidth="1"/>
    <col min="12" max="12" width="14.7109375" style="59" hidden="1" customWidth="1"/>
    <col min="13" max="13" width="13.7109375" style="59" hidden="1" customWidth="1"/>
    <col min="14" max="15" width="15.7109375" style="59" hidden="1" customWidth="1"/>
    <col min="16" max="16" width="11.42578125" style="59" hidden="1" customWidth="1"/>
    <col min="17" max="19" width="11.42578125" style="59" customWidth="1"/>
    <col min="20" max="16384" width="11.42578125" style="59"/>
  </cols>
  <sheetData>
    <row r="1" spans="1:18" ht="20.25" x14ac:dyDescent="0.3">
      <c r="A1" s="52" t="s">
        <v>77</v>
      </c>
      <c r="B1" s="47" t="s">
        <v>44</v>
      </c>
      <c r="C1" s="48"/>
      <c r="D1" s="48"/>
      <c r="E1" s="48"/>
      <c r="F1" s="48"/>
      <c r="G1" s="48"/>
      <c r="H1" s="48"/>
      <c r="I1" s="48"/>
      <c r="J1" s="48"/>
      <c r="K1" s="48"/>
    </row>
    <row r="2" spans="1:18" ht="20.25" x14ac:dyDescent="0.3">
      <c r="A2" s="52" t="s">
        <v>78</v>
      </c>
      <c r="B2" s="48"/>
      <c r="C2" s="48"/>
      <c r="D2" s="48"/>
      <c r="E2" s="514"/>
      <c r="F2" s="50"/>
      <c r="G2" s="50"/>
      <c r="H2" s="50"/>
      <c r="I2" s="50"/>
      <c r="J2" s="50"/>
      <c r="K2" s="50"/>
      <c r="L2" s="515"/>
      <c r="M2" s="515"/>
      <c r="N2" s="515"/>
      <c r="O2" s="515"/>
      <c r="P2" s="515"/>
      <c r="Q2" s="515"/>
    </row>
    <row r="3" spans="1:18" ht="18.75" x14ac:dyDescent="0.3">
      <c r="A3" s="578" t="s">
        <v>79</v>
      </c>
      <c r="B3" s="578"/>
      <c r="C3" s="48"/>
      <c r="D3" s="48"/>
      <c r="E3" s="48"/>
      <c r="F3" s="48"/>
      <c r="G3" s="48"/>
      <c r="H3" s="48"/>
      <c r="I3" s="48"/>
      <c r="J3" s="48"/>
      <c r="K3" s="48"/>
    </row>
    <row r="4" spans="1:18" ht="18.75" x14ac:dyDescent="0.3">
      <c r="A4" s="54" t="s">
        <v>153</v>
      </c>
      <c r="B4" s="55"/>
      <c r="C4" s="56"/>
      <c r="D4" s="56"/>
      <c r="E4" s="57"/>
      <c r="F4" s="58"/>
      <c r="G4" s="55"/>
      <c r="H4" s="56"/>
      <c r="I4" s="56"/>
      <c r="J4" s="57"/>
      <c r="K4" s="48"/>
      <c r="L4" s="159"/>
      <c r="M4" s="160"/>
      <c r="N4" s="161"/>
      <c r="O4" s="160"/>
    </row>
    <row r="5" spans="1:18" ht="22.5" x14ac:dyDescent="0.3">
      <c r="A5" s="60"/>
      <c r="B5" s="579" t="s">
        <v>80</v>
      </c>
      <c r="C5" s="580"/>
      <c r="D5" s="580"/>
      <c r="E5" s="581"/>
      <c r="F5" s="62"/>
      <c r="G5" s="579" t="s">
        <v>81</v>
      </c>
      <c r="H5" s="580"/>
      <c r="I5" s="580"/>
      <c r="J5" s="581"/>
      <c r="K5" s="61"/>
      <c r="L5" s="582" t="s">
        <v>82</v>
      </c>
      <c r="M5" s="577"/>
      <c r="N5" s="576" t="s">
        <v>83</v>
      </c>
      <c r="O5" s="577"/>
    </row>
    <row r="6" spans="1:18" ht="18.75" x14ac:dyDescent="0.3">
      <c r="A6" s="63"/>
      <c r="B6" s="64"/>
      <c r="C6" s="65"/>
      <c r="D6" s="65" t="s">
        <v>84</v>
      </c>
      <c r="E6" s="66" t="s">
        <v>85</v>
      </c>
      <c r="F6" s="67"/>
      <c r="G6" s="64"/>
      <c r="H6" s="65"/>
      <c r="I6" s="65" t="s">
        <v>84</v>
      </c>
      <c r="J6" s="66" t="s">
        <v>85</v>
      </c>
      <c r="K6" s="72"/>
      <c r="L6" s="162"/>
      <c r="M6" s="163"/>
      <c r="N6" s="164"/>
      <c r="O6" s="163"/>
    </row>
    <row r="7" spans="1:18" ht="15.75" x14ac:dyDescent="0.25">
      <c r="A7" s="68" t="s">
        <v>86</v>
      </c>
      <c r="B7" s="69">
        <v>2025</v>
      </c>
      <c r="C7" s="69">
        <v>2026</v>
      </c>
      <c r="D7" s="70" t="s">
        <v>87</v>
      </c>
      <c r="E7" s="71" t="s">
        <v>88</v>
      </c>
      <c r="F7" s="67"/>
      <c r="G7" s="69">
        <v>2025</v>
      </c>
      <c r="H7" s="69">
        <v>2026</v>
      </c>
      <c r="I7" s="70" t="s">
        <v>87</v>
      </c>
      <c r="J7" s="71" t="s">
        <v>88</v>
      </c>
      <c r="K7" s="72"/>
      <c r="L7" s="165">
        <v>2015</v>
      </c>
      <c r="M7" s="166">
        <v>2016</v>
      </c>
      <c r="N7" s="167">
        <v>2015</v>
      </c>
      <c r="O7" s="166">
        <v>2016</v>
      </c>
      <c r="P7" s="59" t="s">
        <v>89</v>
      </c>
    </row>
    <row r="8" spans="1:18" ht="18.75" x14ac:dyDescent="0.3">
      <c r="A8" s="73" t="s">
        <v>46</v>
      </c>
      <c r="B8" s="97"/>
      <c r="C8" s="75"/>
      <c r="D8" s="76"/>
      <c r="E8" s="328"/>
      <c r="F8" s="133"/>
      <c r="G8" s="97"/>
      <c r="H8" s="97"/>
      <c r="I8" s="75"/>
      <c r="J8" s="328"/>
      <c r="K8" s="51"/>
      <c r="L8" s="168" t="s">
        <v>46</v>
      </c>
      <c r="M8" s="169"/>
      <c r="N8" s="170"/>
      <c r="O8" s="169"/>
      <c r="P8" s="59" t="s">
        <v>90</v>
      </c>
    </row>
    <row r="9" spans="1:18" ht="18.75" x14ac:dyDescent="0.3">
      <c r="A9" s="77" t="s">
        <v>91</v>
      </c>
      <c r="B9" s="133">
        <f>'DNB Livsforsikring'!B7+'DNB Livsforsikring'!B22+'DNB Livsforsikring'!B36+'DNB Livsforsikring'!B47+'DNB Livsforsikring'!B66+'DNB Livsforsikring'!B134</f>
        <v>1249688</v>
      </c>
      <c r="C9" s="133">
        <f>'DNB Livsforsikring'!C7+'DNB Livsforsikring'!C22+'DNB Livsforsikring'!C36+'DNB Livsforsikring'!C47+'DNB Livsforsikring'!C66+'DNB Livsforsikring'!C134</f>
        <v>1251034.2379600001</v>
      </c>
      <c r="D9" s="76">
        <f t="shared" ref="D9:D30" si="0">IF(B9=0, "    ---- ", IF(ABS(ROUND(100/B9*C9-100,1))&lt;999,ROUND(100/B9*C9-100,1),IF(ROUND(100/B9*C9-100,1)&gt;999,999,-999)))</f>
        <v>0.1</v>
      </c>
      <c r="E9" s="328">
        <f t="shared" ref="E9:E31" si="1">100/C$32*C9</f>
        <v>5.9160382267682499</v>
      </c>
      <c r="F9" s="75"/>
      <c r="G9" s="133">
        <f>'DNB Livsforsikring'!B10+'DNB Livsforsikring'!B29+'DNB Livsforsikring'!B37+'DNB Livsforsikring'!B87+'DNB Livsforsikring'!B135</f>
        <v>179684402.72244999</v>
      </c>
      <c r="H9" s="133">
        <f>'DNB Livsforsikring'!C10+'DNB Livsforsikring'!C29+'DNB Livsforsikring'!C37+'DNB Livsforsikring'!C87+'DNB Livsforsikring'!C135</f>
        <v>178517753.45691475</v>
      </c>
      <c r="I9" s="76">
        <f t="shared" ref="I9:I27" si="2">IF(G9=0, "    ---- ", IF(ABS(ROUND(100/G9*H9-100,1))&lt;999,ROUND(100/G9*H9-100,1),IF(ROUND(100/G9*H9-100,1)&gt;999,999,-999)))</f>
        <v>-0.6</v>
      </c>
      <c r="J9" s="328">
        <f t="shared" ref="J9:J31" si="3">100/H$32*H9</f>
        <v>12.018720246028613</v>
      </c>
      <c r="K9" s="158" t="s">
        <v>92</v>
      </c>
      <c r="L9" s="171" t="e">
        <f ca="1">INDIRECT("'" &amp;#REF! &amp; "'!" &amp; $P$7)</f>
        <v>#REF!</v>
      </c>
      <c r="M9" s="169" t="e">
        <f ca="1">INDIRECT("'" &amp;#REF! &amp; "'!" &amp; $P$8)</f>
        <v>#REF!</v>
      </c>
      <c r="N9" s="171" t="e">
        <f ca="1">INDIRECT("'" &amp;#REF! &amp; "'!" &amp;#REF!)</f>
        <v>#REF!</v>
      </c>
      <c r="O9" s="169" t="e">
        <f ca="1">INDIRECT("'" &amp;#REF! &amp; "'!" &amp; $P$9)</f>
        <v>#REF!</v>
      </c>
      <c r="P9" s="59" t="s">
        <v>93</v>
      </c>
    </row>
    <row r="10" spans="1:18" ht="18.75" x14ac:dyDescent="0.3">
      <c r="A10" s="77" t="s">
        <v>48</v>
      </c>
      <c r="B10" s="133">
        <f>'Euro Accident'!B7+'Euro Accident'!B22+'Euro Accident'!B36+'Euro Accident'!B47+'Euro Accident'!B66+'Euro Accident'!B134</f>
        <v>30761</v>
      </c>
      <c r="C10" s="133">
        <f>'Euro Accident'!C7+'Euro Accident'!C22+'Euro Accident'!C36+'Euro Accident'!C47+'Euro Accident'!C66+'Euro Accident'!C134</f>
        <v>46204</v>
      </c>
      <c r="D10" s="76">
        <f t="shared" ref="D10" si="4">IF(B10=0, "    ---- ", IF(ABS(ROUND(100/B10*C10-100,1))&lt;999,ROUND(100/B10*C10-100,1),IF(ROUND(100/B10*C10-100,1)&gt;999,999,-999)))</f>
        <v>50.2</v>
      </c>
      <c r="E10" s="328">
        <f t="shared" si="1"/>
        <v>0.21849492358844622</v>
      </c>
      <c r="F10" s="75"/>
      <c r="G10" s="133"/>
      <c r="H10" s="133"/>
      <c r="I10" s="76"/>
      <c r="J10" s="328"/>
      <c r="L10" s="171"/>
      <c r="M10" s="169"/>
      <c r="N10" s="171"/>
      <c r="O10" s="169"/>
    </row>
    <row r="11" spans="1:18" ht="18.75" x14ac:dyDescent="0.3">
      <c r="A11" s="77" t="s">
        <v>409</v>
      </c>
      <c r="B11" s="133">
        <f>Fremtind!B7+Fremtind!B22+Fremtind!B36+Fremtind!B47+Fremtind!B66+Fremtind!B134</f>
        <v>1271137.3383900002</v>
      </c>
      <c r="C11" s="133">
        <f>Fremtind!C7+Fremtind!C22+Fremtind!C36+Fremtind!C47+Fremtind!C66+Fremtind!C134</f>
        <v>1220218.7109099999</v>
      </c>
      <c r="D11" s="76">
        <f t="shared" si="0"/>
        <v>-4</v>
      </c>
      <c r="E11" s="328">
        <f t="shared" si="1"/>
        <v>5.7703141286787458</v>
      </c>
      <c r="F11" s="75"/>
      <c r="G11" s="133">
        <f>Fremtind!B10+Fremtind!B29+Fremtind!B37+Fremtind!B87+Fremtind!B135</f>
        <v>6000495.18102</v>
      </c>
      <c r="H11" s="133">
        <f>Fremtind!C10+Fremtind!C29+Fremtind!C37+Fremtind!C87+Fremtind!C135</f>
        <v>6592758.1898499997</v>
      </c>
      <c r="I11" s="76">
        <f t="shared" si="2"/>
        <v>9.9</v>
      </c>
      <c r="J11" s="328">
        <f t="shared" si="3"/>
        <v>0.44385790656190877</v>
      </c>
      <c r="K11" s="59" t="s">
        <v>95</v>
      </c>
      <c r="L11" s="171" t="e">
        <f ca="1">INDIRECT("'" &amp;#REF! &amp; "'!" &amp; $P$7)</f>
        <v>#REF!</v>
      </c>
      <c r="M11" s="169" t="e">
        <f ca="1">INDIRECT("'" &amp;#REF! &amp; "'!" &amp; $P$8)</f>
        <v>#REF!</v>
      </c>
      <c r="N11" s="171" t="e">
        <f ca="1">INDIRECT("'" &amp;#REF! &amp; "'!" &amp;#REF!)</f>
        <v>#REF!</v>
      </c>
      <c r="O11" s="169" t="e">
        <f ca="1">INDIRECT("'" &amp;#REF! &amp; "'!" &amp; $P$9)</f>
        <v>#REF!</v>
      </c>
      <c r="R11" s="423"/>
    </row>
    <row r="12" spans="1:18" ht="18.75" x14ac:dyDescent="0.3">
      <c r="A12" s="77" t="s">
        <v>96</v>
      </c>
      <c r="B12" s="133">
        <f>'Frende Livsforsikring'!B7+'Frende Livsforsikring'!B22+'Frende Livsforsikring'!B36+'Frende Livsforsikring'!B47+'Frende Livsforsikring'!B66+'Frende Livsforsikring'!B134</f>
        <v>713825</v>
      </c>
      <c r="C12" s="133">
        <f>'Frende Livsforsikring'!C7+'Frende Livsforsikring'!C22+'Frende Livsforsikring'!C36+'Frende Livsforsikring'!C47+'Frende Livsforsikring'!C66+'Frende Livsforsikring'!C134</f>
        <v>787243</v>
      </c>
      <c r="D12" s="76">
        <f t="shared" si="0"/>
        <v>10.3</v>
      </c>
      <c r="E12" s="328">
        <f t="shared" si="1"/>
        <v>3.722807530312076</v>
      </c>
      <c r="F12" s="75"/>
      <c r="G12" s="133">
        <f>'Frende Livsforsikring'!B10+'Frende Livsforsikring'!B29+'Frende Livsforsikring'!B37+'Frende Livsforsikring'!B87+'Frende Livsforsikring'!B135</f>
        <v>2437488</v>
      </c>
      <c r="H12" s="133">
        <f>'Frende Livsforsikring'!C10+'Frende Livsforsikring'!C29+'Frende Livsforsikring'!C37+'Frende Livsforsikring'!C87+'Frende Livsforsikring'!C135</f>
        <v>2794309</v>
      </c>
      <c r="I12" s="76">
        <f t="shared" si="2"/>
        <v>14.6</v>
      </c>
      <c r="J12" s="328">
        <f t="shared" si="3"/>
        <v>0.18812704900000585</v>
      </c>
      <c r="L12" s="171"/>
      <c r="M12" s="169"/>
      <c r="N12" s="171"/>
      <c r="O12" s="169"/>
    </row>
    <row r="13" spans="1:18" ht="18.75" x14ac:dyDescent="0.3">
      <c r="A13" s="77" t="s">
        <v>97</v>
      </c>
      <c r="B13" s="133">
        <f>'Frende Skadeforsikring'!B7+'Frende Skadeforsikring'!B22+'Frende Skadeforsikring'!B36+'Frende Skadeforsikring'!B47+'Frende Skadeforsikring'!B66+'Frende Skadeforsikring'!B134</f>
        <v>287.33699999999999</v>
      </c>
      <c r="C13" s="133">
        <f>'Frende Skadeforsikring'!C7+'Frende Skadeforsikring'!C22+'Frende Skadeforsikring'!C36+'Frende Skadeforsikring'!C47+'Frende Skadeforsikring'!C66+'Frende Skadeforsikring'!C134</f>
        <v>25.518999999999998</v>
      </c>
      <c r="D13" s="76">
        <f t="shared" si="0"/>
        <v>-91.1</v>
      </c>
      <c r="E13" s="328">
        <f t="shared" si="1"/>
        <v>1.2067725640753092E-4</v>
      </c>
      <c r="F13" s="75"/>
      <c r="G13" s="133"/>
      <c r="H13" s="133"/>
      <c r="I13" s="76"/>
      <c r="J13" s="328"/>
      <c r="K13" s="59" t="s">
        <v>98</v>
      </c>
      <c r="L13" s="171">
        <f t="shared" ref="L13:L30" ca="1" si="5">INDIRECT("'" &amp; $A12 &amp; "'!" &amp; $P$7)</f>
        <v>0</v>
      </c>
      <c r="M13" s="169">
        <f t="shared" ref="M13:M30" ca="1" si="6">INDIRECT("'" &amp; $A12 &amp; "'!" &amp; $P$8)</f>
        <v>0</v>
      </c>
      <c r="N13" s="171" t="e">
        <f ca="1">INDIRECT("'" &amp; $A12 &amp; "'!" &amp;#REF!)</f>
        <v>#REF!</v>
      </c>
      <c r="O13" s="169">
        <f t="shared" ref="O13:O30" ca="1" si="7">INDIRECT("'" &amp; $A12 &amp; "'!" &amp; $P$9)</f>
        <v>0</v>
      </c>
    </row>
    <row r="14" spans="1:18" ht="18.75" x14ac:dyDescent="0.3">
      <c r="A14" s="77" t="s">
        <v>99</v>
      </c>
      <c r="B14" s="133">
        <f>'Gjensidige Forsikring'!B7+'Gjensidige Forsikring'!B22+'Gjensidige Forsikring'!B36+'Gjensidige Forsikring'!B47+'Gjensidige Forsikring'!B66+'Gjensidige Forsikring'!B134</f>
        <v>1611395.2398000001</v>
      </c>
      <c r="C14" s="133">
        <f>'Gjensidige Forsikring'!C7+'Gjensidige Forsikring'!C22+'Gjensidige Forsikring'!C36+'Gjensidige Forsikring'!C47+'Gjensidige Forsikring'!C66+'Gjensidige Forsikring'!C134</f>
        <v>1562214.5224200001</v>
      </c>
      <c r="D14" s="76">
        <f t="shared" si="0"/>
        <v>-3.1</v>
      </c>
      <c r="E14" s="328">
        <f t="shared" si="1"/>
        <v>7.3875842503878211</v>
      </c>
      <c r="F14" s="75"/>
      <c r="G14" s="133"/>
      <c r="H14" s="133"/>
      <c r="I14" s="76"/>
      <c r="J14" s="328"/>
      <c r="K14" s="59" t="s">
        <v>100</v>
      </c>
      <c r="L14" s="171">
        <f t="shared" ca="1" si="5"/>
        <v>0</v>
      </c>
      <c r="M14" s="169">
        <f t="shared" ca="1" si="6"/>
        <v>0</v>
      </c>
      <c r="N14" s="171" t="e">
        <f ca="1">INDIRECT("'" &amp; $A13 &amp; "'!" &amp;#REF!)</f>
        <v>#REF!</v>
      </c>
      <c r="O14" s="169">
        <f t="shared" ca="1" si="7"/>
        <v>0</v>
      </c>
    </row>
    <row r="15" spans="1:18" ht="18.75" x14ac:dyDescent="0.3">
      <c r="A15" s="77" t="s">
        <v>101</v>
      </c>
      <c r="B15" s="133">
        <f>'Gjensidige Pensjon'!B7+'Gjensidige Pensjon'!B22+'Gjensidige Pensjon'!B36+'Gjensidige Pensjon'!B47+'Gjensidige Pensjon'!B66+'Gjensidige Pensjon'!B134</f>
        <v>361354</v>
      </c>
      <c r="C15" s="133">
        <f>'Gjensidige Pensjon'!C7+'Gjensidige Pensjon'!C22+'Gjensidige Pensjon'!C36+'Gjensidige Pensjon'!C47+'Gjensidige Pensjon'!C66+'Gjensidige Pensjon'!C134</f>
        <v>385947</v>
      </c>
      <c r="D15" s="76">
        <f t="shared" si="0"/>
        <v>6.8</v>
      </c>
      <c r="E15" s="328">
        <f t="shared" si="1"/>
        <v>1.8251116845768776</v>
      </c>
      <c r="F15" s="75"/>
      <c r="G15" s="133">
        <f>'Gjensidige Pensjon'!B10+'Gjensidige Pensjon'!B29+'Gjensidige Pensjon'!B37+'Gjensidige Pensjon'!B87+'Gjensidige Pensjon'!B135</f>
        <v>11279029</v>
      </c>
      <c r="H15" s="133">
        <f>'Gjensidige Pensjon'!C10+'Gjensidige Pensjon'!C29+'Gjensidige Pensjon'!C37+'Gjensidige Pensjon'!C87+'Gjensidige Pensjon'!C135</f>
        <v>12086275</v>
      </c>
      <c r="I15" s="76">
        <f t="shared" si="2"/>
        <v>7.2</v>
      </c>
      <c r="J15" s="328">
        <f t="shared" si="3"/>
        <v>0.8137093102990921</v>
      </c>
      <c r="K15" s="59" t="s">
        <v>89</v>
      </c>
      <c r="L15" s="171">
        <f t="shared" ca="1" si="5"/>
        <v>0</v>
      </c>
      <c r="M15" s="169">
        <f t="shared" ca="1" si="6"/>
        <v>0</v>
      </c>
      <c r="N15" s="171" t="e">
        <f ca="1">INDIRECT("'" &amp; $A14 &amp; "'!" &amp;#REF!)</f>
        <v>#REF!</v>
      </c>
      <c r="O15" s="169">
        <f t="shared" ca="1" si="7"/>
        <v>0</v>
      </c>
    </row>
    <row r="16" spans="1:18" ht="18.75" x14ac:dyDescent="0.3">
      <c r="A16" s="77" t="s">
        <v>102</v>
      </c>
      <c r="B16" s="133">
        <f>'If Skadeforsikring NUF'!B7+'If Skadeforsikring NUF'!B22+'If Skadeforsikring NUF'!B36+'If Skadeforsikring NUF'!B47+'If Skadeforsikring NUF'!B66+'If Skadeforsikring NUF'!B134</f>
        <v>306096.54931210296</v>
      </c>
      <c r="C16" s="133">
        <f>'If Skadeforsikring NUF'!C7+'If Skadeforsikring NUF'!C22+'If Skadeforsikring NUF'!C36+'If Skadeforsikring NUF'!C47+'If Skadeforsikring NUF'!C66+'If Skadeforsikring NUF'!C134</f>
        <v>344301.01800000004</v>
      </c>
      <c r="D16" s="76">
        <f t="shared" si="0"/>
        <v>12.5</v>
      </c>
      <c r="E16" s="328">
        <f t="shared" si="1"/>
        <v>1.6281712539895734</v>
      </c>
      <c r="F16" s="75"/>
      <c r="G16" s="133"/>
      <c r="H16" s="133"/>
      <c r="I16" s="76"/>
      <c r="J16" s="328"/>
      <c r="K16" s="51"/>
      <c r="L16" s="171" t="e">
        <f ca="1">INDIRECT("'" &amp;#REF! &amp; "'!" &amp; $P$7)</f>
        <v>#REF!</v>
      </c>
      <c r="M16" s="169" t="e">
        <f ca="1">INDIRECT("'" &amp;#REF! &amp; "'!" &amp; $P$8)</f>
        <v>#REF!</v>
      </c>
      <c r="N16" s="171" t="e">
        <f ca="1">INDIRECT("'" &amp;#REF! &amp; "'!" &amp;#REF!)</f>
        <v>#REF!</v>
      </c>
      <c r="O16" s="169" t="e">
        <f ca="1">INDIRECT("'" &amp;#REF! &amp; "'!" &amp; $P$9)</f>
        <v>#REF!</v>
      </c>
    </row>
    <row r="17" spans="1:21" ht="18.75" x14ac:dyDescent="0.3">
      <c r="A17" s="77" t="s">
        <v>54</v>
      </c>
      <c r="B17" s="133">
        <f>KLP!B7+KLP!B22+KLP!B36+KLP!B47+KLP!B66+KLP!B134</f>
        <v>8049379.79641</v>
      </c>
      <c r="C17" s="133">
        <f>KLP!C7+KLP!C22+KLP!C36+KLP!C47+KLP!C66+KLP!C134</f>
        <v>8744623.9051599987</v>
      </c>
      <c r="D17" s="76">
        <f t="shared" si="0"/>
        <v>8.6</v>
      </c>
      <c r="E17" s="328">
        <f t="shared" si="1"/>
        <v>41.352608691187648</v>
      </c>
      <c r="F17" s="75"/>
      <c r="G17" s="133">
        <f>KLP!B10+KLP!B29+KLP!B37+KLP!B87+KLP!B135</f>
        <v>794812677.44805002</v>
      </c>
      <c r="H17" s="133">
        <f>KLP!C10+KLP!C29+KLP!C37+KLP!C87+KLP!C135</f>
        <v>876265272.58194005</v>
      </c>
      <c r="I17" s="76">
        <f t="shared" si="2"/>
        <v>10.199999999999999</v>
      </c>
      <c r="J17" s="328">
        <f t="shared" si="3"/>
        <v>58.994620806799148</v>
      </c>
      <c r="K17" s="51"/>
      <c r="L17" s="171" t="e">
        <f ca="1">INDIRECT("'" &amp;#REF! &amp; "'!" &amp; $P$7)</f>
        <v>#REF!</v>
      </c>
      <c r="M17" s="169" t="e">
        <f ca="1">INDIRECT("'" &amp;#REF! &amp; "'!" &amp; $P$8)</f>
        <v>#REF!</v>
      </c>
      <c r="N17" s="171" t="e">
        <f ca="1">INDIRECT("'" &amp;#REF! &amp; "'!" &amp;#REF!)</f>
        <v>#REF!</v>
      </c>
      <c r="O17" s="169" t="e">
        <f ca="1">INDIRECT("'" &amp;#REF! &amp; "'!" &amp; $P$9)</f>
        <v>#REF!</v>
      </c>
    </row>
    <row r="18" spans="1:21" ht="18.75" x14ac:dyDescent="0.3">
      <c r="A18" s="77" t="s">
        <v>103</v>
      </c>
      <c r="B18" s="133">
        <f>'KLP Skadeforsikring AS'!B7+'KLP Skadeforsikring AS'!B22+'KLP Skadeforsikring AS'!B36+'KLP Skadeforsikring AS'!B47+'KLP Skadeforsikring AS'!B66+'KLP Skadeforsikring AS'!B134</f>
        <v>234700.55499999999</v>
      </c>
      <c r="C18" s="133">
        <f>'KLP Skadeforsikring AS'!C7+'KLP Skadeforsikring AS'!C22+'KLP Skadeforsikring AS'!C36+'KLP Skadeforsikring AS'!C47+'KLP Skadeforsikring AS'!C66+'KLP Skadeforsikring AS'!C134</f>
        <v>696348.86199999996</v>
      </c>
      <c r="D18" s="76">
        <f t="shared" si="0"/>
        <v>196.7</v>
      </c>
      <c r="E18" s="328">
        <f t="shared" si="1"/>
        <v>3.2929766122758086</v>
      </c>
      <c r="F18" s="75"/>
      <c r="G18" s="133">
        <f>'KLP Skadeforsikring AS'!B10+'KLP Skadeforsikring AS'!B29+'KLP Skadeforsikring AS'!B37+'KLP Skadeforsikring AS'!B87+'KLP Skadeforsikring AS'!B135</f>
        <v>173603.853</v>
      </c>
      <c r="H18" s="133">
        <f>'KLP Skadeforsikring AS'!C10+'KLP Skadeforsikring AS'!C29+'KLP Skadeforsikring AS'!C37+'KLP Skadeforsikring AS'!C87+'KLP Skadeforsikring AS'!C135</f>
        <v>284694.43099999998</v>
      </c>
      <c r="I18" s="76">
        <f t="shared" si="2"/>
        <v>64</v>
      </c>
      <c r="J18" s="328">
        <f t="shared" si="3"/>
        <v>1.9167072492972604E-2</v>
      </c>
      <c r="K18" s="51"/>
      <c r="L18" s="171">
        <f ca="1">INDIRECT("'" &amp; $A31 &amp; "'!" &amp; $P$7)</f>
        <v>0</v>
      </c>
      <c r="M18" s="169">
        <f ca="1">INDIRECT("'" &amp; $A31 &amp; "'!" &amp; $P$8)</f>
        <v>0</v>
      </c>
      <c r="N18" s="171" t="e">
        <f ca="1">INDIRECT("'" &amp; $A31 &amp; "'!" &amp;#REF!)</f>
        <v>#REF!</v>
      </c>
      <c r="O18" s="169">
        <f ca="1">INDIRECT("'" &amp; $A31 &amp; "'!" &amp; $P$9)</f>
        <v>0</v>
      </c>
    </row>
    <row r="19" spans="1:21" ht="18.75" x14ac:dyDescent="0.3">
      <c r="A19" s="77" t="s">
        <v>104</v>
      </c>
      <c r="B19" s="133">
        <f>'Knif Trygghet Forsikring'!B7+'Knif Trygghet Forsikring'!B22+'Knif Trygghet Forsikring'!B36+'Knif Trygghet Forsikring'!B47+'Knif Trygghet Forsikring'!B66+'Knif Trygghet Forsikring'!B134</f>
        <v>0</v>
      </c>
      <c r="C19" s="133">
        <f>'Knif Trygghet Forsikring'!C7+'Knif Trygghet Forsikring'!C22+'Knif Trygghet Forsikring'!C36+'Knif Trygghet Forsikring'!C47+'Knif Trygghet Forsikring'!C66+'Knif Trygghet Forsikring'!C134</f>
        <v>53091</v>
      </c>
      <c r="D19" s="76" t="str">
        <f t="shared" ref="D19" si="8">IF(B19=0, "    ---- ", IF(ABS(ROUND(100/B19*C19-100,1))&lt;999,ROUND(100/B19*C19-100,1),IF(ROUND(100/B19*C19-100,1)&gt;999,999,-999)))</f>
        <v xml:space="preserve">    ---- </v>
      </c>
      <c r="E19" s="328">
        <f t="shared" si="1"/>
        <v>0.25106298130538907</v>
      </c>
      <c r="F19" s="75"/>
      <c r="G19" s="133">
        <f>'Knif Trygghet Forsikring'!B10+'Knif Trygghet Forsikring'!B29+'Knif Trygghet Forsikring'!B37+'Knif Trygghet Forsikring'!B87+'Knif Trygghet Forsikring'!B66+'Knif Trygghet Forsikring'!B135</f>
        <v>0</v>
      </c>
      <c r="H19" s="133">
        <f>'Knif Trygghet Forsikring'!C10+'Knif Trygghet Forsikring'!C29+'Knif Trygghet Forsikring'!C37+'Knif Trygghet Forsikring'!C87+'Knif Trygghet Forsikring'!C66+'Knif Trygghet Forsikring'!C135</f>
        <v>3595</v>
      </c>
      <c r="I19" s="76" t="str">
        <f t="shared" ref="I19" si="9">IF(G19=0, "    ---- ", IF(ABS(ROUND(100/G19*H19-100,1))&lt;999,ROUND(100/G19*H19-100,1),IF(ROUND(100/G19*H19-100,1)&gt;999,999,-999)))</f>
        <v xml:space="preserve">    ---- </v>
      </c>
      <c r="J19" s="328">
        <f t="shared" si="3"/>
        <v>2.4203362661574687E-4</v>
      </c>
      <c r="K19" s="51"/>
      <c r="L19" s="171"/>
      <c r="M19" s="169"/>
      <c r="N19" s="171"/>
      <c r="O19" s="169"/>
    </row>
    <row r="20" spans="1:21" ht="18.75" x14ac:dyDescent="0.3">
      <c r="A20" s="77" t="s">
        <v>105</v>
      </c>
      <c r="B20" s="133">
        <f>'Landkreditt Forsikring AS'!B7+'Landkreditt Forsikring AS'!B22+'Landkreditt Forsikring AS'!B36+'Landkreditt Forsikring AS'!B47+'Landkreditt Forsikring AS'!B66+'Landkreditt Forsikring AS'!B134</f>
        <v>82536</v>
      </c>
      <c r="C20" s="133">
        <f>'Landkreditt Forsikring AS'!C7+'Landkreditt Forsikring AS'!C22+'Landkreditt Forsikring AS'!C36+'Landkreditt Forsikring AS'!C47+'Landkreditt Forsikring AS'!C66+'Landkreditt Forsikring AS'!C134</f>
        <v>71658</v>
      </c>
      <c r="D20" s="76">
        <f t="shared" si="0"/>
        <v>-13.2</v>
      </c>
      <c r="E20" s="328">
        <f t="shared" si="1"/>
        <v>0.33886480033115918</v>
      </c>
      <c r="F20" s="75"/>
      <c r="G20" s="133"/>
      <c r="H20" s="133"/>
      <c r="I20" s="76"/>
      <c r="J20" s="328"/>
      <c r="K20" s="51"/>
      <c r="L20" s="171">
        <f ca="1">INDIRECT("'" &amp; $A18 &amp; "'!" &amp; $P$7)</f>
        <v>0</v>
      </c>
      <c r="M20" s="169">
        <f ca="1">INDIRECT("'" &amp; $A18 &amp; "'!" &amp; $P$8)</f>
        <v>0</v>
      </c>
      <c r="N20" s="171" t="e">
        <f ca="1">INDIRECT("'" &amp; $A18 &amp; "'!" &amp;#REF!)</f>
        <v>#REF!</v>
      </c>
      <c r="O20" s="169">
        <f ca="1">INDIRECT("'" &amp; $A18 &amp; "'!" &amp; $P$9)</f>
        <v>0</v>
      </c>
    </row>
    <row r="21" spans="1:21" ht="18.75" x14ac:dyDescent="0.3">
      <c r="A21" s="77" t="s">
        <v>58</v>
      </c>
      <c r="B21" s="133">
        <f>'Ly Forsikring'!B7+'Ly Forsikring'!B22+'Ly Forsikring'!B36+'Ly Forsikring'!B47+'Ly Forsikring'!B66+'Ly Forsikring'!B134</f>
        <v>15177</v>
      </c>
      <c r="C21" s="133">
        <f>'Ly Forsikring'!C7+'Ly Forsikring'!C22+'Ly Forsikring'!C36+'Ly Forsikring'!C47+'Ly Forsikring'!C66+'Ly Forsikring'!C134</f>
        <v>16314</v>
      </c>
      <c r="D21" s="76">
        <f t="shared" ref="D21" si="10">IF(B21=0, "    ---- ", IF(ABS(ROUND(100/B21*C21-100,1))&lt;999,ROUND(100/B21*C21-100,1),IF(ROUND(100/B21*C21-100,1)&gt;999,999,-999)))</f>
        <v>7.5</v>
      </c>
      <c r="E21" s="328">
        <f t="shared" si="1"/>
        <v>7.7147566951387567E-2</v>
      </c>
      <c r="F21" s="75"/>
      <c r="G21" s="133"/>
      <c r="H21" s="133"/>
      <c r="I21" s="76"/>
      <c r="J21" s="328"/>
      <c r="K21" s="51"/>
      <c r="L21" s="171"/>
      <c r="M21" s="169"/>
      <c r="N21" s="171"/>
      <c r="O21" s="169"/>
    </row>
    <row r="22" spans="1:21" ht="18.75" x14ac:dyDescent="0.3">
      <c r="A22" s="77" t="s">
        <v>106</v>
      </c>
      <c r="B22" s="133">
        <f>'Nordea Liv '!B7+'Nordea Liv '!B22+'Nordea Liv '!B36+'Nordea Liv '!B47+'Nordea Liv '!B66+'Nordea Liv '!B134</f>
        <v>811738.02410864085</v>
      </c>
      <c r="C22" s="133">
        <f>'Nordea Liv '!C7+'Nordea Liv '!C22+'Nordea Liv '!C36+'Nordea Liv '!C47+'Nordea Liv '!C66+'Nordea Liv '!C134</f>
        <v>855566.53582891263</v>
      </c>
      <c r="D22" s="76">
        <f t="shared" si="0"/>
        <v>5.4</v>
      </c>
      <c r="E22" s="328">
        <f t="shared" si="1"/>
        <v>4.0459039232700604</v>
      </c>
      <c r="F22" s="75"/>
      <c r="G22" s="133">
        <f>'Nordea Liv '!B10+'Nordea Liv '!B29+'Nordea Liv '!B37+'Nordea Liv '!B87+'Nordea Liv '!B135</f>
        <v>54964640.000001788</v>
      </c>
      <c r="H22" s="133">
        <f>'Nordea Liv '!C10+'Nordea Liv '!C29+'Nordea Liv '!C37+'Nordea Liv '!C87+'Nordea Liv '!C135</f>
        <v>56434150.000000753</v>
      </c>
      <c r="I22" s="76">
        <f t="shared" si="2"/>
        <v>2.7</v>
      </c>
      <c r="J22" s="328">
        <f t="shared" si="3"/>
        <v>3.7994330986028464</v>
      </c>
      <c r="K22" s="51"/>
      <c r="L22" s="171" t="e">
        <f ca="1">INDIRECT("'" &amp; $A20 &amp; "'!" &amp; $P$7)</f>
        <v>#REF!</v>
      </c>
      <c r="M22" s="169" t="e">
        <f ca="1">INDIRECT("'" &amp; $A20 &amp; "'!" &amp; $P$8)</f>
        <v>#REF!</v>
      </c>
      <c r="N22" s="171" t="e">
        <f ca="1">INDIRECT("'" &amp; $A20 &amp; "'!" &amp;#REF!)</f>
        <v>#REF!</v>
      </c>
      <c r="O22" s="169" t="e">
        <f ca="1">INDIRECT("'" &amp; $A20 &amp; "'!" &amp; $P$9)</f>
        <v>#REF!</v>
      </c>
    </row>
    <row r="23" spans="1:21" ht="18.75" x14ac:dyDescent="0.3">
      <c r="A23" s="77" t="s">
        <v>60</v>
      </c>
      <c r="B23" s="133">
        <f>'Oslo Forsikring'!B7+'Oslo Forsikring'!B22+'Oslo Forsikring'!B36+'Oslo Forsikring'!B47+'Oslo Forsikring'!B66+'Oslo Forsikring'!B134</f>
        <v>8970</v>
      </c>
      <c r="C23" s="133">
        <f>'Oslo Forsikring'!C7+'Oslo Forsikring'!C22+'Oslo Forsikring'!C36+'Oslo Forsikring'!C47+'Oslo Forsikring'!C66+'Oslo Forsikring'!C134</f>
        <v>9386</v>
      </c>
      <c r="D23" s="76">
        <f t="shared" ref="D23" si="11">IF(B23=0, "    ---- ", IF(ABS(ROUND(100/B23*C23-100,1))&lt;999,ROUND(100/B23*C23-100,1),IF(ROUND(100/B23*C23-100,1)&gt;999,999,-999)))</f>
        <v>4.5999999999999996</v>
      </c>
      <c r="E23" s="328">
        <f t="shared" si="1"/>
        <v>4.4385623599713361E-2</v>
      </c>
      <c r="F23" s="75"/>
      <c r="G23" s="133"/>
      <c r="H23" s="133"/>
      <c r="I23" s="76"/>
      <c r="J23" s="328"/>
      <c r="K23" s="51"/>
      <c r="L23" s="171"/>
      <c r="M23" s="169"/>
      <c r="N23" s="171"/>
      <c r="O23" s="169"/>
    </row>
    <row r="24" spans="1:21" ht="18.75" x14ac:dyDescent="0.3">
      <c r="A24" s="77" t="s">
        <v>107</v>
      </c>
      <c r="B24" s="133">
        <f>'Oslo Pensjonsforsikring'!B7+'Oslo Pensjonsforsikring'!B22+'Oslo Pensjonsforsikring'!B36+'Oslo Pensjonsforsikring'!B47+'Oslo Pensjonsforsikring'!B66+'Oslo Pensjonsforsikring'!B134</f>
        <v>908116</v>
      </c>
      <c r="C24" s="133">
        <f>'Oslo Pensjonsforsikring'!C7+'Oslo Pensjonsforsikring'!C22+'Oslo Pensjonsforsikring'!C36+'Oslo Pensjonsforsikring'!C47+'Oslo Pensjonsforsikring'!C66+'Oslo Pensjonsforsikring'!C134</f>
        <v>694944</v>
      </c>
      <c r="D24" s="76">
        <f t="shared" si="0"/>
        <v>-23.5</v>
      </c>
      <c r="E24" s="328">
        <f t="shared" si="1"/>
        <v>3.2863331351884937</v>
      </c>
      <c r="F24" s="75"/>
      <c r="G24" s="133">
        <f>'Oslo Pensjonsforsikring'!B10+'Oslo Pensjonsforsikring'!B29+'Oslo Pensjonsforsikring'!B37+'Oslo Pensjonsforsikring'!B87+'Oslo Pensjonsforsikring'!B135</f>
        <v>97889000</v>
      </c>
      <c r="H24" s="133">
        <f>'Oslo Pensjonsforsikring'!C10+'Oslo Pensjonsforsikring'!C29+'Oslo Pensjonsforsikring'!C37+'Oslo Pensjonsforsikring'!C87+'Oslo Pensjonsforsikring'!C135</f>
        <v>104208000</v>
      </c>
      <c r="I24" s="76">
        <f t="shared" si="2"/>
        <v>6.5</v>
      </c>
      <c r="J24" s="328">
        <f t="shared" si="3"/>
        <v>7.0158108935671075</v>
      </c>
      <c r="K24" s="51"/>
      <c r="L24" s="171">
        <f ca="1">INDIRECT("'" &amp; $A22 &amp; "'!" &amp; $P$7)</f>
        <v>0</v>
      </c>
      <c r="M24" s="169">
        <f ca="1">INDIRECT("'" &amp; $A22 &amp; "'!" &amp; $P$8)</f>
        <v>0</v>
      </c>
      <c r="N24" s="171" t="e">
        <f ca="1">INDIRECT("'" &amp; $A22 &amp; "'!" &amp;#REF!)</f>
        <v>#REF!</v>
      </c>
      <c r="O24" s="169">
        <f ca="1">INDIRECT("'" &amp; $A22 &amp; "'!" &amp; $P$9)</f>
        <v>0</v>
      </c>
    </row>
    <row r="25" spans="1:21" ht="18.75" x14ac:dyDescent="0.3">
      <c r="A25" s="77" t="s">
        <v>108</v>
      </c>
      <c r="B25" s="133">
        <f>'Protector Forsikring'!B7+'Protector Forsikring'!B22+'Protector Forsikring'!B36+'Protector Forsikring'!B47+'Protector Forsikring'!B66+'Protector Forsikring'!B134</f>
        <v>318529</v>
      </c>
      <c r="C25" s="133">
        <f>'Protector Forsikring'!C7+'Protector Forsikring'!C22+'Protector Forsikring'!C36+'Protector Forsikring'!C47+'Protector Forsikring'!C66+'Protector Forsikring'!C134</f>
        <v>387470</v>
      </c>
      <c r="D25" s="76">
        <f t="shared" si="0"/>
        <v>21.6</v>
      </c>
      <c r="E25" s="328">
        <f t="shared" si="1"/>
        <v>1.8323138265694583</v>
      </c>
      <c r="F25" s="75"/>
      <c r="G25" s="133"/>
      <c r="H25" s="133"/>
      <c r="I25" s="76"/>
      <c r="J25" s="328"/>
      <c r="K25" s="51"/>
      <c r="L25" s="171">
        <f t="shared" ca="1" si="5"/>
        <v>0</v>
      </c>
      <c r="M25" s="169">
        <f t="shared" ca="1" si="6"/>
        <v>0</v>
      </c>
      <c r="N25" s="171" t="e">
        <f ca="1">INDIRECT("'" &amp; $A24 &amp; "'!" &amp;#REF!)</f>
        <v>#REF!</v>
      </c>
      <c r="O25" s="169">
        <f t="shared" ca="1" si="7"/>
        <v>0</v>
      </c>
    </row>
    <row r="26" spans="1:21" ht="18.75" x14ac:dyDescent="0.3">
      <c r="A26" s="77" t="s">
        <v>63</v>
      </c>
      <c r="B26" s="133">
        <f>'Sparebank 1 Fors.'!B7+'Sparebank 1 Fors.'!B22+'Sparebank 1 Fors.'!B36+'Sparebank 1 Fors.'!B47+'Sparebank 1 Fors.'!B66+'Sparebank 1 Fors.'!B134</f>
        <v>287814.84760999994</v>
      </c>
      <c r="C26" s="133">
        <f>'Sparebank 1 Fors.'!C7+'Sparebank 1 Fors.'!C22+'Sparebank 1 Fors.'!C36+'Sparebank 1 Fors.'!C47+'Sparebank 1 Fors.'!C66+'Sparebank 1 Fors.'!C134</f>
        <v>287093.53328999999</v>
      </c>
      <c r="D26" s="76">
        <f t="shared" si="0"/>
        <v>-0.3</v>
      </c>
      <c r="E26" s="328">
        <f t="shared" si="1"/>
        <v>1.3576417543705217</v>
      </c>
      <c r="F26" s="75"/>
      <c r="G26" s="133">
        <f>'Sparebank 1 Fors.'!B10+'Sparebank 1 Fors.'!B29+'Sparebank 1 Fors.'!B37+'Sparebank 1 Fors.'!B87+'Sparebank 1 Fors.'!B135</f>
        <v>23632770.244150002</v>
      </c>
      <c r="H26" s="133">
        <f>'Sparebank 1 Fors.'!C10+'Sparebank 1 Fors.'!C29+'Sparebank 1 Fors.'!C37+'Sparebank 1 Fors.'!C87+'Sparebank 1 Fors.'!C135</f>
        <v>26630201.299020004</v>
      </c>
      <c r="I26" s="76">
        <f t="shared" si="2"/>
        <v>12.7</v>
      </c>
      <c r="J26" s="328">
        <f t="shared" si="3"/>
        <v>1.7928801663168803</v>
      </c>
      <c r="K26" s="51"/>
      <c r="L26" s="171">
        <f t="shared" ca="1" si="5"/>
        <v>0</v>
      </c>
      <c r="M26" s="169">
        <f t="shared" ca="1" si="6"/>
        <v>0</v>
      </c>
      <c r="N26" s="171" t="e">
        <f ca="1">INDIRECT("'" &amp; $A25 &amp; "'!" &amp;#REF!)</f>
        <v>#REF!</v>
      </c>
      <c r="O26" s="169">
        <f t="shared" ca="1" si="7"/>
        <v>0</v>
      </c>
    </row>
    <row r="27" spans="1:21" ht="18.75" x14ac:dyDescent="0.3">
      <c r="A27" s="77" t="s">
        <v>109</v>
      </c>
      <c r="B27" s="133">
        <f>'Storebrand Livsforsikring'!B7+'Storebrand Livsforsikring'!B22+'Storebrand Livsforsikring'!B36+'Storebrand Livsforsikring'!B47+'Storebrand Livsforsikring'!B66+'Storebrand Livsforsikring'!B134</f>
        <v>2689958.4868299998</v>
      </c>
      <c r="C27" s="133">
        <f>'Storebrand Livsforsikring'!C7+'Storebrand Livsforsikring'!C22+'Storebrand Livsforsikring'!C36+'Storebrand Livsforsikring'!C47+'Storebrand Livsforsikring'!C66+'Storebrand Livsforsikring'!C134</f>
        <v>2940213.8751999997</v>
      </c>
      <c r="D27" s="76">
        <f t="shared" si="0"/>
        <v>9.3000000000000007</v>
      </c>
      <c r="E27" s="328">
        <f t="shared" si="1"/>
        <v>13.904030083878306</v>
      </c>
      <c r="F27" s="75"/>
      <c r="G27" s="133">
        <f>'Storebrand Livsforsikring'!B10+'Storebrand Livsforsikring'!B29+'Storebrand Livsforsikring'!B37+'Storebrand Livsforsikring'!B87+'Storebrand Livsforsikring'!B135</f>
        <v>215118616.59341002</v>
      </c>
      <c r="H27" s="133">
        <f>'Storebrand Livsforsikring'!C10+'Storebrand Livsforsikring'!C29+'Storebrand Livsforsikring'!C37+'Storebrand Livsforsikring'!C87+'Storebrand Livsforsikring'!C135</f>
        <v>221419656.01634002</v>
      </c>
      <c r="I27" s="76">
        <f t="shared" si="2"/>
        <v>2.9</v>
      </c>
      <c r="J27" s="328">
        <f t="shared" si="3"/>
        <v>14.907093838566329</v>
      </c>
      <c r="K27" s="51"/>
      <c r="L27" s="171" t="e">
        <f t="shared" ca="1" si="5"/>
        <v>#REF!</v>
      </c>
      <c r="M27" s="169" t="e">
        <f t="shared" ca="1" si="6"/>
        <v>#REF!</v>
      </c>
      <c r="N27" s="171" t="e">
        <f ca="1">INDIRECT("'" &amp; $A26 &amp; "'!" &amp;#REF!)</f>
        <v>#REF!</v>
      </c>
      <c r="O27" s="169" t="e">
        <f t="shared" ca="1" si="7"/>
        <v>#REF!</v>
      </c>
    </row>
    <row r="28" spans="1:21" ht="18.75" x14ac:dyDescent="0.3">
      <c r="A28" s="77" t="s">
        <v>72</v>
      </c>
      <c r="B28" s="133">
        <f>'Telenor Forsikring'!B7+'Telenor Forsikring'!B22+'Telenor Forsikring'!B36+'Telenor Forsikring'!B47+'Telenor Forsikring'!B66+'Telenor Forsikring'!B134</f>
        <v>2290</v>
      </c>
      <c r="C28" s="133">
        <f>'Telenor Forsikring'!C7+'Telenor Forsikring'!C22+'Telenor Forsikring'!C36+'Telenor Forsikring'!C47+'Telenor Forsikring'!C66+'Telenor Forsikring'!C134</f>
        <v>2001</v>
      </c>
      <c r="D28" s="76">
        <f t="shared" si="0"/>
        <v>-12.6</v>
      </c>
      <c r="E28" s="328">
        <f t="shared" si="1"/>
        <v>9.462564758472878E-3</v>
      </c>
      <c r="F28" s="75"/>
      <c r="G28" s="133"/>
      <c r="H28" s="133"/>
      <c r="I28" s="76"/>
      <c r="J28" s="328"/>
      <c r="K28" s="51"/>
      <c r="L28" s="171">
        <f t="shared" ca="1" si="5"/>
        <v>0</v>
      </c>
      <c r="M28" s="169">
        <f t="shared" ca="1" si="6"/>
        <v>0</v>
      </c>
      <c r="N28" s="171" t="e">
        <f ca="1">INDIRECT("'" &amp; $A27 &amp; "'!" &amp;#REF!)</f>
        <v>#REF!</v>
      </c>
      <c r="O28" s="169">
        <f t="shared" ca="1" si="7"/>
        <v>0</v>
      </c>
      <c r="R28" s="423"/>
    </row>
    <row r="29" spans="1:21" ht="18.75" x14ac:dyDescent="0.3">
      <c r="A29" s="77" t="s">
        <v>73</v>
      </c>
      <c r="B29" s="133">
        <f>'Tryg Forsikring'!B7+'Tryg Forsikring'!B22+'Tryg Forsikring'!B36+'Tryg Forsikring'!B47+'Tryg Forsikring'!B66+'Tryg Forsikring'!B134</f>
        <v>758059</v>
      </c>
      <c r="C29" s="133">
        <f>'Tryg Forsikring'!C7+'Tryg Forsikring'!C22+'Tryg Forsikring'!C36+'Tryg Forsikring'!C47+'Tryg Forsikring'!C66+'Tryg Forsikring'!C134</f>
        <v>772427</v>
      </c>
      <c r="D29" s="76">
        <f t="shared" si="0"/>
        <v>1.9</v>
      </c>
      <c r="E29" s="328">
        <f t="shared" si="1"/>
        <v>3.6527438824052623</v>
      </c>
      <c r="F29" s="133"/>
      <c r="G29" s="133"/>
      <c r="H29" s="133"/>
      <c r="I29" s="76"/>
      <c r="J29" s="328"/>
      <c r="K29" s="158"/>
      <c r="L29" s="171">
        <f t="shared" ca="1" si="5"/>
        <v>0</v>
      </c>
      <c r="M29" s="169">
        <f t="shared" ca="1" si="6"/>
        <v>0</v>
      </c>
      <c r="N29" s="171" t="e">
        <f ca="1">INDIRECT("'" &amp; $A28 &amp; "'!" &amp;#REF!)</f>
        <v>#REF!</v>
      </c>
      <c r="O29" s="169">
        <f t="shared" ca="1" si="7"/>
        <v>0</v>
      </c>
    </row>
    <row r="30" spans="1:21" ht="18.75" x14ac:dyDescent="0.3">
      <c r="A30" s="77" t="s">
        <v>110</v>
      </c>
      <c r="B30" s="133">
        <f>'WaterCircles F'!B7+'WaterCircles F'!B22+'WaterCircles F'!B36+'WaterCircles F'!B47+'WaterCircles F'!B66+'WaterCircles F'!B136</f>
        <v>1680</v>
      </c>
      <c r="C30" s="133">
        <f>'WaterCircles F'!C7+'WaterCircles F'!C22+'WaterCircles F'!C36+'WaterCircles F'!C47+'WaterCircles F'!C66+'WaterCircles F'!C136</f>
        <v>1584</v>
      </c>
      <c r="D30" s="76">
        <f t="shared" si="0"/>
        <v>-5.7</v>
      </c>
      <c r="E30" s="328">
        <f t="shared" si="1"/>
        <v>7.4906059857176603E-3</v>
      </c>
      <c r="F30" s="77"/>
      <c r="G30" s="75"/>
      <c r="H30" s="75"/>
      <c r="I30" s="76"/>
      <c r="J30" s="328"/>
      <c r="K30" s="158"/>
      <c r="L30" s="171">
        <f t="shared" ca="1" si="5"/>
        <v>0</v>
      </c>
      <c r="M30" s="169">
        <f t="shared" ca="1" si="6"/>
        <v>0</v>
      </c>
      <c r="N30" s="171" t="e">
        <f ca="1">INDIRECT("'" &amp; $A29 &amp; "'!" &amp;#REF!)</f>
        <v>#REF!</v>
      </c>
      <c r="O30" s="169">
        <f t="shared" ca="1" si="7"/>
        <v>0</v>
      </c>
    </row>
    <row r="31" spans="1:21" ht="18.75" x14ac:dyDescent="0.3">
      <c r="A31" s="77" t="s">
        <v>111</v>
      </c>
      <c r="B31" s="133">
        <f>'Youplus Livsforsikring'!B7+'Youplus Livsforsikring'!B22+'Youplus Livsforsikring'!B36+'Youplus Livsforsikring'!B47+'Youplus Livsforsikring'!B66+'Youplus Livsforsikring'!B134</f>
        <v>43878</v>
      </c>
      <c r="C31" s="133">
        <f>'Youplus Livsforsikring'!C7+'Youplus Livsforsikring'!C22+'Youplus Livsforsikring'!C36+'Youplus Livsforsikring'!C47+'Youplus Livsforsikring'!C66+'Youplus Livsforsikring'!C134</f>
        <v>16577</v>
      </c>
      <c r="D31" s="76">
        <f>IF(B31=0, "    ---- ", IF(ABS(ROUND(100/B31*C31-100,1))&lt;999,ROUND(100/B31*C31-100,1),IF(ROUND(100/B31*C31-100,1)&gt;999,999,-999)))</f>
        <v>-62.2</v>
      </c>
      <c r="E31" s="328">
        <f t="shared" si="1"/>
        <v>7.8391272364420242E-2</v>
      </c>
      <c r="F31" s="75"/>
      <c r="G31" s="133">
        <f>'Youplus Livsforsikring'!B10+'Youplus Livsforsikring'!B29+'Youplus Livsforsikring'!B37+'Youplus Livsforsikring'!B87+'Youplus Livsforsikring'!B135</f>
        <v>69378</v>
      </c>
      <c r="H31" s="133">
        <f>'Youplus Livsforsikring'!C10+'Youplus Livsforsikring'!C29+'Youplus Livsforsikring'!C37+'Youplus Livsforsikring'!C87+'Youplus Livsforsikring'!C135</f>
        <v>94134</v>
      </c>
      <c r="I31" s="76">
        <f>IF(G31=0, "    ---- ", IF(ABS(ROUND(100/G31*H31-100,1))&lt;999,ROUND(100/G31*H31-100,1),IF(ROUND(100/G31*H31-100,1)&gt;999,999,-999)))</f>
        <v>35.700000000000003</v>
      </c>
      <c r="J31" s="328">
        <f t="shared" si="3"/>
        <v>6.3375781384830921E-3</v>
      </c>
      <c r="K31" s="51"/>
      <c r="L31" s="171">
        <f ca="1">INDIRECT("'" &amp; $A17 &amp; "'!" &amp; $P$7)</f>
        <v>0</v>
      </c>
      <c r="M31" s="169">
        <f ca="1">INDIRECT("'" &amp; $A17 &amp; "'!" &amp; $P$8)</f>
        <v>0</v>
      </c>
      <c r="N31" s="171" t="e">
        <f ca="1">INDIRECT("'" &amp; $A17 &amp; "'!" &amp;#REF!)</f>
        <v>#REF!</v>
      </c>
      <c r="O31" s="169">
        <f ca="1">INDIRECT("'" &amp; $A17 &amp; "'!" &amp; $P$9)</f>
        <v>0</v>
      </c>
    </row>
    <row r="32" spans="1:21" s="80" customFormat="1" ht="18.75" x14ac:dyDescent="0.3">
      <c r="A32" s="103" t="s">
        <v>112</v>
      </c>
      <c r="B32" s="63">
        <f>SUM(B9:B31)</f>
        <v>19757371.174460743</v>
      </c>
      <c r="C32" s="189">
        <f>SUM(C9:C31)</f>
        <v>21146486.719768908</v>
      </c>
      <c r="D32" s="76">
        <f t="shared" ref="D32" si="12">IF(B32=0, "    ---- ", IF(ABS(ROUND(100/B32*C32-100,1))&lt;999,ROUND(100/B32*C32-100,1),IF(ROUND(100/B32*C32-100,1)&gt;999,999,-999)))</f>
        <v>7</v>
      </c>
      <c r="E32" s="329">
        <f>SUM(E9:E31)</f>
        <v>100.00000000000004</v>
      </c>
      <c r="F32" s="78"/>
      <c r="G32" s="63">
        <f>SUM(G9:G31)</f>
        <v>1386062101.0420818</v>
      </c>
      <c r="H32" s="63">
        <f>SUM(H9:H31)</f>
        <v>1485330798.9750657</v>
      </c>
      <c r="I32" s="76">
        <f t="shared" ref="I32" si="13">IF(G32=0, "    ---- ", IF(ABS(ROUND(100/G32*H32-100,1))&lt;999,ROUND(100/G32*H32-100,1),IF(ROUND(100/G32*H32-100,1)&gt;999,999,-999)))</f>
        <v>7.2</v>
      </c>
      <c r="J32" s="329">
        <f>SUM(J9:J31)</f>
        <v>100</v>
      </c>
      <c r="K32" s="156"/>
      <c r="L32" s="171" t="e">
        <f ca="1">SUM(L9:L30)</f>
        <v>#REF!</v>
      </c>
      <c r="M32" s="169" t="e">
        <f ca="1">SUM(M9:M30)</f>
        <v>#REF!</v>
      </c>
      <c r="N32" s="171" t="e">
        <f ca="1">SUM(N9:N30)</f>
        <v>#REF!</v>
      </c>
      <c r="O32" s="169" t="e">
        <f ca="1">SUM(O9:O30)</f>
        <v>#REF!</v>
      </c>
      <c r="U32" s="156"/>
    </row>
    <row r="33" spans="1:20" ht="18.75" x14ac:dyDescent="0.3">
      <c r="A33" s="58"/>
      <c r="B33" s="133"/>
      <c r="C33" s="51"/>
      <c r="D33" s="76"/>
      <c r="E33" s="328"/>
      <c r="F33" s="75"/>
      <c r="G33" s="133"/>
      <c r="H33" s="75"/>
      <c r="I33" s="76"/>
      <c r="J33" s="328"/>
      <c r="K33" s="158"/>
      <c r="L33" s="168" t="s">
        <v>69</v>
      </c>
      <c r="M33" s="169"/>
      <c r="N33" s="171"/>
      <c r="O33" s="169"/>
    </row>
    <row r="34" spans="1:20" ht="18.75" x14ac:dyDescent="0.3">
      <c r="A34" s="73" t="s">
        <v>69</v>
      </c>
      <c r="B34" s="133"/>
      <c r="C34" s="51"/>
      <c r="D34" s="76"/>
      <c r="E34" s="328"/>
      <c r="F34" s="75"/>
      <c r="G34" s="133"/>
      <c r="H34" s="75"/>
      <c r="I34" s="76"/>
      <c r="J34" s="328"/>
      <c r="K34" s="158"/>
      <c r="L34" s="172">
        <v>2015</v>
      </c>
      <c r="M34" s="173">
        <v>2016</v>
      </c>
      <c r="N34" s="172">
        <v>2015</v>
      </c>
      <c r="O34" s="173">
        <v>2016</v>
      </c>
      <c r="P34" s="59" t="s">
        <v>113</v>
      </c>
    </row>
    <row r="35" spans="1:20" ht="18.75" x14ac:dyDescent="0.3">
      <c r="A35" s="58" t="s">
        <v>91</v>
      </c>
      <c r="B35" s="98">
        <f>'DNB Livsforsikring'!F7+'DNB Livsforsikring'!F22+'DNB Livsforsikring'!F66+'DNB Livsforsikring'!F134</f>
        <v>4416210.9040000001</v>
      </c>
      <c r="C35" s="98">
        <f>'DNB Livsforsikring'!G7+'DNB Livsforsikring'!G22+'DNB Livsforsikring'!G66+'DNB Livsforsikring'!G134</f>
        <v>4595185.1543399999</v>
      </c>
      <c r="D35" s="76">
        <f t="shared" ref="D35:D41" si="14">IF(B35=0, "    ---- ", IF(ABS(ROUND(100/B35*C35-100,1))&lt;999,ROUND(100/B35*C35-100,1),IF(ROUND(100/B35*C35-100,1)&gt;999,999,-999)))</f>
        <v>4.0999999999999996</v>
      </c>
      <c r="E35" s="328">
        <f t="shared" ref="E35:E40" si="15">100/C$41*C35</f>
        <v>23.619513314481384</v>
      </c>
      <c r="F35" s="75"/>
      <c r="G35" s="133">
        <f>'DNB Livsforsikring'!F10+'DNB Livsforsikring'!F29+'DNB Livsforsikring'!F87+'DNB Livsforsikring'!F135</f>
        <v>203568699.91183773</v>
      </c>
      <c r="H35" s="133">
        <f>'DNB Livsforsikring'!G10+'DNB Livsforsikring'!G29+'DNB Livsforsikring'!G87+'DNB Livsforsikring'!G135</f>
        <v>245957648.95815971</v>
      </c>
      <c r="I35" s="76">
        <f t="shared" ref="I35:I41" si="16">IF(G35=0, "    ---- ", IF(ABS(ROUND(100/G35*H35-100,1))&lt;999,ROUND(100/G35*H35-100,1),IF(ROUND(100/G35*H35-100,1)&gt;999,999,-999)))</f>
        <v>20.8</v>
      </c>
      <c r="J35" s="328">
        <f t="shared" ref="J35:J40" si="17">100/H$41*H35</f>
        <v>26.276842992958663</v>
      </c>
      <c r="K35" s="59" t="s">
        <v>114</v>
      </c>
      <c r="L35" s="171">
        <f t="shared" ref="L35:L40" ca="1" si="18">INDIRECT("'" &amp; $A35 &amp; "'!" &amp; $P$34)</f>
        <v>0</v>
      </c>
      <c r="M35" s="169" t="e">
        <f ca="1">INDIRECT("'" &amp; $A35 &amp; "'!" &amp;#REF!)</f>
        <v>#REF!</v>
      </c>
      <c r="N35" s="171">
        <f t="shared" ref="N35:N40" ca="1" si="19">INDIRECT("'" &amp; $A35 &amp; "'!" &amp; $P$35)</f>
        <v>0</v>
      </c>
      <c r="O35" s="169" t="e">
        <f ca="1">INDIRECT("'"&amp;$A35&amp;"'!"&amp;#REF!)</f>
        <v>#REF!</v>
      </c>
      <c r="P35" s="59" t="s">
        <v>115</v>
      </c>
    </row>
    <row r="36" spans="1:20" ht="18.75" x14ac:dyDescent="0.3">
      <c r="A36" s="58" t="s">
        <v>101</v>
      </c>
      <c r="B36" s="98">
        <f>'Gjensidige Pensjon'!F7+'Gjensidige Pensjon'!F22+'Gjensidige Pensjon'!F66+'Gjensidige Pensjon'!F134</f>
        <v>1741309</v>
      </c>
      <c r="C36" s="98">
        <f>'Gjensidige Pensjon'!G7+'Gjensidige Pensjon'!G22+'Gjensidige Pensjon'!G66+'Gjensidige Pensjon'!G134</f>
        <v>1912502</v>
      </c>
      <c r="D36" s="76">
        <f t="shared" si="14"/>
        <v>9.8000000000000007</v>
      </c>
      <c r="E36" s="328">
        <f t="shared" si="15"/>
        <v>9.8303691659319696</v>
      </c>
      <c r="F36" s="75"/>
      <c r="G36" s="133">
        <f>'Gjensidige Pensjon'!F10+'Gjensidige Pensjon'!F29+'Gjensidige Pensjon'!F87+'Gjensidige Pensjon'!F135</f>
        <v>76968991</v>
      </c>
      <c r="H36" s="133">
        <f>'Gjensidige Pensjon'!G10+'Gjensidige Pensjon'!G29+'Gjensidige Pensjon'!G87+'Gjensidige Pensjon'!G135</f>
        <v>91000808</v>
      </c>
      <c r="I36" s="76">
        <f t="shared" si="16"/>
        <v>18.2</v>
      </c>
      <c r="J36" s="328">
        <f t="shared" si="17"/>
        <v>9.722055622897706</v>
      </c>
      <c r="K36" s="59" t="s">
        <v>116</v>
      </c>
      <c r="L36" s="171">
        <f t="shared" ca="1" si="18"/>
        <v>0</v>
      </c>
      <c r="M36" s="169" t="e">
        <f ca="1">INDIRECT("'" &amp; $A36 &amp; "'!" &amp;#REF!)</f>
        <v>#REF!</v>
      </c>
      <c r="N36" s="171">
        <f t="shared" ca="1" si="19"/>
        <v>0</v>
      </c>
      <c r="O36" s="169" t="e">
        <f ca="1">INDIRECT("'"&amp;$A36&amp;"'!"&amp;#REF!)</f>
        <v>#REF!</v>
      </c>
    </row>
    <row r="37" spans="1:20" ht="18.75" x14ac:dyDescent="0.3">
      <c r="A37" s="58" t="s">
        <v>54</v>
      </c>
      <c r="B37" s="98">
        <f>KLP!F7+KLP!F22+KLP!F66+KLP!F134</f>
        <v>20929.275000000001</v>
      </c>
      <c r="C37" s="98">
        <f>KLP!G7+KLP!G22+KLP!G66+KLP!G134</f>
        <v>30212.771000000001</v>
      </c>
      <c r="D37" s="76">
        <f t="shared" si="14"/>
        <v>44.4</v>
      </c>
      <c r="E37" s="328">
        <f t="shared" si="15"/>
        <v>0.15529536306668626</v>
      </c>
      <c r="F37" s="75"/>
      <c r="G37" s="133">
        <f>KLP!F10+KLP!F29+KLP!F87+KLP!F135</f>
        <v>2888738.0707899998</v>
      </c>
      <c r="H37" s="133">
        <f>KLP!G10+KLP!G29+KLP!G87+KLP!G135</f>
        <v>2410575.5415099999</v>
      </c>
      <c r="I37" s="76">
        <f t="shared" si="16"/>
        <v>-16.600000000000001</v>
      </c>
      <c r="J37" s="328">
        <f t="shared" si="17"/>
        <v>0.25753342209617497</v>
      </c>
      <c r="K37" s="59" t="s">
        <v>117</v>
      </c>
      <c r="L37" s="171">
        <f t="shared" ca="1" si="18"/>
        <v>0</v>
      </c>
      <c r="M37" s="169" t="e">
        <f ca="1">INDIRECT("'" &amp; $A37 &amp; "'!" &amp;#REF!)</f>
        <v>#REF!</v>
      </c>
      <c r="N37" s="171">
        <f t="shared" ca="1" si="19"/>
        <v>0</v>
      </c>
      <c r="O37" s="169" t="e">
        <f ca="1">INDIRECT("'"&amp;$A37&amp;"'!"&amp;#REF!)</f>
        <v>#REF!</v>
      </c>
    </row>
    <row r="38" spans="1:20" ht="18.75" x14ac:dyDescent="0.3">
      <c r="A38" s="58" t="s">
        <v>106</v>
      </c>
      <c r="B38" s="98">
        <f>'Nordea Liv '!F7+'Nordea Liv '!F22+'Nordea Liv '!F66+'Nordea Liv '!F134</f>
        <v>4781667.1471800003</v>
      </c>
      <c r="C38" s="98">
        <f>'Nordea Liv '!G7+'Nordea Liv '!G22+'Nordea Liv '!G66+'Nordea Liv '!G134</f>
        <v>5869756.8764300002</v>
      </c>
      <c r="D38" s="76">
        <f t="shared" si="14"/>
        <v>22.8</v>
      </c>
      <c r="E38" s="328">
        <f t="shared" si="15"/>
        <v>30.170884532185916</v>
      </c>
      <c r="F38" s="75"/>
      <c r="G38" s="133">
        <f>'Nordea Liv '!F10+'Nordea Liv '!F29+'Nordea Liv '!F87+'Nordea Liv '!F135</f>
        <v>177451030</v>
      </c>
      <c r="H38" s="133">
        <f>'Nordea Liv '!G10+'Nordea Liv '!G29+'Nordea Liv '!G87+'Nordea Liv '!G135</f>
        <v>217451090</v>
      </c>
      <c r="I38" s="76">
        <f t="shared" si="16"/>
        <v>22.5</v>
      </c>
      <c r="J38" s="328">
        <f t="shared" si="17"/>
        <v>23.231349684716371</v>
      </c>
      <c r="K38" s="158"/>
      <c r="L38" s="171">
        <f t="shared" ca="1" si="18"/>
        <v>0</v>
      </c>
      <c r="M38" s="169" t="e">
        <f ca="1">INDIRECT("'" &amp; $A38 &amp; "'!" &amp;#REF!)</f>
        <v>#REF!</v>
      </c>
      <c r="N38" s="171">
        <f t="shared" ca="1" si="19"/>
        <v>0</v>
      </c>
      <c r="O38" s="169" t="e">
        <f ca="1">INDIRECT("'"&amp;$A38&amp;"'!"&amp;#REF!)</f>
        <v>#REF!</v>
      </c>
    </row>
    <row r="39" spans="1:20" ht="18.75" x14ac:dyDescent="0.3">
      <c r="A39" s="58" t="s">
        <v>63</v>
      </c>
      <c r="B39" s="98">
        <f>'Sparebank 1 Fors.'!F7+'Sparebank 1 Fors.'!F22+'Sparebank 1 Fors.'!F66+'Sparebank 1 Fors.'!F134</f>
        <v>2096094.96572</v>
      </c>
      <c r="C39" s="98">
        <f>'Sparebank 1 Fors.'!G7+'Sparebank 1 Fors.'!G22+'Sparebank 1 Fors.'!G66+'Sparebank 1 Fors.'!G134</f>
        <v>2204043.2582200002</v>
      </c>
      <c r="D39" s="76">
        <f t="shared" si="14"/>
        <v>5.0999999999999996</v>
      </c>
      <c r="E39" s="328">
        <f t="shared" si="15"/>
        <v>11.328907831723118</v>
      </c>
      <c r="F39" s="75"/>
      <c r="G39" s="133">
        <f>'Sparebank 1 Fors.'!F10+'Sparebank 1 Fors.'!F29+'Sparebank 1 Fors.'!F87+'Sparebank 1 Fors.'!F135</f>
        <v>85714629.687940001</v>
      </c>
      <c r="H39" s="133">
        <f>'Sparebank 1 Fors.'!G10+'Sparebank 1 Fors.'!G29+'Sparebank 1 Fors.'!G87+'Sparebank 1 Fors.'!G135</f>
        <v>96535673.192670003</v>
      </c>
      <c r="I39" s="76">
        <f t="shared" si="16"/>
        <v>12.6</v>
      </c>
      <c r="J39" s="328">
        <f t="shared" si="17"/>
        <v>10.313371990862024</v>
      </c>
      <c r="K39" s="51"/>
      <c r="L39" s="171" t="e">
        <f t="shared" ca="1" si="18"/>
        <v>#REF!</v>
      </c>
      <c r="M39" s="169" t="e">
        <f ca="1">INDIRECT("'" &amp; $A39 &amp; "'!" &amp;#REF!)</f>
        <v>#REF!</v>
      </c>
      <c r="N39" s="171" t="e">
        <f t="shared" ca="1" si="19"/>
        <v>#REF!</v>
      </c>
      <c r="O39" s="169" t="e">
        <f ca="1">INDIRECT("'"&amp;$A39&amp;"'!"&amp;#REF!)</f>
        <v>#REF!</v>
      </c>
    </row>
    <row r="40" spans="1:20" ht="18.75" x14ac:dyDescent="0.3">
      <c r="A40" s="58" t="s">
        <v>109</v>
      </c>
      <c r="B40" s="98">
        <f>'Storebrand Livsforsikring'!F7+'Storebrand Livsforsikring'!F22+'Storebrand Livsforsikring'!F66+'Storebrand Livsforsikring'!F134</f>
        <v>4815430.6112099998</v>
      </c>
      <c r="C40" s="98">
        <f>'Storebrand Livsforsikring'!G7+'Storebrand Livsforsikring'!G22+'Storebrand Livsforsikring'!G66+'Storebrand Livsforsikring'!G134</f>
        <v>4843337.3624900002</v>
      </c>
      <c r="D40" s="76">
        <f t="shared" si="14"/>
        <v>0.6</v>
      </c>
      <c r="E40" s="328">
        <f t="shared" si="15"/>
        <v>24.89502979261092</v>
      </c>
      <c r="F40" s="75"/>
      <c r="G40" s="133">
        <f>'Storebrand Livsforsikring'!F10+'Storebrand Livsforsikring'!F29+'Storebrand Livsforsikring'!F87+'Storebrand Livsforsikring'!F135</f>
        <v>244753007.38714001</v>
      </c>
      <c r="H40" s="133">
        <f>'Storebrand Livsforsikring'!G10+'Storebrand Livsforsikring'!G29+'Storebrand Livsforsikring'!G87+'Storebrand Livsforsikring'!G135</f>
        <v>282668554.81304002</v>
      </c>
      <c r="I40" s="76">
        <f t="shared" si="16"/>
        <v>15.5</v>
      </c>
      <c r="J40" s="328">
        <f t="shared" si="17"/>
        <v>30.198846286469063</v>
      </c>
      <c r="K40" s="51"/>
      <c r="L40" s="171">
        <f t="shared" ca="1" si="18"/>
        <v>0</v>
      </c>
      <c r="M40" s="169" t="e">
        <f ca="1">INDIRECT("'" &amp; $A40 &amp; "'!" &amp;#REF!)</f>
        <v>#REF!</v>
      </c>
      <c r="N40" s="171">
        <f t="shared" ca="1" si="19"/>
        <v>0</v>
      </c>
      <c r="O40" s="169" t="e">
        <f ca="1">INDIRECT("'"&amp;$A40&amp;"'!"&amp;#REF!)</f>
        <v>#REF!</v>
      </c>
    </row>
    <row r="41" spans="1:20" s="80" customFormat="1" ht="18.75" x14ac:dyDescent="0.3">
      <c r="A41" s="73" t="s">
        <v>118</v>
      </c>
      <c r="B41" s="189">
        <f>SUM(B35:B40)</f>
        <v>17871641.903109998</v>
      </c>
      <c r="C41" s="189">
        <f>SUM(C35:C40)</f>
        <v>19455037.422480002</v>
      </c>
      <c r="D41" s="76">
        <f t="shared" si="14"/>
        <v>8.9</v>
      </c>
      <c r="E41" s="329">
        <f>SUM(E35:E40)</f>
        <v>100</v>
      </c>
      <c r="F41" s="78"/>
      <c r="G41" s="63">
        <f>SUM(G35:G40)</f>
        <v>791345096.05770779</v>
      </c>
      <c r="H41" s="63">
        <f>SUM(H35:H40)</f>
        <v>936024350.50537968</v>
      </c>
      <c r="I41" s="76">
        <f t="shared" si="16"/>
        <v>18.3</v>
      </c>
      <c r="J41" s="329">
        <f>SUM(J35:J40)</f>
        <v>100</v>
      </c>
      <c r="K41" s="51"/>
      <c r="L41" s="171" t="e">
        <f ca="1">SUM(L35:L40)</f>
        <v>#REF!</v>
      </c>
      <c r="M41" s="169" t="e">
        <f ca="1">SUM(M35:M40)</f>
        <v>#REF!</v>
      </c>
      <c r="N41" s="171" t="e">
        <f ca="1">SUM(N35:N40)</f>
        <v>#REF!</v>
      </c>
      <c r="O41" s="169" t="e">
        <f ca="1">SUM(O35:O40)</f>
        <v>#REF!</v>
      </c>
    </row>
    <row r="42" spans="1:20" ht="18.75" x14ac:dyDescent="0.3">
      <c r="A42" s="73"/>
      <c r="B42" s="98"/>
      <c r="C42" s="78"/>
      <c r="D42" s="79"/>
      <c r="E42" s="328"/>
      <c r="F42" s="78"/>
      <c r="G42" s="63"/>
      <c r="H42" s="78"/>
      <c r="I42" s="79"/>
      <c r="J42" s="329"/>
      <c r="K42" s="51"/>
      <c r="L42" s="168" t="s">
        <v>119</v>
      </c>
      <c r="M42" s="174"/>
      <c r="N42" s="175"/>
      <c r="O42" s="174"/>
    </row>
    <row r="43" spans="1:20" ht="18.75" x14ac:dyDescent="0.3">
      <c r="A43" s="58"/>
      <c r="B43" s="98"/>
      <c r="C43" s="75"/>
      <c r="D43" s="76"/>
      <c r="E43" s="328"/>
      <c r="F43" s="75"/>
      <c r="G43" s="133"/>
      <c r="H43" s="75"/>
      <c r="I43" s="76"/>
      <c r="J43" s="328"/>
      <c r="K43" s="51"/>
      <c r="L43" s="172">
        <v>2015</v>
      </c>
      <c r="M43" s="173">
        <v>2016</v>
      </c>
      <c r="N43" s="172">
        <v>2015</v>
      </c>
      <c r="O43" s="173">
        <v>2016</v>
      </c>
    </row>
    <row r="44" spans="1:20" ht="18.75" x14ac:dyDescent="0.3">
      <c r="A44" s="73" t="s">
        <v>119</v>
      </c>
      <c r="B44" s="98"/>
      <c r="C44" s="75"/>
      <c r="D44" s="76"/>
      <c r="E44" s="328"/>
      <c r="F44" s="75"/>
      <c r="G44" s="133"/>
      <c r="H44" s="75"/>
      <c r="I44" s="76"/>
      <c r="J44" s="328"/>
      <c r="K44" s="51"/>
      <c r="L44" s="171"/>
      <c r="M44" s="169"/>
      <c r="N44" s="171"/>
      <c r="O44" s="169"/>
      <c r="P44" s="158"/>
      <c r="Q44" s="158"/>
      <c r="R44" s="158"/>
      <c r="S44" s="136"/>
      <c r="T44" s="51"/>
    </row>
    <row r="45" spans="1:20" ht="18.75" x14ac:dyDescent="0.3">
      <c r="A45" s="58" t="s">
        <v>91</v>
      </c>
      <c r="B45" s="98">
        <f>B9+B35</f>
        <v>5665898.9040000001</v>
      </c>
      <c r="C45" s="75">
        <f>+C9+C35</f>
        <v>5846219.3923000004</v>
      </c>
      <c r="D45" s="76">
        <f t="shared" ref="D45:D66" si="20">IF(B45=0, "    ---- ", IF(ABS(ROUND(100/B45*C45-100,1))&lt;999,ROUND(100/B45*C45-100,1),IF(ROUND(100/B45*C45-100,1)&gt;999,999,-999)))</f>
        <v>3.2</v>
      </c>
      <c r="E45" s="328">
        <f t="shared" ref="E45:E65" si="21">100/C$68*C45</f>
        <v>14.399014607967814</v>
      </c>
      <c r="F45" s="75"/>
      <c r="G45" s="133">
        <f>+G9+G35</f>
        <v>383253102.63428771</v>
      </c>
      <c r="H45" s="133">
        <f>+H9+H35</f>
        <v>424475402.41507447</v>
      </c>
      <c r="I45" s="76">
        <f t="shared" ref="I45:I63" si="22">IF(G45=0, "    ---- ", IF(ABS(ROUND(100/G45*H45-100,1))&lt;999,ROUND(100/G45*H45-100,1),IF(ROUND(100/G45*H45-100,1)&gt;999,999,-999)))</f>
        <v>10.8</v>
      </c>
      <c r="J45" s="328">
        <f t="shared" ref="J45:J63" si="23">100/H$68*H45</f>
        <v>17.530489176945192</v>
      </c>
      <c r="K45" s="51"/>
      <c r="L45" s="171" t="e">
        <f ca="1">#REF!+L35</f>
        <v>#REF!</v>
      </c>
      <c r="M45" s="169" t="e">
        <f ca="1">+#REF!+M35</f>
        <v>#REF!</v>
      </c>
      <c r="N45" s="171" t="e">
        <f ca="1">+#REF!+N35</f>
        <v>#REF!</v>
      </c>
      <c r="O45" s="169" t="e">
        <f ca="1">+#REF!+O35</f>
        <v>#REF!</v>
      </c>
      <c r="P45" s="158"/>
      <c r="Q45" s="158"/>
      <c r="R45" s="158"/>
      <c r="S45" s="136"/>
      <c r="T45" s="51"/>
    </row>
    <row r="46" spans="1:20" ht="18.75" x14ac:dyDescent="0.3">
      <c r="A46" s="58" t="s">
        <v>48</v>
      </c>
      <c r="B46" s="98">
        <f t="shared" ref="B46:C49" si="24">B10</f>
        <v>30761</v>
      </c>
      <c r="C46" s="98">
        <f t="shared" si="24"/>
        <v>46204</v>
      </c>
      <c r="D46" s="76">
        <f t="shared" ref="D46" si="25">IF(B46=0, "    ---- ", IF(ABS(ROUND(100/B46*C46-100,1))&lt;999,ROUND(100/B46*C46-100,1),IF(ROUND(100/B46*C46-100,1)&gt;999,999,-999)))</f>
        <v>50.2</v>
      </c>
      <c r="E46" s="328">
        <f t="shared" si="21"/>
        <v>0.11379868361129156</v>
      </c>
      <c r="F46" s="75"/>
      <c r="G46" s="133"/>
      <c r="H46" s="133"/>
      <c r="I46" s="76"/>
      <c r="J46" s="328"/>
      <c r="K46" s="51"/>
      <c r="L46" s="171"/>
      <c r="M46" s="169"/>
      <c r="N46" s="171"/>
      <c r="O46" s="169"/>
      <c r="P46" s="158"/>
      <c r="Q46" s="158"/>
      <c r="R46" s="158"/>
      <c r="S46" s="136"/>
      <c r="T46" s="51"/>
    </row>
    <row r="47" spans="1:20" ht="18.75" x14ac:dyDescent="0.3">
      <c r="A47" s="58" t="s">
        <v>409</v>
      </c>
      <c r="B47" s="98">
        <f t="shared" si="24"/>
        <v>1271137.3383900002</v>
      </c>
      <c r="C47" s="98">
        <f t="shared" si="24"/>
        <v>1220218.7109099999</v>
      </c>
      <c r="D47" s="76">
        <f t="shared" ref="D47" si="26">IF(B47=0, "    ---- ", IF(ABS(ROUND(100/B47*C47-100,1))&lt;999,ROUND(100/B47*C47-100,1),IF(ROUND(100/B47*C47-100,1)&gt;999,999,-999)))</f>
        <v>-4</v>
      </c>
      <c r="E47" s="328">
        <f t="shared" si="21"/>
        <v>3.0053519829327571</v>
      </c>
      <c r="F47" s="75"/>
      <c r="G47" s="133">
        <f>G11</f>
        <v>6000495.18102</v>
      </c>
      <c r="H47" s="133">
        <f>H11</f>
        <v>6592758.1898499997</v>
      </c>
      <c r="I47" s="76">
        <f t="shared" ref="I47" si="27">IF(G47=0, "    ---- ", IF(ABS(ROUND(100/G47*H47-100,1))&lt;999,ROUND(100/G47*H47-100,1),IF(ROUND(100/G47*H47-100,1)&gt;999,999,-999)))</f>
        <v>9.9</v>
      </c>
      <c r="J47" s="328">
        <f t="shared" si="23"/>
        <v>0.27227555574673223</v>
      </c>
      <c r="K47" s="51"/>
      <c r="L47" s="171"/>
      <c r="M47" s="169"/>
      <c r="N47" s="171"/>
      <c r="O47" s="169"/>
      <c r="P47" s="158"/>
      <c r="Q47" s="158"/>
      <c r="R47" s="158"/>
      <c r="S47" s="136"/>
      <c r="T47" s="51"/>
    </row>
    <row r="48" spans="1:20" ht="18.75" x14ac:dyDescent="0.3">
      <c r="A48" s="58" t="s">
        <v>96</v>
      </c>
      <c r="B48" s="98">
        <f t="shared" si="24"/>
        <v>713825</v>
      </c>
      <c r="C48" s="75">
        <f t="shared" si="24"/>
        <v>787243</v>
      </c>
      <c r="D48" s="76">
        <f t="shared" si="20"/>
        <v>10.3</v>
      </c>
      <c r="E48" s="328">
        <f t="shared" si="21"/>
        <v>1.9389493784564971</v>
      </c>
      <c r="F48" s="75"/>
      <c r="G48" s="133">
        <f>G12</f>
        <v>2437488</v>
      </c>
      <c r="H48" s="133">
        <f>H12</f>
        <v>2794309</v>
      </c>
      <c r="I48" s="76">
        <f t="shared" si="22"/>
        <v>14.6</v>
      </c>
      <c r="J48" s="328">
        <f t="shared" si="23"/>
        <v>0.11540269095178296</v>
      </c>
      <c r="K48" s="51"/>
      <c r="L48" s="171" t="e">
        <f ca="1">L13+#REF!</f>
        <v>#REF!</v>
      </c>
      <c r="M48" s="169" t="e">
        <f ca="1">M13+#REF!</f>
        <v>#REF!</v>
      </c>
      <c r="N48" s="171" t="e">
        <f ca="1">N13+#REF!</f>
        <v>#REF!</v>
      </c>
      <c r="O48" s="169" t="e">
        <f ca="1">O13+#REF!</f>
        <v>#REF!</v>
      </c>
      <c r="P48" s="158"/>
      <c r="Q48" s="158"/>
      <c r="R48" s="158"/>
      <c r="S48" s="136"/>
      <c r="T48" s="51"/>
    </row>
    <row r="49" spans="1:20" ht="18.75" x14ac:dyDescent="0.3">
      <c r="A49" s="58" t="s">
        <v>97</v>
      </c>
      <c r="B49" s="98">
        <f t="shared" si="24"/>
        <v>287.33699999999999</v>
      </c>
      <c r="C49" s="75">
        <f t="shared" si="24"/>
        <v>25.518999999999998</v>
      </c>
      <c r="D49" s="76">
        <f t="shared" si="20"/>
        <v>-91.1</v>
      </c>
      <c r="E49" s="328">
        <f t="shared" si="21"/>
        <v>6.2852320298600753E-5</v>
      </c>
      <c r="F49" s="75"/>
      <c r="G49" s="133"/>
      <c r="H49" s="133"/>
      <c r="I49" s="76"/>
      <c r="J49" s="328"/>
      <c r="K49" s="51"/>
      <c r="L49" s="171">
        <f ca="1">L14</f>
        <v>0</v>
      </c>
      <c r="M49" s="169">
        <f ca="1">M14</f>
        <v>0</v>
      </c>
      <c r="N49" s="171" t="e">
        <f ca="1">N14</f>
        <v>#REF!</v>
      </c>
      <c r="O49" s="169">
        <f ca="1">O14</f>
        <v>0</v>
      </c>
      <c r="P49" s="158"/>
      <c r="Q49" s="158"/>
      <c r="R49" s="158"/>
      <c r="S49" s="136"/>
      <c r="T49" s="51"/>
    </row>
    <row r="50" spans="1:20" ht="18.75" x14ac:dyDescent="0.3">
      <c r="A50" s="58" t="s">
        <v>99</v>
      </c>
      <c r="B50" s="75">
        <f>B14</f>
        <v>1611395.2398000001</v>
      </c>
      <c r="C50" s="75">
        <f>+C14</f>
        <v>1562214.5224200001</v>
      </c>
      <c r="D50" s="76">
        <f t="shared" si="20"/>
        <v>-3.1</v>
      </c>
      <c r="E50" s="328">
        <f t="shared" si="21"/>
        <v>3.847674577305829</v>
      </c>
      <c r="F50" s="75"/>
      <c r="G50" s="133"/>
      <c r="H50" s="133"/>
      <c r="I50" s="76"/>
      <c r="J50" s="328"/>
      <c r="K50" s="51"/>
      <c r="L50" s="171">
        <f ca="1">L15</f>
        <v>0</v>
      </c>
      <c r="M50" s="169">
        <f ca="1">+M15</f>
        <v>0</v>
      </c>
      <c r="N50" s="171" t="e">
        <f ca="1">+N15</f>
        <v>#REF!</v>
      </c>
      <c r="O50" s="169">
        <f ca="1">+O15</f>
        <v>0</v>
      </c>
      <c r="P50" s="158"/>
      <c r="Q50" s="158"/>
      <c r="R50" s="158"/>
      <c r="S50" s="136"/>
      <c r="T50" s="51"/>
    </row>
    <row r="51" spans="1:20" ht="18.75" x14ac:dyDescent="0.3">
      <c r="A51" s="58" t="s">
        <v>101</v>
      </c>
      <c r="B51" s="75">
        <f>B15+B36</f>
        <v>2102663</v>
      </c>
      <c r="C51" s="75">
        <f>C15+C36</f>
        <v>2298449</v>
      </c>
      <c r="D51" s="76">
        <f t="shared" si="20"/>
        <v>9.3000000000000007</v>
      </c>
      <c r="E51" s="328">
        <f t="shared" si="21"/>
        <v>5.660991917316454</v>
      </c>
      <c r="F51" s="75"/>
      <c r="G51" s="133">
        <f>G15+G36</f>
        <v>88248020</v>
      </c>
      <c r="H51" s="133">
        <f>H15+H36</f>
        <v>103087083</v>
      </c>
      <c r="I51" s="76">
        <f t="shared" si="22"/>
        <v>16.8</v>
      </c>
      <c r="J51" s="328">
        <f t="shared" si="23"/>
        <v>4.2574127559156123</v>
      </c>
      <c r="K51" s="51"/>
      <c r="L51" s="171" t="e">
        <f ca="1">#REF!+L36</f>
        <v>#REF!</v>
      </c>
      <c r="M51" s="169" t="e">
        <f ca="1">#REF!+M36</f>
        <v>#REF!</v>
      </c>
      <c r="N51" s="171" t="e">
        <f ca="1">#REF!+N36</f>
        <v>#REF!</v>
      </c>
      <c r="O51" s="169" t="e">
        <f ca="1">#REF!+O36</f>
        <v>#REF!</v>
      </c>
      <c r="P51" s="158"/>
      <c r="Q51" s="158"/>
      <c r="R51" s="158"/>
      <c r="S51" s="136"/>
      <c r="T51" s="51"/>
    </row>
    <row r="52" spans="1:20" ht="18.75" x14ac:dyDescent="0.3">
      <c r="A52" s="58" t="s">
        <v>102</v>
      </c>
      <c r="B52" s="75">
        <f>B16</f>
        <v>306096.54931210296</v>
      </c>
      <c r="C52" s="75">
        <f>+C16</f>
        <v>344301.01800000004</v>
      </c>
      <c r="D52" s="76">
        <f t="shared" si="20"/>
        <v>12.5</v>
      </c>
      <c r="E52" s="328">
        <f t="shared" si="21"/>
        <v>0.84800022972962519</v>
      </c>
      <c r="F52" s="75"/>
      <c r="G52" s="133"/>
      <c r="H52" s="133"/>
      <c r="I52" s="76"/>
      <c r="J52" s="328"/>
      <c r="K52" s="51"/>
      <c r="L52" s="171" t="e">
        <f>#REF!</f>
        <v>#REF!</v>
      </c>
      <c r="M52" s="169" t="e">
        <f>+#REF!</f>
        <v>#REF!</v>
      </c>
      <c r="N52" s="171" t="e">
        <f>+#REF!</f>
        <v>#REF!</v>
      </c>
      <c r="O52" s="169" t="e">
        <f>+#REF!</f>
        <v>#REF!</v>
      </c>
      <c r="P52" s="158"/>
      <c r="Q52" s="158"/>
      <c r="R52" s="158"/>
      <c r="S52" s="136"/>
      <c r="T52" s="51"/>
    </row>
    <row r="53" spans="1:20" ht="18.75" x14ac:dyDescent="0.3">
      <c r="A53" s="58" t="s">
        <v>54</v>
      </c>
      <c r="B53" s="75">
        <f>B17+B37</f>
        <v>8070309.0714100003</v>
      </c>
      <c r="C53" s="75">
        <f>C17+C37</f>
        <v>8774836.6761599984</v>
      </c>
      <c r="D53" s="76">
        <f t="shared" si="20"/>
        <v>8.6999999999999993</v>
      </c>
      <c r="E53" s="328">
        <f t="shared" si="21"/>
        <v>21.612086889686797</v>
      </c>
      <c r="F53" s="75"/>
      <c r="G53" s="133">
        <f>G17+G37</f>
        <v>797701415.51884007</v>
      </c>
      <c r="H53" s="133">
        <f>H17+H37</f>
        <v>878675848.12345004</v>
      </c>
      <c r="I53" s="76">
        <f t="shared" si="22"/>
        <v>10.199999999999999</v>
      </c>
      <c r="J53" s="328">
        <f t="shared" si="23"/>
        <v>36.288598486347176</v>
      </c>
      <c r="K53" s="51"/>
      <c r="L53" s="171">
        <f ca="1">L31+L37</f>
        <v>0</v>
      </c>
      <c r="M53" s="169" t="e">
        <f ca="1">M31+M37</f>
        <v>#REF!</v>
      </c>
      <c r="N53" s="171" t="e">
        <f ca="1">N31+N37</f>
        <v>#REF!</v>
      </c>
      <c r="O53" s="169" t="e">
        <f ca="1">O31+O37</f>
        <v>#REF!</v>
      </c>
      <c r="P53" s="158"/>
      <c r="Q53" s="158"/>
      <c r="R53" s="158"/>
      <c r="S53" s="136"/>
      <c r="T53" s="51"/>
    </row>
    <row r="54" spans="1:20" ht="18.75" x14ac:dyDescent="0.3">
      <c r="A54" s="58" t="s">
        <v>103</v>
      </c>
      <c r="B54" s="75">
        <f t="shared" ref="B54:C57" si="28">B18</f>
        <v>234700.55499999999</v>
      </c>
      <c r="C54" s="75">
        <f t="shared" si="28"/>
        <v>696348.86199999996</v>
      </c>
      <c r="D54" s="76">
        <f>IF(B54=0, "    ---- ", IF(ABS(ROUND(100/B54*C54-100,1))&lt;999,ROUND(100/B54*C54-100,1),IF(ROUND(100/B54*C54-100,1)&gt;999,999,-999)))</f>
        <v>196.7</v>
      </c>
      <c r="E54" s="328">
        <f t="shared" si="21"/>
        <v>1.7150805953991195</v>
      </c>
      <c r="F54" s="75"/>
      <c r="G54" s="133">
        <f t="shared" ref="G54:H55" si="29">G18</f>
        <v>173603.853</v>
      </c>
      <c r="H54" s="133">
        <f t="shared" si="29"/>
        <v>284694.43099999998</v>
      </c>
      <c r="I54" s="76">
        <f>IF(G54=0, "    ---- ", IF(ABS(ROUND(100/G54*H54-100,1))&lt;999,ROUND(100/G54*H54-100,1),IF(ROUND(100/G54*H54-100,1)&gt;999,999,-999)))</f>
        <v>64</v>
      </c>
      <c r="J54" s="328">
        <f t="shared" si="23"/>
        <v>1.1757648648158345E-2</v>
      </c>
      <c r="K54" s="51"/>
      <c r="L54" s="171">
        <f ca="1">L20</f>
        <v>0</v>
      </c>
      <c r="M54" s="169">
        <f ca="1">M20</f>
        <v>0</v>
      </c>
      <c r="N54" s="171" t="e">
        <f ca="1">N20</f>
        <v>#REF!</v>
      </c>
      <c r="O54" s="169">
        <f ca="1">O20</f>
        <v>0</v>
      </c>
      <c r="P54" s="158"/>
      <c r="Q54" s="158"/>
      <c r="R54" s="158"/>
      <c r="S54" s="136"/>
      <c r="T54" s="51"/>
    </row>
    <row r="55" spans="1:20" ht="18.75" x14ac:dyDescent="0.3">
      <c r="A55" s="58" t="s">
        <v>104</v>
      </c>
      <c r="B55" s="75">
        <f t="shared" si="28"/>
        <v>0</v>
      </c>
      <c r="C55" s="75">
        <f t="shared" si="28"/>
        <v>53091</v>
      </c>
      <c r="D55" s="76" t="str">
        <f>IF(B55=0, "    ---- ", IF(ABS(ROUND(100/B55*C55-100,1))&lt;999,ROUND(100/B55*C55-100,1),IF(ROUND(100/B55*C55-100,1)&gt;999,999,-999)))</f>
        <v xml:space="preserve">    ---- </v>
      </c>
      <c r="E55" s="328">
        <f t="shared" si="21"/>
        <v>0.13076110102170979</v>
      </c>
      <c r="F55" s="75"/>
      <c r="G55" s="133">
        <f t="shared" si="29"/>
        <v>0</v>
      </c>
      <c r="H55" s="133">
        <f t="shared" si="29"/>
        <v>3595</v>
      </c>
      <c r="I55" s="76" t="str">
        <f>IF(G55=0, "    ---- ", IF(ABS(ROUND(100/G55*H55-100,1))&lt;999,ROUND(100/G55*H55-100,1),IF(ROUND(100/G55*H55-100,1)&gt;999,999,-999)))</f>
        <v xml:space="preserve">    ---- </v>
      </c>
      <c r="J55" s="328">
        <f t="shared" si="23"/>
        <v>1.4847057858370701E-4</v>
      </c>
      <c r="K55" s="51"/>
      <c r="L55" s="171"/>
      <c r="M55" s="169"/>
      <c r="N55" s="171"/>
      <c r="O55" s="169"/>
      <c r="P55" s="158"/>
      <c r="Q55" s="158"/>
      <c r="R55" s="158"/>
      <c r="S55" s="136"/>
      <c r="T55" s="51"/>
    </row>
    <row r="56" spans="1:20" ht="18.75" x14ac:dyDescent="0.3">
      <c r="A56" s="77" t="s">
        <v>105</v>
      </c>
      <c r="B56" s="75">
        <f t="shared" si="28"/>
        <v>82536</v>
      </c>
      <c r="C56" s="75">
        <f t="shared" si="28"/>
        <v>71658</v>
      </c>
      <c r="D56" s="76">
        <f t="shared" si="20"/>
        <v>-13.2</v>
      </c>
      <c r="E56" s="328">
        <f t="shared" si="21"/>
        <v>0.17649091139766968</v>
      </c>
      <c r="F56" s="75"/>
      <c r="G56" s="133"/>
      <c r="H56" s="133"/>
      <c r="I56" s="76"/>
      <c r="J56" s="328"/>
      <c r="K56" s="51"/>
      <c r="L56" s="171" t="e">
        <f ca="1">L22</f>
        <v>#REF!</v>
      </c>
      <c r="M56" s="169" t="e">
        <f ca="1">M22</f>
        <v>#REF!</v>
      </c>
      <c r="N56" s="171" t="e">
        <f ca="1">N22</f>
        <v>#REF!</v>
      </c>
      <c r="O56" s="169" t="e">
        <f ca="1">O22</f>
        <v>#REF!</v>
      </c>
      <c r="P56" s="158"/>
      <c r="Q56" s="158"/>
      <c r="R56" s="158"/>
      <c r="S56" s="136"/>
      <c r="T56" s="51"/>
    </row>
    <row r="57" spans="1:20" ht="18.75" x14ac:dyDescent="0.3">
      <c r="A57" s="77" t="s">
        <v>58</v>
      </c>
      <c r="B57" s="75">
        <f t="shared" si="28"/>
        <v>15177</v>
      </c>
      <c r="C57" s="75">
        <f t="shared" si="28"/>
        <v>16314</v>
      </c>
      <c r="D57" s="76">
        <f t="shared" ref="D57" si="30">IF(B57=0, "    ---- ", IF(ABS(ROUND(100/B57*C57-100,1))&lt;999,ROUND(100/B57*C57-100,1),IF(ROUND(100/B57*C57-100,1)&gt;999,999,-999)))</f>
        <v>7.5</v>
      </c>
      <c r="E57" s="328">
        <f t="shared" si="21"/>
        <v>4.018075760615121E-2</v>
      </c>
      <c r="F57" s="75"/>
      <c r="G57" s="133"/>
      <c r="H57" s="133"/>
      <c r="I57" s="76"/>
      <c r="J57" s="328"/>
      <c r="K57" s="51"/>
      <c r="L57" s="171"/>
      <c r="M57" s="169"/>
      <c r="N57" s="171"/>
      <c r="O57" s="169"/>
      <c r="P57" s="158"/>
      <c r="Q57" s="158"/>
      <c r="R57" s="158"/>
      <c r="S57" s="136"/>
      <c r="T57" s="51"/>
    </row>
    <row r="58" spans="1:20" ht="18.75" x14ac:dyDescent="0.3">
      <c r="A58" s="58" t="s">
        <v>59</v>
      </c>
      <c r="B58" s="75">
        <f>B22+B38</f>
        <v>5593405.1712886412</v>
      </c>
      <c r="C58" s="75">
        <f>+C22+C38</f>
        <v>6725323.4122589128</v>
      </c>
      <c r="D58" s="76">
        <f t="shared" si="20"/>
        <v>20.2</v>
      </c>
      <c r="E58" s="328">
        <f t="shared" si="21"/>
        <v>16.564214162740537</v>
      </c>
      <c r="F58" s="75"/>
      <c r="G58" s="133">
        <f>+G22+G38</f>
        <v>232415670.00000179</v>
      </c>
      <c r="H58" s="133">
        <f>+H22+H38</f>
        <v>273885240.00000077</v>
      </c>
      <c r="I58" s="76">
        <f t="shared" si="22"/>
        <v>17.8</v>
      </c>
      <c r="J58" s="328">
        <f t="shared" si="23"/>
        <v>11.311237843765666</v>
      </c>
      <c r="K58" s="51"/>
      <c r="L58" s="171">
        <f ca="1">L24+L38</f>
        <v>0</v>
      </c>
      <c r="M58" s="169" t="e">
        <f ca="1">+M24+M38</f>
        <v>#REF!</v>
      </c>
      <c r="N58" s="171" t="e">
        <f ca="1">+N24+N38</f>
        <v>#REF!</v>
      </c>
      <c r="O58" s="169" t="e">
        <f ca="1">+O24+O38</f>
        <v>#REF!</v>
      </c>
      <c r="P58" s="158"/>
      <c r="Q58" s="158"/>
      <c r="R58" s="158"/>
      <c r="S58" s="136"/>
      <c r="T58" s="51"/>
    </row>
    <row r="59" spans="1:20" ht="18.75" x14ac:dyDescent="0.3">
      <c r="A59" s="58" t="s">
        <v>60</v>
      </c>
      <c r="B59" s="75">
        <f t="shared" ref="B59:C61" si="31">B23</f>
        <v>8970</v>
      </c>
      <c r="C59" s="75">
        <f t="shared" si="31"/>
        <v>9386</v>
      </c>
      <c r="D59" s="76">
        <f t="shared" ref="D59" si="32">IF(B59=0, "    ---- ", IF(ABS(ROUND(100/B59*C59-100,1))&lt;999,ROUND(100/B59*C59-100,1),IF(ROUND(100/B59*C59-100,1)&gt;999,999,-999)))</f>
        <v>4.5999999999999996</v>
      </c>
      <c r="E59" s="328">
        <f t="shared" si="21"/>
        <v>2.3117358764946378E-2</v>
      </c>
      <c r="F59" s="75"/>
      <c r="G59" s="133"/>
      <c r="H59" s="133"/>
      <c r="I59" s="76"/>
      <c r="J59" s="328"/>
      <c r="K59" s="51"/>
      <c r="L59" s="171"/>
      <c r="M59" s="169"/>
      <c r="N59" s="171"/>
      <c r="O59" s="169"/>
      <c r="P59" s="158"/>
      <c r="Q59" s="158"/>
      <c r="R59" s="158"/>
      <c r="S59" s="136"/>
      <c r="T59" s="51"/>
    </row>
    <row r="60" spans="1:20" ht="18.75" customHeight="1" x14ac:dyDescent="0.3">
      <c r="A60" s="58" t="s">
        <v>107</v>
      </c>
      <c r="B60" s="75">
        <f t="shared" si="31"/>
        <v>908116</v>
      </c>
      <c r="C60" s="75">
        <f t="shared" si="31"/>
        <v>694944</v>
      </c>
      <c r="D60" s="76">
        <f t="shared" si="20"/>
        <v>-23.5</v>
      </c>
      <c r="E60" s="328">
        <f t="shared" si="21"/>
        <v>1.7116204740621028</v>
      </c>
      <c r="F60" s="75"/>
      <c r="G60" s="133">
        <f t="shared" ref="G60:H60" si="33">G24</f>
        <v>97889000</v>
      </c>
      <c r="H60" s="133">
        <f t="shared" si="33"/>
        <v>104208000</v>
      </c>
      <c r="I60" s="76">
        <f t="shared" si="22"/>
        <v>6.5</v>
      </c>
      <c r="J60" s="328">
        <f t="shared" si="23"/>
        <v>4.3037057171212627</v>
      </c>
      <c r="K60" s="51"/>
      <c r="L60" s="171">
        <f ca="1">L25</f>
        <v>0</v>
      </c>
      <c r="M60" s="169">
        <f ca="1">M25</f>
        <v>0</v>
      </c>
      <c r="N60" s="171" t="e">
        <f ca="1">N25</f>
        <v>#REF!</v>
      </c>
      <c r="O60" s="169">
        <f ca="1">O25</f>
        <v>0</v>
      </c>
      <c r="P60" s="158"/>
      <c r="Q60" s="158"/>
      <c r="R60" s="158"/>
      <c r="S60" s="136"/>
      <c r="T60" s="51"/>
    </row>
    <row r="61" spans="1:20" ht="18.75" customHeight="1" x14ac:dyDescent="0.3">
      <c r="A61" s="58" t="s">
        <v>108</v>
      </c>
      <c r="B61" s="75">
        <f t="shared" si="31"/>
        <v>318529</v>
      </c>
      <c r="C61" s="75">
        <f t="shared" si="31"/>
        <v>387470</v>
      </c>
      <c r="D61" s="76">
        <f t="shared" ref="D61" si="34">IF(B61=0, "    ---- ", IF(ABS(ROUND(100/B61*C61-100,1))&lt;999,ROUND(100/B61*C61-100,1),IF(ROUND(100/B61*C61-100,1)&gt;999,999,-999)))</f>
        <v>21.6</v>
      </c>
      <c r="E61" s="328">
        <f t="shared" si="21"/>
        <v>0.95432378016767239</v>
      </c>
      <c r="F61" s="75"/>
      <c r="G61" s="133"/>
      <c r="H61" s="133"/>
      <c r="I61" s="76"/>
      <c r="J61" s="328"/>
      <c r="K61" s="51"/>
      <c r="L61" s="171"/>
      <c r="M61" s="169"/>
      <c r="N61" s="171"/>
      <c r="O61" s="169"/>
      <c r="P61" s="158"/>
      <c r="Q61" s="158"/>
      <c r="R61" s="158"/>
      <c r="S61" s="136"/>
      <c r="T61" s="51"/>
    </row>
    <row r="62" spans="1:20" ht="18.75" customHeight="1" x14ac:dyDescent="0.3">
      <c r="A62" s="58" t="s">
        <v>63</v>
      </c>
      <c r="B62" s="75">
        <f>B26+B39</f>
        <v>2383909.8133299998</v>
      </c>
      <c r="C62" s="75">
        <f>+C26+C39</f>
        <v>2491136.7915100004</v>
      </c>
      <c r="D62" s="76">
        <f t="shared" si="20"/>
        <v>4.5</v>
      </c>
      <c r="E62" s="328">
        <f t="shared" si="21"/>
        <v>6.1355745729697535</v>
      </c>
      <c r="F62" s="75"/>
      <c r="G62" s="133">
        <f>+G26+G39</f>
        <v>109347399.93209</v>
      </c>
      <c r="H62" s="133">
        <f>+H26+H39</f>
        <v>123165874.49169001</v>
      </c>
      <c r="I62" s="76">
        <f t="shared" si="22"/>
        <v>12.6</v>
      </c>
      <c r="J62" s="328">
        <f t="shared" si="23"/>
        <v>5.0866505278301686</v>
      </c>
      <c r="K62" s="51"/>
      <c r="L62" s="171" t="e">
        <f ca="1">L27+L39</f>
        <v>#REF!</v>
      </c>
      <c r="M62" s="169" t="e">
        <f t="shared" ref="M62:O63" ca="1" si="35">+M27+M39</f>
        <v>#REF!</v>
      </c>
      <c r="N62" s="171" t="e">
        <f t="shared" ca="1" si="35"/>
        <v>#REF!</v>
      </c>
      <c r="O62" s="169" t="e">
        <f t="shared" ca="1" si="35"/>
        <v>#REF!</v>
      </c>
      <c r="P62" s="158"/>
      <c r="Q62" s="158"/>
      <c r="R62" s="158"/>
      <c r="S62" s="136"/>
      <c r="T62" s="51"/>
    </row>
    <row r="63" spans="1:20" ht="18.75" customHeight="1" x14ac:dyDescent="0.3">
      <c r="A63" s="58" t="s">
        <v>109</v>
      </c>
      <c r="B63" s="75">
        <f>B40+B27</f>
        <v>7505389.0980399996</v>
      </c>
      <c r="C63" s="75">
        <f>+C27+C40</f>
        <v>7783551.2376899999</v>
      </c>
      <c r="D63" s="76">
        <f t="shared" si="20"/>
        <v>3.7</v>
      </c>
      <c r="E63" s="328">
        <f t="shared" si="21"/>
        <v>19.170588794696585</v>
      </c>
      <c r="F63" s="75"/>
      <c r="G63" s="133">
        <f>+G27+G40</f>
        <v>459871623.98055005</v>
      </c>
      <c r="H63" s="133">
        <f>+H27+H40</f>
        <v>504088210.82938004</v>
      </c>
      <c r="I63" s="76">
        <f t="shared" si="22"/>
        <v>9.6</v>
      </c>
      <c r="J63" s="328">
        <f t="shared" si="23"/>
        <v>20.818433468446102</v>
      </c>
      <c r="K63" s="51"/>
      <c r="L63" s="171">
        <f ca="1">L40+L28</f>
        <v>0</v>
      </c>
      <c r="M63" s="169" t="e">
        <f t="shared" ca="1" si="35"/>
        <v>#REF!</v>
      </c>
      <c r="N63" s="171" t="e">
        <f t="shared" ca="1" si="35"/>
        <v>#REF!</v>
      </c>
      <c r="O63" s="169" t="e">
        <f t="shared" ca="1" si="35"/>
        <v>#REF!</v>
      </c>
      <c r="P63" s="158"/>
      <c r="Q63" s="158"/>
      <c r="R63" s="158"/>
      <c r="S63" s="136"/>
      <c r="T63" s="51"/>
    </row>
    <row r="64" spans="1:20" ht="18.75" customHeight="1" x14ac:dyDescent="0.3">
      <c r="A64" s="58" t="s">
        <v>72</v>
      </c>
      <c r="B64" s="75">
        <f>B28</f>
        <v>2290</v>
      </c>
      <c r="C64" s="75">
        <f>+C28</f>
        <v>2001</v>
      </c>
      <c r="D64" s="76">
        <f t="shared" si="20"/>
        <v>-12.6</v>
      </c>
      <c r="E64" s="328">
        <f t="shared" si="21"/>
        <v>4.9283864147302049E-3</v>
      </c>
      <c r="F64" s="75"/>
      <c r="G64" s="133"/>
      <c r="H64" s="133"/>
      <c r="I64" s="76"/>
      <c r="J64" s="328"/>
      <c r="K64" s="51"/>
      <c r="L64" s="171">
        <f ca="1">L29</f>
        <v>0</v>
      </c>
      <c r="M64" s="169">
        <f t="shared" ref="M64:O65" ca="1" si="36">+M29</f>
        <v>0</v>
      </c>
      <c r="N64" s="171" t="e">
        <f t="shared" ca="1" si="36"/>
        <v>#REF!</v>
      </c>
      <c r="O64" s="169">
        <f t="shared" ca="1" si="36"/>
        <v>0</v>
      </c>
      <c r="P64" s="158"/>
      <c r="Q64" s="158"/>
      <c r="R64" s="158"/>
      <c r="S64" s="136"/>
      <c r="T64" s="51"/>
    </row>
    <row r="65" spans="1:240" ht="18.75" customHeight="1" x14ac:dyDescent="0.3">
      <c r="A65" s="58" t="s">
        <v>73</v>
      </c>
      <c r="B65" s="75">
        <f>B29</f>
        <v>758059</v>
      </c>
      <c r="C65" s="75">
        <f>+C29</f>
        <v>772427</v>
      </c>
      <c r="D65" s="76">
        <f t="shared" si="20"/>
        <v>1.9</v>
      </c>
      <c r="E65" s="328">
        <f t="shared" si="21"/>
        <v>1.9024581375166458</v>
      </c>
      <c r="F65" s="75"/>
      <c r="G65" s="133"/>
      <c r="H65" s="133"/>
      <c r="I65" s="76"/>
      <c r="J65" s="328"/>
      <c r="K65" s="51"/>
      <c r="L65" s="171">
        <f ca="1">L30</f>
        <v>0</v>
      </c>
      <c r="M65" s="169">
        <f t="shared" ca="1" si="36"/>
        <v>0</v>
      </c>
      <c r="N65" s="171" t="e">
        <f t="shared" ca="1" si="36"/>
        <v>#REF!</v>
      </c>
      <c r="O65" s="169">
        <f t="shared" ca="1" si="36"/>
        <v>0</v>
      </c>
      <c r="P65" s="158"/>
      <c r="Q65" s="158"/>
      <c r="R65" s="158"/>
      <c r="S65" s="136"/>
      <c r="T65" s="51"/>
    </row>
    <row r="66" spans="1:240" ht="18.75" x14ac:dyDescent="0.3">
      <c r="A66" s="77" t="s">
        <v>110</v>
      </c>
      <c r="B66" s="75">
        <f>B30</f>
        <v>1680</v>
      </c>
      <c r="C66" s="75">
        <f>C30</f>
        <v>1584</v>
      </c>
      <c r="D66" s="76">
        <f t="shared" si="20"/>
        <v>-5.7</v>
      </c>
      <c r="E66" s="328">
        <f t="shared" ref="E66" si="37">100/C$32*C66</f>
        <v>7.4906059857176603E-3</v>
      </c>
      <c r="F66" s="77"/>
      <c r="G66" s="133"/>
      <c r="H66" s="133"/>
      <c r="I66" s="77"/>
      <c r="J66" s="328"/>
      <c r="K66" s="158"/>
      <c r="L66" s="171">
        <f t="shared" ref="L66" ca="1" si="38">INDIRECT("'" &amp; $A65 &amp; "'!" &amp; $P$7)</f>
        <v>0</v>
      </c>
      <c r="M66" s="169">
        <f t="shared" ref="M66" ca="1" si="39">INDIRECT("'" &amp; $A65 &amp; "'!" &amp; $P$8)</f>
        <v>0</v>
      </c>
      <c r="N66" s="171" t="e">
        <f ca="1">INDIRECT("'" &amp; $A65 &amp; "'!" &amp;#REF!)</f>
        <v>#REF!</v>
      </c>
      <c r="O66" s="169">
        <f t="shared" ref="O66" ca="1" si="40">INDIRECT("'" &amp; $A65 &amp; "'!" &amp; $P$9)</f>
        <v>0</v>
      </c>
    </row>
    <row r="67" spans="1:240" ht="18.75" x14ac:dyDescent="0.3">
      <c r="A67" s="58" t="s">
        <v>111</v>
      </c>
      <c r="B67" s="75">
        <f>B31</f>
        <v>43878</v>
      </c>
      <c r="C67" s="75">
        <f>+C31</f>
        <v>16577</v>
      </c>
      <c r="D67" s="76">
        <f>IF(B67=0, "    ---- ", IF(ABS(ROUND(100/B67*C67-100,1))&lt;999,ROUND(100/B67*C67-100,1),IF(ROUND(100/B67*C67-100,1)&gt;999,999,-999)))</f>
        <v>-62.2</v>
      </c>
      <c r="E67" s="328">
        <f>100/C$68*C67</f>
        <v>4.0828516540221196E-2</v>
      </c>
      <c r="F67" s="75"/>
      <c r="G67" s="133">
        <f>G31</f>
        <v>69378</v>
      </c>
      <c r="H67" s="133">
        <f>H31</f>
        <v>94134</v>
      </c>
      <c r="I67" s="76">
        <f>IF(G67=0, "    ---- ", IF(ABS(ROUND(100/G67*H67-100,1))&lt;999,ROUND(100/G67*H67-100,1),IF(ROUND(100/G67*H67-100,1)&gt;999,999,-999)))</f>
        <v>35.700000000000003</v>
      </c>
      <c r="J67" s="328">
        <f>100/H$68*H67</f>
        <v>3.8876577035879488E-3</v>
      </c>
      <c r="K67" s="51"/>
      <c r="L67" s="171" t="e">
        <f ca="1">L18+#REF!</f>
        <v>#REF!</v>
      </c>
      <c r="M67" s="169" t="e">
        <f ca="1">+M18+#REF!</f>
        <v>#REF!</v>
      </c>
      <c r="N67" s="171" t="e">
        <f ca="1">N18+#REF!</f>
        <v>#REF!</v>
      </c>
      <c r="O67" s="169" t="e">
        <f ca="1">O18+#REF!</f>
        <v>#REF!</v>
      </c>
      <c r="P67" s="158"/>
      <c r="Q67" s="158"/>
      <c r="R67" s="158"/>
      <c r="S67" s="136"/>
      <c r="T67" s="51"/>
    </row>
    <row r="68" spans="1:240" s="80" customFormat="1" ht="18.75" customHeight="1" x14ac:dyDescent="0.3">
      <c r="A68" s="81" t="s">
        <v>120</v>
      </c>
      <c r="B68" s="82">
        <f>SUM(B45:B67)</f>
        <v>37629013.077570736</v>
      </c>
      <c r="C68" s="82">
        <f>SUM(C45:C67)</f>
        <v>40601524.142248914</v>
      </c>
      <c r="D68" s="83">
        <f>IF(B68=0, "    ---- ", IF(ABS(ROUND(100/B68*C68-100,1))&lt;999,ROUND(100/B68*C68-100,1),IF(ROUND(100/B68*C68-100,1)&gt;999,999,-999)))</f>
        <v>7.9</v>
      </c>
      <c r="E68" s="330">
        <f>SUM(E45:E67)</f>
        <v>100.00358927461093</v>
      </c>
      <c r="F68" s="78"/>
      <c r="G68" s="135">
        <f>SUM(G45:G67)</f>
        <v>2177407197.0997896</v>
      </c>
      <c r="H68" s="135">
        <f>SUM(H45:H67)</f>
        <v>2421355149.4804449</v>
      </c>
      <c r="I68" s="83">
        <f>IF(G68=0, "    ---- ", IF(ABS(ROUND(100/G68*H68-100,1))&lt;999,ROUND(100/G68*H68-100,1),IF(ROUND(100/G68*H68-100,1)&gt;999,999,-999)))</f>
        <v>11.2</v>
      </c>
      <c r="J68" s="330">
        <f>SUM(J45:J67)</f>
        <v>100.00000000000003</v>
      </c>
      <c r="K68" s="134"/>
      <c r="L68" s="176" t="e">
        <f ca="1">SUM(L45:L65)</f>
        <v>#REF!</v>
      </c>
      <c r="M68" s="177" t="e">
        <f ca="1">SUM(M45:M65)</f>
        <v>#REF!</v>
      </c>
      <c r="N68" s="176" t="e">
        <f ca="1">SUM(N45:N65)</f>
        <v>#REF!</v>
      </c>
      <c r="O68" s="177" t="e">
        <f ca="1">SUM(O45:O65)</f>
        <v>#REF!</v>
      </c>
      <c r="P68" s="156"/>
      <c r="Q68" s="156"/>
      <c r="R68" s="156"/>
      <c r="S68" s="104"/>
      <c r="T68" s="134"/>
    </row>
    <row r="69" spans="1:240" ht="18.75" customHeight="1" x14ac:dyDescent="0.3">
      <c r="A69" s="48" t="s">
        <v>121</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48"/>
      <c r="DI69" s="48"/>
      <c r="DJ69" s="48"/>
      <c r="DK69" s="48"/>
      <c r="DL69" s="48"/>
      <c r="DM69" s="48"/>
      <c r="DN69" s="48"/>
      <c r="DO69" s="48"/>
      <c r="DP69" s="48"/>
      <c r="DQ69" s="48"/>
      <c r="DR69" s="48"/>
      <c r="DS69" s="48"/>
      <c r="DT69" s="48"/>
      <c r="DU69" s="48"/>
      <c r="DV69" s="48"/>
      <c r="DW69" s="48"/>
      <c r="DX69" s="48"/>
      <c r="DY69" s="48"/>
      <c r="DZ69" s="48"/>
      <c r="EA69" s="48"/>
      <c r="EB69" s="48"/>
      <c r="EC69" s="48"/>
      <c r="ED69" s="48"/>
      <c r="EE69" s="48"/>
      <c r="EF69" s="48"/>
      <c r="EG69" s="48"/>
      <c r="EH69" s="48"/>
      <c r="EI69" s="48"/>
      <c r="EJ69" s="48"/>
      <c r="EK69" s="48"/>
      <c r="EL69" s="48"/>
      <c r="EM69" s="48"/>
      <c r="EN69" s="48"/>
      <c r="EO69" s="48"/>
      <c r="EP69" s="48"/>
      <c r="EQ69" s="48"/>
      <c r="ER69" s="48"/>
      <c r="ES69" s="48"/>
      <c r="ET69" s="48"/>
      <c r="EU69" s="48"/>
      <c r="EV69" s="48"/>
      <c r="EW69" s="48"/>
      <c r="EX69" s="48"/>
      <c r="EY69" s="48"/>
      <c r="EZ69" s="48"/>
      <c r="FA69" s="48"/>
      <c r="FB69" s="48"/>
      <c r="FC69" s="48"/>
      <c r="FD69" s="48"/>
      <c r="FE69" s="48"/>
      <c r="FF69" s="48"/>
      <c r="FG69" s="48"/>
      <c r="FH69" s="48"/>
      <c r="FI69" s="48"/>
      <c r="FJ69" s="48"/>
      <c r="FK69" s="48"/>
      <c r="FL69" s="48"/>
      <c r="FM69" s="48"/>
      <c r="FN69" s="48"/>
      <c r="FO69" s="48"/>
      <c r="FP69" s="48"/>
      <c r="FQ69" s="48"/>
      <c r="FR69" s="48"/>
      <c r="FS69" s="48"/>
      <c r="FT69" s="48"/>
      <c r="FU69" s="48"/>
      <c r="FV69" s="48"/>
      <c r="FW69" s="48"/>
      <c r="FX69" s="48"/>
      <c r="FY69" s="48"/>
      <c r="FZ69" s="48"/>
      <c r="GA69" s="48"/>
      <c r="GB69" s="48"/>
      <c r="GC69" s="48"/>
      <c r="GD69" s="48"/>
      <c r="GE69" s="48"/>
      <c r="GF69" s="48"/>
      <c r="GG69" s="48"/>
      <c r="GH69" s="48"/>
      <c r="GI69" s="48"/>
      <c r="GJ69" s="48"/>
      <c r="GK69" s="48"/>
      <c r="GL69" s="48"/>
      <c r="GM69" s="48"/>
      <c r="GN69" s="48"/>
      <c r="GO69" s="48"/>
      <c r="GP69" s="48"/>
      <c r="GQ69" s="48"/>
      <c r="GR69" s="48"/>
      <c r="GS69" s="48"/>
      <c r="GT69" s="48"/>
      <c r="GU69" s="48"/>
      <c r="GV69" s="48"/>
      <c r="GW69" s="48"/>
      <c r="GX69" s="48"/>
      <c r="GY69" s="48"/>
      <c r="GZ69" s="48"/>
      <c r="HA69" s="48"/>
      <c r="HB69" s="48"/>
      <c r="HC69" s="48"/>
      <c r="HD69" s="48"/>
      <c r="HE69" s="48"/>
      <c r="HF69" s="48"/>
      <c r="HG69" s="48"/>
      <c r="HH69" s="48"/>
      <c r="HI69" s="48"/>
      <c r="HJ69" s="48"/>
      <c r="HK69" s="48"/>
      <c r="HL69" s="48"/>
      <c r="HM69" s="48"/>
      <c r="HN69" s="48"/>
      <c r="HO69" s="48"/>
      <c r="HP69" s="48"/>
      <c r="HQ69" s="48"/>
      <c r="HR69" s="48"/>
      <c r="HS69" s="48"/>
      <c r="HT69" s="48"/>
      <c r="HU69" s="48"/>
      <c r="HV69" s="48"/>
      <c r="HW69" s="48"/>
      <c r="HX69" s="48"/>
      <c r="HY69" s="48"/>
      <c r="HZ69" s="48"/>
      <c r="IA69" s="48"/>
      <c r="IB69" s="48"/>
      <c r="IC69" s="48"/>
      <c r="ID69" s="48"/>
      <c r="IE69" s="48"/>
      <c r="IF69" s="48"/>
    </row>
    <row r="70" spans="1:240" ht="18.75" customHeight="1" x14ac:dyDescent="0.3">
      <c r="A70" s="48"/>
      <c r="B70" s="48"/>
      <c r="C70" s="48"/>
      <c r="D70" s="48"/>
      <c r="E70" s="48"/>
      <c r="F70" s="48"/>
      <c r="G70" s="48"/>
      <c r="H70" s="48"/>
      <c r="I70" s="48"/>
      <c r="J70" s="48"/>
      <c r="K70" s="48"/>
    </row>
    <row r="71" spans="1:240" ht="18.75" customHeight="1" x14ac:dyDescent="0.3">
      <c r="A71" s="48"/>
      <c r="B71" s="48"/>
      <c r="C71" s="48"/>
      <c r="D71" s="48"/>
      <c r="E71" s="48"/>
      <c r="F71" s="48"/>
      <c r="G71" s="48"/>
      <c r="H71" s="48"/>
      <c r="I71" s="48"/>
      <c r="J71" s="48"/>
      <c r="K71" s="48"/>
    </row>
    <row r="72" spans="1:240" ht="18.75" customHeight="1" x14ac:dyDescent="0.3">
      <c r="A72" s="48"/>
      <c r="B72" s="51"/>
      <c r="C72" s="51"/>
      <c r="D72" s="48"/>
      <c r="E72" s="48"/>
      <c r="F72" s="48"/>
      <c r="G72" s="51"/>
      <c r="H72" s="51"/>
      <c r="I72" s="48"/>
      <c r="J72" s="48"/>
      <c r="K72" s="48"/>
    </row>
    <row r="73" spans="1:240" ht="18.75" customHeight="1" x14ac:dyDescent="0.3">
      <c r="A73" s="48"/>
      <c r="B73" s="48"/>
      <c r="C73" s="48"/>
      <c r="D73" s="48"/>
      <c r="E73" s="48"/>
      <c r="F73" s="48"/>
      <c r="G73" s="48"/>
      <c r="H73" s="48"/>
      <c r="I73" s="48"/>
      <c r="J73" s="48"/>
      <c r="K73" s="48"/>
    </row>
    <row r="74" spans="1:240" ht="18.75" customHeight="1" x14ac:dyDescent="0.3">
      <c r="A74" s="48"/>
      <c r="B74" s="48"/>
      <c r="C74" s="48"/>
      <c r="D74" s="48"/>
      <c r="E74" s="48"/>
      <c r="F74" s="48"/>
      <c r="G74" s="48"/>
      <c r="H74" s="48"/>
      <c r="I74" s="48"/>
      <c r="J74" s="48"/>
      <c r="K74" s="48"/>
    </row>
    <row r="75" spans="1:240" ht="18.75" customHeight="1" x14ac:dyDescent="0.3">
      <c r="A75" s="48"/>
      <c r="B75" s="48"/>
      <c r="C75" s="48"/>
      <c r="D75" s="48"/>
      <c r="E75" s="48"/>
      <c r="F75" s="48"/>
      <c r="G75" s="48"/>
      <c r="H75" s="48"/>
      <c r="I75" s="48"/>
      <c r="J75" s="48"/>
      <c r="K75" s="48"/>
    </row>
    <row r="76" spans="1:240" ht="18.75" customHeight="1" x14ac:dyDescent="0.3">
      <c r="A76" s="48"/>
      <c r="B76" s="48"/>
      <c r="C76" s="48"/>
      <c r="D76" s="48"/>
      <c r="E76" s="48"/>
      <c r="F76" s="48"/>
      <c r="G76" s="48"/>
      <c r="H76" s="48"/>
      <c r="I76" s="48"/>
      <c r="J76" s="48"/>
      <c r="K76" s="48"/>
    </row>
    <row r="77" spans="1:240" ht="18.75" x14ac:dyDescent="0.3">
      <c r="A77" s="48"/>
      <c r="B77" s="48"/>
      <c r="C77" s="48"/>
      <c r="D77" s="48"/>
      <c r="E77" s="48"/>
      <c r="F77" s="48"/>
      <c r="G77" s="48"/>
      <c r="H77" s="48"/>
      <c r="I77" s="48"/>
      <c r="J77" s="48"/>
      <c r="K77" s="48"/>
    </row>
    <row r="78" spans="1:240" ht="18.75" x14ac:dyDescent="0.3">
      <c r="A78" s="48"/>
      <c r="B78" s="48"/>
      <c r="C78" s="48"/>
      <c r="D78" s="48"/>
      <c r="E78" s="48"/>
      <c r="F78" s="48"/>
      <c r="G78" s="48"/>
      <c r="H78" s="48"/>
      <c r="I78" s="48"/>
      <c r="J78" s="48"/>
      <c r="K78" s="48"/>
    </row>
    <row r="79" spans="1:240" ht="18.75" x14ac:dyDescent="0.3">
      <c r="A79" s="48"/>
      <c r="B79" s="48"/>
      <c r="C79" s="48"/>
      <c r="D79" s="48"/>
      <c r="E79" s="48"/>
      <c r="F79" s="48"/>
      <c r="G79" s="48"/>
      <c r="H79" s="48"/>
      <c r="I79" s="48"/>
      <c r="J79" s="48"/>
      <c r="K79" s="48"/>
    </row>
    <row r="80" spans="1:240" ht="18.75" x14ac:dyDescent="0.3">
      <c r="A80" s="48"/>
      <c r="B80" s="48"/>
      <c r="C80" s="48"/>
      <c r="D80" s="48"/>
      <c r="E80" s="48"/>
      <c r="F80" s="48"/>
      <c r="G80" s="48"/>
      <c r="H80" s="48"/>
      <c r="I80" s="48"/>
      <c r="J80" s="48"/>
      <c r="K80" s="48"/>
    </row>
    <row r="81" spans="1:11" ht="18.75" x14ac:dyDescent="0.3">
      <c r="A81" s="48"/>
      <c r="B81" s="48"/>
      <c r="C81" s="48"/>
      <c r="D81" s="48"/>
      <c r="E81" s="48"/>
      <c r="F81" s="48"/>
      <c r="G81" s="48"/>
      <c r="H81" s="48"/>
      <c r="I81" s="48"/>
      <c r="J81" s="48"/>
      <c r="K81" s="48"/>
    </row>
    <row r="82" spans="1:11" ht="18.75" x14ac:dyDescent="0.3">
      <c r="A82" s="48"/>
      <c r="B82" s="48"/>
      <c r="C82" s="48"/>
      <c r="D82" s="48"/>
      <c r="E82" s="48"/>
      <c r="F82" s="48"/>
      <c r="G82" s="48"/>
      <c r="H82" s="48"/>
      <c r="I82" s="48"/>
      <c r="J82" s="48"/>
      <c r="K82" s="48"/>
    </row>
    <row r="83" spans="1:11" ht="18.75" x14ac:dyDescent="0.3">
      <c r="A83" s="48"/>
      <c r="B83" s="48"/>
      <c r="C83" s="48"/>
      <c r="D83" s="48"/>
      <c r="E83" s="48"/>
      <c r="F83" s="48"/>
      <c r="G83" s="48"/>
      <c r="H83" s="48"/>
      <c r="I83" s="48"/>
      <c r="J83" s="48"/>
      <c r="K83" s="48"/>
    </row>
    <row r="84" spans="1:11" ht="18.75" x14ac:dyDescent="0.3">
      <c r="A84" s="48"/>
      <c r="B84" s="48"/>
      <c r="C84" s="48"/>
      <c r="D84" s="48"/>
      <c r="E84" s="48"/>
      <c r="F84" s="48"/>
      <c r="G84" s="48"/>
      <c r="H84" s="48"/>
      <c r="I84" s="48"/>
      <c r="J84" s="48"/>
      <c r="K84" s="48"/>
    </row>
    <row r="85" spans="1:11" ht="18.75" x14ac:dyDescent="0.3">
      <c r="A85" s="48"/>
      <c r="B85" s="48"/>
      <c r="C85" s="48"/>
      <c r="D85" s="48"/>
      <c r="E85" s="48"/>
      <c r="F85" s="48"/>
      <c r="G85" s="48"/>
      <c r="H85" s="48"/>
      <c r="I85" s="48"/>
      <c r="J85" s="48"/>
      <c r="K85" s="48"/>
    </row>
    <row r="86" spans="1:11" ht="18.75" x14ac:dyDescent="0.3">
      <c r="A86" s="48"/>
      <c r="B86" s="48"/>
      <c r="C86" s="48"/>
      <c r="D86" s="48"/>
      <c r="E86" s="48"/>
      <c r="F86" s="48"/>
      <c r="G86" s="48"/>
      <c r="H86" s="48"/>
      <c r="I86" s="48"/>
      <c r="J86" s="48"/>
      <c r="K86" s="48"/>
    </row>
    <row r="87" spans="1:11" ht="18.75" x14ac:dyDescent="0.3">
      <c r="A87" s="48"/>
      <c r="B87" s="48"/>
      <c r="C87" s="48"/>
      <c r="D87" s="48"/>
      <c r="E87" s="48"/>
      <c r="F87" s="48"/>
      <c r="G87" s="48"/>
      <c r="H87" s="48"/>
      <c r="I87" s="48"/>
      <c r="J87" s="48"/>
      <c r="K87" s="48"/>
    </row>
    <row r="88" spans="1:11" ht="18.75" x14ac:dyDescent="0.3">
      <c r="A88" s="48"/>
      <c r="B88" s="48"/>
      <c r="C88" s="48"/>
      <c r="D88" s="48"/>
      <c r="E88" s="48"/>
      <c r="F88" s="48"/>
      <c r="G88" s="48"/>
      <c r="H88" s="48"/>
      <c r="I88" s="48"/>
      <c r="J88" s="48"/>
      <c r="K88" s="48"/>
    </row>
    <row r="89" spans="1:11" ht="18.75" x14ac:dyDescent="0.3">
      <c r="A89" s="48"/>
      <c r="B89" s="48"/>
      <c r="C89" s="48"/>
      <c r="D89" s="48"/>
      <c r="E89" s="48"/>
      <c r="F89" s="48"/>
      <c r="G89" s="48"/>
      <c r="H89" s="48"/>
      <c r="I89" s="48"/>
      <c r="J89" s="48"/>
      <c r="K89" s="48"/>
    </row>
    <row r="90" spans="1:11" ht="18.75" x14ac:dyDescent="0.3">
      <c r="A90" s="48"/>
      <c r="B90" s="48"/>
      <c r="C90" s="48"/>
      <c r="D90" s="48"/>
      <c r="E90" s="48"/>
      <c r="F90" s="48"/>
      <c r="G90" s="48"/>
      <c r="H90" s="48"/>
      <c r="I90" s="48"/>
      <c r="J90" s="48"/>
      <c r="K90" s="48"/>
    </row>
    <row r="91" spans="1:11" ht="18.75" x14ac:dyDescent="0.3">
      <c r="A91" s="48"/>
      <c r="B91" s="48"/>
      <c r="C91" s="48"/>
      <c r="D91" s="48"/>
      <c r="E91" s="48"/>
      <c r="F91" s="48"/>
      <c r="G91" s="48"/>
      <c r="H91" s="48"/>
      <c r="I91" s="48"/>
      <c r="J91" s="48"/>
      <c r="K91" s="48"/>
    </row>
    <row r="92" spans="1:11" ht="18.75" x14ac:dyDescent="0.3">
      <c r="A92" s="48"/>
      <c r="B92" s="48"/>
      <c r="C92" s="48"/>
      <c r="D92" s="48"/>
      <c r="E92" s="48"/>
      <c r="F92" s="48"/>
      <c r="G92" s="48"/>
      <c r="H92" s="48"/>
      <c r="I92" s="48"/>
      <c r="J92" s="48"/>
      <c r="K92" s="48"/>
    </row>
    <row r="93" spans="1:11" ht="18.75" x14ac:dyDescent="0.3">
      <c r="A93" s="48"/>
      <c r="B93" s="48"/>
      <c r="C93" s="48"/>
      <c r="D93" s="48"/>
      <c r="E93" s="48"/>
      <c r="F93" s="48"/>
      <c r="G93" s="48"/>
      <c r="H93" s="48"/>
      <c r="I93" s="48"/>
      <c r="J93" s="48"/>
      <c r="K93" s="48"/>
    </row>
    <row r="94" spans="1:11" ht="18.75" x14ac:dyDescent="0.3">
      <c r="A94" s="48"/>
      <c r="B94" s="48"/>
      <c r="C94" s="48"/>
      <c r="D94" s="48"/>
      <c r="E94" s="48"/>
      <c r="F94" s="48"/>
      <c r="G94" s="48"/>
      <c r="H94" s="48"/>
      <c r="I94" s="48"/>
      <c r="J94" s="48"/>
      <c r="K94" s="48"/>
    </row>
    <row r="95" spans="1:11" ht="18.75" x14ac:dyDescent="0.3">
      <c r="A95" s="84"/>
      <c r="B95" s="85"/>
      <c r="C95" s="85"/>
      <c r="D95" s="85"/>
      <c r="E95" s="48"/>
      <c r="F95" s="48"/>
      <c r="G95" s="48"/>
      <c r="H95" s="48"/>
      <c r="I95" s="48"/>
      <c r="J95" s="49"/>
      <c r="K95" s="49"/>
    </row>
    <row r="96" spans="1:11" ht="18.75" x14ac:dyDescent="0.3">
      <c r="A96" s="48"/>
      <c r="B96" s="48"/>
      <c r="C96" s="48"/>
      <c r="D96" s="48"/>
      <c r="E96" s="48"/>
      <c r="F96" s="48"/>
      <c r="G96" s="48"/>
      <c r="H96" s="48"/>
      <c r="I96" s="48"/>
      <c r="J96" s="48"/>
      <c r="K96" s="48"/>
    </row>
    <row r="97" spans="1:11" ht="18.75" x14ac:dyDescent="0.3">
      <c r="A97" s="48"/>
      <c r="B97" s="48"/>
      <c r="C97" s="48"/>
      <c r="D97" s="48"/>
      <c r="E97" s="48"/>
      <c r="F97" s="48"/>
      <c r="G97" s="48"/>
      <c r="H97" s="48"/>
      <c r="I97" s="48"/>
      <c r="J97" s="48"/>
      <c r="K97" s="48"/>
    </row>
    <row r="98" spans="1:11" ht="18.75" x14ac:dyDescent="0.3">
      <c r="A98" s="48"/>
      <c r="B98" s="48"/>
      <c r="C98" s="48"/>
      <c r="D98" s="48"/>
      <c r="E98" s="48"/>
      <c r="F98" s="48"/>
      <c r="G98" s="48"/>
      <c r="H98" s="48"/>
      <c r="I98" s="48"/>
      <c r="J98" s="48"/>
      <c r="K98" s="48"/>
    </row>
    <row r="99" spans="1:11" ht="18.75" x14ac:dyDescent="0.3">
      <c r="A99" s="48"/>
      <c r="B99" s="48"/>
      <c r="C99" s="48"/>
      <c r="D99" s="48"/>
      <c r="E99" s="48"/>
      <c r="F99" s="48"/>
      <c r="G99" s="48"/>
      <c r="H99" s="48"/>
      <c r="I99" s="48"/>
      <c r="J99" s="48"/>
      <c r="K99" s="48"/>
    </row>
    <row r="100" spans="1:11" ht="18.75" x14ac:dyDescent="0.3">
      <c r="A100" s="48"/>
      <c r="B100" s="48"/>
      <c r="C100" s="48"/>
      <c r="D100" s="48"/>
      <c r="E100" s="48"/>
      <c r="F100" s="48"/>
      <c r="G100" s="48"/>
      <c r="H100" s="48"/>
      <c r="I100" s="48"/>
      <c r="J100" s="48"/>
      <c r="K100" s="48"/>
    </row>
    <row r="101" spans="1:11" ht="18.75" x14ac:dyDescent="0.3">
      <c r="A101" s="48"/>
      <c r="B101" s="48"/>
      <c r="C101" s="48"/>
      <c r="D101" s="48"/>
      <c r="E101" s="48"/>
      <c r="F101" s="48"/>
      <c r="G101" s="48"/>
      <c r="H101" s="48"/>
      <c r="I101" s="48"/>
      <c r="J101" s="48"/>
      <c r="K101" s="48"/>
    </row>
    <row r="102" spans="1:11" ht="18.75" x14ac:dyDescent="0.3">
      <c r="A102" s="48"/>
      <c r="B102" s="48"/>
      <c r="C102" s="48"/>
      <c r="D102" s="48"/>
      <c r="E102" s="48"/>
      <c r="F102" s="48"/>
      <c r="G102" s="48"/>
      <c r="H102" s="48"/>
      <c r="I102" s="48"/>
      <c r="J102" s="48"/>
      <c r="K102" s="48"/>
    </row>
    <row r="103" spans="1:11" ht="18.75" x14ac:dyDescent="0.3">
      <c r="A103" s="48"/>
      <c r="B103" s="48"/>
      <c r="C103" s="48"/>
      <c r="D103" s="48"/>
      <c r="E103" s="48"/>
      <c r="F103" s="48"/>
      <c r="G103" s="48"/>
      <c r="H103" s="48"/>
      <c r="I103" s="48"/>
      <c r="J103" s="48"/>
      <c r="K103" s="48"/>
    </row>
    <row r="104" spans="1:11" ht="18.75" x14ac:dyDescent="0.3">
      <c r="A104" s="48"/>
      <c r="B104" s="48"/>
      <c r="C104" s="48"/>
      <c r="D104" s="48"/>
      <c r="E104" s="48"/>
      <c r="F104" s="48"/>
      <c r="G104" s="48"/>
      <c r="H104" s="48"/>
      <c r="I104" s="48"/>
      <c r="J104" s="48"/>
      <c r="K104" s="48"/>
    </row>
    <row r="105" spans="1:11" ht="18.75" x14ac:dyDescent="0.3">
      <c r="A105" s="48"/>
      <c r="B105" s="48"/>
      <c r="C105" s="48"/>
      <c r="D105" s="48"/>
      <c r="E105" s="48"/>
      <c r="F105" s="48"/>
      <c r="G105" s="48"/>
      <c r="H105" s="48"/>
      <c r="I105" s="48"/>
      <c r="J105" s="48"/>
      <c r="K105" s="48"/>
    </row>
    <row r="106" spans="1:11" ht="18.75" x14ac:dyDescent="0.3">
      <c r="A106" s="48"/>
      <c r="B106" s="48"/>
      <c r="C106" s="48"/>
      <c r="D106" s="48"/>
      <c r="E106" s="48"/>
      <c r="F106" s="48"/>
      <c r="G106" s="48"/>
      <c r="H106" s="48"/>
      <c r="I106" s="48"/>
      <c r="J106" s="48"/>
      <c r="K106" s="48"/>
    </row>
    <row r="107" spans="1:11" ht="18.75" x14ac:dyDescent="0.3">
      <c r="A107" s="48"/>
      <c r="B107" s="48"/>
      <c r="C107" s="48"/>
      <c r="D107" s="48"/>
      <c r="E107" s="48"/>
      <c r="F107" s="48"/>
      <c r="G107" s="48"/>
      <c r="H107" s="48"/>
      <c r="I107" s="48"/>
      <c r="J107" s="48"/>
      <c r="K107" s="48"/>
    </row>
  </sheetData>
  <mergeCells count="5">
    <mergeCell ref="N5:O5"/>
    <mergeCell ref="A3:B3"/>
    <mergeCell ref="B5:E5"/>
    <mergeCell ref="G5:J5"/>
    <mergeCell ref="L5:M5"/>
  </mergeCells>
  <hyperlinks>
    <hyperlink ref="B1" location="Innhold!A1" display="Tilbake" xr:uid="{00000000-0004-0000-0300-000000000000}"/>
  </hyperlinks>
  <pageMargins left="0.70866141732283472" right="0.70866141732283472" top="0.78740157480314965" bottom="0.78740157480314965" header="0.31496062992125984" footer="0.31496062992125984"/>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1:O115"/>
  <sheetViews>
    <sheetView showGridLines="0" showZeros="0" zoomScale="70" zoomScaleNormal="70" workbookViewId="0">
      <pane xSplit="1" ySplit="7" topLeftCell="B8" activePane="bottomRight" state="frozen"/>
      <selection pane="topRight" activeCell="H73" sqref="H73"/>
      <selection pane="bottomLeft" activeCell="H73" sqref="H73"/>
      <selection pane="bottomRight" activeCell="A4" sqref="A4"/>
    </sheetView>
  </sheetViews>
  <sheetFormatPr baseColWidth="10" defaultColWidth="11.42578125" defaultRowHeight="18" x14ac:dyDescent="0.25"/>
  <cols>
    <col min="1" max="1" width="51" style="53" customWidth="1"/>
    <col min="2" max="2" width="17.85546875" style="53" bestFit="1" customWidth="1"/>
    <col min="3" max="3" width="16.7109375" style="53" customWidth="1"/>
    <col min="4" max="4" width="9.28515625" style="53" bestFit="1" customWidth="1"/>
    <col min="5" max="5" width="4.7109375" style="53" customWidth="1"/>
    <col min="6" max="7" width="16.7109375" style="53" customWidth="1"/>
    <col min="8" max="8" width="9.28515625" style="53" bestFit="1" customWidth="1"/>
    <col min="9" max="9" width="4.7109375" style="53" customWidth="1"/>
    <col min="10" max="10" width="18.7109375" style="53" customWidth="1"/>
    <col min="11" max="11" width="18" style="53" bestFit="1" customWidth="1"/>
    <col min="12" max="12" width="9.28515625" style="53" bestFit="1" customWidth="1"/>
    <col min="13" max="13" width="11.42578125" style="53"/>
    <col min="14" max="15" width="17.28515625" style="53" bestFit="1" customWidth="1"/>
    <col min="16" max="16384" width="11.42578125" style="53"/>
  </cols>
  <sheetData>
    <row r="1" spans="1:13" ht="20.25" x14ac:dyDescent="0.3">
      <c r="A1" s="52" t="s">
        <v>77</v>
      </c>
      <c r="B1" s="47" t="s">
        <v>44</v>
      </c>
      <c r="C1" s="48"/>
      <c r="D1" s="48"/>
      <c r="E1" s="48"/>
      <c r="F1" s="48"/>
      <c r="G1" s="48"/>
      <c r="H1" s="48"/>
      <c r="I1" s="48"/>
      <c r="J1" s="48"/>
      <c r="K1" s="48"/>
      <c r="L1" s="48"/>
      <c r="M1" s="48"/>
    </row>
    <row r="2" spans="1:13" ht="20.25" x14ac:dyDescent="0.3">
      <c r="A2" s="52" t="s">
        <v>122</v>
      </c>
      <c r="B2" s="47"/>
      <c r="C2" s="48"/>
      <c r="D2" s="48"/>
      <c r="E2" s="48"/>
      <c r="F2" s="48"/>
      <c r="G2" s="48"/>
      <c r="H2" s="48"/>
      <c r="I2" s="48"/>
      <c r="J2" s="48"/>
      <c r="K2" s="48"/>
      <c r="L2" s="48"/>
      <c r="M2" s="48"/>
    </row>
    <row r="3" spans="1:13" ht="18.75" x14ac:dyDescent="0.3">
      <c r="A3" s="49" t="s">
        <v>123</v>
      </c>
      <c r="B3" s="48"/>
      <c r="C3" s="48"/>
      <c r="D3" s="48"/>
      <c r="E3" s="48"/>
      <c r="F3" s="48"/>
      <c r="G3" s="48"/>
      <c r="H3" s="48"/>
      <c r="I3" s="48"/>
      <c r="J3" s="48"/>
      <c r="K3" s="48"/>
      <c r="L3" s="48"/>
      <c r="M3" s="48"/>
    </row>
    <row r="4" spans="1:13" ht="18.75" x14ac:dyDescent="0.3">
      <c r="A4" s="54" t="s">
        <v>153</v>
      </c>
      <c r="B4" s="74"/>
      <c r="C4" s="86"/>
      <c r="D4" s="87"/>
      <c r="E4" s="48"/>
      <c r="F4" s="55"/>
      <c r="G4" s="56"/>
      <c r="H4" s="57"/>
      <c r="I4" s="48"/>
      <c r="J4" s="55"/>
      <c r="K4" s="56"/>
      <c r="L4" s="57"/>
      <c r="M4" s="48"/>
    </row>
    <row r="5" spans="1:13" ht="18.75" x14ac:dyDescent="0.3">
      <c r="A5" s="88"/>
      <c r="B5" s="579" t="s">
        <v>46</v>
      </c>
      <c r="C5" s="580"/>
      <c r="D5" s="581"/>
      <c r="E5" s="61"/>
      <c r="F5" s="579" t="s">
        <v>69</v>
      </c>
      <c r="G5" s="580"/>
      <c r="H5" s="581"/>
      <c r="I5" s="89"/>
      <c r="J5" s="579" t="s">
        <v>124</v>
      </c>
      <c r="K5" s="580"/>
      <c r="L5" s="581"/>
      <c r="M5" s="48"/>
    </row>
    <row r="6" spans="1:13" ht="18.75" x14ac:dyDescent="0.3">
      <c r="A6" s="90"/>
      <c r="B6" s="91"/>
      <c r="C6" s="92"/>
      <c r="D6" s="66" t="s">
        <v>125</v>
      </c>
      <c r="E6" s="72"/>
      <c r="F6" s="91"/>
      <c r="G6" s="92"/>
      <c r="H6" s="66" t="s">
        <v>125</v>
      </c>
      <c r="I6" s="93"/>
      <c r="J6" s="91"/>
      <c r="K6" s="92"/>
      <c r="L6" s="66" t="s">
        <v>125</v>
      </c>
      <c r="M6" s="48"/>
    </row>
    <row r="7" spans="1:13" ht="18.75" x14ac:dyDescent="0.3">
      <c r="A7" s="94" t="s">
        <v>126</v>
      </c>
      <c r="B7" s="95">
        <v>2025</v>
      </c>
      <c r="C7" s="139">
        <v>2026</v>
      </c>
      <c r="D7" s="71" t="s">
        <v>87</v>
      </c>
      <c r="E7" s="72"/>
      <c r="F7" s="69">
        <v>2025</v>
      </c>
      <c r="G7" s="95">
        <v>2026</v>
      </c>
      <c r="H7" s="71" t="s">
        <v>87</v>
      </c>
      <c r="I7" s="96"/>
      <c r="J7" s="138">
        <v>2025</v>
      </c>
      <c r="K7" s="139">
        <v>2026</v>
      </c>
      <c r="L7" s="71" t="s">
        <v>87</v>
      </c>
      <c r="M7" s="48"/>
    </row>
    <row r="8" spans="1:13" ht="22.5" x14ac:dyDescent="0.3">
      <c r="A8" s="144" t="s">
        <v>127</v>
      </c>
      <c r="B8" s="179"/>
      <c r="C8" s="152"/>
      <c r="D8" s="152"/>
      <c r="E8" s="136"/>
      <c r="F8" s="152"/>
      <c r="G8" s="152"/>
      <c r="H8" s="152"/>
      <c r="I8" s="153"/>
      <c r="J8" s="152"/>
      <c r="K8" s="152"/>
      <c r="L8" s="152"/>
      <c r="M8" s="48"/>
    </row>
    <row r="9" spans="1:13" ht="18.75" x14ac:dyDescent="0.3">
      <c r="A9" s="77" t="s">
        <v>128</v>
      </c>
      <c r="B9" s="76">
        <f>'Skjema total MA'!B7</f>
        <v>2007693.8526482559</v>
      </c>
      <c r="C9" s="76">
        <f>'Skjema total MA'!C7</f>
        <v>2099019.4950461169</v>
      </c>
      <c r="D9" s="180">
        <f>IF(B9=0, "    ---- ", IF(ABS(ROUND(100/B9*C9-100,1))&lt;999,ROUND(100/B9*C9-100,1),IF(ROUND(100/B9*C9-100,1)&gt;999,999,-999)))</f>
        <v>4.5</v>
      </c>
      <c r="E9" s="136"/>
      <c r="F9" s="147">
        <f>'Skjema total MA'!E7</f>
        <v>2988485.3559699999</v>
      </c>
      <c r="G9" s="147">
        <f>'Skjema total MA'!F7</f>
        <v>3757879.6639300003</v>
      </c>
      <c r="H9" s="180">
        <f>IF(F9=0, "    ---- ", IF(ABS(ROUND(100/F9*G9-100,1))&lt;999,ROUND(100/F9*G9-100,1),IF(ROUND(100/F9*G9-100,1)&gt;999,999,-999)))</f>
        <v>25.7</v>
      </c>
      <c r="I9" s="136"/>
      <c r="J9" s="147">
        <f t="shared" ref="J9:K60" si="0">SUM(B9+F9)</f>
        <v>4996179.2086182553</v>
      </c>
      <c r="K9" s="147">
        <f t="shared" si="0"/>
        <v>5856899.1589761171</v>
      </c>
      <c r="L9" s="178">
        <f>IF(J9=0, "    ---- ", IF(ABS(ROUND(100/J9*K9-100,1))&lt;999,ROUND(100/J9*K9-100,1),IF(ROUND(100/J9*K9-100,1)&gt;999,999,-999)))</f>
        <v>17.2</v>
      </c>
      <c r="M9" s="48"/>
    </row>
    <row r="10" spans="1:13" ht="18.75" x14ac:dyDescent="0.3">
      <c r="A10" s="77" t="s">
        <v>129</v>
      </c>
      <c r="B10" s="76">
        <f>'Skjema total MA'!B22</f>
        <v>992677.89621248806</v>
      </c>
      <c r="C10" s="76">
        <f>'Skjema total MA'!C22</f>
        <v>1078054.3328327956</v>
      </c>
      <c r="D10" s="180">
        <f t="shared" ref="D10:D17" si="1">IF(B10=0, "    ---- ", IF(ABS(ROUND(100/B10*C10-100,1))&lt;999,ROUND(100/B10*C10-100,1),IF(ROUND(100/B10*C10-100,1)&gt;999,999,-999)))</f>
        <v>8.6</v>
      </c>
      <c r="E10" s="136"/>
      <c r="F10" s="147">
        <f>'Skjema total MA'!E22</f>
        <v>287527.38150000002</v>
      </c>
      <c r="G10" s="147">
        <f>'Skjema total MA'!F22</f>
        <v>446345.47116999998</v>
      </c>
      <c r="H10" s="180">
        <f t="shared" ref="H10:H57" si="2">IF(F10=0, "    ---- ", IF(ABS(ROUND(100/F10*G10-100,1))&lt;999,ROUND(100/F10*G10-100,1),IF(ROUND(100/F10*G10-100,1)&gt;999,999,-999)))</f>
        <v>55.2</v>
      </c>
      <c r="I10" s="136"/>
      <c r="J10" s="147">
        <f t="shared" si="0"/>
        <v>1280205.2777124881</v>
      </c>
      <c r="K10" s="147">
        <f t="shared" si="0"/>
        <v>1524399.8040027956</v>
      </c>
      <c r="L10" s="178">
        <f t="shared" ref="L10:L60" si="3">IF(J10=0, "    ---- ", IF(ABS(ROUND(100/J10*K10-100,1))&lt;999,ROUND(100/J10*K10-100,1),IF(ROUND(100/J10*K10-100,1)&gt;999,999,-999)))</f>
        <v>19.100000000000001</v>
      </c>
      <c r="M10" s="48"/>
    </row>
    <row r="11" spans="1:13" ht="18.75" x14ac:dyDescent="0.3">
      <c r="A11" s="77" t="s">
        <v>130</v>
      </c>
      <c r="B11" s="76">
        <f>'Skjema total MA'!B47</f>
        <v>4431215.9310300006</v>
      </c>
      <c r="C11" s="76">
        <f>'Skjema total MA'!C47</f>
        <v>5034421.2459500004</v>
      </c>
      <c r="D11" s="180">
        <f t="shared" si="1"/>
        <v>13.6</v>
      </c>
      <c r="E11" s="136"/>
      <c r="F11" s="147"/>
      <c r="G11" s="147"/>
      <c r="H11" s="180"/>
      <c r="I11" s="136"/>
      <c r="J11" s="147">
        <f t="shared" si="0"/>
        <v>4431215.9310300006</v>
      </c>
      <c r="K11" s="147">
        <f t="shared" si="0"/>
        <v>5034421.2459500004</v>
      </c>
      <c r="L11" s="178">
        <f t="shared" si="3"/>
        <v>13.6</v>
      </c>
      <c r="M11" s="48"/>
    </row>
    <row r="12" spans="1:13" ht="18.75" x14ac:dyDescent="0.3">
      <c r="A12" s="77" t="s">
        <v>131</v>
      </c>
      <c r="B12" s="76">
        <f>'Skjema total MA'!B66</f>
        <v>2945251.8256099997</v>
      </c>
      <c r="C12" s="76">
        <f>'Skjema total MA'!C66</f>
        <v>3039821.6262999997</v>
      </c>
      <c r="D12" s="180">
        <f t="shared" si="1"/>
        <v>3.2</v>
      </c>
      <c r="E12" s="136"/>
      <c r="F12" s="147">
        <f>'Skjema total MA'!E66</f>
        <v>14574699.89064</v>
      </c>
      <c r="G12" s="147">
        <f>'Skjema total MA'!F66</f>
        <v>15220599.516379999</v>
      </c>
      <c r="H12" s="180">
        <f t="shared" si="2"/>
        <v>4.4000000000000004</v>
      </c>
      <c r="I12" s="136"/>
      <c r="J12" s="147">
        <f t="shared" si="0"/>
        <v>17519951.716249999</v>
      </c>
      <c r="K12" s="147">
        <f t="shared" si="0"/>
        <v>18260421.142679997</v>
      </c>
      <c r="L12" s="178">
        <f t="shared" si="3"/>
        <v>4.2</v>
      </c>
      <c r="M12" s="48"/>
    </row>
    <row r="13" spans="1:13" ht="18.75" x14ac:dyDescent="0.3">
      <c r="A13" s="77" t="s">
        <v>132</v>
      </c>
      <c r="B13" s="76">
        <f>'Skjema total MA'!B68</f>
        <v>8248.00252</v>
      </c>
      <c r="C13" s="76">
        <f>'Skjema total MA'!C68</f>
        <v>4535.4735199999996</v>
      </c>
      <c r="D13" s="180">
        <f t="shared" si="1"/>
        <v>-45</v>
      </c>
      <c r="E13" s="136"/>
      <c r="F13" s="147">
        <f>'Skjema total MA'!E68</f>
        <v>14040757.27189</v>
      </c>
      <c r="G13" s="147">
        <f>'Skjema total MA'!F68</f>
        <v>14665715.196029998</v>
      </c>
      <c r="H13" s="180">
        <f t="shared" si="2"/>
        <v>4.5</v>
      </c>
      <c r="I13" s="136"/>
      <c r="J13" s="147">
        <f t="shared" si="0"/>
        <v>14049005.27441</v>
      </c>
      <c r="K13" s="147">
        <f t="shared" si="0"/>
        <v>14670250.669549998</v>
      </c>
      <c r="L13" s="178">
        <f t="shared" si="3"/>
        <v>4.4000000000000004</v>
      </c>
      <c r="M13" s="48"/>
    </row>
    <row r="14" spans="1:13" s="100" customFormat="1" ht="18.75" x14ac:dyDescent="0.3">
      <c r="A14" s="145" t="s">
        <v>133</v>
      </c>
      <c r="B14" s="99">
        <f>'Skjema total MA'!B75+'Skjema total MA'!B76</f>
        <v>1106397.0180926381</v>
      </c>
      <c r="C14" s="99">
        <f>'Skjema total MA'!C75+'Skjema total MA'!C76</f>
        <v>1329040.0757054249</v>
      </c>
      <c r="D14" s="180">
        <f t="shared" si="1"/>
        <v>20.100000000000001</v>
      </c>
      <c r="E14" s="137"/>
      <c r="F14" s="148">
        <f>'Skjema total MA'!E75+'Skjema total MA'!E76</f>
        <v>533942.61875000002</v>
      </c>
      <c r="G14" s="148">
        <f>'Skjema total MA'!F75+'Skjema total MA'!F76</f>
        <v>554884.32034999994</v>
      </c>
      <c r="H14" s="180">
        <f t="shared" si="2"/>
        <v>3.9</v>
      </c>
      <c r="I14" s="137"/>
      <c r="J14" s="147">
        <f t="shared" si="0"/>
        <v>1640339.6368426383</v>
      </c>
      <c r="K14" s="147">
        <f t="shared" si="0"/>
        <v>1883924.3960554248</v>
      </c>
      <c r="L14" s="178">
        <f t="shared" si="3"/>
        <v>14.8</v>
      </c>
      <c r="M14" s="50"/>
    </row>
    <row r="15" spans="1:13" ht="22.5" x14ac:dyDescent="0.3">
      <c r="A15" s="77" t="s">
        <v>134</v>
      </c>
      <c r="B15" s="76">
        <f>'Skjema total MA'!B134</f>
        <v>9379924.6689600013</v>
      </c>
      <c r="C15" s="76">
        <f>'Skjema total MA'!C134</f>
        <v>9894732.5936399996</v>
      </c>
      <c r="D15" s="180">
        <f t="shared" si="1"/>
        <v>5.5</v>
      </c>
      <c r="E15" s="136"/>
      <c r="F15" s="147">
        <f>'Skjema total MA'!E134</f>
        <v>20929.275000000001</v>
      </c>
      <c r="G15" s="147">
        <f>'Skjema total MA'!F134</f>
        <v>30212.771000000001</v>
      </c>
      <c r="H15" s="180">
        <f t="shared" si="2"/>
        <v>44.4</v>
      </c>
      <c r="I15" s="136"/>
      <c r="J15" s="147">
        <f t="shared" si="0"/>
        <v>9400853.9439600017</v>
      </c>
      <c r="K15" s="147">
        <f t="shared" si="0"/>
        <v>9924945.3646399993</v>
      </c>
      <c r="L15" s="178">
        <f t="shared" si="3"/>
        <v>5.6</v>
      </c>
      <c r="M15" s="48"/>
    </row>
    <row r="16" spans="1:13" ht="18.75" x14ac:dyDescent="0.3">
      <c r="A16" s="77" t="s">
        <v>135</v>
      </c>
      <c r="B16" s="76">
        <f>'Skjema total MA'!B36</f>
        <v>607</v>
      </c>
      <c r="C16" s="76">
        <f>'Skjema total MA'!C36</f>
        <v>437.42599999999999</v>
      </c>
      <c r="D16" s="180">
        <f t="shared" si="1"/>
        <v>-27.9</v>
      </c>
      <c r="E16" s="136"/>
      <c r="F16" s="147"/>
      <c r="G16" s="147"/>
      <c r="H16" s="180"/>
      <c r="I16" s="136"/>
      <c r="J16" s="147">
        <f t="shared" si="0"/>
        <v>607</v>
      </c>
      <c r="K16" s="147">
        <f t="shared" si="0"/>
        <v>437.42599999999999</v>
      </c>
      <c r="L16" s="178">
        <f t="shared" si="3"/>
        <v>-27.9</v>
      </c>
      <c r="M16" s="48"/>
    </row>
    <row r="17" spans="1:15" s="102" customFormat="1" ht="18.75" customHeight="1" x14ac:dyDescent="0.3">
      <c r="A17" s="103" t="s">
        <v>136</v>
      </c>
      <c r="B17" s="79">
        <f>'Tabel 1.1'!B32</f>
        <v>19757371.174460743</v>
      </c>
      <c r="C17" s="149">
        <f>'Tabel 1.1'!C32</f>
        <v>21146486.719768908</v>
      </c>
      <c r="D17" s="180">
        <f t="shared" si="1"/>
        <v>7</v>
      </c>
      <c r="E17" s="104"/>
      <c r="F17" s="149">
        <f>'Tabel 1.1'!B41</f>
        <v>17871641.903109998</v>
      </c>
      <c r="G17" s="149">
        <f>'Tabel 1.1'!C41</f>
        <v>19455037.422480002</v>
      </c>
      <c r="H17" s="180">
        <f t="shared" si="2"/>
        <v>8.9</v>
      </c>
      <c r="I17" s="104"/>
      <c r="J17" s="149">
        <f t="shared" si="0"/>
        <v>37629013.077570736</v>
      </c>
      <c r="K17" s="149">
        <f t="shared" si="0"/>
        <v>40601524.142248914</v>
      </c>
      <c r="L17" s="178">
        <f t="shared" si="3"/>
        <v>7.9</v>
      </c>
      <c r="M17" s="49"/>
      <c r="N17" s="101"/>
      <c r="O17" s="101"/>
    </row>
    <row r="18" spans="1:15" ht="18.75" customHeight="1" x14ac:dyDescent="0.3">
      <c r="A18" s="103"/>
      <c r="B18" s="76"/>
      <c r="C18" s="147"/>
      <c r="D18" s="147"/>
      <c r="E18" s="136"/>
      <c r="F18" s="147"/>
      <c r="G18" s="147"/>
      <c r="H18" s="180"/>
      <c r="I18" s="136"/>
      <c r="J18" s="147"/>
      <c r="K18" s="147"/>
      <c r="L18" s="178"/>
      <c r="M18" s="48"/>
    </row>
    <row r="19" spans="1:15" ht="18.75" customHeight="1" x14ac:dyDescent="0.3">
      <c r="A19" s="144" t="s">
        <v>137</v>
      </c>
      <c r="B19" s="151"/>
      <c r="C19" s="154"/>
      <c r="D19" s="147"/>
      <c r="E19" s="136"/>
      <c r="F19" s="154"/>
      <c r="G19" s="154"/>
      <c r="H19" s="180"/>
      <c r="I19" s="136"/>
      <c r="J19" s="147"/>
      <c r="K19" s="147"/>
      <c r="L19" s="178"/>
      <c r="M19" s="48"/>
    </row>
    <row r="20" spans="1:15" ht="18.75" customHeight="1" x14ac:dyDescent="0.3">
      <c r="A20" s="77" t="s">
        <v>128</v>
      </c>
      <c r="B20" s="76">
        <f>'Skjema total MA'!B10</f>
        <v>12653191.192621982</v>
      </c>
      <c r="C20" s="76">
        <f>'Skjema total MA'!C10</f>
        <v>12775939.877392391</v>
      </c>
      <c r="D20" s="180">
        <f>IF(B20=0, "    ---- ", IF(ABS(ROUND(100/B20*C20-100,1))&lt;999,ROUND(100/B20*C20-100,1),IF(ROUND(100/B20*C20-100,1)&gt;999,999,-999)))</f>
        <v>1</v>
      </c>
      <c r="E20" s="136"/>
      <c r="F20" s="147">
        <f>'Skjema total MA'!E10</f>
        <v>94510190.04756251</v>
      </c>
      <c r="G20" s="147">
        <f>'Skjema total MA'!F10</f>
        <v>107676074.62078729</v>
      </c>
      <c r="H20" s="180">
        <f t="shared" si="2"/>
        <v>13.9</v>
      </c>
      <c r="I20" s="136"/>
      <c r="J20" s="147">
        <f t="shared" si="0"/>
        <v>107163381.24018449</v>
      </c>
      <c r="K20" s="147">
        <f t="shared" si="0"/>
        <v>120452014.49817969</v>
      </c>
      <c r="L20" s="178">
        <f t="shared" si="3"/>
        <v>12.4</v>
      </c>
      <c r="M20" s="48"/>
    </row>
    <row r="21" spans="1:15" ht="18.75" customHeight="1" x14ac:dyDescent="0.3">
      <c r="A21" s="77" t="s">
        <v>129</v>
      </c>
      <c r="B21" s="76">
        <f>'Skjema total MA'!B29</f>
        <v>44006076.134077512</v>
      </c>
      <c r="C21" s="76">
        <f>'Skjema total MA'!C29</f>
        <v>44504845.872325547</v>
      </c>
      <c r="D21" s="180">
        <f t="shared" ref="D21:D27" si="4">IF(B21=0, "    ---- ", IF(ABS(ROUND(100/B21*C21-100,1))&lt;999,ROUND(100/B21*C21-100,1),IF(ROUND(100/B21*C21-100,1)&gt;999,999,-999)))</f>
        <v>1.1000000000000001</v>
      </c>
      <c r="E21" s="136"/>
      <c r="F21" s="147">
        <f>'Skjema total MA'!E29</f>
        <v>28605602.015649192</v>
      </c>
      <c r="G21" s="147">
        <f>'Skjema total MA'!F29</f>
        <v>31182335.228054419</v>
      </c>
      <c r="H21" s="180">
        <f t="shared" si="2"/>
        <v>9</v>
      </c>
      <c r="I21" s="136"/>
      <c r="J21" s="147">
        <f t="shared" si="0"/>
        <v>72611678.149726704</v>
      </c>
      <c r="K21" s="147">
        <f t="shared" si="0"/>
        <v>75687181.100379974</v>
      </c>
      <c r="L21" s="178">
        <f t="shared" si="3"/>
        <v>4.2</v>
      </c>
      <c r="M21" s="48"/>
    </row>
    <row r="22" spans="1:15" ht="18.75" x14ac:dyDescent="0.3">
      <c r="A22" s="77" t="s">
        <v>131</v>
      </c>
      <c r="B22" s="76">
        <f>'Skjema total MA'!B87</f>
        <v>406587314.16967237</v>
      </c>
      <c r="C22" s="76">
        <f>'Skjema total MA'!C87</f>
        <v>414599950.62831992</v>
      </c>
      <c r="D22" s="180">
        <f t="shared" si="4"/>
        <v>2</v>
      </c>
      <c r="E22" s="136"/>
      <c r="F22" s="147">
        <f>'Skjema total MA'!E87</f>
        <v>665340565.92370605</v>
      </c>
      <c r="G22" s="147">
        <f>'Skjema total MA'!F87</f>
        <v>794755365.11502802</v>
      </c>
      <c r="H22" s="180">
        <f t="shared" si="2"/>
        <v>19.5</v>
      </c>
      <c r="I22" s="136"/>
      <c r="J22" s="147">
        <f t="shared" si="0"/>
        <v>1071927880.0933784</v>
      </c>
      <c r="K22" s="147">
        <f t="shared" si="0"/>
        <v>1209355315.7433479</v>
      </c>
      <c r="L22" s="178">
        <f t="shared" si="3"/>
        <v>12.8</v>
      </c>
      <c r="M22" s="48"/>
    </row>
    <row r="23" spans="1:15" ht="22.5" x14ac:dyDescent="0.3">
      <c r="A23" s="77" t="s">
        <v>138</v>
      </c>
      <c r="B23" s="76">
        <f>'Skjema total MA'!B89</f>
        <v>2369244.5086599998</v>
      </c>
      <c r="C23" s="76">
        <f>'Skjema total MA'!C89</f>
        <v>4235867.1137095941</v>
      </c>
      <c r="D23" s="180">
        <f t="shared" si="4"/>
        <v>78.8</v>
      </c>
      <c r="E23" s="136"/>
      <c r="F23" s="147">
        <f>'Skjema total MA'!E89</f>
        <v>655108168.52648604</v>
      </c>
      <c r="G23" s="147">
        <f>'Skjema total MA'!F89</f>
        <v>781900269.66406798</v>
      </c>
      <c r="H23" s="180">
        <f t="shared" si="2"/>
        <v>19.399999999999999</v>
      </c>
      <c r="I23" s="136"/>
      <c r="J23" s="147">
        <f t="shared" si="0"/>
        <v>657477413.035146</v>
      </c>
      <c r="K23" s="147">
        <f t="shared" si="0"/>
        <v>786136136.77777755</v>
      </c>
      <c r="L23" s="178">
        <f t="shared" si="3"/>
        <v>19.600000000000001</v>
      </c>
      <c r="M23" s="48"/>
    </row>
    <row r="24" spans="1:15" ht="18.75" x14ac:dyDescent="0.3">
      <c r="A24" s="145" t="s">
        <v>133</v>
      </c>
      <c r="B24" s="76">
        <f>'Skjema total MA'!B96+'Skjema total MA'!B97</f>
        <v>19970825.652520001</v>
      </c>
      <c r="C24" s="76">
        <f>'Skjema total MA'!C96+'Skjema total MA'!C97</f>
        <v>23624914.074720003</v>
      </c>
      <c r="D24" s="180">
        <f t="shared" si="4"/>
        <v>18.3</v>
      </c>
      <c r="E24" s="136"/>
      <c r="F24" s="147">
        <f>'Skjema total MA'!E96+'Skjema total MA'!E97</f>
        <v>10232397.397220001</v>
      </c>
      <c r="G24" s="147">
        <f>'Skjema total MA'!F96+'Skjema total MA'!F97</f>
        <v>12855095.450959999</v>
      </c>
      <c r="H24" s="180">
        <f t="shared" si="2"/>
        <v>25.6</v>
      </c>
      <c r="I24" s="136"/>
      <c r="J24" s="147">
        <f t="shared" si="0"/>
        <v>30203223.049740002</v>
      </c>
      <c r="K24" s="147">
        <f t="shared" si="0"/>
        <v>36480009.525680006</v>
      </c>
      <c r="L24" s="178">
        <f t="shared" si="3"/>
        <v>20.8</v>
      </c>
      <c r="M24" s="48"/>
    </row>
    <row r="25" spans="1:15" ht="22.5" x14ac:dyDescent="0.3">
      <c r="A25" s="77" t="s">
        <v>134</v>
      </c>
      <c r="B25" s="76">
        <f>'Skjema total MA'!B135</f>
        <v>920369575.27947998</v>
      </c>
      <c r="C25" s="76">
        <f>'Skjema total MA'!C135</f>
        <v>1011167882.8414201</v>
      </c>
      <c r="D25" s="180">
        <f t="shared" si="4"/>
        <v>9.9</v>
      </c>
      <c r="E25" s="136"/>
      <c r="F25" s="147">
        <f>'Skjema total MA'!E135</f>
        <v>2888738.0707899998</v>
      </c>
      <c r="G25" s="147">
        <f>'Skjema total MA'!F135</f>
        <v>2410575.5415099999</v>
      </c>
      <c r="H25" s="180">
        <f t="shared" si="2"/>
        <v>-16.600000000000001</v>
      </c>
      <c r="I25" s="136"/>
      <c r="J25" s="147">
        <f t="shared" si="0"/>
        <v>923258313.35027003</v>
      </c>
      <c r="K25" s="147">
        <f t="shared" si="0"/>
        <v>1013578458.38293</v>
      </c>
      <c r="L25" s="178">
        <f t="shared" si="3"/>
        <v>9.8000000000000007</v>
      </c>
      <c r="M25" s="48"/>
    </row>
    <row r="26" spans="1:15" ht="18.75" x14ac:dyDescent="0.3">
      <c r="A26" s="77" t="s">
        <v>135</v>
      </c>
      <c r="B26" s="76">
        <f>'Skjema total MA'!B37</f>
        <v>2445944.2662300002</v>
      </c>
      <c r="C26" s="76">
        <f>'Skjema total MA'!C37</f>
        <v>2282179.75560768</v>
      </c>
      <c r="D26" s="180">
        <f t="shared" si="4"/>
        <v>-6.7</v>
      </c>
      <c r="E26" s="136"/>
      <c r="F26" s="147"/>
      <c r="G26" s="147"/>
      <c r="H26" s="180"/>
      <c r="I26" s="136"/>
      <c r="J26" s="147">
        <f t="shared" si="0"/>
        <v>2445944.2662300002</v>
      </c>
      <c r="K26" s="147">
        <f t="shared" si="0"/>
        <v>2282179.75560768</v>
      </c>
      <c r="L26" s="178">
        <f t="shared" si="3"/>
        <v>-6.7</v>
      </c>
      <c r="M26" s="48"/>
    </row>
    <row r="27" spans="1:15" s="102" customFormat="1" ht="18.75" x14ac:dyDescent="0.3">
      <c r="A27" s="103" t="s">
        <v>139</v>
      </c>
      <c r="B27" s="79">
        <f>'Tabel 1.1'!G32</f>
        <v>1386062101.0420818</v>
      </c>
      <c r="C27" s="149">
        <f>'Tabel 1.1'!H32</f>
        <v>1485330798.9750657</v>
      </c>
      <c r="D27" s="180">
        <f t="shared" si="4"/>
        <v>7.2</v>
      </c>
      <c r="E27" s="104"/>
      <c r="F27" s="149">
        <f>'Tabel 1.1'!G41</f>
        <v>791345096.05770779</v>
      </c>
      <c r="G27" s="149">
        <f>'Tabel 1.1'!H41</f>
        <v>936024350.50537968</v>
      </c>
      <c r="H27" s="180">
        <f t="shared" si="2"/>
        <v>18.3</v>
      </c>
      <c r="I27" s="104"/>
      <c r="J27" s="149">
        <f t="shared" si="0"/>
        <v>2177407197.0997896</v>
      </c>
      <c r="K27" s="149">
        <f t="shared" si="0"/>
        <v>2421355149.4804454</v>
      </c>
      <c r="L27" s="178">
        <f t="shared" si="3"/>
        <v>11.2</v>
      </c>
      <c r="M27" s="49"/>
      <c r="N27" s="101"/>
      <c r="O27" s="101"/>
    </row>
    <row r="28" spans="1:15" ht="18.75" x14ac:dyDescent="0.3">
      <c r="A28" s="103"/>
      <c r="B28" s="76"/>
      <c r="C28" s="147"/>
      <c r="D28" s="180"/>
      <c r="E28" s="136"/>
      <c r="F28" s="147"/>
      <c r="G28" s="147"/>
      <c r="H28" s="180"/>
      <c r="I28" s="136"/>
      <c r="J28" s="147">
        <f t="shared" si="0"/>
        <v>0</v>
      </c>
      <c r="K28" s="147">
        <f t="shared" si="0"/>
        <v>0</v>
      </c>
      <c r="L28" s="178"/>
      <c r="M28" s="48"/>
    </row>
    <row r="29" spans="1:15" ht="22.5" x14ac:dyDescent="0.3">
      <c r="A29" s="144" t="s">
        <v>140</v>
      </c>
      <c r="B29" s="151"/>
      <c r="C29" s="154"/>
      <c r="D29" s="147"/>
      <c r="E29" s="136"/>
      <c r="F29" s="147"/>
      <c r="G29" s="147"/>
      <c r="H29" s="180"/>
      <c r="I29" s="136"/>
      <c r="J29" s="147"/>
      <c r="K29" s="147"/>
      <c r="L29" s="178"/>
      <c r="M29" s="48"/>
    </row>
    <row r="30" spans="1:15" ht="18.75" x14ac:dyDescent="0.3">
      <c r="A30" s="77" t="s">
        <v>128</v>
      </c>
      <c r="B30" s="76"/>
      <c r="C30" s="76"/>
      <c r="D30" s="180"/>
      <c r="E30" s="136"/>
      <c r="F30" s="147">
        <f>'Skjema total MA'!E11</f>
        <v>162532.77116999999</v>
      </c>
      <c r="G30" s="147">
        <f>'Skjema total MA'!F11</f>
        <v>106958.19328999998</v>
      </c>
      <c r="H30" s="180">
        <f t="shared" si="2"/>
        <v>-34.200000000000003</v>
      </c>
      <c r="I30" s="136"/>
      <c r="J30" s="147">
        <f t="shared" si="0"/>
        <v>162532.77116999999</v>
      </c>
      <c r="K30" s="147">
        <f t="shared" si="0"/>
        <v>106958.19328999998</v>
      </c>
      <c r="L30" s="178">
        <f t="shared" si="3"/>
        <v>-34.200000000000003</v>
      </c>
      <c r="M30" s="48"/>
    </row>
    <row r="31" spans="1:15" ht="18.75" x14ac:dyDescent="0.3">
      <c r="A31" s="77" t="s">
        <v>129</v>
      </c>
      <c r="B31" s="76">
        <f>'Skjema total MA'!B34</f>
        <v>5797.2493300000006</v>
      </c>
      <c r="C31" s="76">
        <f>'Skjema total MA'!C34</f>
        <v>4326.7759999999998</v>
      </c>
      <c r="D31" s="180">
        <f t="shared" ref="D31:D38" si="5">IF(B31=0, "    ---- ", IF(ABS(ROUND(100/B31*C31-100,1))&lt;999,ROUND(100/B31*C31-100,1),IF(ROUND(100/B31*C31-100,1)&gt;999,999,-999)))</f>
        <v>-25.4</v>
      </c>
      <c r="E31" s="136"/>
      <c r="F31" s="147">
        <f>'Skjema total MA'!E34</f>
        <v>-104367.89246</v>
      </c>
      <c r="G31" s="147">
        <f>'Skjema total MA'!F34</f>
        <v>78329.192170000009</v>
      </c>
      <c r="H31" s="180">
        <f t="shared" si="2"/>
        <v>-175.1</v>
      </c>
      <c r="I31" s="136"/>
      <c r="J31" s="147">
        <f t="shared" si="0"/>
        <v>-98570.643129999997</v>
      </c>
      <c r="K31" s="147">
        <f t="shared" si="0"/>
        <v>82655.968170000007</v>
      </c>
      <c r="L31" s="178">
        <f t="shared" si="3"/>
        <v>-183.9</v>
      </c>
      <c r="M31" s="48"/>
    </row>
    <row r="32" spans="1:15" ht="18.75" x14ac:dyDescent="0.3">
      <c r="A32" s="77" t="s">
        <v>131</v>
      </c>
      <c r="B32" s="76">
        <f>'Skjema total MA'!B111</f>
        <v>1135493.62424</v>
      </c>
      <c r="C32" s="76">
        <f>'Skjema total MA'!C111</f>
        <v>299574.75540000002</v>
      </c>
      <c r="D32" s="180">
        <f t="shared" si="5"/>
        <v>-73.599999999999994</v>
      </c>
      <c r="E32" s="136"/>
      <c r="F32" s="147">
        <f>'Skjema total MA'!E111</f>
        <v>19977944.200959999</v>
      </c>
      <c r="G32" s="147">
        <f>'Skjema total MA'!F111</f>
        <v>24119223.99368</v>
      </c>
      <c r="H32" s="180">
        <f t="shared" si="2"/>
        <v>20.7</v>
      </c>
      <c r="I32" s="136"/>
      <c r="J32" s="147">
        <f t="shared" si="0"/>
        <v>21113437.825199999</v>
      </c>
      <c r="K32" s="147">
        <f t="shared" si="0"/>
        <v>24418798.749079999</v>
      </c>
      <c r="L32" s="178">
        <f t="shared" si="3"/>
        <v>15.7</v>
      </c>
      <c r="M32" s="48"/>
    </row>
    <row r="33" spans="1:15" ht="22.5" x14ac:dyDescent="0.3">
      <c r="A33" s="77" t="s">
        <v>134</v>
      </c>
      <c r="B33" s="76">
        <f>'Skjema total MA'!B136</f>
        <v>3241225.6810000003</v>
      </c>
      <c r="C33" s="76">
        <f>'Skjema total MA'!C136</f>
        <v>3412565.5005900003</v>
      </c>
      <c r="D33" s="180">
        <f t="shared" si="5"/>
        <v>5.3</v>
      </c>
      <c r="E33" s="136"/>
      <c r="F33" s="147">
        <f>'Skjema total MA'!E136</f>
        <v>0</v>
      </c>
      <c r="G33" s="147">
        <f>'Skjema total MA'!F136</f>
        <v>-516456.22738</v>
      </c>
      <c r="H33" s="180" t="str">
        <f t="shared" si="2"/>
        <v xml:space="preserve">    ---- </v>
      </c>
      <c r="I33" s="136"/>
      <c r="J33" s="147">
        <f t="shared" si="0"/>
        <v>3241225.6810000003</v>
      </c>
      <c r="K33" s="147">
        <f t="shared" si="0"/>
        <v>2896109.2732100002</v>
      </c>
      <c r="L33" s="178">
        <f t="shared" si="3"/>
        <v>-10.6</v>
      </c>
      <c r="M33" s="48"/>
    </row>
    <row r="34" spans="1:15" ht="18.75" x14ac:dyDescent="0.3">
      <c r="A34" s="77" t="s">
        <v>135</v>
      </c>
      <c r="B34" s="76"/>
      <c r="C34" s="76"/>
      <c r="D34" s="180"/>
      <c r="E34" s="136"/>
      <c r="F34" s="147"/>
      <c r="G34" s="147"/>
      <c r="H34" s="180"/>
      <c r="I34" s="136"/>
      <c r="J34" s="147"/>
      <c r="K34" s="147"/>
      <c r="L34" s="178"/>
      <c r="M34" s="48"/>
    </row>
    <row r="35" spans="1:15" s="102" customFormat="1" ht="18.75" x14ac:dyDescent="0.3">
      <c r="A35" s="103" t="s">
        <v>141</v>
      </c>
      <c r="B35" s="79">
        <f>SUM(B30:B34)</f>
        <v>4382516.5545700006</v>
      </c>
      <c r="C35" s="149">
        <f>SUM(C30:C34)</f>
        <v>3716467.0319900005</v>
      </c>
      <c r="D35" s="180">
        <f t="shared" si="5"/>
        <v>-15.2</v>
      </c>
      <c r="E35" s="104"/>
      <c r="F35" s="149">
        <f>SUM(F30:F34)</f>
        <v>20036109.079670001</v>
      </c>
      <c r="G35" s="149">
        <f>SUM(G30:G34)</f>
        <v>23788055.151760001</v>
      </c>
      <c r="H35" s="180">
        <f t="shared" si="2"/>
        <v>18.7</v>
      </c>
      <c r="I35" s="104"/>
      <c r="J35" s="149">
        <f t="shared" si="0"/>
        <v>24418625.634240001</v>
      </c>
      <c r="K35" s="149">
        <f t="shared" si="0"/>
        <v>27504522.18375</v>
      </c>
      <c r="L35" s="178">
        <f t="shared" si="3"/>
        <v>12.6</v>
      </c>
      <c r="M35" s="49"/>
    </row>
    <row r="36" spans="1:15" ht="18.75" x14ac:dyDescent="0.3">
      <c r="A36" s="103"/>
      <c r="B36" s="79"/>
      <c r="C36" s="149"/>
      <c r="D36" s="180"/>
      <c r="E36" s="104"/>
      <c r="F36" s="149"/>
      <c r="G36" s="149"/>
      <c r="H36" s="180"/>
      <c r="I36" s="104"/>
      <c r="J36" s="147"/>
      <c r="K36" s="147"/>
      <c r="L36" s="178"/>
      <c r="M36" s="48"/>
    </row>
    <row r="37" spans="1:15" ht="22.5" x14ac:dyDescent="0.3">
      <c r="A37" s="103" t="s">
        <v>142</v>
      </c>
      <c r="B37" s="79"/>
      <c r="C37" s="149"/>
      <c r="D37" s="147"/>
      <c r="E37" s="104"/>
      <c r="F37" s="149"/>
      <c r="G37" s="149"/>
      <c r="H37" s="180"/>
      <c r="I37" s="104"/>
      <c r="J37" s="147"/>
      <c r="K37" s="147"/>
      <c r="L37" s="178"/>
      <c r="M37" s="48"/>
    </row>
    <row r="38" spans="1:15" s="102" customFormat="1" ht="18.75" x14ac:dyDescent="0.3">
      <c r="A38" s="103" t="s">
        <v>130</v>
      </c>
      <c r="B38" s="79">
        <f>'Skjema total MA'!B53</f>
        <v>182062.962</v>
      </c>
      <c r="C38" s="79">
        <f>'Skjema total MA'!C53</f>
        <v>118391.601</v>
      </c>
      <c r="D38" s="180">
        <f t="shared" si="5"/>
        <v>-35</v>
      </c>
      <c r="E38" s="104"/>
      <c r="F38" s="149"/>
      <c r="G38" s="149"/>
      <c r="H38" s="180"/>
      <c r="I38" s="104"/>
      <c r="J38" s="149">
        <f t="shared" si="0"/>
        <v>182062.962</v>
      </c>
      <c r="K38" s="149">
        <f t="shared" si="0"/>
        <v>118391.601</v>
      </c>
      <c r="L38" s="178">
        <f t="shared" si="3"/>
        <v>-35</v>
      </c>
      <c r="M38" s="49"/>
    </row>
    <row r="39" spans="1:15" ht="18.75" x14ac:dyDescent="0.3">
      <c r="A39" s="103"/>
      <c r="B39" s="79"/>
      <c r="C39" s="149"/>
      <c r="D39" s="147"/>
      <c r="E39" s="104"/>
      <c r="F39" s="149"/>
      <c r="G39" s="149"/>
      <c r="H39" s="180"/>
      <c r="I39" s="104"/>
      <c r="J39" s="147"/>
      <c r="K39" s="147"/>
      <c r="L39" s="178"/>
      <c r="M39" s="48"/>
    </row>
    <row r="40" spans="1:15" ht="22.5" x14ac:dyDescent="0.3">
      <c r="A40" s="144" t="s">
        <v>143</v>
      </c>
      <c r="B40" s="151"/>
      <c r="C40" s="154"/>
      <c r="D40" s="147"/>
      <c r="E40" s="136"/>
      <c r="F40" s="147"/>
      <c r="G40" s="147"/>
      <c r="H40" s="180"/>
      <c r="I40" s="136"/>
      <c r="J40" s="147"/>
      <c r="K40" s="147"/>
      <c r="L40" s="178"/>
      <c r="M40" s="48"/>
    </row>
    <row r="41" spans="1:15" ht="18.75" x14ac:dyDescent="0.3">
      <c r="A41" s="77" t="s">
        <v>128</v>
      </c>
      <c r="B41" s="76">
        <f>'Skjema total MA'!B12</f>
        <v>0</v>
      </c>
      <c r="C41" s="76">
        <f>'Skjema total MA'!C12</f>
        <v>0</v>
      </c>
      <c r="D41" s="180" t="str">
        <f>IF(B41=0, "    ---- ", IF(ABS(ROUND(100/B41*C41-100,1))&lt;999,ROUND(100/B41*C41-100,1),IF(ROUND(100/B41*C41-100,1)&gt;999,999,-999)))</f>
        <v xml:space="preserve">    ---- </v>
      </c>
      <c r="E41" s="136"/>
      <c r="F41" s="147">
        <f>'Skjema total MA'!E12</f>
        <v>217906.62864000001</v>
      </c>
      <c r="G41" s="147">
        <f>'Skjema total MA'!F12</f>
        <v>125383.07923</v>
      </c>
      <c r="H41" s="180">
        <f t="shared" si="2"/>
        <v>-42.5</v>
      </c>
      <c r="I41" s="136"/>
      <c r="J41" s="147">
        <f t="shared" si="0"/>
        <v>217906.62864000001</v>
      </c>
      <c r="K41" s="147">
        <f t="shared" si="0"/>
        <v>125383.07923</v>
      </c>
      <c r="L41" s="178">
        <f t="shared" si="3"/>
        <v>-42.5</v>
      </c>
      <c r="M41" s="48"/>
    </row>
    <row r="42" spans="1:15" ht="18.75" x14ac:dyDescent="0.3">
      <c r="A42" s="77" t="s">
        <v>129</v>
      </c>
      <c r="B42" s="76">
        <f>'Skjema total MA'!B35</f>
        <v>-149053.81912</v>
      </c>
      <c r="C42" s="76">
        <f>'Skjema total MA'!C35</f>
        <v>7864.5627899999999</v>
      </c>
      <c r="D42" s="180">
        <f t="shared" ref="D42:D46" si="6">IF(B42=0, "    ---- ", IF(ABS(ROUND(100/B42*C42-100,1))&lt;999,ROUND(100/B42*C42-100,1),IF(ROUND(100/B42*C42-100,1)&gt;999,999,-999)))</f>
        <v>-105.3</v>
      </c>
      <c r="E42" s="136"/>
      <c r="F42" s="147">
        <f>'Skjema total MA'!E35</f>
        <v>68852.985529999991</v>
      </c>
      <c r="G42" s="147">
        <f>'Skjema total MA'!F35</f>
        <v>109697.74497</v>
      </c>
      <c r="H42" s="180">
        <f t="shared" si="2"/>
        <v>59.3</v>
      </c>
      <c r="I42" s="136"/>
      <c r="J42" s="147">
        <f t="shared" si="0"/>
        <v>-80200.833590000009</v>
      </c>
      <c r="K42" s="147">
        <f t="shared" si="0"/>
        <v>117562.30776</v>
      </c>
      <c r="L42" s="178">
        <f t="shared" si="3"/>
        <v>-246.6</v>
      </c>
      <c r="M42" s="48"/>
    </row>
    <row r="43" spans="1:15" ht="18.75" x14ac:dyDescent="0.3">
      <c r="A43" s="77" t="s">
        <v>131</v>
      </c>
      <c r="B43" s="76">
        <f>'Skjema total MA'!B119</f>
        <v>215315.51566</v>
      </c>
      <c r="C43" s="76">
        <f>'Skjema total MA'!C119</f>
        <v>343318.17107999994</v>
      </c>
      <c r="D43" s="180">
        <f t="shared" si="6"/>
        <v>59.4</v>
      </c>
      <c r="E43" s="136"/>
      <c r="F43" s="147">
        <f>'Skjema total MA'!E119</f>
        <v>21023794.571490001</v>
      </c>
      <c r="G43" s="147">
        <f>'Skjema total MA'!F119</f>
        <v>24959799.818119999</v>
      </c>
      <c r="H43" s="180">
        <f t="shared" si="2"/>
        <v>18.7</v>
      </c>
      <c r="I43" s="136"/>
      <c r="J43" s="147">
        <f t="shared" si="0"/>
        <v>21239110.08715</v>
      </c>
      <c r="K43" s="147">
        <f t="shared" si="0"/>
        <v>25303117.9892</v>
      </c>
      <c r="L43" s="178">
        <f t="shared" si="3"/>
        <v>19.100000000000001</v>
      </c>
      <c r="M43" s="48"/>
    </row>
    <row r="44" spans="1:15" ht="22.5" x14ac:dyDescent="0.3">
      <c r="A44" s="77" t="s">
        <v>134</v>
      </c>
      <c r="B44" s="76">
        <f>'Skjema total MA'!B137</f>
        <v>4289073.5640000002</v>
      </c>
      <c r="C44" s="76">
        <f>'Skjema total MA'!C137</f>
        <v>891012.81200000003</v>
      </c>
      <c r="D44" s="180">
        <f t="shared" si="6"/>
        <v>-79.2</v>
      </c>
      <c r="E44" s="136"/>
      <c r="F44" s="147"/>
      <c r="G44" s="147"/>
      <c r="H44" s="180"/>
      <c r="I44" s="136"/>
      <c r="J44" s="147">
        <f t="shared" si="0"/>
        <v>4289073.5640000002</v>
      </c>
      <c r="K44" s="147">
        <f t="shared" si="0"/>
        <v>891012.81200000003</v>
      </c>
      <c r="L44" s="178">
        <f t="shared" si="3"/>
        <v>-79.2</v>
      </c>
      <c r="M44" s="48"/>
    </row>
    <row r="45" spans="1:15" ht="18.75" x14ac:dyDescent="0.3">
      <c r="A45" s="77" t="s">
        <v>135</v>
      </c>
      <c r="B45" s="76">
        <f>'Skjema total MA'!B39</f>
        <v>1</v>
      </c>
      <c r="C45" s="76">
        <f>'Skjema total MA'!C39</f>
        <v>0.47299999999999998</v>
      </c>
      <c r="D45" s="180">
        <f t="shared" si="6"/>
        <v>-52.7</v>
      </c>
      <c r="E45" s="136"/>
      <c r="F45" s="147"/>
      <c r="G45" s="147"/>
      <c r="H45" s="180"/>
      <c r="I45" s="136"/>
      <c r="J45" s="147">
        <f t="shared" si="0"/>
        <v>1</v>
      </c>
      <c r="K45" s="147">
        <f t="shared" si="0"/>
        <v>0.47299999999999998</v>
      </c>
      <c r="L45" s="178">
        <f t="shared" si="3"/>
        <v>-52.7</v>
      </c>
      <c r="M45" s="48"/>
    </row>
    <row r="46" spans="1:15" s="102" customFormat="1" ht="18.75" x14ac:dyDescent="0.3">
      <c r="A46" s="103" t="s">
        <v>144</v>
      </c>
      <c r="B46" s="79">
        <f>SUM(B41:B45)</f>
        <v>4355336.2605400002</v>
      </c>
      <c r="C46" s="149">
        <f>SUM(C41:C45)</f>
        <v>1242196.01887</v>
      </c>
      <c r="D46" s="180">
        <f t="shared" si="6"/>
        <v>-71.5</v>
      </c>
      <c r="E46" s="104"/>
      <c r="F46" s="149">
        <f>SUM(F41:F45)</f>
        <v>21310554.185660001</v>
      </c>
      <c r="G46" s="149">
        <f>SUM(G41:G45)</f>
        <v>25194880.64232</v>
      </c>
      <c r="H46" s="180">
        <f t="shared" si="2"/>
        <v>18.2</v>
      </c>
      <c r="I46" s="104"/>
      <c r="J46" s="149">
        <f t="shared" si="0"/>
        <v>25665890.446200002</v>
      </c>
      <c r="K46" s="149">
        <f t="shared" si="0"/>
        <v>26437076.661189999</v>
      </c>
      <c r="L46" s="178">
        <f t="shared" si="3"/>
        <v>3</v>
      </c>
      <c r="M46" s="49"/>
      <c r="N46" s="101"/>
      <c r="O46" s="101"/>
    </row>
    <row r="47" spans="1:15" ht="18.75" x14ac:dyDescent="0.3">
      <c r="A47" s="103"/>
      <c r="B47" s="79"/>
      <c r="C47" s="149"/>
      <c r="D47" s="147"/>
      <c r="E47" s="104"/>
      <c r="F47" s="149"/>
      <c r="G47" s="149"/>
      <c r="H47" s="180"/>
      <c r="I47" s="104"/>
      <c r="J47" s="147"/>
      <c r="K47" s="147"/>
      <c r="L47" s="178"/>
      <c r="M47" s="48"/>
    </row>
    <row r="48" spans="1:15" ht="22.5" x14ac:dyDescent="0.3">
      <c r="A48" s="103" t="s">
        <v>145</v>
      </c>
      <c r="B48" s="79"/>
      <c r="C48" s="149"/>
      <c r="D48" s="147"/>
      <c r="E48" s="104"/>
      <c r="F48" s="149"/>
      <c r="G48" s="149"/>
      <c r="H48" s="180"/>
      <c r="I48" s="104"/>
      <c r="J48" s="147"/>
      <c r="K48" s="147"/>
      <c r="L48" s="178"/>
      <c r="M48" s="48"/>
    </row>
    <row r="49" spans="1:15" s="102" customFormat="1" ht="18.75" x14ac:dyDescent="0.3">
      <c r="A49" s="103" t="s">
        <v>130</v>
      </c>
      <c r="B49" s="79">
        <f>'Skjema total MA'!B56</f>
        <v>103338.186</v>
      </c>
      <c r="C49" s="79">
        <f>'Skjema total MA'!C56</f>
        <v>110194.011</v>
      </c>
      <c r="D49" s="180">
        <f t="shared" ref="D49" si="7">IF(B49=0, "    ---- ", IF(ABS(ROUND(100/B49*C49-100,1))&lt;999,ROUND(100/B49*C49-100,1),IF(ROUND(100/B49*C49-100,1)&gt;999,999,-999)))</f>
        <v>6.6</v>
      </c>
      <c r="E49" s="104"/>
      <c r="F49" s="149"/>
      <c r="G49" s="149"/>
      <c r="H49" s="180"/>
      <c r="I49" s="104"/>
      <c r="J49" s="149">
        <f>SUM(B49+F49)</f>
        <v>103338.186</v>
      </c>
      <c r="K49" s="149">
        <f>SUM(C49+G49)</f>
        <v>110194.011</v>
      </c>
      <c r="L49" s="178">
        <f t="shared" si="3"/>
        <v>6.6</v>
      </c>
      <c r="M49" s="49"/>
    </row>
    <row r="50" spans="1:15" ht="18.75" x14ac:dyDescent="0.3">
      <c r="A50" s="103"/>
      <c r="B50" s="76"/>
      <c r="C50" s="147"/>
      <c r="D50" s="147"/>
      <c r="E50" s="136"/>
      <c r="F50" s="147"/>
      <c r="G50" s="147"/>
      <c r="H50" s="180"/>
      <c r="I50" s="136"/>
      <c r="J50" s="147"/>
      <c r="K50" s="147"/>
      <c r="L50" s="178"/>
      <c r="M50" s="48"/>
    </row>
    <row r="51" spans="1:15" ht="21.75" x14ac:dyDescent="0.3">
      <c r="A51" s="144" t="s">
        <v>146</v>
      </c>
      <c r="B51" s="76"/>
      <c r="C51" s="147"/>
      <c r="D51" s="147"/>
      <c r="E51" s="136"/>
      <c r="F51" s="147"/>
      <c r="G51" s="147"/>
      <c r="H51" s="180"/>
      <c r="I51" s="136"/>
      <c r="J51" s="147"/>
      <c r="K51" s="147"/>
      <c r="L51" s="178" t="str">
        <f t="shared" si="3"/>
        <v xml:space="preserve">    ---- </v>
      </c>
      <c r="M51" s="48"/>
    </row>
    <row r="52" spans="1:15" ht="18.75" x14ac:dyDescent="0.3">
      <c r="A52" s="77" t="s">
        <v>128</v>
      </c>
      <c r="B52" s="76">
        <f>B30-B41</f>
        <v>0</v>
      </c>
      <c r="C52" s="147">
        <f>C30-C41</f>
        <v>0</v>
      </c>
      <c r="D52" s="180" t="str">
        <f>IF(B52=0, "    ---- ", IF(ABS(ROUND(100/B52*C52-100,1))&lt;999,ROUND(100/B52*C52-100,1),IF(ROUND(100/B52*C52-100,1)&gt;999,999,-999)))</f>
        <v xml:space="preserve">    ---- </v>
      </c>
      <c r="E52" s="136"/>
      <c r="F52" s="147">
        <f>F30-F41</f>
        <v>-55373.857470000017</v>
      </c>
      <c r="G52" s="147">
        <f>G30-G41</f>
        <v>-18424.885940000022</v>
      </c>
      <c r="H52" s="180">
        <f t="shared" si="2"/>
        <v>-66.7</v>
      </c>
      <c r="I52" s="136"/>
      <c r="J52" s="147">
        <f t="shared" si="0"/>
        <v>-55373.857470000017</v>
      </c>
      <c r="K52" s="147">
        <f t="shared" si="0"/>
        <v>-18424.885940000022</v>
      </c>
      <c r="L52" s="178">
        <f t="shared" si="3"/>
        <v>-66.7</v>
      </c>
      <c r="M52" s="48"/>
    </row>
    <row r="53" spans="1:15" ht="18.75" x14ac:dyDescent="0.3">
      <c r="A53" s="77" t="s">
        <v>129</v>
      </c>
      <c r="B53" s="76">
        <f t="shared" ref="B53:C56" si="8">B31-B42</f>
        <v>154851.06844999999</v>
      </c>
      <c r="C53" s="147">
        <f t="shared" si="8"/>
        <v>-3537.7867900000001</v>
      </c>
      <c r="D53" s="180">
        <f t="shared" ref="D53:D60" si="9">IF(B53=0, "    ---- ", IF(ABS(ROUND(100/B53*C53-100,1))&lt;999,ROUND(100/B53*C53-100,1),IF(ROUND(100/B53*C53-100,1)&gt;999,999,-999)))</f>
        <v>-102.3</v>
      </c>
      <c r="E53" s="136"/>
      <c r="F53" s="147">
        <f t="shared" ref="F53:G55" si="10">F31-F42</f>
        <v>-173220.87799000001</v>
      </c>
      <c r="G53" s="147">
        <f t="shared" si="10"/>
        <v>-31368.55279999999</v>
      </c>
      <c r="H53" s="180">
        <f t="shared" si="2"/>
        <v>-81.900000000000006</v>
      </c>
      <c r="I53" s="136"/>
      <c r="J53" s="147">
        <f t="shared" si="0"/>
        <v>-18369.809540000017</v>
      </c>
      <c r="K53" s="147">
        <f t="shared" si="0"/>
        <v>-34906.339589999989</v>
      </c>
      <c r="L53" s="178">
        <f t="shared" si="3"/>
        <v>90</v>
      </c>
      <c r="M53" s="48"/>
    </row>
    <row r="54" spans="1:15" ht="18.75" x14ac:dyDescent="0.3">
      <c r="A54" s="77" t="s">
        <v>131</v>
      </c>
      <c r="B54" s="76">
        <f t="shared" si="8"/>
        <v>920178.10858</v>
      </c>
      <c r="C54" s="147">
        <f t="shared" si="8"/>
        <v>-43743.415679999918</v>
      </c>
      <c r="D54" s="180">
        <f t="shared" si="9"/>
        <v>-104.8</v>
      </c>
      <c r="E54" s="136"/>
      <c r="F54" s="147">
        <f t="shared" si="10"/>
        <v>-1045850.3705300018</v>
      </c>
      <c r="G54" s="147">
        <f t="shared" si="10"/>
        <v>-840575.82443999872</v>
      </c>
      <c r="H54" s="180">
        <f t="shared" si="2"/>
        <v>-19.600000000000001</v>
      </c>
      <c r="I54" s="136"/>
      <c r="J54" s="147">
        <f t="shared" si="0"/>
        <v>-125672.26195000182</v>
      </c>
      <c r="K54" s="147">
        <f t="shared" si="0"/>
        <v>-884319.24011999858</v>
      </c>
      <c r="L54" s="178">
        <f t="shared" si="3"/>
        <v>603.70000000000005</v>
      </c>
      <c r="M54" s="48"/>
    </row>
    <row r="55" spans="1:15" ht="22.5" x14ac:dyDescent="0.3">
      <c r="A55" s="77" t="s">
        <v>134</v>
      </c>
      <c r="B55" s="76">
        <f t="shared" si="8"/>
        <v>-1047847.8829999999</v>
      </c>
      <c r="C55" s="147">
        <f t="shared" si="8"/>
        <v>2521552.6885900004</v>
      </c>
      <c r="D55" s="180">
        <f t="shared" si="9"/>
        <v>-340.6</v>
      </c>
      <c r="E55" s="136"/>
      <c r="F55" s="147">
        <f t="shared" si="10"/>
        <v>0</v>
      </c>
      <c r="G55" s="147">
        <f t="shared" si="10"/>
        <v>-516456.22738</v>
      </c>
      <c r="H55" s="180" t="str">
        <f t="shared" si="2"/>
        <v xml:space="preserve">    ---- </v>
      </c>
      <c r="I55" s="136"/>
      <c r="J55" s="147">
        <f t="shared" si="0"/>
        <v>-1047847.8829999999</v>
      </c>
      <c r="K55" s="147">
        <f t="shared" si="0"/>
        <v>2005096.4612100003</v>
      </c>
      <c r="L55" s="178">
        <f t="shared" si="3"/>
        <v>-291.39999999999998</v>
      </c>
      <c r="M55" s="48"/>
    </row>
    <row r="56" spans="1:15" ht="18.75" x14ac:dyDescent="0.3">
      <c r="A56" s="77" t="s">
        <v>135</v>
      </c>
      <c r="B56" s="76">
        <f t="shared" si="8"/>
        <v>-1</v>
      </c>
      <c r="C56" s="147">
        <f t="shared" si="8"/>
        <v>-0.47299999999999998</v>
      </c>
      <c r="D56" s="180">
        <f t="shared" si="9"/>
        <v>-52.7</v>
      </c>
      <c r="E56" s="136"/>
      <c r="F56" s="147"/>
      <c r="G56" s="147"/>
      <c r="H56" s="180"/>
      <c r="I56" s="136"/>
      <c r="J56" s="147">
        <f t="shared" si="0"/>
        <v>-1</v>
      </c>
      <c r="K56" s="147">
        <f t="shared" si="0"/>
        <v>-0.47299999999999998</v>
      </c>
      <c r="L56" s="178">
        <f t="shared" si="3"/>
        <v>-52.7</v>
      </c>
      <c r="M56" s="48"/>
    </row>
    <row r="57" spans="1:15" s="102" customFormat="1" ht="18.75" x14ac:dyDescent="0.3">
      <c r="A57" s="103" t="s">
        <v>147</v>
      </c>
      <c r="B57" s="79">
        <f>SUM(B52:B56)</f>
        <v>27180.29402999999</v>
      </c>
      <c r="C57" s="149">
        <f>SUM(C52:C56)</f>
        <v>2474271.0131200003</v>
      </c>
      <c r="D57" s="180">
        <f>IF(B57=0, "    ---- ", IF(ABS(ROUND(100/B57*C57-100,1))&lt;999,ROUND(100/B57*C57-100,1),IF(ROUND(100/B57*C57-100,1)&gt;999,999,-999)))</f>
        <v>999</v>
      </c>
      <c r="E57" s="104"/>
      <c r="F57" s="149">
        <f>SUM(F52:F56)</f>
        <v>-1274445.1059900019</v>
      </c>
      <c r="G57" s="149">
        <f>SUM(G52:G56)</f>
        <v>-1406825.4905599987</v>
      </c>
      <c r="H57" s="180">
        <f t="shared" si="2"/>
        <v>10.4</v>
      </c>
      <c r="I57" s="104"/>
      <c r="J57" s="149">
        <f t="shared" si="0"/>
        <v>-1247264.8119600019</v>
      </c>
      <c r="K57" s="147">
        <f t="shared" si="0"/>
        <v>1067445.5225600016</v>
      </c>
      <c r="L57" s="178">
        <f t="shared" si="3"/>
        <v>-185.6</v>
      </c>
      <c r="M57" s="49"/>
      <c r="N57" s="101"/>
      <c r="O57" s="101"/>
    </row>
    <row r="58" spans="1:15" ht="18.75" x14ac:dyDescent="0.3">
      <c r="A58" s="103"/>
      <c r="B58" s="79"/>
      <c r="C58" s="149"/>
      <c r="D58" s="180"/>
      <c r="E58" s="104"/>
      <c r="F58" s="149"/>
      <c r="G58" s="149"/>
      <c r="H58" s="180"/>
      <c r="I58" s="104"/>
      <c r="J58" s="149"/>
      <c r="K58" s="147"/>
      <c r="L58" s="178"/>
      <c r="M58" s="48"/>
    </row>
    <row r="59" spans="1:15" ht="22.5" x14ac:dyDescent="0.3">
      <c r="A59" s="103" t="s">
        <v>148</v>
      </c>
      <c r="B59" s="79"/>
      <c r="C59" s="149"/>
      <c r="D59" s="180"/>
      <c r="E59" s="104"/>
      <c r="F59" s="149"/>
      <c r="G59" s="149"/>
      <c r="H59" s="180"/>
      <c r="I59" s="104"/>
      <c r="J59" s="149"/>
      <c r="K59" s="147"/>
      <c r="L59" s="178"/>
      <c r="M59" s="48"/>
    </row>
    <row r="60" spans="1:15" s="102" customFormat="1" ht="18.75" x14ac:dyDescent="0.3">
      <c r="A60" s="103" t="s">
        <v>130</v>
      </c>
      <c r="B60" s="79">
        <f>B38-B49</f>
        <v>78724.775999999998</v>
      </c>
      <c r="C60" s="149">
        <f>C38-C49</f>
        <v>8197.5899999999965</v>
      </c>
      <c r="D60" s="180">
        <f t="shared" si="9"/>
        <v>-89.6</v>
      </c>
      <c r="E60" s="104"/>
      <c r="F60" s="149">
        <f>F38-F49</f>
        <v>0</v>
      </c>
      <c r="G60" s="149">
        <f>G38-G49</f>
        <v>0</v>
      </c>
      <c r="H60" s="180"/>
      <c r="I60" s="104"/>
      <c r="J60" s="149">
        <f t="shared" si="0"/>
        <v>78724.775999999998</v>
      </c>
      <c r="K60" s="147">
        <f t="shared" si="0"/>
        <v>8197.5899999999965</v>
      </c>
      <c r="L60" s="178">
        <f t="shared" si="3"/>
        <v>-89.6</v>
      </c>
      <c r="M60" s="49"/>
    </row>
    <row r="61" spans="1:15" s="102" customFormat="1" ht="18.75" x14ac:dyDescent="0.3">
      <c r="A61" s="146"/>
      <c r="B61" s="83"/>
      <c r="C61" s="150"/>
      <c r="D61" s="155"/>
      <c r="E61" s="104"/>
      <c r="F61" s="150"/>
      <c r="G61" s="150"/>
      <c r="H61" s="155"/>
      <c r="I61" s="104"/>
      <c r="J61" s="155"/>
      <c r="K61" s="155"/>
      <c r="L61" s="155"/>
      <c r="M61" s="49"/>
    </row>
    <row r="62" spans="1:15" ht="18.75" x14ac:dyDescent="0.3">
      <c r="A62" s="48" t="s">
        <v>149</v>
      </c>
      <c r="C62" s="51"/>
      <c r="D62" s="51"/>
      <c r="E62" s="51"/>
      <c r="F62" s="51"/>
      <c r="G62" s="48"/>
      <c r="H62" s="48"/>
      <c r="I62" s="48"/>
      <c r="J62" s="48"/>
      <c r="K62" s="48"/>
      <c r="L62" s="48"/>
      <c r="M62" s="48"/>
    </row>
    <row r="63" spans="1:15" ht="18.75" x14ac:dyDescent="0.3">
      <c r="A63" s="48" t="s">
        <v>150</v>
      </c>
      <c r="C63" s="51"/>
      <c r="D63" s="51"/>
      <c r="E63" s="51"/>
      <c r="F63" s="51"/>
      <c r="G63" s="48"/>
      <c r="H63" s="48"/>
      <c r="I63" s="48"/>
      <c r="J63" s="48"/>
      <c r="K63" s="48"/>
      <c r="L63" s="48"/>
      <c r="M63" s="48"/>
    </row>
    <row r="64" spans="1:15" ht="18.75" x14ac:dyDescent="0.3">
      <c r="A64" s="48" t="s">
        <v>121</v>
      </c>
      <c r="B64" s="48"/>
      <c r="C64" s="48"/>
      <c r="D64" s="48"/>
      <c r="E64" s="48"/>
      <c r="F64" s="48"/>
      <c r="G64" s="48"/>
      <c r="H64" s="48"/>
      <c r="I64" s="48"/>
      <c r="J64" s="48"/>
      <c r="K64" s="48"/>
      <c r="L64" s="48"/>
      <c r="M64" s="48"/>
    </row>
    <row r="65" spans="1:13" ht="18.75" x14ac:dyDescent="0.3">
      <c r="A65" s="48"/>
      <c r="C65" s="48"/>
      <c r="D65" s="48"/>
      <c r="E65" s="48"/>
      <c r="F65" s="48"/>
      <c r="G65" s="48"/>
      <c r="H65" s="48"/>
      <c r="I65" s="48"/>
      <c r="J65" s="48"/>
      <c r="K65" s="48"/>
      <c r="L65" s="48"/>
      <c r="M65" s="48"/>
    </row>
    <row r="66" spans="1:13" ht="18.75" x14ac:dyDescent="0.3">
      <c r="A66" s="48"/>
      <c r="B66" s="48"/>
      <c r="C66" s="48"/>
      <c r="D66" s="48"/>
      <c r="E66" s="48"/>
      <c r="F66" s="48"/>
      <c r="G66" s="48"/>
      <c r="H66" s="48"/>
      <c r="I66" s="48"/>
      <c r="J66" s="48"/>
      <c r="K66" s="48"/>
      <c r="L66" s="48"/>
      <c r="M66" s="48"/>
    </row>
    <row r="67" spans="1:13" ht="18.75" x14ac:dyDescent="0.3">
      <c r="A67" s="48"/>
      <c r="B67" s="48"/>
      <c r="C67" s="48"/>
      <c r="D67" s="48"/>
      <c r="E67" s="48"/>
      <c r="F67" s="48"/>
      <c r="G67" s="48"/>
      <c r="H67" s="48"/>
      <c r="I67" s="48"/>
      <c r="J67" s="48"/>
      <c r="K67" s="48"/>
      <c r="L67" s="48"/>
      <c r="M67" s="48"/>
    </row>
    <row r="68" spans="1:13" ht="18.75" x14ac:dyDescent="0.3">
      <c r="A68" s="48"/>
      <c r="B68" s="48"/>
      <c r="C68" s="48"/>
      <c r="D68" s="48"/>
      <c r="E68" s="48"/>
      <c r="F68" s="48"/>
      <c r="G68" s="48"/>
      <c r="H68" s="48"/>
      <c r="I68" s="48"/>
      <c r="J68" s="48"/>
      <c r="K68" s="48"/>
      <c r="L68" s="48"/>
      <c r="M68" s="48"/>
    </row>
    <row r="69" spans="1:13" ht="18.75" x14ac:dyDescent="0.3">
      <c r="A69" s="48"/>
      <c r="B69" s="48"/>
      <c r="C69" s="48"/>
      <c r="D69" s="48"/>
      <c r="E69" s="48"/>
      <c r="F69" s="48"/>
      <c r="G69" s="48"/>
      <c r="H69" s="48"/>
      <c r="I69" s="48"/>
      <c r="J69" s="48"/>
      <c r="K69" s="48"/>
      <c r="L69" s="48"/>
      <c r="M69" s="48"/>
    </row>
    <row r="70" spans="1:13" ht="18.75" x14ac:dyDescent="0.3">
      <c r="A70" s="48"/>
      <c r="B70" s="48"/>
      <c r="C70" s="48"/>
      <c r="D70" s="48"/>
      <c r="E70" s="48"/>
      <c r="F70" s="48"/>
      <c r="G70" s="48"/>
      <c r="H70" s="48"/>
      <c r="I70" s="48"/>
      <c r="J70" s="48"/>
      <c r="K70" s="48"/>
      <c r="L70" s="48"/>
      <c r="M70" s="48"/>
    </row>
    <row r="71" spans="1:13" ht="18.75" x14ac:dyDescent="0.3">
      <c r="A71" s="48"/>
      <c r="B71" s="48"/>
      <c r="C71" s="48"/>
      <c r="D71" s="48"/>
      <c r="E71" s="48"/>
      <c r="F71" s="48"/>
      <c r="G71" s="48"/>
      <c r="H71" s="48"/>
      <c r="I71" s="48"/>
      <c r="J71" s="48"/>
      <c r="K71" s="48"/>
      <c r="L71" s="48"/>
      <c r="M71" s="48"/>
    </row>
    <row r="72" spans="1:13" ht="18.75" x14ac:dyDescent="0.3">
      <c r="A72" s="48"/>
      <c r="B72" s="48"/>
      <c r="C72" s="48"/>
      <c r="D72" s="48"/>
      <c r="E72" s="48"/>
      <c r="F72" s="48"/>
      <c r="G72" s="48"/>
      <c r="H72" s="48"/>
      <c r="I72" s="48"/>
      <c r="J72" s="48"/>
      <c r="K72" s="48"/>
      <c r="L72" s="48"/>
      <c r="M72" s="48"/>
    </row>
    <row r="73" spans="1:13" ht="18.75" x14ac:dyDescent="0.3">
      <c r="A73" s="48"/>
      <c r="B73" s="48"/>
      <c r="C73" s="48"/>
      <c r="D73" s="48"/>
      <c r="E73" s="48"/>
      <c r="F73" s="48"/>
      <c r="G73" s="48"/>
      <c r="H73" s="48"/>
      <c r="I73" s="48"/>
      <c r="J73" s="48"/>
      <c r="K73" s="48"/>
      <c r="L73" s="48"/>
      <c r="M73" s="48"/>
    </row>
    <row r="74" spans="1:13" ht="18.75" x14ac:dyDescent="0.3">
      <c r="A74" s="48"/>
      <c r="B74" s="48"/>
      <c r="C74" s="48"/>
      <c r="D74" s="48"/>
      <c r="E74" s="48"/>
      <c r="F74" s="48"/>
      <c r="G74" s="48"/>
      <c r="H74" s="48"/>
      <c r="I74" s="48"/>
      <c r="J74" s="48"/>
      <c r="K74" s="48"/>
      <c r="L74" s="48"/>
      <c r="M74" s="48"/>
    </row>
    <row r="75" spans="1:13" ht="18.75" x14ac:dyDescent="0.3">
      <c r="A75" s="48"/>
      <c r="B75" s="48"/>
      <c r="C75" s="48"/>
      <c r="D75" s="48"/>
      <c r="E75" s="48"/>
      <c r="F75" s="48"/>
      <c r="G75" s="48"/>
      <c r="H75" s="48"/>
      <c r="I75" s="48"/>
      <c r="J75" s="48"/>
      <c r="K75" s="48"/>
      <c r="L75" s="48"/>
      <c r="M75" s="48"/>
    </row>
    <row r="76" spans="1:13" ht="18.75" x14ac:dyDescent="0.3">
      <c r="A76" s="48"/>
      <c r="B76" s="48"/>
      <c r="C76" s="48"/>
      <c r="D76" s="48"/>
      <c r="E76" s="48"/>
      <c r="F76" s="48"/>
      <c r="G76" s="48"/>
      <c r="H76" s="48"/>
      <c r="I76" s="48"/>
      <c r="J76" s="48"/>
      <c r="K76" s="48"/>
      <c r="L76" s="48"/>
      <c r="M76" s="48"/>
    </row>
    <row r="77" spans="1:13" ht="18.75" x14ac:dyDescent="0.3">
      <c r="A77" s="48"/>
      <c r="B77" s="48"/>
      <c r="C77" s="48"/>
      <c r="D77" s="48"/>
      <c r="E77" s="48"/>
      <c r="F77" s="48"/>
      <c r="G77" s="48"/>
      <c r="H77" s="48"/>
      <c r="I77" s="48"/>
      <c r="J77" s="48"/>
      <c r="K77" s="48"/>
      <c r="L77" s="48"/>
      <c r="M77" s="48"/>
    </row>
    <row r="78" spans="1:13" ht="18.75" x14ac:dyDescent="0.3">
      <c r="A78" s="48"/>
      <c r="B78" s="48"/>
      <c r="C78" s="48"/>
      <c r="D78" s="48"/>
      <c r="E78" s="48"/>
      <c r="F78" s="48"/>
      <c r="G78" s="48"/>
      <c r="H78" s="48"/>
      <c r="I78" s="48"/>
      <c r="J78" s="48"/>
      <c r="K78" s="48"/>
      <c r="L78" s="48"/>
      <c r="M78" s="48"/>
    </row>
    <row r="79" spans="1:13" ht="18.75" x14ac:dyDescent="0.3">
      <c r="A79" s="48"/>
      <c r="B79" s="48"/>
      <c r="C79" s="48"/>
      <c r="D79" s="48"/>
      <c r="E79" s="48"/>
      <c r="F79" s="48"/>
      <c r="G79" s="48"/>
      <c r="H79" s="48"/>
      <c r="I79" s="48"/>
      <c r="J79" s="48"/>
      <c r="K79" s="48"/>
      <c r="L79" s="48"/>
      <c r="M79" s="48"/>
    </row>
    <row r="80" spans="1:13" ht="18.75" x14ac:dyDescent="0.3">
      <c r="A80" s="48"/>
      <c r="B80" s="48"/>
      <c r="C80" s="48"/>
      <c r="D80" s="48"/>
      <c r="E80" s="48"/>
      <c r="F80" s="48"/>
      <c r="G80" s="48"/>
      <c r="H80" s="48"/>
      <c r="I80" s="48"/>
      <c r="J80" s="48"/>
      <c r="K80" s="48"/>
      <c r="L80" s="48"/>
      <c r="M80" s="48"/>
    </row>
    <row r="81" spans="1:13" ht="18.75" x14ac:dyDescent="0.3">
      <c r="A81" s="48"/>
      <c r="B81" s="48"/>
      <c r="C81" s="48"/>
      <c r="D81" s="48"/>
      <c r="E81" s="48"/>
      <c r="F81" s="48"/>
      <c r="G81" s="48"/>
      <c r="H81" s="48"/>
      <c r="I81" s="48"/>
      <c r="J81" s="48"/>
      <c r="K81" s="48"/>
      <c r="L81" s="48"/>
      <c r="M81" s="48"/>
    </row>
    <row r="82" spans="1:13" ht="18.75" x14ac:dyDescent="0.3">
      <c r="A82" s="48"/>
      <c r="B82" s="48"/>
      <c r="C82" s="48"/>
      <c r="D82" s="48"/>
      <c r="E82" s="48"/>
      <c r="F82" s="48"/>
      <c r="G82" s="48"/>
      <c r="H82" s="48"/>
      <c r="I82" s="48"/>
      <c r="J82" s="48"/>
      <c r="K82" s="48"/>
      <c r="L82" s="48"/>
      <c r="M82" s="48"/>
    </row>
    <row r="83" spans="1:13" ht="18.75" x14ac:dyDescent="0.3">
      <c r="A83" s="48"/>
      <c r="B83" s="48"/>
      <c r="C83" s="48"/>
      <c r="D83" s="48"/>
      <c r="E83" s="48"/>
      <c r="F83" s="48"/>
      <c r="G83" s="48"/>
      <c r="H83" s="48"/>
      <c r="I83" s="48"/>
      <c r="J83" s="48"/>
      <c r="K83" s="48"/>
      <c r="L83" s="48"/>
      <c r="M83" s="48"/>
    </row>
    <row r="84" spans="1:13" ht="18.75" x14ac:dyDescent="0.3">
      <c r="A84" s="48"/>
      <c r="B84" s="48"/>
      <c r="C84" s="48"/>
      <c r="D84" s="48"/>
      <c r="E84" s="48"/>
      <c r="F84" s="48"/>
      <c r="G84" s="48"/>
      <c r="H84" s="48"/>
      <c r="I84" s="48"/>
      <c r="J84" s="48"/>
      <c r="K84" s="48"/>
      <c r="L84" s="48"/>
      <c r="M84" s="48"/>
    </row>
    <row r="85" spans="1:13" ht="18.75" x14ac:dyDescent="0.3">
      <c r="A85" s="48"/>
      <c r="B85" s="48"/>
      <c r="C85" s="48"/>
      <c r="D85" s="48"/>
      <c r="E85" s="48"/>
      <c r="F85" s="48"/>
      <c r="G85" s="48"/>
      <c r="H85" s="48"/>
      <c r="I85" s="48"/>
      <c r="J85" s="48"/>
      <c r="K85" s="48"/>
      <c r="L85" s="48"/>
      <c r="M85" s="48"/>
    </row>
    <row r="86" spans="1:13" ht="18.75" x14ac:dyDescent="0.3">
      <c r="A86" s="48"/>
      <c r="B86" s="48"/>
      <c r="C86" s="48"/>
      <c r="D86" s="48"/>
      <c r="E86" s="48"/>
      <c r="F86" s="48"/>
      <c r="G86" s="48"/>
      <c r="H86" s="48"/>
      <c r="I86" s="48"/>
      <c r="J86" s="48"/>
      <c r="K86" s="48"/>
      <c r="L86" s="48"/>
      <c r="M86" s="48"/>
    </row>
    <row r="87" spans="1:13" ht="18.75" x14ac:dyDescent="0.3">
      <c r="A87" s="48"/>
      <c r="B87" s="48"/>
      <c r="C87" s="48"/>
      <c r="D87" s="48"/>
      <c r="E87" s="48"/>
      <c r="F87" s="48"/>
      <c r="G87" s="48"/>
      <c r="H87" s="48"/>
      <c r="I87" s="48"/>
      <c r="J87" s="48"/>
      <c r="K87" s="48"/>
      <c r="L87" s="48"/>
      <c r="M87" s="48"/>
    </row>
    <row r="88" spans="1:13" ht="18.75" x14ac:dyDescent="0.3">
      <c r="A88" s="48"/>
      <c r="B88" s="48"/>
      <c r="C88" s="48"/>
      <c r="D88" s="48"/>
      <c r="E88" s="48"/>
      <c r="F88" s="48"/>
      <c r="G88" s="48"/>
      <c r="H88" s="48"/>
      <c r="I88" s="48"/>
      <c r="J88" s="48"/>
      <c r="K88" s="48"/>
      <c r="L88" s="48"/>
      <c r="M88" s="48"/>
    </row>
    <row r="89" spans="1:13" ht="18.75" x14ac:dyDescent="0.3">
      <c r="A89" s="48"/>
      <c r="B89" s="48"/>
      <c r="C89" s="48"/>
      <c r="D89" s="48"/>
      <c r="E89" s="48"/>
      <c r="F89" s="48"/>
      <c r="G89" s="48"/>
      <c r="H89" s="48"/>
      <c r="I89" s="48"/>
      <c r="J89" s="48"/>
      <c r="K89" s="48"/>
      <c r="L89" s="48"/>
      <c r="M89" s="48"/>
    </row>
    <row r="90" spans="1:13" ht="18.75" x14ac:dyDescent="0.3">
      <c r="A90" s="48"/>
      <c r="B90" s="48"/>
      <c r="C90" s="48"/>
      <c r="D90" s="48"/>
      <c r="E90" s="48"/>
      <c r="F90" s="48"/>
      <c r="G90" s="48"/>
      <c r="H90" s="48"/>
      <c r="I90" s="48"/>
      <c r="J90" s="48"/>
      <c r="K90" s="48"/>
      <c r="L90" s="48"/>
      <c r="M90" s="48"/>
    </row>
    <row r="91" spans="1:13" ht="18.75" x14ac:dyDescent="0.3">
      <c r="A91" s="48"/>
      <c r="B91" s="48"/>
      <c r="C91" s="48"/>
      <c r="D91" s="48"/>
      <c r="E91" s="48"/>
      <c r="F91" s="48"/>
      <c r="G91" s="48"/>
      <c r="H91" s="48"/>
      <c r="I91" s="48"/>
      <c r="J91" s="48"/>
      <c r="K91" s="48"/>
      <c r="L91" s="48"/>
      <c r="M91" s="48"/>
    </row>
    <row r="92" spans="1:13" ht="18.75" x14ac:dyDescent="0.3">
      <c r="A92" s="48"/>
      <c r="B92" s="48"/>
      <c r="C92" s="48"/>
      <c r="D92" s="48"/>
      <c r="E92" s="48"/>
      <c r="F92" s="48"/>
      <c r="G92" s="48"/>
      <c r="H92" s="48"/>
      <c r="I92" s="48"/>
      <c r="J92" s="48"/>
      <c r="K92" s="48"/>
      <c r="L92" s="48"/>
      <c r="M92" s="48"/>
    </row>
    <row r="93" spans="1:13" ht="18.75" x14ac:dyDescent="0.3">
      <c r="A93" s="48"/>
      <c r="B93" s="48"/>
      <c r="C93" s="48"/>
      <c r="D93" s="48"/>
      <c r="E93" s="48"/>
      <c r="F93" s="48"/>
      <c r="G93" s="48"/>
      <c r="H93" s="48"/>
      <c r="I93" s="48"/>
      <c r="J93" s="48"/>
      <c r="K93" s="48"/>
      <c r="L93" s="48"/>
      <c r="M93" s="48"/>
    </row>
    <row r="94" spans="1:13" ht="18.75" x14ac:dyDescent="0.3">
      <c r="A94" s="48"/>
      <c r="B94" s="48"/>
      <c r="C94" s="48"/>
      <c r="D94" s="48"/>
      <c r="E94" s="48"/>
      <c r="F94" s="48"/>
      <c r="G94" s="48"/>
      <c r="H94" s="48"/>
      <c r="I94" s="48"/>
      <c r="J94" s="48"/>
      <c r="K94" s="48"/>
      <c r="L94" s="48"/>
      <c r="M94" s="48"/>
    </row>
    <row r="95" spans="1:13" ht="18.75" x14ac:dyDescent="0.3">
      <c r="A95" s="48"/>
      <c r="B95" s="48"/>
      <c r="C95" s="48"/>
      <c r="D95" s="48"/>
      <c r="E95" s="48"/>
      <c r="F95" s="48"/>
      <c r="G95" s="48"/>
      <c r="H95" s="48"/>
      <c r="I95" s="48"/>
      <c r="J95" s="48"/>
      <c r="K95" s="48"/>
      <c r="L95" s="48"/>
      <c r="M95" s="48"/>
    </row>
    <row r="96" spans="1:13" ht="18.75" x14ac:dyDescent="0.3">
      <c r="A96" s="48"/>
      <c r="B96" s="48"/>
      <c r="C96" s="48"/>
      <c r="D96" s="48"/>
      <c r="E96" s="48"/>
      <c r="F96" s="48"/>
      <c r="G96" s="48"/>
      <c r="H96" s="48"/>
      <c r="I96" s="48"/>
      <c r="J96" s="48"/>
      <c r="K96" s="48"/>
      <c r="L96" s="48"/>
      <c r="M96" s="48"/>
    </row>
    <row r="97" spans="1:13" ht="18.75" x14ac:dyDescent="0.3">
      <c r="A97" s="48"/>
      <c r="B97" s="48"/>
      <c r="C97" s="48"/>
      <c r="D97" s="48"/>
      <c r="E97" s="48"/>
      <c r="F97" s="48"/>
      <c r="G97" s="48"/>
      <c r="H97" s="48"/>
      <c r="I97" s="48"/>
      <c r="J97" s="48"/>
      <c r="K97" s="48"/>
      <c r="L97" s="48"/>
      <c r="M97" s="48"/>
    </row>
    <row r="98" spans="1:13" ht="18.75" x14ac:dyDescent="0.3">
      <c r="A98" s="48"/>
      <c r="B98" s="48"/>
      <c r="C98" s="48"/>
      <c r="D98" s="48"/>
      <c r="E98" s="48"/>
      <c r="F98" s="48"/>
      <c r="G98" s="48"/>
      <c r="H98" s="48"/>
      <c r="I98" s="48"/>
      <c r="J98" s="48"/>
      <c r="K98" s="48"/>
      <c r="L98" s="48"/>
      <c r="M98" s="48"/>
    </row>
    <row r="99" spans="1:13" ht="18.75" x14ac:dyDescent="0.3">
      <c r="A99" s="48"/>
      <c r="B99" s="48"/>
      <c r="C99" s="48"/>
      <c r="D99" s="48"/>
      <c r="E99" s="48"/>
      <c r="F99" s="48"/>
      <c r="G99" s="48"/>
      <c r="H99" s="48"/>
      <c r="I99" s="48"/>
      <c r="J99" s="48"/>
      <c r="K99" s="48"/>
      <c r="L99" s="48"/>
      <c r="M99" s="48"/>
    </row>
    <row r="100" spans="1:13" ht="18.75" x14ac:dyDescent="0.3">
      <c r="A100" s="48"/>
      <c r="B100" s="48"/>
      <c r="C100" s="48"/>
      <c r="D100" s="48"/>
      <c r="E100" s="48"/>
      <c r="F100" s="48"/>
      <c r="G100" s="48"/>
      <c r="H100" s="48"/>
      <c r="I100" s="48"/>
      <c r="J100" s="48"/>
      <c r="K100" s="48"/>
      <c r="L100" s="48"/>
      <c r="M100" s="48"/>
    </row>
    <row r="101" spans="1:13" ht="18.75" x14ac:dyDescent="0.3">
      <c r="A101" s="48"/>
      <c r="B101" s="48"/>
      <c r="C101" s="48"/>
      <c r="D101" s="48"/>
      <c r="E101" s="48"/>
      <c r="F101" s="48"/>
      <c r="G101" s="48"/>
      <c r="H101" s="48"/>
      <c r="I101" s="48"/>
      <c r="J101" s="48"/>
      <c r="K101" s="48"/>
      <c r="L101" s="48"/>
      <c r="M101" s="48"/>
    </row>
    <row r="102" spans="1:13" ht="18.75" x14ac:dyDescent="0.3">
      <c r="A102" s="48"/>
      <c r="B102" s="48"/>
      <c r="C102" s="48"/>
      <c r="D102" s="48"/>
      <c r="E102" s="48"/>
      <c r="F102" s="48"/>
      <c r="G102" s="48"/>
      <c r="H102" s="48"/>
      <c r="I102" s="48"/>
      <c r="J102" s="48"/>
      <c r="K102" s="48"/>
      <c r="L102" s="48"/>
      <c r="M102" s="48"/>
    </row>
    <row r="103" spans="1:13" ht="18.75" x14ac:dyDescent="0.3">
      <c r="A103" s="48"/>
      <c r="B103" s="48"/>
      <c r="C103" s="48"/>
      <c r="D103" s="48"/>
      <c r="E103" s="48"/>
      <c r="F103" s="48"/>
      <c r="G103" s="48"/>
      <c r="H103" s="48"/>
      <c r="I103" s="48"/>
      <c r="J103" s="48"/>
      <c r="K103" s="48"/>
      <c r="L103" s="48"/>
      <c r="M103" s="48"/>
    </row>
    <row r="104" spans="1:13" ht="18.75" x14ac:dyDescent="0.3">
      <c r="A104" s="48"/>
      <c r="B104" s="48"/>
      <c r="C104" s="48"/>
      <c r="D104" s="48"/>
      <c r="E104" s="48"/>
      <c r="F104" s="48"/>
      <c r="G104" s="48"/>
      <c r="H104" s="48"/>
      <c r="I104" s="48"/>
      <c r="J104" s="48"/>
      <c r="K104" s="48"/>
      <c r="L104" s="48"/>
      <c r="M104" s="48"/>
    </row>
    <row r="105" spans="1:13" ht="18.75" x14ac:dyDescent="0.3">
      <c r="A105" s="48"/>
      <c r="B105" s="48"/>
      <c r="C105" s="48"/>
      <c r="D105" s="48"/>
      <c r="E105" s="48"/>
      <c r="F105" s="48"/>
      <c r="G105" s="48"/>
      <c r="H105" s="48"/>
      <c r="I105" s="48"/>
      <c r="J105" s="48"/>
      <c r="K105" s="48"/>
      <c r="L105" s="48"/>
      <c r="M105" s="48"/>
    </row>
    <row r="106" spans="1:13" ht="18.75" x14ac:dyDescent="0.3">
      <c r="A106" s="48"/>
      <c r="B106" s="48"/>
      <c r="C106" s="48"/>
      <c r="D106" s="48"/>
      <c r="E106" s="48"/>
      <c r="F106" s="48"/>
      <c r="G106" s="48"/>
      <c r="H106" s="48"/>
      <c r="I106" s="48"/>
      <c r="J106" s="48"/>
      <c r="K106" s="48"/>
      <c r="L106" s="48"/>
      <c r="M106" s="48"/>
    </row>
    <row r="107" spans="1:13" ht="18.75" x14ac:dyDescent="0.3">
      <c r="A107" s="48"/>
      <c r="B107" s="48"/>
      <c r="C107" s="48"/>
      <c r="D107" s="48"/>
      <c r="E107" s="48"/>
      <c r="F107" s="48"/>
      <c r="G107" s="48"/>
      <c r="H107" s="48"/>
      <c r="I107" s="48"/>
      <c r="J107" s="48"/>
      <c r="K107" s="48"/>
      <c r="L107" s="48"/>
      <c r="M107" s="48"/>
    </row>
    <row r="108" spans="1:13" ht="18.75" x14ac:dyDescent="0.3">
      <c r="A108" s="48"/>
      <c r="B108" s="48"/>
      <c r="C108" s="48"/>
      <c r="D108" s="48"/>
      <c r="E108" s="48"/>
      <c r="F108" s="48"/>
      <c r="G108" s="48"/>
      <c r="H108" s="48"/>
      <c r="I108" s="48"/>
      <c r="J108" s="48"/>
      <c r="K108" s="48"/>
      <c r="L108" s="48"/>
      <c r="M108" s="48"/>
    </row>
    <row r="109" spans="1:13" ht="18.75" x14ac:dyDescent="0.3">
      <c r="A109" s="48"/>
      <c r="B109" s="48"/>
      <c r="C109" s="48"/>
      <c r="D109" s="48"/>
      <c r="E109" s="48"/>
      <c r="F109" s="48"/>
      <c r="G109" s="48"/>
      <c r="H109" s="48"/>
      <c r="I109" s="48"/>
      <c r="J109" s="48"/>
      <c r="K109" s="48"/>
      <c r="L109" s="48"/>
      <c r="M109" s="48"/>
    </row>
    <row r="110" spans="1:13" ht="18.75" x14ac:dyDescent="0.3">
      <c r="A110" s="48"/>
      <c r="B110" s="48"/>
      <c r="C110" s="48"/>
      <c r="D110" s="48"/>
      <c r="E110" s="48"/>
      <c r="F110" s="48"/>
      <c r="G110" s="48"/>
      <c r="H110" s="48"/>
      <c r="I110" s="48"/>
      <c r="J110" s="48"/>
      <c r="K110" s="48"/>
      <c r="L110" s="48"/>
      <c r="M110" s="48"/>
    </row>
    <row r="111" spans="1:13" ht="18.75" x14ac:dyDescent="0.3">
      <c r="A111" s="48"/>
      <c r="B111" s="48"/>
      <c r="C111" s="48"/>
      <c r="D111" s="48"/>
      <c r="E111" s="48"/>
      <c r="F111" s="48"/>
      <c r="G111" s="48"/>
      <c r="H111" s="48"/>
      <c r="I111" s="48"/>
      <c r="J111" s="48"/>
      <c r="K111" s="48"/>
      <c r="L111" s="48"/>
      <c r="M111" s="48"/>
    </row>
    <row r="112" spans="1:13" ht="18.75" x14ac:dyDescent="0.3">
      <c r="A112" s="48"/>
      <c r="B112" s="48"/>
      <c r="C112" s="48"/>
      <c r="D112" s="48"/>
      <c r="E112" s="48"/>
      <c r="F112" s="48"/>
      <c r="G112" s="48"/>
      <c r="H112" s="48"/>
      <c r="I112" s="48"/>
      <c r="J112" s="48"/>
      <c r="K112" s="48"/>
      <c r="L112" s="48"/>
      <c r="M112" s="48"/>
    </row>
    <row r="113" spans="1:13" ht="18.75" x14ac:dyDescent="0.3">
      <c r="A113" s="48"/>
      <c r="B113" s="48"/>
      <c r="C113" s="48"/>
      <c r="D113" s="48"/>
      <c r="E113" s="48"/>
      <c r="F113" s="48"/>
      <c r="G113" s="48"/>
      <c r="H113" s="48"/>
      <c r="I113" s="48"/>
      <c r="J113" s="48"/>
      <c r="K113" s="48"/>
      <c r="L113" s="48"/>
      <c r="M113" s="48"/>
    </row>
    <row r="114" spans="1:13" ht="18.75" x14ac:dyDescent="0.3">
      <c r="A114" s="48"/>
      <c r="B114" s="48"/>
      <c r="C114" s="48"/>
      <c r="D114" s="48"/>
      <c r="E114" s="48"/>
      <c r="F114" s="48"/>
      <c r="G114" s="48"/>
      <c r="H114" s="48"/>
      <c r="I114" s="48"/>
      <c r="J114" s="48"/>
      <c r="K114" s="48"/>
      <c r="L114" s="48"/>
      <c r="M114" s="48"/>
    </row>
    <row r="115" spans="1:13" ht="18.75" x14ac:dyDescent="0.3">
      <c r="A115" s="48"/>
      <c r="B115" s="48"/>
      <c r="C115" s="48"/>
      <c r="D115" s="48"/>
      <c r="E115" s="48"/>
      <c r="F115" s="48"/>
      <c r="G115" s="48"/>
      <c r="H115" s="48"/>
      <c r="I115" s="48"/>
      <c r="J115" s="48"/>
      <c r="K115" s="48"/>
      <c r="L115" s="48"/>
      <c r="M115" s="48"/>
    </row>
  </sheetData>
  <mergeCells count="3">
    <mergeCell ref="B5:D5"/>
    <mergeCell ref="F5:H5"/>
    <mergeCell ref="J5:L5"/>
  </mergeCells>
  <hyperlinks>
    <hyperlink ref="B1" location="Innhold!A1" display="Tilbake" xr:uid="{00000000-0004-0000-0400-000000000000}"/>
  </hyperlinks>
  <pageMargins left="0.7" right="0.7" top="0.78740157499999996" bottom="0.78740157499999996"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10"/>
  <dimension ref="A1:K92"/>
  <sheetViews>
    <sheetView showGridLines="0" zoomScale="70" zoomScaleNormal="70" workbookViewId="0">
      <pane xSplit="1" ySplit="7" topLeftCell="B8" activePane="bottomRight" state="frozen"/>
      <selection pane="topRight" activeCell="H73" sqref="H73"/>
      <selection pane="bottomLeft" activeCell="H73" sqref="H73"/>
      <selection pane="bottomRight" activeCell="A4" sqref="A4"/>
    </sheetView>
  </sheetViews>
  <sheetFormatPr baseColWidth="10" defaultColWidth="11.42578125" defaultRowHeight="18" x14ac:dyDescent="0.25"/>
  <cols>
    <col min="1" max="1" width="35.7109375" style="53" customWidth="1"/>
    <col min="2" max="2" width="18.28515625" style="53" customWidth="1"/>
    <col min="3" max="3" width="17.7109375" style="53" customWidth="1"/>
    <col min="4" max="4" width="11.7109375" style="53" customWidth="1"/>
    <col min="5" max="5" width="4.7109375" style="53" customWidth="1"/>
    <col min="6" max="7" width="13" style="53" customWidth="1"/>
    <col min="8" max="8" width="11.7109375" style="53" customWidth="1"/>
    <col min="9" max="9" width="12.42578125" style="53" customWidth="1"/>
    <col min="10" max="10" width="11.42578125" style="53"/>
    <col min="11" max="12" width="17.28515625" style="53" bestFit="1" customWidth="1"/>
    <col min="13" max="16384" width="11.42578125" style="53"/>
  </cols>
  <sheetData>
    <row r="1" spans="1:11" ht="18.75" customHeight="1" x14ac:dyDescent="0.3">
      <c r="A1" s="52" t="s">
        <v>77</v>
      </c>
      <c r="B1" s="47" t="s">
        <v>44</v>
      </c>
      <c r="C1" s="52"/>
      <c r="D1" s="52"/>
      <c r="E1" s="52"/>
      <c r="F1" s="48"/>
      <c r="G1" s="48"/>
      <c r="H1" s="48"/>
      <c r="I1" s="48"/>
      <c r="J1" s="48"/>
    </row>
    <row r="2" spans="1:11" ht="20.100000000000001" customHeight="1" x14ac:dyDescent="0.3">
      <c r="A2" s="52" t="s">
        <v>151</v>
      </c>
      <c r="B2" s="52"/>
      <c r="C2" s="507"/>
      <c r="D2" s="52"/>
      <c r="E2" s="52"/>
      <c r="F2" s="48"/>
      <c r="G2" s="48"/>
      <c r="H2" s="48"/>
      <c r="I2" s="48"/>
      <c r="J2" s="48"/>
    </row>
    <row r="3" spans="1:11" ht="20.100000000000001" customHeight="1" x14ac:dyDescent="0.3">
      <c r="A3" s="49"/>
      <c r="B3" s="49"/>
      <c r="C3" s="49"/>
      <c r="D3" s="49"/>
      <c r="E3" s="49"/>
      <c r="F3" s="48"/>
      <c r="G3" s="48"/>
      <c r="H3" s="48"/>
      <c r="I3" s="48"/>
      <c r="J3" s="48"/>
    </row>
    <row r="4" spans="1:11" ht="20.100000000000001" customHeight="1" x14ac:dyDescent="0.3">
      <c r="A4" s="208"/>
      <c r="B4" s="583" t="s">
        <v>152</v>
      </c>
      <c r="C4" s="583"/>
      <c r="D4" s="584"/>
      <c r="E4" s="61"/>
      <c r="F4" s="585" t="s">
        <v>152</v>
      </c>
      <c r="G4" s="583"/>
      <c r="H4" s="584"/>
      <c r="I4" s="48"/>
      <c r="J4" s="48"/>
    </row>
    <row r="5" spans="1:11" ht="18.75" customHeight="1" x14ac:dyDescent="0.3">
      <c r="A5" s="508" t="s">
        <v>153</v>
      </c>
      <c r="B5" s="586" t="s">
        <v>154</v>
      </c>
      <c r="C5" s="587"/>
      <c r="D5" s="588"/>
      <c r="E5" s="509"/>
      <c r="F5" s="589" t="s">
        <v>155</v>
      </c>
      <c r="G5" s="590"/>
      <c r="H5" s="591"/>
      <c r="I5" s="48"/>
      <c r="J5" s="48"/>
    </row>
    <row r="6" spans="1:11" ht="18.75" customHeight="1" x14ac:dyDescent="0.3">
      <c r="A6" s="90"/>
      <c r="B6" s="88"/>
      <c r="C6" s="144"/>
      <c r="D6" s="209" t="s">
        <v>84</v>
      </c>
      <c r="E6" s="209"/>
      <c r="F6" s="91"/>
      <c r="G6" s="92"/>
      <c r="H6" s="66" t="s">
        <v>84</v>
      </c>
      <c r="I6" s="72"/>
      <c r="J6" s="48"/>
    </row>
    <row r="7" spans="1:11" ht="18.75" customHeight="1" x14ac:dyDescent="0.3">
      <c r="A7" s="94"/>
      <c r="B7" s="69">
        <v>2025</v>
      </c>
      <c r="C7" s="69">
        <v>2026</v>
      </c>
      <c r="D7" s="210" t="s">
        <v>87</v>
      </c>
      <c r="E7" s="209"/>
      <c r="F7" s="69">
        <v>2025</v>
      </c>
      <c r="G7" s="95">
        <v>2026</v>
      </c>
      <c r="H7" s="211" t="s">
        <v>87</v>
      </c>
      <c r="I7" s="72"/>
      <c r="J7" s="48"/>
    </row>
    <row r="8" spans="1:11" ht="18.75" customHeight="1" x14ac:dyDescent="0.3">
      <c r="A8" s="73" t="s">
        <v>156</v>
      </c>
      <c r="B8" s="78">
        <f>SUM(B9:B14)</f>
        <v>192369.67243861995</v>
      </c>
      <c r="C8" s="78">
        <f>SUM(C9:C14)</f>
        <v>161574.36120649986</v>
      </c>
      <c r="D8" s="212">
        <f t="shared" ref="D8:D38" si="0">IF(B8=0, "    ---- ", IF(ABS(ROUND(100/B8*C8-100,1))&lt;999,ROUND(100/B8*C8-100,1),IF(ROUND(100/B8*C8-100,1)&gt;999,999,-999)))</f>
        <v>-16</v>
      </c>
      <c r="E8" s="213"/>
      <c r="F8" s="212">
        <f>SUM(F9:F14)</f>
        <v>100.00000007053086</v>
      </c>
      <c r="G8" s="212">
        <f>SUM(G9:G14)</f>
        <v>100</v>
      </c>
      <c r="H8" s="213">
        <f t="shared" ref="H8:H38" si="1">IF(F8=0, "    ---- ", IF(ABS(ROUND(100/F8*G8-100,1))&lt;999,ROUND(100/F8*G8-100,1),IF(ROUND(100/F8*G8-100,1)&gt;999,999,-999)))</f>
        <v>0</v>
      </c>
      <c r="I8" s="76"/>
      <c r="J8" s="48"/>
    </row>
    <row r="9" spans="1:11" ht="18.75" customHeight="1" x14ac:dyDescent="0.3">
      <c r="A9" s="58" t="s">
        <v>157</v>
      </c>
      <c r="B9" s="76">
        <f>'Tabell 6'!AI21</f>
        <v>5212.1701051600003</v>
      </c>
      <c r="C9" s="76">
        <f>'Tabell 6'!AJ21</f>
        <v>5647.7949923699998</v>
      </c>
      <c r="D9" s="214">
        <f t="shared" si="0"/>
        <v>8.4</v>
      </c>
      <c r="E9" s="214"/>
      <c r="F9" s="214">
        <f>'Tabell 6'!AI21/'Tabell 6'!AI29*100</f>
        <v>2.7094552081743823</v>
      </c>
      <c r="G9" s="214">
        <f>'Tabell 6'!AJ21/'Tabell 6'!AJ29*100</f>
        <v>3.495477221879185</v>
      </c>
      <c r="H9" s="215">
        <f t="shared" si="1"/>
        <v>29</v>
      </c>
      <c r="I9" s="76"/>
      <c r="J9" s="51"/>
    </row>
    <row r="10" spans="1:11" ht="18.75" customHeight="1" x14ac:dyDescent="0.3">
      <c r="A10" s="77" t="s">
        <v>158</v>
      </c>
      <c r="B10" s="75">
        <f>'Tabell 6'!AI17+'Tabell 6'!AI22</f>
        <v>70428.053641350009</v>
      </c>
      <c r="C10" s="75">
        <f>'Tabell 6'!AJ17+'Tabell 6'!AJ22</f>
        <v>65597.517935529992</v>
      </c>
      <c r="D10" s="214">
        <f t="shared" si="0"/>
        <v>-6.9</v>
      </c>
      <c r="E10" s="214"/>
      <c r="F10" s="214">
        <f>('Tabell 6'!AI17+'Tabell 6'!AI22)/'Tabell 6'!AI29*100</f>
        <v>36.6107883837538</v>
      </c>
      <c r="G10" s="214">
        <f>('Tabell 6'!AJ17+'Tabell 6'!AJ22)/'Tabell 6'!AJ29*100</f>
        <v>40.598964740261728</v>
      </c>
      <c r="H10" s="215">
        <f t="shared" si="1"/>
        <v>10.9</v>
      </c>
      <c r="I10" s="76"/>
      <c r="J10" s="48"/>
    </row>
    <row r="11" spans="1:11" ht="18.75" customHeight="1" x14ac:dyDescent="0.3">
      <c r="A11" s="58" t="s">
        <v>159</v>
      </c>
      <c r="B11" s="75">
        <f>'Tabell 6'!AI14</f>
        <v>1347.1865066300002</v>
      </c>
      <c r="C11" s="75">
        <f>'Tabell 6'!AJ14</f>
        <v>1488.3456136300001</v>
      </c>
      <c r="D11" s="214">
        <f t="shared" si="0"/>
        <v>10.5</v>
      </c>
      <c r="E11" s="214"/>
      <c r="F11" s="214">
        <f>'Tabell 6'!AI14/'Tabell 6'!AI29*100</f>
        <v>0.70031127594191522</v>
      </c>
      <c r="G11" s="214">
        <f>'Tabell 6'!AJ14/'Tabell 6'!AJ29*100</f>
        <v>0.92115209524351616</v>
      </c>
      <c r="H11" s="215">
        <f t="shared" si="1"/>
        <v>31.5</v>
      </c>
      <c r="I11" s="76"/>
      <c r="J11" s="48"/>
    </row>
    <row r="12" spans="1:11" ht="18.75" customHeight="1" x14ac:dyDescent="0.3">
      <c r="A12" s="77" t="s">
        <v>160</v>
      </c>
      <c r="B12" s="75">
        <f>'Tabell 6'!AI15</f>
        <v>27552.719292940001</v>
      </c>
      <c r="C12" s="75">
        <f>'Tabell 6'!AJ15</f>
        <v>27971.274272750001</v>
      </c>
      <c r="D12" s="214">
        <f t="shared" si="0"/>
        <v>1.5</v>
      </c>
      <c r="E12" s="214"/>
      <c r="F12" s="214">
        <f>'Tabell 6'!AI15/'Tabell 6'!AI29*100</f>
        <v>14.322797852226167</v>
      </c>
      <c r="G12" s="214">
        <f>'Tabell 6'!AJ15/'Tabell 6'!AJ29*100</f>
        <v>17.311703455848022</v>
      </c>
      <c r="H12" s="215">
        <f t="shared" si="1"/>
        <v>20.9</v>
      </c>
      <c r="I12" s="76"/>
      <c r="J12" s="48"/>
      <c r="K12" s="102"/>
    </row>
    <row r="13" spans="1:11" ht="18.75" customHeight="1" x14ac:dyDescent="0.3">
      <c r="A13" s="58" t="s">
        <v>161</v>
      </c>
      <c r="B13" s="75">
        <f>'Tabell 6'!AI19+'Tabell 6'!AI23</f>
        <v>37728.420968979997</v>
      </c>
      <c r="C13" s="75">
        <f>'Tabell 6'!AJ19+'Tabell 6'!AJ23</f>
        <v>35739.673870219995</v>
      </c>
      <c r="D13" s="214">
        <f t="shared" si="0"/>
        <v>-5.3</v>
      </c>
      <c r="E13" s="214"/>
      <c r="F13" s="214">
        <f>('Tabell 6'!AI19+'Tabell 6'!AI23)/'Tabell 6'!AI29*100</f>
        <v>19.612457887626913</v>
      </c>
      <c r="G13" s="214">
        <f>('Tabell 6'!AJ19+'Tabell 6'!AJ23)/'Tabell 6'!AJ29*100</f>
        <v>22.119644232752353</v>
      </c>
      <c r="H13" s="215">
        <f t="shared" si="1"/>
        <v>12.8</v>
      </c>
      <c r="I13" s="76"/>
      <c r="J13" s="48"/>
    </row>
    <row r="14" spans="1:11" ht="18.75" customHeight="1" x14ac:dyDescent="0.3">
      <c r="A14" s="58" t="s">
        <v>162</v>
      </c>
      <c r="B14" s="133">
        <f>'Tabell 6'!AI24+'Tabell 6'!AI25+'Tabell 6'!AI26+'Tabell 6'!AI28</f>
        <v>50101.121923559964</v>
      </c>
      <c r="C14" s="133">
        <f>'Tabell 6'!AJ24+'Tabell 6'!AJ25+'Tabell 6'!AJ26+'Tabell 6'!AJ28</f>
        <v>25129.754521999846</v>
      </c>
      <c r="D14" s="214">
        <f t="shared" si="0"/>
        <v>-49.8</v>
      </c>
      <c r="E14" s="214"/>
      <c r="F14" s="214">
        <f>('Tabell 6'!AI24+'Tabell 6'!AI25+'Tabell 6'!AI26+'Tabell 6'!AI28)/'Tabell 6'!AI29*100</f>
        <v>26.044189462807683</v>
      </c>
      <c r="G14" s="214">
        <f>('Tabell 6'!AJ24+'Tabell 6'!AJ25+'Tabell 6'!AJ26+'Tabell 6'!AJ28)/'Tabell 6'!AJ29*100</f>
        <v>15.553058254015195</v>
      </c>
      <c r="H14" s="215">
        <f t="shared" si="1"/>
        <v>-40.299999999999997</v>
      </c>
      <c r="I14" s="76"/>
      <c r="J14" s="48"/>
    </row>
    <row r="15" spans="1:11" ht="18.75" customHeight="1" x14ac:dyDescent="0.3">
      <c r="A15" s="77"/>
      <c r="B15" s="75"/>
      <c r="C15" s="133"/>
      <c r="D15" s="215"/>
      <c r="E15" s="215"/>
      <c r="F15" s="215"/>
      <c r="G15" s="214"/>
      <c r="H15" s="215"/>
      <c r="I15" s="76"/>
      <c r="J15" s="48"/>
    </row>
    <row r="16" spans="1:11" s="102" customFormat="1" ht="18.75" customHeight="1" x14ac:dyDescent="0.3">
      <c r="A16" s="73" t="s">
        <v>163</v>
      </c>
      <c r="B16" s="78">
        <f>SUM(B17:B22)</f>
        <v>1460225.5669680904</v>
      </c>
      <c r="C16" s="78">
        <f>SUM(C17:C22)</f>
        <v>1561318.7182038799</v>
      </c>
      <c r="D16" s="212">
        <f t="shared" si="0"/>
        <v>6.9</v>
      </c>
      <c r="E16" s="212"/>
      <c r="F16" s="212">
        <f>SUM(F17:F22)</f>
        <v>100.00000000000001</v>
      </c>
      <c r="G16" s="212">
        <f>SUM(G17:G22)</f>
        <v>100</v>
      </c>
      <c r="H16" s="213">
        <f t="shared" si="1"/>
        <v>0</v>
      </c>
      <c r="I16" s="79"/>
      <c r="J16" s="49"/>
    </row>
    <row r="17" spans="1:10" ht="18.75" customHeight="1" x14ac:dyDescent="0.3">
      <c r="A17" s="58" t="s">
        <v>157</v>
      </c>
      <c r="B17" s="75">
        <f>'Tabell 6'!AI40</f>
        <v>367048.23099268001</v>
      </c>
      <c r="C17" s="75">
        <f>'Tabell 6'!AJ40</f>
        <v>429547.98098882992</v>
      </c>
      <c r="D17" s="214">
        <f t="shared" si="0"/>
        <v>17</v>
      </c>
      <c r="E17" s="214"/>
      <c r="F17" s="214">
        <f>'Tabell 6'!AI40/('Tabell 6'!AI45+'Tabell 6'!AI46)*100</f>
        <v>25.136406271449779</v>
      </c>
      <c r="G17" s="214">
        <f>'Tabell 6'!AJ40/('Tabell 6'!AJ45+'Tabell 6'!AJ46)*100</f>
        <v>27.511870317098108</v>
      </c>
      <c r="H17" s="215">
        <f t="shared" si="1"/>
        <v>9.5</v>
      </c>
      <c r="I17" s="76"/>
      <c r="J17" s="48"/>
    </row>
    <row r="18" spans="1:10" ht="18.75" customHeight="1" x14ac:dyDescent="0.3">
      <c r="A18" s="77" t="s">
        <v>158</v>
      </c>
      <c r="B18" s="75">
        <f>'Tabell 6'!AI36+'Tabell 6'!AI41</f>
        <v>364395.74596237991</v>
      </c>
      <c r="C18" s="75">
        <f>'Tabell 6'!AJ36+'Tabell 6'!AJ41</f>
        <v>385372.61018298008</v>
      </c>
      <c r="D18" s="214">
        <f t="shared" si="0"/>
        <v>5.8</v>
      </c>
      <c r="E18" s="214"/>
      <c r="F18" s="214">
        <f>('Tabell 6'!AI36+'Tabell 6'!AI41)/('Tabell 6'!AI45+'Tabell 6'!AI46)*100</f>
        <v>24.954757278972021</v>
      </c>
      <c r="G18" s="214">
        <f>('Tabell 6'!AJ36+'Tabell 6'!AJ41)/('Tabell 6'!AJ45+'Tabell 6'!AJ46)*100</f>
        <v>24.682507529680269</v>
      </c>
      <c r="H18" s="215">
        <f t="shared" si="1"/>
        <v>-1.1000000000000001</v>
      </c>
      <c r="I18" s="76"/>
      <c r="J18" s="48"/>
    </row>
    <row r="19" spans="1:10" ht="18.75" customHeight="1" x14ac:dyDescent="0.3">
      <c r="A19" s="58" t="s">
        <v>159</v>
      </c>
      <c r="B19" s="75">
        <f>'Tabell 6'!AI33</f>
        <v>14.226000000000001</v>
      </c>
      <c r="C19" s="75">
        <f>'Tabell 6'!AJ33</f>
        <v>14.226000000000001</v>
      </c>
      <c r="D19" s="214">
        <f t="shared" si="0"/>
        <v>0</v>
      </c>
      <c r="E19" s="214"/>
      <c r="F19" s="214">
        <f>'Tabell 6'!AI33/('Tabell 6'!AI45+'Tabell 6'!AI46)*100</f>
        <v>9.7423304466157719E-4</v>
      </c>
      <c r="G19" s="214">
        <f>'Tabell 6'!AJ33/('Tabell 6'!AJ45+'Tabell 6'!AJ46)*100</f>
        <v>9.1115285009619302E-4</v>
      </c>
      <c r="H19" s="215">
        <f t="shared" si="1"/>
        <v>-6.5</v>
      </c>
      <c r="I19" s="76"/>
      <c r="J19" s="48"/>
    </row>
    <row r="20" spans="1:10" ht="18.75" customHeight="1" x14ac:dyDescent="0.3">
      <c r="A20" s="77" t="s">
        <v>160</v>
      </c>
      <c r="B20" s="75">
        <f>'Tabell 6'!AI34</f>
        <v>171108.62270604004</v>
      </c>
      <c r="C20" s="75">
        <f>'Tabell 6'!AJ34</f>
        <v>187253.68166511998</v>
      </c>
      <c r="D20" s="214">
        <f t="shared" si="0"/>
        <v>9.4</v>
      </c>
      <c r="E20" s="214"/>
      <c r="F20" s="214">
        <f>'Tabell 6'!AI34/('Tabell 6'!AI45+'Tabell 6'!AI46)*100</f>
        <v>11.717958278276006</v>
      </c>
      <c r="G20" s="214">
        <f>'Tabell 6'!AJ34/('Tabell 6'!AJ45+'Tabell 6'!AJ46)*100</f>
        <v>11.993302807548103</v>
      </c>
      <c r="H20" s="215">
        <f t="shared" si="1"/>
        <v>2.2999999999999998</v>
      </c>
      <c r="I20" s="76"/>
      <c r="J20" s="48"/>
    </row>
    <row r="21" spans="1:10" ht="18.75" customHeight="1" x14ac:dyDescent="0.3">
      <c r="A21" s="58" t="s">
        <v>161</v>
      </c>
      <c r="B21" s="75">
        <f>'Tabell 6'!AI38+'Tabell 6'!AI42</f>
        <v>539015.93688171019</v>
      </c>
      <c r="C21" s="75">
        <f>'Tabell 6'!AJ38+'Tabell 6'!AJ42</f>
        <v>542425.20704053005</v>
      </c>
      <c r="D21" s="214">
        <f t="shared" si="0"/>
        <v>0.6</v>
      </c>
      <c r="E21" s="214"/>
      <c r="F21" s="214">
        <f>('Tabell 6'!AI38+'Tabell 6'!AI42)/('Tabell 6'!AI45+'Tabell 6'!AI46)*100</f>
        <v>36.913196774172711</v>
      </c>
      <c r="G21" s="214">
        <f>('Tabell 6'!AJ38+'Tabell 6'!AJ42)/('Tabell 6'!AJ45+'Tabell 6'!AJ46)*100</f>
        <v>34.741478515323806</v>
      </c>
      <c r="H21" s="215">
        <f t="shared" si="1"/>
        <v>-5.9</v>
      </c>
      <c r="I21" s="76"/>
      <c r="J21" s="48"/>
    </row>
    <row r="22" spans="1:10" ht="18.75" customHeight="1" x14ac:dyDescent="0.3">
      <c r="A22" s="77" t="s">
        <v>162</v>
      </c>
      <c r="B22" s="133">
        <f>'Tabell 6'!AI43+'Tabell 6'!AI44+'Tabell 6'!AI46</f>
        <v>18642.804425279999</v>
      </c>
      <c r="C22" s="133">
        <f>'Tabell 6'!AJ43+'Tabell 6'!AJ44+'Tabell 6'!AJ46</f>
        <v>16705.012326419896</v>
      </c>
      <c r="D22" s="214">
        <f t="shared" si="0"/>
        <v>-10.4</v>
      </c>
      <c r="E22" s="214"/>
      <c r="F22" s="215">
        <f>('Tabell 6'!AI43+'Tabell 6'!AI44+'Tabell 6'!AI46)/('Tabell 6'!AI45+'Tabell 6'!AI46)*100</f>
        <v>1.2767071640848346</v>
      </c>
      <c r="G22" s="215">
        <f>('Tabell 6'!AJ43+'Tabell 6'!AJ44+'Tabell 6'!AJ46)/('Tabell 6'!AJ45+'Tabell 6'!AJ46)*100</f>
        <v>1.0699296774996152</v>
      </c>
      <c r="H22" s="215">
        <f t="shared" si="1"/>
        <v>-16.2</v>
      </c>
      <c r="I22" s="76"/>
      <c r="J22" s="48"/>
    </row>
    <row r="23" spans="1:10" ht="18.75" customHeight="1" x14ac:dyDescent="0.3">
      <c r="A23" s="58"/>
      <c r="B23" s="133"/>
      <c r="C23" s="133"/>
      <c r="D23" s="215"/>
      <c r="E23" s="214"/>
      <c r="F23" s="214"/>
      <c r="G23" s="215"/>
      <c r="H23" s="215"/>
      <c r="I23" s="136"/>
      <c r="J23" s="48"/>
    </row>
    <row r="24" spans="1:10" ht="18.75" customHeight="1" x14ac:dyDescent="0.3">
      <c r="A24" s="103" t="s">
        <v>164</v>
      </c>
      <c r="B24" s="78">
        <f>SUM(B25:B30)</f>
        <v>789361.91144398984</v>
      </c>
      <c r="C24" s="78">
        <f>SUM(C25:C30)</f>
        <v>936720.94002519024</v>
      </c>
      <c r="D24" s="212">
        <f t="shared" si="0"/>
        <v>18.7</v>
      </c>
      <c r="E24" s="212"/>
      <c r="F24" s="213">
        <f>SUM(F25:F30)</f>
        <v>99.999999999999972</v>
      </c>
      <c r="G24" s="213">
        <f>SUM(G25:G30)</f>
        <v>100</v>
      </c>
      <c r="H24" s="215">
        <f t="shared" si="1"/>
        <v>0</v>
      </c>
      <c r="I24" s="136"/>
      <c r="J24" s="48"/>
    </row>
    <row r="25" spans="1:10" ht="18.75" customHeight="1" x14ac:dyDescent="0.3">
      <c r="A25" s="77" t="s">
        <v>157</v>
      </c>
      <c r="B25" s="75">
        <f>'Tabell 6'!AI55</f>
        <v>519907.74139872997</v>
      </c>
      <c r="C25" s="75">
        <f>'Tabell 6'!AJ55</f>
        <v>644265.28819827037</v>
      </c>
      <c r="D25" s="214">
        <f t="shared" si="0"/>
        <v>23.9</v>
      </c>
      <c r="E25" s="214"/>
      <c r="F25" s="214">
        <f>'Tabell 6'!AI55/('Tabell 6'!AI60+'Tabell 6'!AI61)*100</f>
        <v>65.864305568995078</v>
      </c>
      <c r="G25" s="214">
        <f>'Tabell 6'!AJ55/('Tabell 6'!AJ60+'Tabell 6'!AJ61)*100</f>
        <v>68.778785726829668</v>
      </c>
      <c r="H25" s="215">
        <f t="shared" si="1"/>
        <v>4.4000000000000004</v>
      </c>
      <c r="I25" s="136"/>
      <c r="J25" s="48"/>
    </row>
    <row r="26" spans="1:10" ht="18.75" customHeight="1" x14ac:dyDescent="0.3">
      <c r="A26" s="77" t="s">
        <v>158</v>
      </c>
      <c r="B26" s="75">
        <f>'Tabell 6'!AI51+'Tabell 6'!AI56</f>
        <v>235065.50908497995</v>
      </c>
      <c r="C26" s="75">
        <f>'Tabell 6'!AJ51+'Tabell 6'!AJ56</f>
        <v>257790.91801316998</v>
      </c>
      <c r="D26" s="214">
        <f t="shared" si="0"/>
        <v>9.6999999999999993</v>
      </c>
      <c r="E26" s="214"/>
      <c r="F26" s="214">
        <f>('Tabell 6'!AI51+'Tabell 6'!AI56)/('Tabell 6'!AI60+'Tabell 6'!AI61)*100</f>
        <v>29.77918058586987</v>
      </c>
      <c r="G26" s="214">
        <f>('Tabell 6'!AJ51+'Tabell 6'!AJ56)/('Tabell 6'!AJ60+'Tabell 6'!AJ61)*100</f>
        <v>27.520567438818805</v>
      </c>
      <c r="H26" s="215">
        <f t="shared" si="1"/>
        <v>-7.6</v>
      </c>
      <c r="I26" s="136"/>
      <c r="J26" s="48"/>
    </row>
    <row r="27" spans="1:10" ht="18.75" customHeight="1" x14ac:dyDescent="0.3">
      <c r="A27" s="77" t="s">
        <v>159</v>
      </c>
      <c r="B27" s="75">
        <f>'Tabell 6'!AI48</f>
        <v>0</v>
      </c>
      <c r="C27" s="75">
        <f>'Tabell 6'!AJ48</f>
        <v>0</v>
      </c>
      <c r="D27" s="214" t="str">
        <f t="shared" si="0"/>
        <v xml:space="preserve">    ---- </v>
      </c>
      <c r="E27" s="214"/>
      <c r="F27" s="214">
        <f>'Tabell 6'!AI48/('Tabell 6'!AI60+'Tabell 6'!AI61)*100</f>
        <v>0</v>
      </c>
      <c r="G27" s="214">
        <f>'Tabell 6'!AJ48/('Tabell 6'!AJ60+'Tabell 6'!AJ61)*100</f>
        <v>0</v>
      </c>
      <c r="H27" s="215" t="str">
        <f t="shared" si="1"/>
        <v xml:space="preserve">    ---- </v>
      </c>
      <c r="I27" s="136"/>
      <c r="J27" s="48"/>
    </row>
    <row r="28" spans="1:10" ht="18.75" customHeight="1" x14ac:dyDescent="0.3">
      <c r="A28" s="77" t="s">
        <v>160</v>
      </c>
      <c r="B28" s="75">
        <f>'Tabell 6'!AI49</f>
        <v>21127.973793249999</v>
      </c>
      <c r="C28" s="75">
        <f>'Tabell 6'!AJ49</f>
        <v>25723.43852435</v>
      </c>
      <c r="D28" s="214">
        <f t="shared" si="0"/>
        <v>21.8</v>
      </c>
      <c r="E28" s="214"/>
      <c r="F28" s="214">
        <f>'Tabell 6'!AI49/('Tabell 6'!AI60+'Tabell 6'!AI61)*100</f>
        <v>2.6765889621656971</v>
      </c>
      <c r="G28" s="214">
        <f>'Tabell 6'!AJ49/('Tabell 6'!AJ60+'Tabell 6'!AJ61)*100</f>
        <v>2.7461154571454593</v>
      </c>
      <c r="H28" s="215">
        <f t="shared" si="1"/>
        <v>2.6</v>
      </c>
      <c r="I28" s="136"/>
      <c r="J28" s="48"/>
    </row>
    <row r="29" spans="1:10" ht="18.75" customHeight="1" x14ac:dyDescent="0.3">
      <c r="A29" s="77" t="s">
        <v>161</v>
      </c>
      <c r="B29" s="75">
        <f>'Tabell 6'!AI53+'Tabell 6'!AI57</f>
        <v>5093.0474629200016</v>
      </c>
      <c r="C29" s="75">
        <f>'Tabell 6'!AJ53+'Tabell 6'!AJ57</f>
        <v>5615.8584357100044</v>
      </c>
      <c r="D29" s="214">
        <f t="shared" si="0"/>
        <v>10.3</v>
      </c>
      <c r="E29" s="214"/>
      <c r="F29" s="214">
        <f>('Tabell 6'!AI53+'Tabell 6'!AI57)/('Tabell 6'!AI60+'Tabell 6'!AI61)*100</f>
        <v>0.64521069348319893</v>
      </c>
      <c r="G29" s="214">
        <f>('Tabell 6'!AJ53+'Tabell 6'!AJ57)/('Tabell 6'!AJ60+'Tabell 6'!AJ61)*100</f>
        <v>0.59952310189190205</v>
      </c>
      <c r="H29" s="215">
        <f t="shared" si="1"/>
        <v>-7.1</v>
      </c>
      <c r="I29" s="136"/>
      <c r="J29" s="48"/>
    </row>
    <row r="30" spans="1:10" ht="18.75" customHeight="1" x14ac:dyDescent="0.3">
      <c r="A30" s="58" t="s">
        <v>162</v>
      </c>
      <c r="B30" s="133">
        <f>'Tabell 6'!AI58+'Tabell 6'!AI59+'Tabell 6'!AI61</f>
        <v>8167.6397041100026</v>
      </c>
      <c r="C30" s="133">
        <f>'Tabell 6'!AJ58+'Tabell 6'!AJ59+'Tabell 6'!AJ61</f>
        <v>3325.4368536899938</v>
      </c>
      <c r="D30" s="215">
        <f t="shared" si="0"/>
        <v>-59.3</v>
      </c>
      <c r="E30" s="215"/>
      <c r="F30" s="215">
        <f>('Tabell 6'!AI58+'Tabell 6'!AI59+'Tabell 6'!AI61)/('Tabell 6'!AI60+'Tabell 6'!AI61)*100</f>
        <v>1.0347141894861425</v>
      </c>
      <c r="G30" s="215">
        <f>('Tabell 6'!AJ58+'Tabell 6'!AJ59+'Tabell 6'!AJ61)/('Tabell 6'!AJ60+'Tabell 6'!AJ61)*100</f>
        <v>0.35500827531415768</v>
      </c>
      <c r="H30" s="215">
        <f t="shared" si="1"/>
        <v>-65.7</v>
      </c>
      <c r="I30" s="136"/>
      <c r="J30" s="48"/>
    </row>
    <row r="31" spans="1:10" ht="18.75" customHeight="1" x14ac:dyDescent="0.3">
      <c r="A31" s="77"/>
      <c r="B31" s="133"/>
      <c r="C31" s="133"/>
      <c r="D31" s="214"/>
      <c r="E31" s="214"/>
      <c r="F31" s="214"/>
      <c r="G31" s="215"/>
      <c r="H31" s="215"/>
      <c r="I31" s="136"/>
      <c r="J31" s="48"/>
    </row>
    <row r="32" spans="1:10" ht="18.75" customHeight="1" x14ac:dyDescent="0.3">
      <c r="A32" s="103" t="s">
        <v>120</v>
      </c>
      <c r="B32" s="78">
        <f>SUM(B33:B38)</f>
        <v>2441957.1508507002</v>
      </c>
      <c r="C32" s="78">
        <f>SUM(C33:C38)</f>
        <v>2659614.0194355701</v>
      </c>
      <c r="D32" s="212">
        <f t="shared" si="0"/>
        <v>8.9</v>
      </c>
      <c r="E32" s="212"/>
      <c r="F32" s="212">
        <f>SUM(F33:F38)</f>
        <v>99.999999999999986</v>
      </c>
      <c r="G32" s="212">
        <f>SUM(G33:G38)</f>
        <v>100</v>
      </c>
      <c r="H32" s="213">
        <f t="shared" si="1"/>
        <v>0</v>
      </c>
      <c r="I32" s="136"/>
      <c r="J32" s="48"/>
    </row>
    <row r="33" spans="1:10" ht="18.75" customHeight="1" x14ac:dyDescent="0.3">
      <c r="A33" s="77" t="s">
        <v>157</v>
      </c>
      <c r="B33" s="75">
        <f t="shared" ref="B33:C38" si="2">B9+B17+B25</f>
        <v>892168.14249657001</v>
      </c>
      <c r="C33" s="75">
        <f t="shared" si="2"/>
        <v>1079461.0641794703</v>
      </c>
      <c r="D33" s="214">
        <f t="shared" si="0"/>
        <v>21</v>
      </c>
      <c r="E33" s="214"/>
      <c r="F33" s="214">
        <f>B33/B32*100</f>
        <v>36.534963039206772</v>
      </c>
      <c r="G33" s="214">
        <f>C33/C32*100</f>
        <v>40.587132429410048</v>
      </c>
      <c r="H33" s="215">
        <f t="shared" si="1"/>
        <v>11.1</v>
      </c>
      <c r="I33" s="136"/>
      <c r="J33" s="48"/>
    </row>
    <row r="34" spans="1:10" ht="18.75" customHeight="1" x14ac:dyDescent="0.3">
      <c r="A34" s="77" t="s">
        <v>158</v>
      </c>
      <c r="B34" s="75">
        <f t="shared" si="2"/>
        <v>669889.30868870986</v>
      </c>
      <c r="C34" s="75">
        <f t="shared" si="2"/>
        <v>708761.04613168002</v>
      </c>
      <c r="D34" s="214">
        <f t="shared" si="0"/>
        <v>5.8</v>
      </c>
      <c r="E34" s="214"/>
      <c r="F34" s="214">
        <f>B34/B32*100</f>
        <v>27.432475973435562</v>
      </c>
      <c r="G34" s="214">
        <f>C34/C32*100</f>
        <v>26.649019028787308</v>
      </c>
      <c r="H34" s="215">
        <f t="shared" si="1"/>
        <v>-2.9</v>
      </c>
      <c r="I34" s="136"/>
      <c r="J34" s="48"/>
    </row>
    <row r="35" spans="1:10" ht="18.75" customHeight="1" x14ac:dyDescent="0.3">
      <c r="A35" s="77" t="s">
        <v>159</v>
      </c>
      <c r="B35" s="75">
        <f t="shared" si="2"/>
        <v>1361.4125066300003</v>
      </c>
      <c r="C35" s="75">
        <f t="shared" si="2"/>
        <v>1502.5716136300002</v>
      </c>
      <c r="D35" s="214">
        <f t="shared" si="0"/>
        <v>10.4</v>
      </c>
      <c r="E35" s="214"/>
      <c r="F35" s="214">
        <f>B35/B32*100</f>
        <v>5.5750876142758178E-2</v>
      </c>
      <c r="G35" s="214">
        <f>C35/C32*100</f>
        <v>5.649585250527743E-2</v>
      </c>
      <c r="H35" s="215">
        <f t="shared" si="1"/>
        <v>1.3</v>
      </c>
      <c r="I35" s="136"/>
      <c r="J35" s="48"/>
    </row>
    <row r="36" spans="1:10" ht="18.75" customHeight="1" x14ac:dyDescent="0.3">
      <c r="A36" s="77" t="s">
        <v>160</v>
      </c>
      <c r="B36" s="75">
        <f t="shared" si="2"/>
        <v>219789.31579223002</v>
      </c>
      <c r="C36" s="75">
        <f t="shared" si="2"/>
        <v>240948.39446221996</v>
      </c>
      <c r="D36" s="214">
        <f t="shared" si="0"/>
        <v>9.6</v>
      </c>
      <c r="E36" s="214"/>
      <c r="F36" s="214">
        <f>B36/B32*100</f>
        <v>9.000539412235895</v>
      </c>
      <c r="G36" s="214">
        <f>C36/C32*100</f>
        <v>9.0595249047963211</v>
      </c>
      <c r="H36" s="215">
        <f t="shared" si="1"/>
        <v>0.7</v>
      </c>
      <c r="I36" s="136"/>
      <c r="J36" s="48"/>
    </row>
    <row r="37" spans="1:10" ht="18.75" customHeight="1" x14ac:dyDescent="0.3">
      <c r="A37" s="77" t="s">
        <v>161</v>
      </c>
      <c r="B37" s="75">
        <f t="shared" si="2"/>
        <v>581837.4053136101</v>
      </c>
      <c r="C37" s="75">
        <f t="shared" si="2"/>
        <v>583780.73934645997</v>
      </c>
      <c r="D37" s="214">
        <f t="shared" si="0"/>
        <v>0.3</v>
      </c>
      <c r="E37" s="214"/>
      <c r="F37" s="214">
        <f>B37/B32*100</f>
        <v>23.826683654580773</v>
      </c>
      <c r="G37" s="214">
        <f>C37/C32*100</f>
        <v>21.94982937675864</v>
      </c>
      <c r="H37" s="215">
        <f t="shared" si="1"/>
        <v>-7.9</v>
      </c>
      <c r="I37" s="136"/>
      <c r="J37" s="48"/>
    </row>
    <row r="38" spans="1:10" ht="18.75" customHeight="1" x14ac:dyDescent="0.3">
      <c r="A38" s="216" t="s">
        <v>162</v>
      </c>
      <c r="B38" s="217">
        <f t="shared" si="2"/>
        <v>76911.566052949958</v>
      </c>
      <c r="C38" s="217">
        <f t="shared" si="2"/>
        <v>45160.203702109735</v>
      </c>
      <c r="D38" s="218">
        <f t="shared" si="0"/>
        <v>-41.3</v>
      </c>
      <c r="E38" s="214"/>
      <c r="F38" s="218">
        <f>B38/B32*100</f>
        <v>3.1495870443982366</v>
      </c>
      <c r="G38" s="218">
        <f>C38/C32*100</f>
        <v>1.6979984077424044</v>
      </c>
      <c r="H38" s="219">
        <f t="shared" si="1"/>
        <v>-46.1</v>
      </c>
      <c r="I38" s="136"/>
      <c r="J38" s="48"/>
    </row>
    <row r="39" spans="1:10" ht="18.75" customHeight="1" x14ac:dyDescent="0.3">
      <c r="A39" s="48"/>
      <c r="B39" s="48"/>
      <c r="C39" s="48"/>
      <c r="D39" s="48"/>
      <c r="E39" s="48"/>
      <c r="F39" s="136"/>
      <c r="G39" s="136"/>
      <c r="H39" s="136"/>
      <c r="I39" s="136"/>
      <c r="J39" s="48"/>
    </row>
    <row r="40" spans="1:10" ht="18.75" customHeight="1" x14ac:dyDescent="0.3">
      <c r="A40" s="48" t="s">
        <v>165</v>
      </c>
      <c r="B40" s="48"/>
      <c r="C40" s="48"/>
      <c r="D40" s="48"/>
      <c r="E40" s="48"/>
      <c r="F40" s="136"/>
      <c r="G40" s="136"/>
      <c r="H40" s="136"/>
      <c r="I40" s="136"/>
      <c r="J40" s="48"/>
    </row>
    <row r="41" spans="1:10" ht="18.75" x14ac:dyDescent="0.3">
      <c r="A41" s="48"/>
      <c r="B41" s="48"/>
      <c r="C41" s="48"/>
      <c r="D41" s="48"/>
      <c r="E41" s="48"/>
      <c r="F41" s="48"/>
      <c r="G41" s="48"/>
      <c r="H41" s="48"/>
      <c r="I41" s="48"/>
      <c r="J41" s="48"/>
    </row>
    <row r="42" spans="1:10" ht="18.75" x14ac:dyDescent="0.3">
      <c r="A42" s="48"/>
      <c r="B42" s="48"/>
      <c r="C42" s="48"/>
      <c r="D42" s="48"/>
      <c r="E42" s="48"/>
      <c r="G42" s="48"/>
      <c r="H42" s="48"/>
      <c r="I42" s="48"/>
      <c r="J42" s="48"/>
    </row>
    <row r="43" spans="1:10" ht="18.75" x14ac:dyDescent="0.3">
      <c r="A43" s="48"/>
      <c r="B43" s="48"/>
      <c r="C43" s="48"/>
      <c r="D43" s="48"/>
      <c r="E43" s="48"/>
      <c r="F43" s="48"/>
      <c r="G43" s="48"/>
      <c r="H43" s="48"/>
      <c r="I43" s="48"/>
      <c r="J43" s="48"/>
    </row>
    <row r="44" spans="1:10" ht="18.75" x14ac:dyDescent="0.3">
      <c r="A44" s="48"/>
      <c r="B44" s="48"/>
      <c r="C44" s="48"/>
      <c r="D44" s="48"/>
      <c r="E44" s="48"/>
      <c r="F44" s="48"/>
      <c r="G44" s="48"/>
      <c r="H44" s="48"/>
      <c r="I44" s="48"/>
      <c r="J44" s="48"/>
    </row>
    <row r="45" spans="1:10" ht="18.75" x14ac:dyDescent="0.3">
      <c r="A45" s="48"/>
      <c r="B45" s="48"/>
      <c r="C45" s="48"/>
      <c r="D45" s="48"/>
      <c r="E45" s="48"/>
      <c r="F45" s="48"/>
      <c r="G45" s="48"/>
      <c r="H45" s="48"/>
      <c r="I45" s="48"/>
      <c r="J45" s="48"/>
    </row>
    <row r="46" spans="1:10" ht="18.75" x14ac:dyDescent="0.3">
      <c r="A46" s="48"/>
      <c r="B46" s="48"/>
      <c r="C46" s="48"/>
      <c r="D46" s="48"/>
      <c r="E46" s="48"/>
      <c r="F46" s="48"/>
      <c r="G46" s="48"/>
      <c r="H46" s="48"/>
      <c r="I46" s="48"/>
      <c r="J46" s="48"/>
    </row>
    <row r="47" spans="1:10" ht="18.75" x14ac:dyDescent="0.3">
      <c r="A47" s="48"/>
      <c r="B47" s="48"/>
      <c r="C47" s="48"/>
      <c r="D47" s="48"/>
      <c r="E47" s="48"/>
      <c r="F47" s="48"/>
      <c r="G47" s="48"/>
      <c r="H47" s="48"/>
      <c r="I47" s="48"/>
      <c r="J47" s="48"/>
    </row>
    <row r="48" spans="1:10" ht="18.75" x14ac:dyDescent="0.3">
      <c r="A48" s="48"/>
      <c r="B48" s="48"/>
      <c r="C48" s="48"/>
      <c r="D48" s="48"/>
      <c r="E48" s="48"/>
      <c r="F48" s="48"/>
      <c r="G48" s="48"/>
      <c r="H48" s="48"/>
      <c r="I48" s="48"/>
      <c r="J48" s="48"/>
    </row>
    <row r="49" spans="1:10" ht="18.75" x14ac:dyDescent="0.3">
      <c r="A49" s="48"/>
      <c r="B49" s="48"/>
      <c r="C49" s="48"/>
      <c r="D49" s="48"/>
      <c r="E49" s="48"/>
      <c r="F49" s="48"/>
      <c r="G49" s="48"/>
      <c r="H49" s="48"/>
      <c r="I49" s="48"/>
      <c r="J49" s="48"/>
    </row>
    <row r="50" spans="1:10" ht="18.75" x14ac:dyDescent="0.3">
      <c r="A50" s="48"/>
      <c r="B50" s="48"/>
      <c r="C50" s="48"/>
      <c r="D50" s="48"/>
      <c r="E50" s="48"/>
      <c r="F50" s="48"/>
      <c r="G50" s="48"/>
      <c r="H50" s="48"/>
      <c r="I50" s="48"/>
      <c r="J50" s="48"/>
    </row>
    <row r="51" spans="1:10" ht="18.75" x14ac:dyDescent="0.3">
      <c r="A51" s="48"/>
      <c r="B51" s="48"/>
      <c r="C51" s="48"/>
      <c r="D51" s="48"/>
      <c r="E51" s="48"/>
      <c r="F51" s="48"/>
      <c r="G51" s="48"/>
      <c r="H51" s="48"/>
      <c r="I51" s="48"/>
      <c r="J51" s="48"/>
    </row>
    <row r="52" spans="1:10" ht="18.75" x14ac:dyDescent="0.3">
      <c r="A52" s="48"/>
      <c r="B52" s="48"/>
      <c r="C52" s="48"/>
      <c r="D52" s="48"/>
      <c r="E52" s="48"/>
      <c r="F52" s="48"/>
      <c r="G52" s="48"/>
      <c r="H52" s="48"/>
      <c r="I52" s="48"/>
      <c r="J52" s="48"/>
    </row>
    <row r="53" spans="1:10" ht="18.75" x14ac:dyDescent="0.3">
      <c r="A53" s="48"/>
      <c r="B53" s="48"/>
      <c r="C53" s="48"/>
      <c r="D53" s="48"/>
      <c r="E53" s="48"/>
      <c r="F53" s="48"/>
      <c r="G53" s="48"/>
      <c r="H53" s="48"/>
      <c r="I53" s="48"/>
      <c r="J53" s="48"/>
    </row>
    <row r="54" spans="1:10" ht="18.75" x14ac:dyDescent="0.3">
      <c r="A54" s="48"/>
      <c r="B54" s="48"/>
      <c r="C54" s="48"/>
      <c r="D54" s="48"/>
      <c r="E54" s="48"/>
      <c r="F54" s="48"/>
      <c r="G54" s="48"/>
      <c r="H54" s="48"/>
      <c r="I54" s="48"/>
      <c r="J54" s="48"/>
    </row>
    <row r="55" spans="1:10" ht="18.75" x14ac:dyDescent="0.3">
      <c r="A55" s="48"/>
      <c r="B55" s="48"/>
      <c r="C55" s="48"/>
      <c r="D55" s="48"/>
      <c r="E55" s="48"/>
      <c r="F55" s="48"/>
      <c r="G55" s="48"/>
      <c r="H55" s="48"/>
      <c r="I55" s="48"/>
      <c r="J55" s="48"/>
    </row>
    <row r="56" spans="1:10" ht="18.75" x14ac:dyDescent="0.3">
      <c r="A56" s="48"/>
      <c r="B56" s="48"/>
      <c r="C56" s="48"/>
      <c r="D56" s="48"/>
      <c r="E56" s="48"/>
      <c r="F56" s="48"/>
      <c r="G56" s="48"/>
      <c r="H56" s="48"/>
      <c r="I56" s="48"/>
      <c r="J56" s="48"/>
    </row>
    <row r="57" spans="1:10" ht="18.75" x14ac:dyDescent="0.3">
      <c r="A57" s="48"/>
      <c r="B57" s="48"/>
      <c r="C57" s="48"/>
      <c r="D57" s="48"/>
      <c r="E57" s="48"/>
      <c r="F57" s="48"/>
      <c r="G57" s="48"/>
      <c r="H57" s="48"/>
      <c r="I57" s="48"/>
      <c r="J57" s="48"/>
    </row>
    <row r="58" spans="1:10" ht="18.75" x14ac:dyDescent="0.3">
      <c r="A58" s="48"/>
      <c r="B58" s="48"/>
      <c r="C58" s="48"/>
      <c r="D58" s="48"/>
      <c r="E58" s="48"/>
      <c r="F58" s="48"/>
      <c r="G58" s="48"/>
      <c r="H58" s="48"/>
      <c r="I58" s="48"/>
      <c r="J58" s="48"/>
    </row>
    <row r="59" spans="1:10" ht="18.75" x14ac:dyDescent="0.3">
      <c r="A59" s="48"/>
      <c r="B59" s="48"/>
      <c r="C59" s="48"/>
      <c r="D59" s="48"/>
      <c r="E59" s="48"/>
      <c r="F59" s="48"/>
      <c r="G59" s="48"/>
      <c r="H59" s="48"/>
      <c r="I59" s="48"/>
      <c r="J59" s="48"/>
    </row>
    <row r="60" spans="1:10" ht="18.75" x14ac:dyDescent="0.3">
      <c r="A60" s="48"/>
      <c r="B60" s="48"/>
      <c r="C60" s="48"/>
      <c r="D60" s="48"/>
      <c r="E60" s="48"/>
      <c r="F60" s="48"/>
      <c r="G60" s="48"/>
      <c r="H60" s="48"/>
      <c r="I60" s="48"/>
      <c r="J60" s="48"/>
    </row>
    <row r="61" spans="1:10" ht="18.75" x14ac:dyDescent="0.3">
      <c r="A61" s="48"/>
      <c r="B61" s="48"/>
      <c r="C61" s="48"/>
      <c r="D61" s="48"/>
      <c r="E61" s="48"/>
      <c r="F61" s="48"/>
      <c r="G61" s="48"/>
      <c r="H61" s="48"/>
      <c r="I61" s="48"/>
      <c r="J61" s="48"/>
    </row>
    <row r="62" spans="1:10" ht="18.75" x14ac:dyDescent="0.3">
      <c r="A62" s="48"/>
      <c r="B62" s="48"/>
      <c r="C62" s="48"/>
      <c r="D62" s="48"/>
      <c r="E62" s="48"/>
      <c r="F62" s="48"/>
      <c r="G62" s="48"/>
      <c r="H62" s="48"/>
      <c r="I62" s="48"/>
      <c r="J62" s="48"/>
    </row>
    <row r="63" spans="1:10" ht="18.75" x14ac:dyDescent="0.3">
      <c r="A63" s="48"/>
      <c r="B63" s="48"/>
      <c r="C63" s="48"/>
      <c r="D63" s="48"/>
      <c r="E63" s="48"/>
      <c r="F63" s="48"/>
      <c r="G63" s="48"/>
      <c r="H63" s="48"/>
      <c r="I63" s="48"/>
      <c r="J63" s="48"/>
    </row>
    <row r="64" spans="1:10" ht="18.75" x14ac:dyDescent="0.3">
      <c r="A64" s="48"/>
      <c r="B64" s="48"/>
      <c r="C64" s="48"/>
      <c r="D64" s="48"/>
      <c r="E64" s="48"/>
      <c r="F64" s="48"/>
      <c r="G64" s="48"/>
      <c r="H64" s="48"/>
      <c r="I64" s="48"/>
      <c r="J64" s="48"/>
    </row>
    <row r="65" spans="1:10" ht="18.75" x14ac:dyDescent="0.3">
      <c r="A65" s="48"/>
      <c r="B65" s="48"/>
      <c r="C65" s="48"/>
      <c r="D65" s="48"/>
      <c r="E65" s="48"/>
      <c r="F65" s="48"/>
      <c r="G65" s="48"/>
      <c r="H65" s="48"/>
      <c r="I65" s="48"/>
      <c r="J65" s="48"/>
    </row>
    <row r="66" spans="1:10" ht="18.75" x14ac:dyDescent="0.3">
      <c r="A66" s="48"/>
      <c r="B66" s="48"/>
      <c r="C66" s="48"/>
      <c r="D66" s="48"/>
      <c r="E66" s="48"/>
      <c r="F66" s="48"/>
      <c r="G66" s="48"/>
      <c r="H66" s="48"/>
      <c r="I66" s="48"/>
      <c r="J66" s="48"/>
    </row>
    <row r="67" spans="1:10" ht="18.75" x14ac:dyDescent="0.3">
      <c r="A67" s="48"/>
      <c r="B67" s="48"/>
      <c r="C67" s="48"/>
      <c r="D67" s="48"/>
      <c r="E67" s="48"/>
      <c r="F67" s="48"/>
      <c r="G67" s="48"/>
      <c r="H67" s="48"/>
      <c r="I67" s="48"/>
      <c r="J67" s="48"/>
    </row>
    <row r="68" spans="1:10" ht="18.75" x14ac:dyDescent="0.3">
      <c r="A68" s="48"/>
      <c r="B68" s="48"/>
      <c r="C68" s="48"/>
      <c r="D68" s="48"/>
      <c r="E68" s="48"/>
      <c r="F68" s="48"/>
      <c r="G68" s="48"/>
      <c r="H68" s="48"/>
      <c r="I68" s="48"/>
      <c r="J68" s="48"/>
    </row>
    <row r="69" spans="1:10" ht="18.75" x14ac:dyDescent="0.3">
      <c r="A69" s="48"/>
      <c r="B69" s="48"/>
      <c r="C69" s="48"/>
      <c r="D69" s="48"/>
      <c r="E69" s="48"/>
      <c r="F69" s="48"/>
      <c r="G69" s="48"/>
      <c r="H69" s="48"/>
      <c r="I69" s="48"/>
      <c r="J69" s="48"/>
    </row>
    <row r="70" spans="1:10" ht="18.75" x14ac:dyDescent="0.3">
      <c r="A70" s="48"/>
      <c r="B70" s="48"/>
      <c r="C70" s="48"/>
      <c r="D70" s="48"/>
      <c r="E70" s="48"/>
      <c r="F70" s="48"/>
      <c r="G70" s="48"/>
      <c r="H70" s="48"/>
      <c r="I70" s="48"/>
      <c r="J70" s="48"/>
    </row>
    <row r="71" spans="1:10" ht="18.75" x14ac:dyDescent="0.3">
      <c r="A71" s="48"/>
      <c r="B71" s="48"/>
      <c r="C71" s="48"/>
      <c r="D71" s="48"/>
      <c r="E71" s="48"/>
      <c r="F71" s="48"/>
      <c r="G71" s="48"/>
      <c r="H71" s="48"/>
      <c r="I71" s="48"/>
      <c r="J71" s="48"/>
    </row>
    <row r="72" spans="1:10" ht="18.75" x14ac:dyDescent="0.3">
      <c r="A72" s="48"/>
      <c r="B72" s="48"/>
      <c r="C72" s="48"/>
      <c r="D72" s="48"/>
      <c r="E72" s="48"/>
      <c r="F72" s="48"/>
      <c r="G72" s="48"/>
      <c r="H72" s="48"/>
      <c r="I72" s="48"/>
      <c r="J72" s="48"/>
    </row>
    <row r="73" spans="1:10" ht="18.75" x14ac:dyDescent="0.3">
      <c r="A73" s="48"/>
      <c r="B73" s="48"/>
      <c r="C73" s="48"/>
      <c r="D73" s="48"/>
      <c r="E73" s="48"/>
      <c r="F73" s="48"/>
      <c r="G73" s="48"/>
      <c r="H73" s="48"/>
      <c r="I73" s="48"/>
      <c r="J73" s="48"/>
    </row>
    <row r="74" spans="1:10" ht="18.75" x14ac:dyDescent="0.3">
      <c r="A74" s="48"/>
      <c r="B74" s="48"/>
      <c r="C74" s="48"/>
      <c r="D74" s="48"/>
      <c r="E74" s="48"/>
      <c r="F74" s="48"/>
      <c r="G74" s="48"/>
      <c r="H74" s="48"/>
      <c r="I74" s="48"/>
      <c r="J74" s="48"/>
    </row>
    <row r="75" spans="1:10" ht="18.75" x14ac:dyDescent="0.3">
      <c r="A75" s="48"/>
      <c r="B75" s="48"/>
      <c r="C75" s="48"/>
      <c r="D75" s="48"/>
      <c r="E75" s="48"/>
      <c r="F75" s="48"/>
      <c r="G75" s="48"/>
      <c r="H75" s="48"/>
      <c r="I75" s="48"/>
      <c r="J75" s="48"/>
    </row>
    <row r="76" spans="1:10" ht="18.75" x14ac:dyDescent="0.3">
      <c r="A76" s="48"/>
      <c r="B76" s="48"/>
      <c r="C76" s="48"/>
      <c r="D76" s="48"/>
      <c r="E76" s="48"/>
      <c r="F76" s="48"/>
      <c r="G76" s="48"/>
      <c r="H76" s="48"/>
      <c r="I76" s="48"/>
      <c r="J76" s="48"/>
    </row>
    <row r="77" spans="1:10" ht="18.75" x14ac:dyDescent="0.3">
      <c r="A77" s="48"/>
      <c r="B77" s="48"/>
      <c r="C77" s="48"/>
      <c r="D77" s="48"/>
      <c r="E77" s="48"/>
      <c r="F77" s="48"/>
      <c r="G77" s="48"/>
      <c r="H77" s="48"/>
      <c r="I77" s="48"/>
      <c r="J77" s="48"/>
    </row>
    <row r="78" spans="1:10" ht="18.75" x14ac:dyDescent="0.3">
      <c r="A78" s="48"/>
      <c r="B78" s="48"/>
      <c r="C78" s="48"/>
      <c r="D78" s="48"/>
      <c r="E78" s="48"/>
      <c r="F78" s="48"/>
      <c r="G78" s="48"/>
      <c r="H78" s="48"/>
      <c r="I78" s="48"/>
      <c r="J78" s="48"/>
    </row>
    <row r="79" spans="1:10" ht="18.75" x14ac:dyDescent="0.3">
      <c r="A79" s="48"/>
      <c r="B79" s="48"/>
      <c r="C79" s="48"/>
      <c r="D79" s="48"/>
      <c r="E79" s="48"/>
      <c r="F79" s="48"/>
      <c r="G79" s="48"/>
      <c r="H79" s="48"/>
      <c r="I79" s="48"/>
      <c r="J79" s="48"/>
    </row>
    <row r="80" spans="1:10" ht="18.75" x14ac:dyDescent="0.3">
      <c r="A80" s="48"/>
      <c r="B80" s="48"/>
      <c r="C80" s="48"/>
      <c r="D80" s="48"/>
      <c r="E80" s="48"/>
      <c r="F80" s="48"/>
      <c r="G80" s="48"/>
      <c r="H80" s="48"/>
      <c r="I80" s="48"/>
      <c r="J80" s="48"/>
    </row>
    <row r="81" spans="1:10" ht="18.75" x14ac:dyDescent="0.3">
      <c r="A81" s="48"/>
      <c r="B81" s="48"/>
      <c r="C81" s="48"/>
      <c r="D81" s="48"/>
      <c r="E81" s="48"/>
      <c r="F81" s="48"/>
      <c r="G81" s="48"/>
      <c r="H81" s="48"/>
      <c r="I81" s="48"/>
      <c r="J81" s="48"/>
    </row>
    <row r="82" spans="1:10" ht="18.75" x14ac:dyDescent="0.3">
      <c r="A82" s="48"/>
      <c r="B82" s="48"/>
      <c r="C82" s="48"/>
      <c r="D82" s="48"/>
      <c r="E82" s="48"/>
      <c r="F82" s="48"/>
      <c r="G82" s="48"/>
      <c r="H82" s="48"/>
      <c r="I82" s="48"/>
      <c r="J82" s="48"/>
    </row>
    <row r="83" spans="1:10" ht="18.75" x14ac:dyDescent="0.3">
      <c r="A83" s="48"/>
      <c r="B83" s="48"/>
      <c r="C83" s="48"/>
      <c r="D83" s="48"/>
      <c r="E83" s="48"/>
      <c r="F83" s="48"/>
      <c r="G83" s="48"/>
      <c r="H83" s="48"/>
      <c r="I83" s="48"/>
      <c r="J83" s="48"/>
    </row>
    <row r="84" spans="1:10" ht="18.75" x14ac:dyDescent="0.3">
      <c r="A84" s="48"/>
      <c r="B84" s="48"/>
      <c r="C84" s="48"/>
      <c r="D84" s="48"/>
      <c r="E84" s="48"/>
      <c r="F84" s="48"/>
      <c r="G84" s="48"/>
      <c r="H84" s="48"/>
      <c r="I84" s="48"/>
      <c r="J84" s="48"/>
    </row>
    <row r="85" spans="1:10" ht="18.75" x14ac:dyDescent="0.3">
      <c r="A85" s="48"/>
      <c r="B85" s="48"/>
      <c r="C85" s="48"/>
      <c r="D85" s="48"/>
      <c r="E85" s="48"/>
      <c r="F85" s="48"/>
      <c r="G85" s="48"/>
      <c r="H85" s="48"/>
      <c r="I85" s="48"/>
      <c r="J85" s="48"/>
    </row>
    <row r="86" spans="1:10" ht="18.75" x14ac:dyDescent="0.3">
      <c r="A86" s="48"/>
      <c r="B86" s="48"/>
      <c r="C86" s="48"/>
      <c r="D86" s="48"/>
      <c r="E86" s="48"/>
      <c r="F86" s="48"/>
      <c r="G86" s="48"/>
      <c r="H86" s="48"/>
      <c r="I86" s="48"/>
      <c r="J86" s="48"/>
    </row>
    <row r="87" spans="1:10" ht="18.75" x14ac:dyDescent="0.3">
      <c r="A87" s="48"/>
      <c r="B87" s="48"/>
      <c r="C87" s="48"/>
      <c r="D87" s="48"/>
      <c r="E87" s="48"/>
      <c r="F87" s="48"/>
      <c r="G87" s="48"/>
      <c r="H87" s="48"/>
      <c r="I87" s="48"/>
      <c r="J87" s="48"/>
    </row>
    <row r="88" spans="1:10" ht="18.75" x14ac:dyDescent="0.3">
      <c r="A88" s="48"/>
      <c r="B88" s="48"/>
      <c r="C88" s="48"/>
      <c r="D88" s="48"/>
      <c r="E88" s="48"/>
      <c r="F88" s="48"/>
      <c r="G88" s="48"/>
      <c r="H88" s="48"/>
      <c r="I88" s="48"/>
      <c r="J88" s="48"/>
    </row>
    <row r="89" spans="1:10" ht="18.75" x14ac:dyDescent="0.3">
      <c r="A89" s="48"/>
      <c r="B89" s="48"/>
      <c r="C89" s="48"/>
      <c r="D89" s="48"/>
      <c r="E89" s="48"/>
      <c r="F89" s="48"/>
      <c r="G89" s="48"/>
      <c r="H89" s="48"/>
      <c r="I89" s="48"/>
      <c r="J89" s="48"/>
    </row>
    <row r="90" spans="1:10" ht="18.75" x14ac:dyDescent="0.3">
      <c r="A90" s="48"/>
      <c r="B90" s="48"/>
      <c r="C90" s="48"/>
      <c r="D90" s="48"/>
      <c r="E90" s="48"/>
      <c r="F90" s="48"/>
      <c r="G90" s="48"/>
      <c r="H90" s="48"/>
      <c r="I90" s="48"/>
      <c r="J90" s="48"/>
    </row>
    <row r="91" spans="1:10" ht="18.75" x14ac:dyDescent="0.3">
      <c r="A91" s="48"/>
      <c r="B91" s="48"/>
      <c r="C91" s="48"/>
      <c r="D91" s="48"/>
      <c r="E91" s="48"/>
      <c r="F91" s="48"/>
      <c r="G91" s="48"/>
      <c r="H91" s="48"/>
      <c r="I91" s="48"/>
      <c r="J91" s="48"/>
    </row>
    <row r="92" spans="1:10" ht="18.75" x14ac:dyDescent="0.3">
      <c r="A92" s="48"/>
      <c r="B92" s="48"/>
      <c r="C92" s="48"/>
      <c r="D92" s="48"/>
      <c r="E92" s="48"/>
      <c r="F92" s="48"/>
      <c r="G92" s="48"/>
      <c r="H92" s="48"/>
      <c r="I92" s="48"/>
      <c r="J92" s="48"/>
    </row>
  </sheetData>
  <mergeCells count="4">
    <mergeCell ref="B4:D4"/>
    <mergeCell ref="F4:H4"/>
    <mergeCell ref="B5:D5"/>
    <mergeCell ref="F5:H5"/>
  </mergeCells>
  <hyperlinks>
    <hyperlink ref="B1" location="Innhold!A1" display="Tilbake" xr:uid="{F3E75261-2AE4-411B-B0FA-C74A0CB898BF}"/>
  </hyperlinks>
  <pageMargins left="0.70866141732283472" right="0.70866141732283472" top="0.74803149606299213" bottom="0.74803149606299213" header="0.31496062992125984" footer="0.31496062992125984"/>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6"/>
  <dimension ref="A1:M303"/>
  <sheetViews>
    <sheetView showGridLines="0" showZeros="0" zoomScaleNormal="100" zoomScaleSheetLayoutView="80" workbookViewId="0">
      <pane xSplit="1" ySplit="1" topLeftCell="B2" activePane="bottomRight" state="frozen"/>
      <selection pane="topRight" activeCell="J44" sqref="J44"/>
      <selection pane="bottomLeft" activeCell="J44" sqref="J44"/>
      <selection pane="bottomRight" activeCell="C35" sqref="C35"/>
    </sheetView>
  </sheetViews>
  <sheetFormatPr baseColWidth="10" defaultColWidth="11.42578125" defaultRowHeight="12.75" x14ac:dyDescent="0.2"/>
  <cols>
    <col min="1" max="1" width="55.28515625" style="1" customWidth="1"/>
    <col min="2" max="2" width="10.7109375" style="1" customWidth="1"/>
    <col min="3" max="3" width="12.28515625" style="1" bestFit="1" customWidth="1"/>
    <col min="4" max="4" width="8.7109375" style="1" customWidth="1"/>
    <col min="5" max="6" width="10.7109375" style="1" customWidth="1"/>
    <col min="7" max="7" width="8.7109375" style="1" customWidth="1"/>
    <col min="8" max="9" width="12.28515625" style="1" bestFit="1" customWidth="1"/>
    <col min="10" max="10" width="8.7109375" style="1" customWidth="1"/>
    <col min="11" max="16384" width="11.42578125" style="1"/>
  </cols>
  <sheetData>
    <row r="1" spans="1:13" ht="15.75" customHeight="1" x14ac:dyDescent="0.2">
      <c r="A1" s="286">
        <v>4</v>
      </c>
    </row>
    <row r="2" spans="1:13" ht="15.75" customHeight="1" x14ac:dyDescent="0.25">
      <c r="A2" s="110" t="s">
        <v>166</v>
      </c>
      <c r="B2" s="595"/>
      <c r="C2" s="595"/>
      <c r="D2" s="595"/>
      <c r="E2" s="595"/>
      <c r="F2" s="595"/>
      <c r="G2" s="595"/>
      <c r="H2" s="595"/>
      <c r="I2" s="595"/>
      <c r="J2" s="595"/>
    </row>
    <row r="3" spans="1:13" ht="15.75" customHeight="1" x14ac:dyDescent="0.25">
      <c r="A3" s="122"/>
      <c r="B3" s="241"/>
      <c r="C3" s="241"/>
      <c r="D3" s="241"/>
      <c r="E3" s="241"/>
      <c r="F3" s="241"/>
      <c r="G3" s="241"/>
      <c r="H3" s="241"/>
      <c r="I3" s="241"/>
      <c r="J3" s="241"/>
    </row>
    <row r="4" spans="1:13" ht="15.75" customHeight="1" x14ac:dyDescent="0.2">
      <c r="A4" s="108"/>
      <c r="B4" s="592" t="s">
        <v>46</v>
      </c>
      <c r="C4" s="593"/>
      <c r="D4" s="593"/>
      <c r="E4" s="592" t="s">
        <v>69</v>
      </c>
      <c r="F4" s="593"/>
      <c r="G4" s="593"/>
      <c r="H4" s="592" t="s">
        <v>120</v>
      </c>
      <c r="I4" s="593"/>
      <c r="J4" s="594"/>
    </row>
    <row r="5" spans="1:13" ht="15.75" customHeight="1" x14ac:dyDescent="0.2">
      <c r="A5" s="117"/>
      <c r="B5" s="17" t="s">
        <v>418</v>
      </c>
      <c r="C5" s="17" t="s">
        <v>419</v>
      </c>
      <c r="D5" s="198" t="s">
        <v>167</v>
      </c>
      <c r="E5" s="17" t="s">
        <v>418</v>
      </c>
      <c r="F5" s="17" t="s">
        <v>419</v>
      </c>
      <c r="G5" s="198" t="s">
        <v>167</v>
      </c>
      <c r="H5" s="17" t="s">
        <v>418</v>
      </c>
      <c r="I5" s="17" t="s">
        <v>419</v>
      </c>
      <c r="J5" s="198" t="s">
        <v>167</v>
      </c>
    </row>
    <row r="6" spans="1:13" ht="15.75" customHeight="1" x14ac:dyDescent="0.2">
      <c r="A6" s="556"/>
      <c r="B6" s="12"/>
      <c r="C6" s="12"/>
      <c r="D6" s="14" t="s">
        <v>168</v>
      </c>
      <c r="E6" s="13"/>
      <c r="F6" s="13"/>
      <c r="G6" s="12" t="s">
        <v>168</v>
      </c>
      <c r="H6" s="13"/>
      <c r="I6" s="13"/>
      <c r="J6" s="12" t="s">
        <v>168</v>
      </c>
      <c r="M6" s="271"/>
    </row>
    <row r="7" spans="1:13" s="35" customFormat="1" ht="15.75" customHeight="1" x14ac:dyDescent="0.2">
      <c r="A7" s="11" t="s">
        <v>169</v>
      </c>
      <c r="B7" s="183">
        <f>Fremtind!B7+'DNB Livsforsikring'!B7+'Frende Livsforsikring'!B7+'Frende Skadeforsikring'!B7+'Gjensidige Forsikring'!B7+'Gjensidige Pensjon'!B7+'If Skadeforsikring NUF'!B7+KLP!B7+'KLP Skadeforsikring AS'!B7+'Landkreditt Forsikring AS'!B7+'Nordea Liv '!B7+'Oslo Pensjonsforsikring'!B7+'Protector Forsikring'!B7+'Sparebank 1 Fors.'!B7+'Storebrand Livsforsikring'!B7+'Telenor Forsikring'!B7+'Tryg Forsikring'!B7+'WaterCircles F'!B7+'Euro Accident'!B7+'Ly Forsikring'!B7+'Youplus Livsforsikring'!B7+'Oslo Forsikring'!B7+'Knif Trygghet Forsikring'!B7</f>
        <v>2007693.8526482559</v>
      </c>
      <c r="C7" s="183">
        <f>Fremtind!C7+'DNB Livsforsikring'!C7+'Frende Livsforsikring'!C7+'Frende Skadeforsikring'!C7+'Gjensidige Forsikring'!C7+'Gjensidige Pensjon'!C7+'If Skadeforsikring NUF'!C7+KLP!C7+'KLP Skadeforsikring AS'!C7+'Landkreditt Forsikring AS'!C7+'Nordea Liv '!C7+'Oslo Pensjonsforsikring'!C7+'Protector Forsikring'!C7+'Sparebank 1 Fors.'!C7+'Storebrand Livsforsikring'!C7+'Telenor Forsikring'!C7+'Tryg Forsikring'!C7+'WaterCircles F'!C7+'Euro Accident'!C7+'Ly Forsikring'!C7+'Youplus Livsforsikring'!C7+'Oslo Forsikring'!C7+'Knif Trygghet Forsikring'!C7</f>
        <v>2099019.4950461169</v>
      </c>
      <c r="D7" s="119">
        <f t="shared" ref="D7:D12" si="0">IF(B7=0, "    ---- ", IF(ABS(ROUND(100/B7*C7-100,1))&lt;999,ROUND(100/B7*C7-100,1),IF(ROUND(100/B7*C7-100,1)&gt;999,999,-999)))</f>
        <v>4.5</v>
      </c>
      <c r="E7" s="183">
        <f>Fremtind!F7+'DNB Livsforsikring'!F7+'Frende Livsforsikring'!F7+'Frende Skadeforsikring'!F7+'Gjensidige Forsikring'!F7+'Gjensidige Pensjon'!F7+'If Skadeforsikring NUF'!F7+KLP!F7+'KLP Skadeforsikring AS'!F7+'Landkreditt Forsikring AS'!F7+'Nordea Liv '!F7+'Oslo Pensjonsforsikring'!F7+'Protector Forsikring'!F7+'Sparebank 1 Fors.'!F7+'Storebrand Livsforsikring'!F7+'Telenor Forsikring'!F7+'Tryg Forsikring'!F7+'WaterCircles F'!F7+'Euro Accident'!F7+'Ly Forsikring'!F7+'Youplus Livsforsikring'!F7+'Oslo Forsikring'!F7+'Knif Trygghet Forsikring'!F7</f>
        <v>2988485.3559699999</v>
      </c>
      <c r="F7" s="183">
        <f>Fremtind!G7+'DNB Livsforsikring'!G7+'Frende Livsforsikring'!G7+'Frende Skadeforsikring'!G7+'Gjensidige Forsikring'!G7+'Gjensidige Pensjon'!G7+'If Skadeforsikring NUF'!G7+KLP!G7+'KLP Skadeforsikring AS'!G7+'Landkreditt Forsikring AS'!G7+'Nordea Liv '!G7+'Oslo Pensjonsforsikring'!G7+'Protector Forsikring'!G7+'Sparebank 1 Fors.'!G7+'Storebrand Livsforsikring'!G7+'Telenor Forsikring'!G7+'Tryg Forsikring'!G7+'WaterCircles F'!G7+'Euro Accident'!G7+'Ly Forsikring'!G7+'Youplus Livsforsikring'!G7+'Oslo Forsikring'!G7+'Knif Trygghet Forsikring'!G7</f>
        <v>3757879.6639300003</v>
      </c>
      <c r="G7" s="119">
        <f t="shared" ref="G7:G12" si="1">IF(E7=0, "    ---- ", IF(ABS(ROUND(100/E7*F7-100,1))&lt;999,ROUND(100/E7*F7-100,1),IF(ROUND(100/E7*F7-100,1)&gt;999,999,-999)))</f>
        <v>25.7</v>
      </c>
      <c r="H7" s="224">
        <f t="shared" ref="H7:H12" si="2">B7+E7</f>
        <v>4996179.2086182553</v>
      </c>
      <c r="I7" s="225">
        <f t="shared" ref="I7:I12" si="3">C7+F7</f>
        <v>5856899.1589761171</v>
      </c>
      <c r="J7" s="127">
        <f t="shared" ref="J7:J12" si="4">IF(H7=0, "    ---- ", IF(ABS(ROUND(100/H7*I7-100,1))&lt;999,ROUND(100/H7*I7-100,1),IF(ROUND(100/H7*I7-100,1)&gt;999,999,-999)))</f>
        <v>17.2</v>
      </c>
    </row>
    <row r="8" spans="1:13" ht="15.75" customHeight="1" x14ac:dyDescent="0.2">
      <c r="A8" s="18" t="s">
        <v>170</v>
      </c>
      <c r="B8" s="36">
        <f>Fremtind!B8+'DNB Livsforsikring'!B8+'Frende Livsforsikring'!B8+'Frende Skadeforsikring'!B8+'Gjensidige Forsikring'!B8+'Gjensidige Pensjon'!B8+'If Skadeforsikring NUF'!B8+KLP!B8+'KLP Skadeforsikring AS'!B8+'Landkreditt Forsikring AS'!B8+'Nordea Liv '!B8+'Oslo Pensjonsforsikring'!B8+'Protector Forsikring'!B8+'Sparebank 1 Fors.'!B8+'Storebrand Livsforsikring'!B8+'Telenor Forsikring'!B8+'Tryg Forsikring'!B8+'WaterCircles F'!B8+'Euro Accident'!B8+'Ly Forsikring'!B8+'Youplus Livsforsikring'!B8+'Oslo Forsikring'!B8+'Knif Trygghet Forsikring'!B8</f>
        <v>1372619.4870149069</v>
      </c>
      <c r="C8" s="36">
        <f>Fremtind!C8+'DNB Livsforsikring'!C8+'Frende Livsforsikring'!C8+'Frende Skadeforsikring'!C8+'Gjensidige Forsikring'!C8+'Gjensidige Pensjon'!C8+'If Skadeforsikring NUF'!C8+KLP!C8+'KLP Skadeforsikring AS'!C8+'Landkreditt Forsikring AS'!C8+'Nordea Liv '!C8+'Oslo Pensjonsforsikring'!C8+'Protector Forsikring'!C8+'Sparebank 1 Fors.'!C8+'Storebrand Livsforsikring'!C8+'Telenor Forsikring'!C8+'Tryg Forsikring'!C8+'WaterCircles F'!C8+'Euro Accident'!C8+'Ly Forsikring'!C8+'Youplus Livsforsikring'!C8+'Oslo Forsikring'!C8+'Knif Trygghet Forsikring'!C8</f>
        <v>1435961.8633133143</v>
      </c>
      <c r="D8" s="123">
        <f t="shared" si="0"/>
        <v>4.5999999999999996</v>
      </c>
      <c r="E8" s="140"/>
      <c r="F8" s="140"/>
      <c r="G8" s="132"/>
      <c r="H8" s="141">
        <f t="shared" si="2"/>
        <v>1372619.4870149069</v>
      </c>
      <c r="I8" s="142">
        <f t="shared" si="3"/>
        <v>1435961.8633133143</v>
      </c>
      <c r="J8" s="127">
        <f t="shared" si="4"/>
        <v>4.5999999999999996</v>
      </c>
    </row>
    <row r="9" spans="1:13" ht="15.75" customHeight="1" x14ac:dyDescent="0.2">
      <c r="A9" s="18" t="s">
        <v>171</v>
      </c>
      <c r="B9" s="36">
        <f>Fremtind!B9+'DNB Livsforsikring'!B9+'Frende Livsforsikring'!B9+'Frende Skadeforsikring'!B9+'Gjensidige Forsikring'!B9+'Gjensidige Pensjon'!B9+'If Skadeforsikring NUF'!B9+KLP!B9+'KLP Skadeforsikring AS'!B9+'Landkreditt Forsikring AS'!B9+'Nordea Liv '!B9+'Oslo Pensjonsforsikring'!B9+'Protector Forsikring'!B9+'Sparebank 1 Fors.'!B9+'Storebrand Livsforsikring'!B9+'Telenor Forsikring'!B9+'Tryg Forsikring'!B9+'WaterCircles F'!B9+'Euro Accident'!B9+'Ly Forsikring'!B9+'Youplus Livsforsikring'!B9+'Oslo Forsikring'!B9+'Knif Trygghet Forsikring'!B9</f>
        <v>426012.06868028198</v>
      </c>
      <c r="C9" s="36">
        <f>Fremtind!C9+'DNB Livsforsikring'!C9+'Frende Livsforsikring'!C9+'Frende Skadeforsikring'!C9+'Gjensidige Forsikring'!C9+'Gjensidige Pensjon'!C9+'If Skadeforsikring NUF'!C9+KLP!C9+'KLP Skadeforsikring AS'!C9+'Landkreditt Forsikring AS'!C9+'Nordea Liv '!C9+'Oslo Pensjonsforsikring'!C9+'Protector Forsikring'!C9+'Sparebank 1 Fors.'!C9+'Storebrand Livsforsikring'!C9+'Telenor Forsikring'!C9+'Tryg Forsikring'!C9+'WaterCircles F'!C9+'Euro Accident'!C9+'Ly Forsikring'!C9+'Youplus Livsforsikring'!C9+'Oslo Forsikring'!C9+'Knif Trygghet Forsikring'!C9</f>
        <v>427307.67025864316</v>
      </c>
      <c r="D9" s="132">
        <f t="shared" si="0"/>
        <v>0.3</v>
      </c>
      <c r="E9" s="140"/>
      <c r="F9" s="140"/>
      <c r="G9" s="132"/>
      <c r="H9" s="141">
        <f t="shared" si="2"/>
        <v>426012.06868028198</v>
      </c>
      <c r="I9" s="142">
        <f t="shared" si="3"/>
        <v>427307.67025864316</v>
      </c>
      <c r="J9" s="127">
        <f t="shared" si="4"/>
        <v>0.3</v>
      </c>
    </row>
    <row r="10" spans="1:13" s="35" customFormat="1" ht="15.75" customHeight="1" x14ac:dyDescent="0.2">
      <c r="A10" s="10" t="s">
        <v>172</v>
      </c>
      <c r="B10" s="183">
        <f>Fremtind!B10+'DNB Livsforsikring'!B10+'Frende Livsforsikring'!B10+'Frende Skadeforsikring'!B10+'Gjensidige Forsikring'!B10+'Gjensidige Pensjon'!B10+'If Skadeforsikring NUF'!B10+KLP!B10+'KLP Skadeforsikring AS'!B10+'Landkreditt Forsikring AS'!B10+'Nordea Liv '!B10+'Oslo Pensjonsforsikring'!B10+'Protector Forsikring'!B10+'Sparebank 1 Fors.'!B10+'Storebrand Livsforsikring'!B10+'Telenor Forsikring'!B10+'Tryg Forsikring'!B10+'WaterCircles F'!B10+'Euro Accident'!B10+'Ly Forsikring'!B10+'Youplus Livsforsikring'!B10+'Oslo Forsikring'!B10+'Knif Trygghet Forsikring'!B10</f>
        <v>12653191.192621982</v>
      </c>
      <c r="C10" s="183">
        <f>Fremtind!C10+'DNB Livsforsikring'!C10+'Frende Livsforsikring'!C10+'Frende Skadeforsikring'!C10+'Gjensidige Forsikring'!C10+'Gjensidige Pensjon'!C10+'If Skadeforsikring NUF'!C10+KLP!C10+'KLP Skadeforsikring AS'!C10+'Landkreditt Forsikring AS'!C10+'Nordea Liv '!C10+'Oslo Pensjonsforsikring'!C10+'Protector Forsikring'!C10+'Sparebank 1 Fors.'!C10+'Storebrand Livsforsikring'!C10+'Telenor Forsikring'!C10+'Tryg Forsikring'!C10+'WaterCircles F'!C10+'Euro Accident'!C10+'Ly Forsikring'!C10+'Youplus Livsforsikring'!C10+'Oslo Forsikring'!C10+'Knif Trygghet Forsikring'!C10</f>
        <v>12775939.877392391</v>
      </c>
      <c r="D10" s="119">
        <f t="shared" si="0"/>
        <v>1</v>
      </c>
      <c r="E10" s="183">
        <f>Fremtind!F10+'DNB Livsforsikring'!F10+'Frende Livsforsikring'!F10+'Frende Skadeforsikring'!F10+'Gjensidige Forsikring'!F10+'Gjensidige Pensjon'!F10+'If Skadeforsikring NUF'!F10+KLP!F10+'KLP Skadeforsikring AS'!F10+'Landkreditt Forsikring AS'!F10+'Nordea Liv '!F10+'Oslo Pensjonsforsikring'!F10+'Protector Forsikring'!F10+'Sparebank 1 Fors.'!F10+'Storebrand Livsforsikring'!F10+'Telenor Forsikring'!F10+'Tryg Forsikring'!F10+'WaterCircles F'!F10+'Euro Accident'!F10+'Ly Forsikring'!F10+'Youplus Livsforsikring'!F10+'Oslo Forsikring'!F10+'Knif Trygghet Forsikring'!F10</f>
        <v>94510190.04756251</v>
      </c>
      <c r="F10" s="183">
        <f>Fremtind!G10+'DNB Livsforsikring'!G10+'Frende Livsforsikring'!G10+'Frende Skadeforsikring'!G10+'Gjensidige Forsikring'!G10+'Gjensidige Pensjon'!G10+'If Skadeforsikring NUF'!G10+KLP!G10+'KLP Skadeforsikring AS'!G10+'Landkreditt Forsikring AS'!G10+'Nordea Liv '!G10+'Oslo Pensjonsforsikring'!G10+'Protector Forsikring'!G10+'Sparebank 1 Fors.'!G10+'Storebrand Livsforsikring'!G10+'Telenor Forsikring'!G10+'Tryg Forsikring'!G10+'WaterCircles F'!G10+'Euro Accident'!G10+'Ly Forsikring'!G10+'Youplus Livsforsikring'!G10+'Oslo Forsikring'!G10+'Knif Trygghet Forsikring'!G10</f>
        <v>107676074.62078729</v>
      </c>
      <c r="G10" s="119">
        <f t="shared" si="1"/>
        <v>13.9</v>
      </c>
      <c r="H10" s="224">
        <f t="shared" si="2"/>
        <v>107163381.24018449</v>
      </c>
      <c r="I10" s="225">
        <f t="shared" si="3"/>
        <v>120452014.49817969</v>
      </c>
      <c r="J10" s="127">
        <f t="shared" si="4"/>
        <v>12.4</v>
      </c>
    </row>
    <row r="11" spans="1:13" s="35" customFormat="1" ht="15.75" customHeight="1" x14ac:dyDescent="0.2">
      <c r="A11" s="10" t="s">
        <v>173</v>
      </c>
      <c r="B11" s="183"/>
      <c r="C11" s="183"/>
      <c r="D11" s="127"/>
      <c r="E11" s="183">
        <f>Fremtind!F11+'DNB Livsforsikring'!F11+'Frende Livsforsikring'!F11+'Frende Skadeforsikring'!F11+'Gjensidige Forsikring'!F11+'Gjensidige Pensjon'!F11+'If Skadeforsikring NUF'!F11+KLP!F11+'KLP Skadeforsikring AS'!F11+'Landkreditt Forsikring AS'!F11+'Nordea Liv '!F11+'Oslo Pensjonsforsikring'!F11+'Protector Forsikring'!F11+'Sparebank 1 Fors.'!F11+'Storebrand Livsforsikring'!F11+'Telenor Forsikring'!F11+'Tryg Forsikring'!F11+'WaterCircles F'!F11+'Euro Accident'!F11+'Ly Forsikring'!F11+'Youplus Livsforsikring'!F11+'Oslo Forsikring'!F11+'Knif Trygghet Forsikring'!F11</f>
        <v>162532.77116999999</v>
      </c>
      <c r="F11" s="183">
        <f>Fremtind!G11+'DNB Livsforsikring'!G11+'Frende Livsforsikring'!G11+'Frende Skadeforsikring'!G11+'Gjensidige Forsikring'!G11+'Gjensidige Pensjon'!G11+'If Skadeforsikring NUF'!G11+KLP!G11+'KLP Skadeforsikring AS'!G11+'Landkreditt Forsikring AS'!G11+'Nordea Liv '!G11+'Oslo Pensjonsforsikring'!G11+'Protector Forsikring'!G11+'Sparebank 1 Fors.'!G11+'Storebrand Livsforsikring'!G11+'Telenor Forsikring'!G11+'Tryg Forsikring'!G11+'WaterCircles F'!G11+'Euro Accident'!G11+'Ly Forsikring'!G11+'Youplus Livsforsikring'!G11+'Oslo Forsikring'!G11+'Knif Trygghet Forsikring'!G11</f>
        <v>106958.19328999998</v>
      </c>
      <c r="G11" s="127">
        <f t="shared" si="1"/>
        <v>-34.200000000000003</v>
      </c>
      <c r="H11" s="224">
        <f t="shared" si="2"/>
        <v>162532.77116999999</v>
      </c>
      <c r="I11" s="225">
        <f t="shared" si="3"/>
        <v>106958.19328999998</v>
      </c>
      <c r="J11" s="127">
        <f t="shared" si="4"/>
        <v>-34.200000000000003</v>
      </c>
    </row>
    <row r="12" spans="1:13" s="35" customFormat="1" ht="15.75" customHeight="1" x14ac:dyDescent="0.2">
      <c r="A12" s="33" t="s">
        <v>174</v>
      </c>
      <c r="B12" s="223">
        <f>Fremtind!B12+'DNB Livsforsikring'!B12+'Frende Livsforsikring'!B12+'Frende Skadeforsikring'!B12+'Gjensidige Forsikring'!B12+'Gjensidige Pensjon'!B12+'If Skadeforsikring NUF'!B12+KLP!B12+'KLP Skadeforsikring AS'!B12+'Landkreditt Forsikring AS'!B12+'Nordea Liv '!B12+'Oslo Pensjonsforsikring'!B12+'Protector Forsikring'!B12+'Sparebank 1 Fors.'!B12+'Storebrand Livsforsikring'!B12+'Telenor Forsikring'!B12+'Tryg Forsikring'!B12+'WaterCircles F'!B12+'Euro Accident'!B12+'Ly Forsikring'!B12+'Youplus Livsforsikring'!B12+'Oslo Forsikring'!B12+'Knif Trygghet Forsikring'!B12</f>
        <v>0</v>
      </c>
      <c r="C12" s="223">
        <f>Fremtind!C12+'DNB Livsforsikring'!C12+'Frende Livsforsikring'!C12+'Frende Skadeforsikring'!C12+'Gjensidige Forsikring'!C12+'Gjensidige Pensjon'!C12+'If Skadeforsikring NUF'!C12+KLP!C12+'KLP Skadeforsikring AS'!C12+'Landkreditt Forsikring AS'!C12+'Nordea Liv '!C12+'Oslo Pensjonsforsikring'!C12+'Protector Forsikring'!C12+'Sparebank 1 Fors.'!C12+'Storebrand Livsforsikring'!C12+'Telenor Forsikring'!C12+'Tryg Forsikring'!C12+'WaterCircles F'!C12+'Euro Accident'!C12+'Ly Forsikring'!C12+'Youplus Livsforsikring'!C12+'Oslo Forsikring'!C12+'Knif Trygghet Forsikring'!C12</f>
        <v>0</v>
      </c>
      <c r="D12" s="126"/>
      <c r="E12" s="223">
        <f>Fremtind!F12+'DNB Livsforsikring'!F12+'Frende Livsforsikring'!F12+'Frende Skadeforsikring'!F12+'Gjensidige Forsikring'!F12+'Gjensidige Pensjon'!F12+'If Skadeforsikring NUF'!F12+KLP!F12+'KLP Skadeforsikring AS'!F12+'Landkreditt Forsikring AS'!F12+'Nordea Liv '!F12+'Oslo Pensjonsforsikring'!F12+'Protector Forsikring'!F12+'Sparebank 1 Fors.'!F12+'Storebrand Livsforsikring'!F12+'Telenor Forsikring'!F12+'Tryg Forsikring'!F12+'WaterCircles F'!F12+'Euro Accident'!F12+'Ly Forsikring'!F12+'Youplus Livsforsikring'!F12+'Oslo Forsikring'!F12+'Knif Trygghet Forsikring'!F12</f>
        <v>217906.62864000001</v>
      </c>
      <c r="F12" s="223">
        <f>Fremtind!G12+'DNB Livsforsikring'!G12+'Frende Livsforsikring'!G12+'Frende Skadeforsikring'!G12+'Gjensidige Forsikring'!G12+'Gjensidige Pensjon'!G12+'If Skadeforsikring NUF'!G12+KLP!G12+'KLP Skadeforsikring AS'!G12+'Landkreditt Forsikring AS'!G12+'Nordea Liv '!G12+'Oslo Pensjonsforsikring'!G12+'Protector Forsikring'!G12+'Sparebank 1 Fors.'!G12+'Storebrand Livsforsikring'!G12+'Telenor Forsikring'!G12+'Tryg Forsikring'!G12+'WaterCircles F'!G12+'Euro Accident'!G12+'Ly Forsikring'!G12+'Youplus Livsforsikring'!G12+'Oslo Forsikring'!G12+'Knif Trygghet Forsikring'!G12</f>
        <v>125383.07923</v>
      </c>
      <c r="G12" s="125">
        <f t="shared" si="1"/>
        <v>-42.5</v>
      </c>
      <c r="H12" s="226">
        <f t="shared" si="2"/>
        <v>217906.62864000001</v>
      </c>
      <c r="I12" s="227">
        <f t="shared" si="3"/>
        <v>125383.07923</v>
      </c>
      <c r="J12" s="125">
        <f t="shared" si="4"/>
        <v>-42.5</v>
      </c>
    </row>
    <row r="13" spans="1:13" s="35" customFormat="1" ht="15.75" customHeight="1" x14ac:dyDescent="0.2">
      <c r="A13" s="107"/>
      <c r="B13" s="29"/>
      <c r="C13" s="3"/>
      <c r="D13" s="26"/>
      <c r="E13" s="29"/>
      <c r="F13" s="3"/>
      <c r="G13" s="26"/>
      <c r="H13" s="38"/>
      <c r="I13" s="38"/>
      <c r="J13" s="26"/>
    </row>
    <row r="14" spans="1:13" ht="15.75" customHeight="1" x14ac:dyDescent="0.2">
      <c r="A14" s="114" t="s">
        <v>175</v>
      </c>
    </row>
    <row r="15" spans="1:13" ht="15.75" customHeight="1" x14ac:dyDescent="0.2">
      <c r="A15" s="22"/>
    </row>
    <row r="16" spans="1:13" ht="15.75" customHeight="1" x14ac:dyDescent="0.25">
      <c r="A16" s="115"/>
      <c r="C16" s="24"/>
      <c r="D16" s="24"/>
      <c r="E16" s="24"/>
      <c r="F16" s="24"/>
      <c r="G16" s="24"/>
      <c r="H16" s="24"/>
      <c r="I16" s="24"/>
      <c r="J16" s="24"/>
    </row>
    <row r="17" spans="1:10" ht="15.75" customHeight="1" x14ac:dyDescent="0.25">
      <c r="A17" s="110" t="s">
        <v>176</v>
      </c>
      <c r="B17" s="24"/>
      <c r="C17" s="24"/>
      <c r="D17" s="25"/>
      <c r="E17" s="24"/>
      <c r="F17" s="24"/>
      <c r="G17" s="24"/>
      <c r="H17" s="24"/>
      <c r="I17" s="24"/>
      <c r="J17" s="24"/>
    </row>
    <row r="18" spans="1:10" ht="15.75" customHeight="1" x14ac:dyDescent="0.25">
      <c r="A18" s="22"/>
      <c r="B18" s="595"/>
      <c r="C18" s="595"/>
      <c r="D18" s="595"/>
      <c r="E18" s="595"/>
      <c r="F18" s="595"/>
      <c r="G18" s="595"/>
      <c r="H18" s="595"/>
      <c r="I18" s="595"/>
      <c r="J18" s="595"/>
    </row>
    <row r="19" spans="1:10" ht="15.75" customHeight="1" x14ac:dyDescent="0.2">
      <c r="A19" s="108"/>
      <c r="B19" s="592" t="s">
        <v>46</v>
      </c>
      <c r="C19" s="593"/>
      <c r="D19" s="593"/>
      <c r="E19" s="592" t="s">
        <v>69</v>
      </c>
      <c r="F19" s="593"/>
      <c r="G19" s="594"/>
      <c r="H19" s="593" t="s">
        <v>120</v>
      </c>
      <c r="I19" s="593"/>
      <c r="J19" s="594"/>
    </row>
    <row r="20" spans="1:10" ht="15.75" customHeight="1" x14ac:dyDescent="0.2">
      <c r="A20" s="105" t="s">
        <v>177</v>
      </c>
      <c r="B20" s="17" t="s">
        <v>418</v>
      </c>
      <c r="C20" s="17" t="s">
        <v>419</v>
      </c>
      <c r="D20" s="198" t="s">
        <v>167</v>
      </c>
      <c r="E20" s="17" t="s">
        <v>418</v>
      </c>
      <c r="F20" s="17" t="s">
        <v>419</v>
      </c>
      <c r="G20" s="198" t="s">
        <v>167</v>
      </c>
      <c r="H20" s="17" t="s">
        <v>418</v>
      </c>
      <c r="I20" s="17" t="s">
        <v>419</v>
      </c>
      <c r="J20" s="198" t="s">
        <v>167</v>
      </c>
    </row>
    <row r="21" spans="1:10" ht="15.75" customHeight="1" x14ac:dyDescent="0.2">
      <c r="A21" s="557"/>
      <c r="B21" s="12"/>
      <c r="C21" s="12"/>
      <c r="D21" s="14" t="s">
        <v>168</v>
      </c>
      <c r="E21" s="13"/>
      <c r="F21" s="13"/>
      <c r="G21" s="12" t="s">
        <v>168</v>
      </c>
      <c r="H21" s="13"/>
      <c r="I21" s="13"/>
      <c r="J21" s="12" t="s">
        <v>168</v>
      </c>
    </row>
    <row r="22" spans="1:10" s="35" customFormat="1" ht="15.75" customHeight="1" x14ac:dyDescent="0.2">
      <c r="A22" s="11" t="s">
        <v>169</v>
      </c>
      <c r="B22" s="183">
        <f>Fremtind!B22+'DNB Livsforsikring'!B22+'Frende Livsforsikring'!B22+'Frende Skadeforsikring'!B22+'Gjensidige Forsikring'!B22+'Gjensidige Pensjon'!B22+'If Skadeforsikring NUF'!B22+KLP!B22+'KLP Skadeforsikring AS'!B22+'Landkreditt Forsikring AS'!B22+'Nordea Liv '!B22+'Oslo Pensjonsforsikring'!B22+'Protector Forsikring'!B22+'Sparebank 1 Fors.'!B22+'Storebrand Livsforsikring'!B22+'Telenor Forsikring'!B22+'Tryg Forsikring'!B22+'WaterCircles F'!B22+'Euro Accident'!B22+'Ly Forsikring'!B22+'Youplus Livsforsikring'!B22+'Oslo Forsikring'!B22+'Knif Trygghet Forsikring'!B22</f>
        <v>992677.89621248806</v>
      </c>
      <c r="C22" s="183">
        <f>Fremtind!C22+'DNB Livsforsikring'!C22+'Frende Livsforsikring'!C22+'Frende Skadeforsikring'!C22+'Gjensidige Forsikring'!C22+'Gjensidige Pensjon'!C22+'If Skadeforsikring NUF'!C22+KLP!C22+'KLP Skadeforsikring AS'!C22+'Landkreditt Forsikring AS'!C22+'Nordea Liv '!C22+'Oslo Pensjonsforsikring'!C22+'Protector Forsikring'!C22+'Sparebank 1 Fors.'!C22+'Storebrand Livsforsikring'!C22+'Telenor Forsikring'!C22+'Tryg Forsikring'!C22+'WaterCircles F'!C22+'Euro Accident'!C22+'Ly Forsikring'!C22+'Youplus Livsforsikring'!C22+'Oslo Forsikring'!C22+'Knif Trygghet Forsikring'!C22</f>
        <v>1078054.3328327956</v>
      </c>
      <c r="D22" s="8">
        <f t="shared" ref="D22:D39" si="5">IF(B22=0, "    ---- ", IF(ABS(ROUND(100/B22*C22-100,1))&lt;999,ROUND(100/B22*C22-100,1),IF(ROUND(100/B22*C22-100,1)&gt;999,999,-999)))</f>
        <v>8.6</v>
      </c>
      <c r="E22" s="183">
        <f>Fremtind!F22+'DNB Livsforsikring'!F22+'Frende Livsforsikring'!F22+'Frende Skadeforsikring'!F22+'Gjensidige Forsikring'!F22+'Gjensidige Pensjon'!F22+'If Skadeforsikring NUF'!F22+KLP!F22+'KLP Skadeforsikring AS'!F22+'Landkreditt Forsikring AS'!F22+'Nordea Liv '!F22+'Oslo Pensjonsforsikring'!F22+'Protector Forsikring'!F22+'Sparebank 1 Fors.'!F22+'Storebrand Livsforsikring'!F22+'Telenor Forsikring'!F22+'Tryg Forsikring'!F22+'WaterCircles F'!F22+'Euro Accident'!F22+'Ly Forsikring'!F22+'Youplus Livsforsikring'!F22+'Oslo Forsikring'!F22+'Knif Trygghet Forsikring'!F22</f>
        <v>287527.38150000002</v>
      </c>
      <c r="F22" s="183">
        <f>Fremtind!G22+'DNB Livsforsikring'!G22+'Frende Livsforsikring'!G22+'Frende Skadeforsikring'!G22+'Gjensidige Forsikring'!G22+'Gjensidige Pensjon'!G22+'If Skadeforsikring NUF'!G22+KLP!G22+'KLP Skadeforsikring AS'!G22+'Landkreditt Forsikring AS'!G22+'Nordea Liv '!G22+'Oslo Pensjonsforsikring'!G22+'Protector Forsikring'!G22+'Sparebank 1 Fors.'!G22+'Storebrand Livsforsikring'!G22+'Telenor Forsikring'!G22+'Tryg Forsikring'!G22+'WaterCircles F'!G22+'Euro Accident'!G22+'Ly Forsikring'!G22+'Youplus Livsforsikring'!G22+'Oslo Forsikring'!G22+'Knif Trygghet Forsikring'!G22</f>
        <v>446345.47116999998</v>
      </c>
      <c r="G22" s="285">
        <f t="shared" ref="G22:G35" si="6">IF(E22=0, "    ---- ", IF(ABS(ROUND(100/E22*F22-100,1))&lt;999,ROUND(100/E22*F22-100,1),IF(ROUND(100/E22*F22-100,1)&gt;999,999,-999)))</f>
        <v>55.2</v>
      </c>
      <c r="H22" s="250">
        <f>SUM(B22,E22)</f>
        <v>1280205.2777124881</v>
      </c>
      <c r="I22" s="183">
        <f t="shared" ref="I22:I39" si="7">SUM(C22,F22)</f>
        <v>1524399.8040027956</v>
      </c>
      <c r="J22" s="21">
        <f t="shared" ref="J22:J39" si="8">IF(H22=0, "    ---- ", IF(ABS(ROUND(100/H22*I22-100,1))&lt;999,ROUND(100/H22*I22-100,1),IF(ROUND(100/H22*I22-100,1)&gt;999,999,-999)))</f>
        <v>19.100000000000001</v>
      </c>
    </row>
    <row r="23" spans="1:10" ht="15.75" customHeight="1" x14ac:dyDescent="0.2">
      <c r="A23" s="383" t="s">
        <v>178</v>
      </c>
      <c r="B23" s="36">
        <f>Fremtind!B23+'DNB Livsforsikring'!B23+'Frende Livsforsikring'!B23+'Frende Skadeforsikring'!B23+'Gjensidige Forsikring'!B23+'Gjensidige Pensjon'!B23+'If Skadeforsikring NUF'!B23+KLP!B23+'KLP Skadeforsikring AS'!B23+'Landkreditt Forsikring AS'!B23+'Nordea Liv '!B23+'Oslo Pensjonsforsikring'!B23+'Protector Forsikring'!B23+'Sparebank 1 Fors.'!B23+'Storebrand Livsforsikring'!B23+'Telenor Forsikring'!B23+'Tryg Forsikring'!B23+'WaterCircles F'!B23+'Euro Accident'!B23+'Ly Forsikring'!B23+'Youplus Livsforsikring'!B23+'Oslo Forsikring'!B23+'Knif Trygghet Forsikring'!B23</f>
        <v>729855.98136066901</v>
      </c>
      <c r="C23" s="36">
        <f>Fremtind!C23+'DNB Livsforsikring'!C23+'Frende Livsforsikring'!C23+'Frende Skadeforsikring'!C23+'Gjensidige Forsikring'!C23+'Gjensidige Pensjon'!C23+'If Skadeforsikring NUF'!C23+KLP!C23+'KLP Skadeforsikring AS'!C23+'Landkreditt Forsikring AS'!C23+'Nordea Liv '!C23+'Oslo Pensjonsforsikring'!C23+'Protector Forsikring'!C23+'Sparebank 1 Fors.'!C23+'Storebrand Livsforsikring'!C23+'Telenor Forsikring'!C23+'Tryg Forsikring'!C23+'WaterCircles F'!C23+'Euro Accident'!C23+'Ly Forsikring'!C23+'Youplus Livsforsikring'!C23+'Oslo Forsikring'!C23+'Knif Trygghet Forsikring'!C23</f>
        <v>798013.77482560708</v>
      </c>
      <c r="D23" s="23">
        <f>IF($A$1=4,IF(B23=0, "    ---- ", IF(ABS(ROUND(100/B23*C23-100,1))&lt;999,ROUND(100/B23*C23-100,1),IF(ROUND(100/B23*C23-100,1)&gt;999,999,-999))),"")</f>
        <v>9.3000000000000007</v>
      </c>
      <c r="E23" s="36">
        <f>Fremtind!F23+'DNB Livsforsikring'!F23+'Frende Livsforsikring'!F23+'Frende Skadeforsikring'!F23+'Gjensidige Forsikring'!F23+'Gjensidige Pensjon'!F23+'If Skadeforsikring NUF'!F23+KLP!F23+'KLP Skadeforsikring AS'!F23+'Landkreditt Forsikring AS'!F23+'Nordea Liv '!F23+'Oslo Pensjonsforsikring'!F23+'Protector Forsikring'!F23+'Sparebank 1 Fors.'!F23+'Storebrand Livsforsikring'!F23+'Telenor Forsikring'!F23+'Tryg Forsikring'!F23+'WaterCircles F'!F23+'Euro Accident'!F23+'Ly Forsikring'!F23+'Youplus Livsforsikring'!F23+'Oslo Forsikring'!F23+'Knif Trygghet Forsikring'!F23</f>
        <v>10635.979090000001</v>
      </c>
      <c r="F23" s="36">
        <f>Fremtind!G23+'DNB Livsforsikring'!G23+'Frende Livsforsikring'!G23+'Frende Skadeforsikring'!G23+'Gjensidige Forsikring'!G23+'Gjensidige Pensjon'!G23+'If Skadeforsikring NUF'!G23+KLP!G23+'KLP Skadeforsikring AS'!G23+'Landkreditt Forsikring AS'!G23+'Nordea Liv '!G23+'Oslo Pensjonsforsikring'!G23+'Protector Forsikring'!G23+'Sparebank 1 Fors.'!G23+'Storebrand Livsforsikring'!G23+'Telenor Forsikring'!G23+'Tryg Forsikring'!G23+'WaterCircles F'!G23+'Euro Accident'!G23+'Ly Forsikring'!G23+'Youplus Livsforsikring'!G23+'Oslo Forsikring'!G23+'Knif Trygghet Forsikring'!G23</f>
        <v>8652.5004200000003</v>
      </c>
      <c r="G23" s="123">
        <f>IF($A$1=4,IF(E23=0, "    ---- ", IF(ABS(ROUND(100/E23*F23-100,1))&lt;999,ROUND(100/E23*F23-100,1),IF(ROUND(100/E23*F23-100,1)&gt;999,999,-999))),"")</f>
        <v>-18.600000000000001</v>
      </c>
      <c r="H23" s="181">
        <f t="shared" ref="H23:H39" si="9">SUM(B23,E23)</f>
        <v>740491.96045066905</v>
      </c>
      <c r="I23" s="36">
        <f t="shared" si="7"/>
        <v>806666.27524560713</v>
      </c>
      <c r="J23" s="20">
        <f t="shared" si="8"/>
        <v>8.9</v>
      </c>
    </row>
    <row r="24" spans="1:10" ht="15.75" customHeight="1" x14ac:dyDescent="0.2">
      <c r="A24" s="383" t="s">
        <v>179</v>
      </c>
      <c r="B24" s="36">
        <f>Fremtind!B24+'DNB Livsforsikring'!B24+'Frende Livsforsikring'!B24+'Frende Skadeforsikring'!B24+'Gjensidige Forsikring'!B24+'Gjensidige Pensjon'!B24+'If Skadeforsikring NUF'!B24+KLP!B24+'KLP Skadeforsikring AS'!B24+'Landkreditt Forsikring AS'!B24+'Nordea Liv '!B24+'Oslo Pensjonsforsikring'!B24+'Protector Forsikring'!B24+'Sparebank 1 Fors.'!B24+'Storebrand Livsforsikring'!B24+'Telenor Forsikring'!B24+'Tryg Forsikring'!B24+'WaterCircles F'!B24+'Euro Accident'!B24+'Ly Forsikring'!B24+'Youplus Livsforsikring'!B24+'Oslo Forsikring'!B24+'Knif Trygghet Forsikring'!B24</f>
        <v>4749.9182818187574</v>
      </c>
      <c r="C24" s="36">
        <f>Fremtind!C24+'DNB Livsforsikring'!C24+'Frende Livsforsikring'!C24+'Frende Skadeforsikring'!C24+'Gjensidige Forsikring'!C24+'Gjensidige Pensjon'!C24+'If Skadeforsikring NUF'!C24+KLP!C24+'KLP Skadeforsikring AS'!C24+'Landkreditt Forsikring AS'!C24+'Nordea Liv '!C24+'Oslo Pensjonsforsikring'!C24+'Protector Forsikring'!C24+'Sparebank 1 Fors.'!C24+'Storebrand Livsforsikring'!C24+'Telenor Forsikring'!C24+'Tryg Forsikring'!C24+'WaterCircles F'!C24+'Euro Accident'!C24+'Ly Forsikring'!C24+'Youplus Livsforsikring'!C24+'Oslo Forsikring'!C24+'Knif Trygghet Forsikring'!C24</f>
        <v>3379.790080092369</v>
      </c>
      <c r="D24" s="23">
        <f t="shared" ref="D24:D25" si="10">IF($A$1=4,IF(B24=0, "    ---- ", IF(ABS(ROUND(100/B24*C24-100,1))&lt;999,ROUND(100/B24*C24-100,1),IF(ROUND(100/B24*C24-100,1)&gt;999,999,-999))),"")</f>
        <v>-28.8</v>
      </c>
      <c r="E24" s="36">
        <f>Fremtind!F24+'DNB Livsforsikring'!F24+'Frende Livsforsikring'!F24+'Frende Skadeforsikring'!F24+'Gjensidige Forsikring'!F24+'Gjensidige Pensjon'!F24+'If Skadeforsikring NUF'!F24+KLP!F24+'KLP Skadeforsikring AS'!F24+'Landkreditt Forsikring AS'!F24+'Nordea Liv '!F24+'Oslo Pensjonsforsikring'!F24+'Protector Forsikring'!F24+'Sparebank 1 Fors.'!F24+'Storebrand Livsforsikring'!F24+'Telenor Forsikring'!F24+'Tryg Forsikring'!F24+'WaterCircles F'!F24+'Euro Accident'!F24+'Ly Forsikring'!F24+'Youplus Livsforsikring'!F24+'Oslo Forsikring'!F24+'Knif Trygghet Forsikring'!F24</f>
        <v>6.6549700000000005</v>
      </c>
      <c r="F24" s="36">
        <f>Fremtind!G24+'DNB Livsforsikring'!G24+'Frende Livsforsikring'!G24+'Frende Skadeforsikring'!G24+'Gjensidige Forsikring'!G24+'Gjensidige Pensjon'!G24+'If Skadeforsikring NUF'!G24+KLP!G24+'KLP Skadeforsikring AS'!G24+'Landkreditt Forsikring AS'!G24+'Nordea Liv '!G24+'Oslo Pensjonsforsikring'!G24+'Protector Forsikring'!G24+'Sparebank 1 Fors.'!G24+'Storebrand Livsforsikring'!G24+'Telenor Forsikring'!G24+'Tryg Forsikring'!G24+'WaterCircles F'!G24+'Euro Accident'!G24+'Ly Forsikring'!G24+'Youplus Livsforsikring'!G24+'Oslo Forsikring'!G24+'Knif Trygghet Forsikring'!G24</f>
        <v>65.253500000000003</v>
      </c>
      <c r="G24" s="123">
        <f t="shared" ref="G24:G25" si="11">IF($A$1=4,IF(E24=0, "    ---- ", IF(ABS(ROUND(100/E24*F24-100,1))&lt;999,ROUND(100/E24*F24-100,1),IF(ROUND(100/E24*F24-100,1)&gt;999,999,-999))),"")</f>
        <v>880.5</v>
      </c>
      <c r="H24" s="181">
        <f t="shared" si="9"/>
        <v>4756.5732518187569</v>
      </c>
      <c r="I24" s="36">
        <f t="shared" si="7"/>
        <v>3445.0435800923688</v>
      </c>
      <c r="J24" s="8">
        <f t="shared" si="8"/>
        <v>-27.6</v>
      </c>
    </row>
    <row r="25" spans="1:10" ht="15.75" customHeight="1" x14ac:dyDescent="0.2">
      <c r="A25" s="383" t="s">
        <v>180</v>
      </c>
      <c r="B25" s="36">
        <f>Fremtind!B25+'DNB Livsforsikring'!B25+'Frende Livsforsikring'!B25+'Frende Skadeforsikring'!B25+'Gjensidige Forsikring'!B25+'Gjensidige Pensjon'!B25+'If Skadeforsikring NUF'!B25+KLP!B25+'KLP Skadeforsikring AS'!B25+'Landkreditt Forsikring AS'!B25+'Nordea Liv '!B25+'Oslo Pensjonsforsikring'!B25+'Protector Forsikring'!B25+'Sparebank 1 Fors.'!B25+'Storebrand Livsforsikring'!B25+'Telenor Forsikring'!B25+'Tryg Forsikring'!B25+'WaterCircles F'!B25+'Euro Accident'!B25+'Ly Forsikring'!B25+'Youplus Livsforsikring'!B25+'Oslo Forsikring'!B25+'Knif Trygghet Forsikring'!B25</f>
        <v>5630.85</v>
      </c>
      <c r="C25" s="36">
        <f>Fremtind!C25+'DNB Livsforsikring'!C25+'Frende Livsforsikring'!C25+'Frende Skadeforsikring'!C25+'Gjensidige Forsikring'!C25+'Gjensidige Pensjon'!C25+'If Skadeforsikring NUF'!C25+KLP!C25+'KLP Skadeforsikring AS'!C25+'Landkreditt Forsikring AS'!C25+'Nordea Liv '!C25+'Oslo Pensjonsforsikring'!C25+'Protector Forsikring'!C25+'Sparebank 1 Fors.'!C25+'Storebrand Livsforsikring'!C25+'Telenor Forsikring'!C25+'Tryg Forsikring'!C25+'WaterCircles F'!C25+'Euro Accident'!C25+'Ly Forsikring'!C25+'Youplus Livsforsikring'!C25+'Oslo Forsikring'!C25+'Knif Trygghet Forsikring'!C25</f>
        <v>4335.6052470961204</v>
      </c>
      <c r="D25" s="23">
        <f t="shared" si="10"/>
        <v>-23</v>
      </c>
      <c r="E25" s="36">
        <f>Fremtind!F25+'DNB Livsforsikring'!F25+'Frende Livsforsikring'!F25+'Frende Skadeforsikring'!F25+'Gjensidige Forsikring'!F25+'Gjensidige Pensjon'!F25+'If Skadeforsikring NUF'!F25+KLP!F25+'KLP Skadeforsikring AS'!F25+'Landkreditt Forsikring AS'!F25+'Nordea Liv '!F25+'Oslo Pensjonsforsikring'!F25+'Protector Forsikring'!F25+'Sparebank 1 Fors.'!F25+'Storebrand Livsforsikring'!F25+'Telenor Forsikring'!F25+'Tryg Forsikring'!F25+'WaterCircles F'!F25+'Euro Accident'!F25+'Ly Forsikring'!F25+'Youplus Livsforsikring'!F25+'Oslo Forsikring'!F25+'Knif Trygghet Forsikring'!F25</f>
        <v>3394.6292899999999</v>
      </c>
      <c r="F25" s="36">
        <f>Fremtind!G25+'DNB Livsforsikring'!G25+'Frende Livsforsikring'!G25+'Frende Skadeforsikring'!G25+'Gjensidige Forsikring'!G25+'Gjensidige Pensjon'!G25+'If Skadeforsikring NUF'!G25+KLP!G25+'KLP Skadeforsikring AS'!G25+'Landkreditt Forsikring AS'!G25+'Nordea Liv '!G25+'Oslo Pensjonsforsikring'!G25+'Protector Forsikring'!G25+'Sparebank 1 Fors.'!G25+'Storebrand Livsforsikring'!G25+'Telenor Forsikring'!G25+'Tryg Forsikring'!G25+'WaterCircles F'!G25+'Euro Accident'!G25+'Ly Forsikring'!G25+'Youplus Livsforsikring'!G25+'Oslo Forsikring'!G25+'Knif Trygghet Forsikring'!G25</f>
        <v>7059.0852500000001</v>
      </c>
      <c r="G25" s="123">
        <f t="shared" si="11"/>
        <v>107.9</v>
      </c>
      <c r="H25" s="181">
        <f t="shared" si="9"/>
        <v>9025.4792899999993</v>
      </c>
      <c r="I25" s="36">
        <f t="shared" si="7"/>
        <v>11394.69049709612</v>
      </c>
      <c r="J25" s="23">
        <f t="shared" si="8"/>
        <v>26.3</v>
      </c>
    </row>
    <row r="26" spans="1:10" ht="15.75" customHeight="1" x14ac:dyDescent="0.2">
      <c r="A26" s="383" t="s">
        <v>181</v>
      </c>
      <c r="B26" s="36"/>
      <c r="C26" s="36"/>
      <c r="D26" s="23"/>
      <c r="E26" s="36">
        <f>Fremtind!F26+'DNB Livsforsikring'!F26+'Frende Livsforsikring'!F26+'Frende Skadeforsikring'!F26+'Gjensidige Forsikring'!F26+'Gjensidige Pensjon'!F26+'If Skadeforsikring NUF'!F26+KLP!F26+'KLP Skadeforsikring AS'!F26+'Landkreditt Forsikring AS'!F26+'Nordea Liv '!F26+'Oslo Pensjonsforsikring'!F26+'Protector Forsikring'!F26+'Sparebank 1 Fors.'!F26+'Storebrand Livsforsikring'!F26+'Telenor Forsikring'!F26+'Tryg Forsikring'!F26+'WaterCircles F'!F26+'Euro Accident'!F26+'Ly Forsikring'!F26+'Youplus Livsforsikring'!F26+'Oslo Forsikring'!F26+'Knif Trygghet Forsikring'!F26</f>
        <v>273490.11814999999</v>
      </c>
      <c r="F26" s="36">
        <f>Fremtind!G26+'DNB Livsforsikring'!G26+'Frende Livsforsikring'!G26+'Frende Skadeforsikring'!G26+'Gjensidige Forsikring'!G26+'Gjensidige Pensjon'!G26+'If Skadeforsikring NUF'!G26+KLP!G26+'KLP Skadeforsikring AS'!G26+'Landkreditt Forsikring AS'!G26+'Nordea Liv '!G26+'Oslo Pensjonsforsikring'!G26+'Protector Forsikring'!G26+'Sparebank 1 Fors.'!G26+'Storebrand Livsforsikring'!G26+'Telenor Forsikring'!G26+'Tryg Forsikring'!G26+'WaterCircles F'!G26+'Euro Accident'!G26+'Ly Forsikring'!G26+'Youplus Livsforsikring'!G26+'Oslo Forsikring'!G26+'Knif Trygghet Forsikring'!G26</f>
        <v>430568.63199999998</v>
      </c>
      <c r="G26" s="123">
        <f t="shared" ref="G26" si="12">IF($A$1=4,IF(E26=0, "    ---- ", IF(ABS(ROUND(100/E26*F26-100,1))&lt;999,ROUND(100/E26*F26-100,1),IF(ROUND(100/E26*F26-100,1)&gt;999,999,-999))),"")</f>
        <v>57.4</v>
      </c>
      <c r="H26" s="181">
        <f>SUM(B26,E26)</f>
        <v>273490.11814999999</v>
      </c>
      <c r="I26" s="36">
        <f t="shared" ref="I26" si="13">SUM(C26,F26)</f>
        <v>430568.63199999998</v>
      </c>
      <c r="J26" s="23">
        <f>IF(H26=0, "    ---- ", IF(ABS(ROUND(100/H26*I26-100,1))&lt;999,ROUND(100/H26*I26-100,1),IF(ROUND(100/H26*I26-100,1)&gt;999,999,-999)))</f>
        <v>57.4</v>
      </c>
    </row>
    <row r="27" spans="1:10" ht="15.75" customHeight="1" x14ac:dyDescent="0.2">
      <c r="A27" s="382" t="s">
        <v>182</v>
      </c>
      <c r="B27" s="36"/>
      <c r="C27" s="36"/>
      <c r="D27" s="23"/>
      <c r="E27" s="36"/>
      <c r="F27" s="36"/>
      <c r="G27" s="123"/>
      <c r="H27" s="181"/>
      <c r="I27" s="36"/>
      <c r="J27" s="23"/>
    </row>
    <row r="28" spans="1:10" ht="15.75" customHeight="1" x14ac:dyDescent="0.2">
      <c r="A28" s="39" t="s">
        <v>183</v>
      </c>
      <c r="B28" s="36">
        <f>Fremtind!B28+'DNB Livsforsikring'!B28+'Frende Livsforsikring'!B28+'Frende Skadeforsikring'!B28+'Gjensidige Forsikring'!B28+'Gjensidige Pensjon'!B28+'If Skadeforsikring NUF'!B28+KLP!B28+'KLP Skadeforsikring AS'!B28+'Landkreditt Forsikring AS'!B28+'Nordea Liv '!B28+'Oslo Pensjonsforsikring'!B28+'Protector Forsikring'!B28+'Sparebank 1 Fors.'!B28+'Storebrand Livsforsikring'!B28+'Telenor Forsikring'!B28+'Tryg Forsikring'!B28+'WaterCircles F'!B28+'Euro Accident'!B28+'Ly Forsikring'!B28+'Youplus Livsforsikring'!B28+'Oslo Forsikring'!B28+'Knif Trygghet Forsikring'!B28</f>
        <v>1191160.7944078627</v>
      </c>
      <c r="C28" s="36">
        <f>Fremtind!C28+'DNB Livsforsikring'!C28+'Frende Livsforsikring'!C28+'Frende Skadeforsikring'!C28+'Gjensidige Forsikring'!C28+'Gjensidige Pensjon'!C28+'If Skadeforsikring NUF'!C28+KLP!C28+'KLP Skadeforsikring AS'!C28+'Landkreditt Forsikring AS'!C28+'Nordea Liv '!C28+'Oslo Pensjonsforsikring'!C28+'Protector Forsikring'!C28+'Sparebank 1 Fors.'!C28+'Storebrand Livsforsikring'!C28+'Telenor Forsikring'!C28+'Tryg Forsikring'!C28+'WaterCircles F'!C28+'Euro Accident'!C28+'Ly Forsikring'!C28+'Youplus Livsforsikring'!C28+'Oslo Forsikring'!C28+'Knif Trygghet Forsikring'!C28</f>
        <v>1347885.6132454872</v>
      </c>
      <c r="D28" s="20">
        <f t="shared" si="5"/>
        <v>13.2</v>
      </c>
      <c r="E28" s="140"/>
      <c r="F28" s="140"/>
      <c r="G28" s="123"/>
      <c r="H28" s="181">
        <f t="shared" si="9"/>
        <v>1191160.7944078627</v>
      </c>
      <c r="I28" s="36">
        <f t="shared" si="7"/>
        <v>1347885.6132454872</v>
      </c>
      <c r="J28" s="20">
        <f t="shared" si="8"/>
        <v>13.2</v>
      </c>
    </row>
    <row r="29" spans="1:10" s="35" customFormat="1" ht="15.75" customHeight="1" x14ac:dyDescent="0.2">
      <c r="A29" s="10" t="s">
        <v>184</v>
      </c>
      <c r="B29" s="183">
        <f>Fremtind!B29+'DNB Livsforsikring'!B29+'Frende Livsforsikring'!B29+'Frende Skadeforsikring'!B29+'Gjensidige Forsikring'!B29+'Gjensidige Pensjon'!B29+'If Skadeforsikring NUF'!B29+KLP!B29+'KLP Skadeforsikring AS'!B29+'Landkreditt Forsikring AS'!B29+'Nordea Liv '!B29+'Oslo Pensjonsforsikring'!B29+'Protector Forsikring'!B29+'Sparebank 1 Fors.'!B29+'Storebrand Livsforsikring'!B29+'Telenor Forsikring'!B29+'Tryg Forsikring'!B29+'WaterCircles F'!B29+'Euro Accident'!B29+'Ly Forsikring'!B29+'Youplus Livsforsikring'!B29+'Oslo Forsikring'!B29+'Knif Trygghet Forsikring'!B29</f>
        <v>44006076.134077512</v>
      </c>
      <c r="C29" s="183">
        <f>Fremtind!C29+'DNB Livsforsikring'!C29+'Frende Livsforsikring'!C29+'Frende Skadeforsikring'!C29+'Gjensidige Forsikring'!C29+'Gjensidige Pensjon'!C29+'If Skadeforsikring NUF'!C29+KLP!C29+'KLP Skadeforsikring AS'!C29+'Landkreditt Forsikring AS'!C29+'Nordea Liv '!C29+'Oslo Pensjonsforsikring'!C29+'Protector Forsikring'!C29+'Sparebank 1 Fors.'!C29+'Storebrand Livsforsikring'!C29+'Telenor Forsikring'!C29+'Tryg Forsikring'!C29+'WaterCircles F'!C29+'Euro Accident'!C29+'Ly Forsikring'!C29+'Youplus Livsforsikring'!C29+'Oslo Forsikring'!C29+'Knif Trygghet Forsikring'!C29</f>
        <v>44504845.872325547</v>
      </c>
      <c r="D29" s="21">
        <f t="shared" si="5"/>
        <v>1.1000000000000001</v>
      </c>
      <c r="E29" s="250">
        <f>Fremtind!F29+'DNB Livsforsikring'!F29+'Frende Livsforsikring'!F29+'Frende Skadeforsikring'!F29+'Gjensidige Forsikring'!F29+'Gjensidige Pensjon'!F29+'If Skadeforsikring NUF'!F29+KLP!F29+'KLP Skadeforsikring AS'!F29+'Landkreditt Forsikring AS'!F29+'Nordea Liv '!F29+'Oslo Pensjonsforsikring'!F29+'Protector Forsikring'!F29+'Sparebank 1 Fors.'!F29+'Storebrand Livsforsikring'!F29+'Telenor Forsikring'!F29+'Tryg Forsikring'!F29+'WaterCircles F'!F29+'Euro Accident'!F29+'Ly Forsikring'!F29+'Youplus Livsforsikring'!F29+'Oslo Forsikring'!F29+'Knif Trygghet Forsikring'!F29</f>
        <v>28605602.015649192</v>
      </c>
      <c r="F29" s="250">
        <f>Fremtind!G29+'DNB Livsforsikring'!G29+'Frende Livsforsikring'!G29+'Frende Skadeforsikring'!G29+'Gjensidige Forsikring'!G29+'Gjensidige Pensjon'!G29+'If Skadeforsikring NUF'!G29+KLP!G29+'KLP Skadeforsikring AS'!G29+'Landkreditt Forsikring AS'!G29+'Nordea Liv '!G29+'Oslo Pensjonsforsikring'!G29+'Protector Forsikring'!G29+'Sparebank 1 Fors.'!G29+'Storebrand Livsforsikring'!G29+'Telenor Forsikring'!G29+'Tryg Forsikring'!G29+'WaterCircles F'!G29+'Euro Accident'!G29+'Ly Forsikring'!G29+'Youplus Livsforsikring'!G29+'Oslo Forsikring'!G29+'Knif Trygghet Forsikring'!G29</f>
        <v>31182335.228054419</v>
      </c>
      <c r="G29" s="127">
        <f t="shared" si="6"/>
        <v>9</v>
      </c>
      <c r="H29" s="250">
        <f t="shared" si="9"/>
        <v>72611678.149726704</v>
      </c>
      <c r="I29" s="183">
        <f t="shared" si="7"/>
        <v>75687181.100379974</v>
      </c>
      <c r="J29" s="21">
        <f t="shared" si="8"/>
        <v>4.2</v>
      </c>
    </row>
    <row r="30" spans="1:10" ht="15.75" customHeight="1" x14ac:dyDescent="0.2">
      <c r="A30" s="383" t="s">
        <v>178</v>
      </c>
      <c r="B30" s="36">
        <f>Fremtind!B30+'DNB Livsforsikring'!B30+'Frende Livsforsikring'!B30+'Frende Skadeforsikring'!B30+'Gjensidige Forsikring'!B30+'Gjensidige Pensjon'!B30+'If Skadeforsikring NUF'!B30+KLP!B30+'KLP Skadeforsikring AS'!B30+'Landkreditt Forsikring AS'!B30+'Nordea Liv '!B30+'Oslo Pensjonsforsikring'!B30+'Protector Forsikring'!B30+'Sparebank 1 Fors.'!B30+'Storebrand Livsforsikring'!B30+'Telenor Forsikring'!B30+'Tryg Forsikring'!B30+'WaterCircles F'!B30+'Euro Accident'!B30+'Ly Forsikring'!B30+'Youplus Livsforsikring'!B30+'Oslo Forsikring'!B30+'Knif Trygghet Forsikring'!B30</f>
        <v>18757047.829261642</v>
      </c>
      <c r="C30" s="36">
        <f>Fremtind!C30+'DNB Livsforsikring'!C30+'Frende Livsforsikring'!C30+'Frende Skadeforsikring'!C30+'Gjensidige Forsikring'!C30+'Gjensidige Pensjon'!C30+'If Skadeforsikring NUF'!C30+KLP!C30+'KLP Skadeforsikring AS'!C30+'Landkreditt Forsikring AS'!C30+'Nordea Liv '!C30+'Oslo Pensjonsforsikring'!C30+'Protector Forsikring'!C30+'Sparebank 1 Fors.'!C30+'Storebrand Livsforsikring'!C30+'Telenor Forsikring'!C30+'Tryg Forsikring'!C30+'WaterCircles F'!C30+'Euro Accident'!C30+'Ly Forsikring'!C30+'Youplus Livsforsikring'!C30+'Oslo Forsikring'!C30+'Knif Trygghet Forsikring'!C30</f>
        <v>19898021.044961333</v>
      </c>
      <c r="D30" s="23">
        <f t="shared" ref="D30:D32" si="14">IF($A$1=4,IF(B30=0, "    ---- ", IF(ABS(ROUND(100/B30*C30-100,1))&lt;999,ROUND(100/B30*C30-100,1),IF(ROUND(100/B30*C30-100,1)&gt;999,999,-999))),"")</f>
        <v>6.1</v>
      </c>
      <c r="E30" s="36">
        <f>Fremtind!F30+'DNB Livsforsikring'!F30+'Frende Livsforsikring'!F30+'Frende Skadeforsikring'!F30+'Gjensidige Forsikring'!F30+'Gjensidige Pensjon'!F30+'If Skadeforsikring NUF'!F30+KLP!F30+'KLP Skadeforsikring AS'!F30+'Landkreditt Forsikring AS'!F30+'Nordea Liv '!F30+'Oslo Pensjonsforsikring'!F30+'Protector Forsikring'!F30+'Sparebank 1 Fors.'!F30+'Storebrand Livsforsikring'!F30+'Telenor Forsikring'!F30+'Tryg Forsikring'!F30+'WaterCircles F'!F30+'Euro Accident'!F30+'Ly Forsikring'!F30+'Youplus Livsforsikring'!F30+'Oslo Forsikring'!F30+'Knif Trygghet Forsikring'!F30</f>
        <v>3565011.4280892941</v>
      </c>
      <c r="F30" s="36">
        <f>Fremtind!G30+'DNB Livsforsikring'!G30+'Frende Livsforsikring'!G30+'Frende Skadeforsikring'!G30+'Gjensidige Forsikring'!G30+'Gjensidige Pensjon'!G30+'If Skadeforsikring NUF'!G30+KLP!G30+'KLP Skadeforsikring AS'!G30+'Landkreditt Forsikring AS'!G30+'Nordea Liv '!G30+'Oslo Pensjonsforsikring'!G30+'Protector Forsikring'!G30+'Sparebank 1 Fors.'!G30+'Storebrand Livsforsikring'!G30+'Telenor Forsikring'!G30+'Tryg Forsikring'!G30+'WaterCircles F'!G30+'Euro Accident'!G30+'Ly Forsikring'!G30+'Youplus Livsforsikring'!G30+'Oslo Forsikring'!G30+'Knif Trygghet Forsikring'!G30</f>
        <v>3547309.1142467554</v>
      </c>
      <c r="G30" s="123">
        <f t="shared" ref="G30:G32" si="15">IF($A$1=4,IF(E30=0, "    ---- ", IF(ABS(ROUND(100/E30*F30-100,1))&lt;999,ROUND(100/E30*F30-100,1),IF(ROUND(100/E30*F30-100,1)&gt;999,999,-999))),"")</f>
        <v>-0.5</v>
      </c>
      <c r="H30" s="181">
        <f t="shared" si="9"/>
        <v>22322059.257350937</v>
      </c>
      <c r="I30" s="36">
        <f t="shared" si="7"/>
        <v>23445330.159208089</v>
      </c>
      <c r="J30" s="20">
        <f t="shared" si="8"/>
        <v>5</v>
      </c>
    </row>
    <row r="31" spans="1:10" ht="15.75" customHeight="1" x14ac:dyDescent="0.2">
      <c r="A31" s="383" t="s">
        <v>179</v>
      </c>
      <c r="B31" s="36">
        <f>Fremtind!B31+'DNB Livsforsikring'!B31+'Frende Livsforsikring'!B31+'Frende Skadeforsikring'!B31+'Gjensidige Forsikring'!B31+'Gjensidige Pensjon'!B31+'If Skadeforsikring NUF'!B31+KLP!B31+'KLP Skadeforsikring AS'!B31+'Landkreditt Forsikring AS'!B31+'Nordea Liv '!B31+'Oslo Pensjonsforsikring'!B31+'Protector Forsikring'!B31+'Sparebank 1 Fors.'!B31+'Storebrand Livsforsikring'!B31+'Telenor Forsikring'!B31+'Tryg Forsikring'!B31+'WaterCircles F'!B31+'Euro Accident'!B31+'Ly Forsikring'!B31+'Youplus Livsforsikring'!B31+'Oslo Forsikring'!B31+'Knif Trygghet Forsikring'!B31</f>
        <v>22754346.53195408</v>
      </c>
      <c r="C31" s="36">
        <f>Fremtind!C31+'DNB Livsforsikring'!C31+'Frende Livsforsikring'!C31+'Frende Skadeforsikring'!C31+'Gjensidige Forsikring'!C31+'Gjensidige Pensjon'!C31+'If Skadeforsikring NUF'!C31+KLP!C31+'KLP Skadeforsikring AS'!C31+'Landkreditt Forsikring AS'!C31+'Nordea Liv '!C31+'Oslo Pensjonsforsikring'!C31+'Protector Forsikring'!C31+'Sparebank 1 Fors.'!C31+'Storebrand Livsforsikring'!C31+'Telenor Forsikring'!C31+'Tryg Forsikring'!C31+'WaterCircles F'!C31+'Euro Accident'!C31+'Ly Forsikring'!C31+'Youplus Livsforsikring'!C31+'Oslo Forsikring'!C31+'Knif Trygghet Forsikring'!C31</f>
        <v>21580173.01351583</v>
      </c>
      <c r="D31" s="23">
        <f t="shared" si="14"/>
        <v>-5.2</v>
      </c>
      <c r="E31" s="36">
        <f>Fremtind!F31+'DNB Livsforsikring'!F31+'Frende Livsforsikring'!F31+'Frende Skadeforsikring'!F31+'Gjensidige Forsikring'!F31+'Gjensidige Pensjon'!F31+'If Skadeforsikring NUF'!F31+KLP!F31+'KLP Skadeforsikring AS'!F31+'Landkreditt Forsikring AS'!F31+'Nordea Liv '!F31+'Oslo Pensjonsforsikring'!F31+'Protector Forsikring'!F31+'Sparebank 1 Fors.'!F31+'Storebrand Livsforsikring'!F31+'Telenor Forsikring'!F31+'Tryg Forsikring'!F31+'WaterCircles F'!F31+'Euro Accident'!F31+'Ly Forsikring'!F31+'Youplus Livsforsikring'!F31+'Oslo Forsikring'!F31+'Knif Trygghet Forsikring'!F31</f>
        <v>7119709.8593687583</v>
      </c>
      <c r="F31" s="36">
        <f>Fremtind!G31+'DNB Livsforsikring'!G31+'Frende Livsforsikring'!G31+'Frende Skadeforsikring'!G31+'Gjensidige Forsikring'!G31+'Gjensidige Pensjon'!G31+'If Skadeforsikring NUF'!G31+KLP!G31+'KLP Skadeforsikring AS'!G31+'Landkreditt Forsikring AS'!G31+'Nordea Liv '!G31+'Oslo Pensjonsforsikring'!G31+'Protector Forsikring'!G31+'Sparebank 1 Fors.'!G31+'Storebrand Livsforsikring'!G31+'Telenor Forsikring'!G31+'Tryg Forsikring'!G31+'WaterCircles F'!G31+'Euro Accident'!G31+'Ly Forsikring'!G31+'Youplus Livsforsikring'!G31+'Oslo Forsikring'!G31+'Knif Trygghet Forsikring'!G31</f>
        <v>7003185.2148097418</v>
      </c>
      <c r="G31" s="123">
        <f t="shared" si="15"/>
        <v>-1.6</v>
      </c>
      <c r="H31" s="181">
        <f t="shared" si="9"/>
        <v>29874056.391322836</v>
      </c>
      <c r="I31" s="36">
        <f t="shared" si="7"/>
        <v>28583358.228325572</v>
      </c>
      <c r="J31" s="20">
        <f t="shared" si="8"/>
        <v>-4.3</v>
      </c>
    </row>
    <row r="32" spans="1:10" ht="15.75" customHeight="1" x14ac:dyDescent="0.2">
      <c r="A32" s="383" t="s">
        <v>180</v>
      </c>
      <c r="B32" s="36">
        <f>Fremtind!B32+'DNB Livsforsikring'!B32+'Frende Livsforsikring'!B32+'Frende Skadeforsikring'!B32+'Gjensidige Forsikring'!B32+'Gjensidige Pensjon'!B32+'If Skadeforsikring NUF'!B32+KLP!B32+'KLP Skadeforsikring AS'!B32+'Landkreditt Forsikring AS'!B32+'Nordea Liv '!B32+'Oslo Pensjonsforsikring'!B32+'Protector Forsikring'!B32+'Sparebank 1 Fors.'!B32+'Storebrand Livsforsikring'!B32+'Telenor Forsikring'!B32+'Tryg Forsikring'!B32+'WaterCircles F'!B32+'Euro Accident'!B32+'Ly Forsikring'!B32+'Youplus Livsforsikring'!B32+'Oslo Forsikring'!B32+'Knif Trygghet Forsikring'!B32</f>
        <v>2348242.3398618102</v>
      </c>
      <c r="C32" s="36">
        <f>Fremtind!C32+'DNB Livsforsikring'!C32+'Frende Livsforsikring'!C32+'Frende Skadeforsikring'!C32+'Gjensidige Forsikring'!C32+'Gjensidige Pensjon'!C32+'If Skadeforsikring NUF'!C32+KLP!C32+'KLP Skadeforsikring AS'!C32+'Landkreditt Forsikring AS'!C32+'Nordea Liv '!C32+'Oslo Pensjonsforsikring'!C32+'Protector Forsikring'!C32+'Sparebank 1 Fors.'!C32+'Storebrand Livsforsikring'!C32+'Telenor Forsikring'!C32+'Tryg Forsikring'!C32+'WaterCircles F'!C32+'Euro Accident'!C32+'Ly Forsikring'!C32+'Youplus Livsforsikring'!C32+'Oslo Forsikring'!C32+'Knif Trygghet Forsikring'!C32</f>
        <v>2795621.8438484203</v>
      </c>
      <c r="D32" s="23">
        <f t="shared" si="14"/>
        <v>19.100000000000001</v>
      </c>
      <c r="E32" s="36">
        <f>Fremtind!F32+'DNB Livsforsikring'!F32+'Frende Livsforsikring'!F32+'Frende Skadeforsikring'!F32+'Gjensidige Forsikring'!F32+'Gjensidige Pensjon'!F32+'If Skadeforsikring NUF'!F32+KLP!F32+'KLP Skadeforsikring AS'!F32+'Landkreditt Forsikring AS'!F32+'Nordea Liv '!F32+'Oslo Pensjonsforsikring'!F32+'Protector Forsikring'!F32+'Sparebank 1 Fors.'!F32+'Storebrand Livsforsikring'!F32+'Telenor Forsikring'!F32+'Tryg Forsikring'!F32+'WaterCircles F'!F32+'Euro Accident'!F32+'Ly Forsikring'!F32+'Youplus Livsforsikring'!F32+'Oslo Forsikring'!F32+'Knif Trygghet Forsikring'!F32</f>
        <v>6666628.3887224458</v>
      </c>
      <c r="F32" s="36">
        <f>Fremtind!G32+'DNB Livsforsikring'!G32+'Frende Livsforsikring'!G32+'Frende Skadeforsikring'!G32+'Gjensidige Forsikring'!G32+'Gjensidige Pensjon'!G32+'If Skadeforsikring NUF'!G32+KLP!G32+'KLP Skadeforsikring AS'!G32+'Landkreditt Forsikring AS'!G32+'Nordea Liv '!G32+'Oslo Pensjonsforsikring'!G32+'Protector Forsikring'!G32+'Sparebank 1 Fors.'!G32+'Storebrand Livsforsikring'!G32+'Telenor Forsikring'!G32+'Tryg Forsikring'!G32+'WaterCircles F'!G32+'Euro Accident'!G32+'Ly Forsikring'!G32+'Youplus Livsforsikring'!G32+'Oslo Forsikring'!G32+'Knif Trygghet Forsikring'!G32</f>
        <v>7271742.9346339731</v>
      </c>
      <c r="G32" s="123">
        <f t="shared" si="15"/>
        <v>9.1</v>
      </c>
      <c r="H32" s="181">
        <f t="shared" si="9"/>
        <v>9014870.728584256</v>
      </c>
      <c r="I32" s="36">
        <f t="shared" si="7"/>
        <v>10067364.778482392</v>
      </c>
      <c r="J32" s="21">
        <f t="shared" si="8"/>
        <v>11.7</v>
      </c>
    </row>
    <row r="33" spans="1:10" ht="15.75" customHeight="1" x14ac:dyDescent="0.2">
      <c r="A33" s="383" t="s">
        <v>181</v>
      </c>
      <c r="B33" s="36"/>
      <c r="C33" s="36"/>
      <c r="D33" s="23"/>
      <c r="E33" s="36">
        <f>Fremtind!F33+'DNB Livsforsikring'!F33+'Frende Livsforsikring'!F33+'Frende Skadeforsikring'!F33+'Gjensidige Forsikring'!F33+'Gjensidige Pensjon'!F33+'If Skadeforsikring NUF'!F33+KLP!F33+'KLP Skadeforsikring AS'!F33+'Landkreditt Forsikring AS'!F33+'Nordea Liv '!F33+'Oslo Pensjonsforsikring'!F33+'Protector Forsikring'!F33+'Sparebank 1 Fors.'!F33+'Storebrand Livsforsikring'!F33+'Telenor Forsikring'!F33+'Tryg Forsikring'!F33+'WaterCircles F'!F33+'Euro Accident'!F33+'Ly Forsikring'!F33+'Youplus Livsforsikring'!F33+'Oslo Forsikring'!F33+'Knif Trygghet Forsikring'!F33</f>
        <v>11254252.33946868</v>
      </c>
      <c r="F33" s="36">
        <f>Fremtind!G33+'DNB Livsforsikring'!G33+'Frende Livsforsikring'!G33+'Frende Skadeforsikring'!G33+'Gjensidige Forsikring'!G33+'Gjensidige Pensjon'!G33+'If Skadeforsikring NUF'!G33+KLP!G33+'KLP Skadeforsikring AS'!G33+'Landkreditt Forsikring AS'!G33+'Nordea Liv '!G33+'Oslo Pensjonsforsikring'!G33+'Protector Forsikring'!G33+'Sparebank 1 Fors.'!G33+'Storebrand Livsforsikring'!G33+'Telenor Forsikring'!G33+'Tryg Forsikring'!G33+'WaterCircles F'!G33+'Euro Accident'!G33+'Ly Forsikring'!G33+'Youplus Livsforsikring'!G33+'Oslo Forsikring'!G33+'Knif Trygghet Forsikring'!G33</f>
        <v>13360097.964363951</v>
      </c>
      <c r="G33" s="123">
        <f t="shared" ref="G33" si="16">IF($A$1=4,IF(E33=0, "    ---- ", IF(ABS(ROUND(100/E33*F33-100,1))&lt;999,ROUND(100/E33*F33-100,1),IF(ROUND(100/E33*F33-100,1)&gt;999,999,-999))),"")</f>
        <v>18.7</v>
      </c>
      <c r="H33" s="181">
        <f t="shared" ref="H33" si="17">SUM(B33,E33)</f>
        <v>11254252.33946868</v>
      </c>
      <c r="I33" s="36">
        <f t="shared" ref="I33" si="18">SUM(C33,F33)</f>
        <v>13360097.964363951</v>
      </c>
      <c r="J33" s="21">
        <f t="shared" ref="J33" si="19">IF(H33=0, "    ---- ", IF(ABS(ROUND(100/H33*I33-100,1))&lt;999,ROUND(100/H33*I33-100,1),IF(ROUND(100/H33*I33-100,1)&gt;999,999,-999)))</f>
        <v>18.7</v>
      </c>
    </row>
    <row r="34" spans="1:10" s="35" customFormat="1" ht="15.75" customHeight="1" x14ac:dyDescent="0.2">
      <c r="A34" s="10" t="s">
        <v>173</v>
      </c>
      <c r="B34" s="183">
        <f>Fremtind!B34+'DNB Livsforsikring'!B34+'Frende Livsforsikring'!B34+'Frende Skadeforsikring'!B34+'Gjensidige Forsikring'!B34+'Gjensidige Pensjon'!B34+'If Skadeforsikring NUF'!B34+KLP!B34+'KLP Skadeforsikring AS'!B34+'Landkreditt Forsikring AS'!B34+'Nordea Liv '!B34+'Oslo Pensjonsforsikring'!B34+'Protector Forsikring'!B34+'Sparebank 1 Fors.'!B34+'Storebrand Livsforsikring'!B34+'Telenor Forsikring'!B34+'Tryg Forsikring'!B34+'WaterCircles F'!B34+'Euro Accident'!B34+'Ly Forsikring'!B34+'Youplus Livsforsikring'!B34+'Oslo Forsikring'!B34+'Knif Trygghet Forsikring'!B34</f>
        <v>5797.2493300000006</v>
      </c>
      <c r="C34" s="183">
        <f>Fremtind!C34+'DNB Livsforsikring'!C34+'Frende Livsforsikring'!C34+'Frende Skadeforsikring'!C34+'Gjensidige Forsikring'!C34+'Gjensidige Pensjon'!C34+'If Skadeforsikring NUF'!C34+KLP!C34+'KLP Skadeforsikring AS'!C34+'Landkreditt Forsikring AS'!C34+'Nordea Liv '!C34+'Oslo Pensjonsforsikring'!C34+'Protector Forsikring'!C34+'Sparebank 1 Fors.'!C34+'Storebrand Livsforsikring'!C34+'Telenor Forsikring'!C34+'Tryg Forsikring'!C34+'WaterCircles F'!C34+'Euro Accident'!C34+'Ly Forsikring'!C34+'Youplus Livsforsikring'!C34+'Oslo Forsikring'!C34+'Knif Trygghet Forsikring'!C34</f>
        <v>4326.7759999999998</v>
      </c>
      <c r="D34" s="21">
        <f t="shared" si="5"/>
        <v>-25.4</v>
      </c>
      <c r="E34" s="250">
        <f>Fremtind!F34+'DNB Livsforsikring'!F34+'Frende Livsforsikring'!F34+'Frende Skadeforsikring'!F34+'Gjensidige Forsikring'!F34+'Gjensidige Pensjon'!F34+'If Skadeforsikring NUF'!F34+KLP!F34+'KLP Skadeforsikring AS'!F34+'Landkreditt Forsikring AS'!F34+'Nordea Liv '!F34+'Oslo Pensjonsforsikring'!F34+'Protector Forsikring'!F34+'Sparebank 1 Fors.'!F34+'Storebrand Livsforsikring'!F34+'Telenor Forsikring'!F34+'Tryg Forsikring'!F34+'WaterCircles F'!F34+'Euro Accident'!F34+'Ly Forsikring'!F34+'Youplus Livsforsikring'!F34+'Oslo Forsikring'!F34+'Knif Trygghet Forsikring'!F34</f>
        <v>-104367.89246</v>
      </c>
      <c r="F34" s="250">
        <f>Fremtind!G34+'DNB Livsforsikring'!G34+'Frende Livsforsikring'!G34+'Frende Skadeforsikring'!G34+'Gjensidige Forsikring'!G34+'Gjensidige Pensjon'!G34+'If Skadeforsikring NUF'!G34+KLP!G34+'KLP Skadeforsikring AS'!G34+'Landkreditt Forsikring AS'!G34+'Nordea Liv '!G34+'Oslo Pensjonsforsikring'!G34+'Protector Forsikring'!G34+'Sparebank 1 Fors.'!G34+'Storebrand Livsforsikring'!G34+'Telenor Forsikring'!G34+'Tryg Forsikring'!G34+'WaterCircles F'!G34+'Euro Accident'!G34+'Ly Forsikring'!G34+'Youplus Livsforsikring'!G34+'Oslo Forsikring'!G34+'Knif Trygghet Forsikring'!G34</f>
        <v>78329.192170000009</v>
      </c>
      <c r="G34" s="127">
        <f t="shared" si="6"/>
        <v>-175.1</v>
      </c>
      <c r="H34" s="250">
        <f t="shared" si="9"/>
        <v>-98570.643129999997</v>
      </c>
      <c r="I34" s="183">
        <f t="shared" si="7"/>
        <v>82655.968170000007</v>
      </c>
      <c r="J34" s="21">
        <f t="shared" si="8"/>
        <v>-183.9</v>
      </c>
    </row>
    <row r="35" spans="1:10" s="35" customFormat="1" ht="15.75" customHeight="1" x14ac:dyDescent="0.2">
      <c r="A35" s="10" t="s">
        <v>174</v>
      </c>
      <c r="B35" s="183">
        <f>Fremtind!B35+'DNB Livsforsikring'!B35+'Frende Livsforsikring'!B35+'Frende Skadeforsikring'!B35+'Gjensidige Forsikring'!B35+'Gjensidige Pensjon'!B35+'If Skadeforsikring NUF'!B35+KLP!B35+'KLP Skadeforsikring AS'!B35+'Landkreditt Forsikring AS'!B35+'Nordea Liv '!B35+'Oslo Pensjonsforsikring'!B35+'Protector Forsikring'!B35+'Sparebank 1 Fors.'!B35+'Storebrand Livsforsikring'!B35+'Telenor Forsikring'!B35+'Tryg Forsikring'!B35+'WaterCircles F'!B35+'Euro Accident'!B35+'Ly Forsikring'!B35+'Youplus Livsforsikring'!B35+'Oslo Forsikring'!B35+'Knif Trygghet Forsikring'!B35</f>
        <v>-149053.81912</v>
      </c>
      <c r="C35" s="183">
        <f>Fremtind!C35+'DNB Livsforsikring'!C35+'Frende Livsforsikring'!C35+'Frende Skadeforsikring'!C35+'Gjensidige Forsikring'!C35+'Gjensidige Pensjon'!C35+'If Skadeforsikring NUF'!C35+KLP!C35+'KLP Skadeforsikring AS'!C35+'Landkreditt Forsikring AS'!C35+'Nordea Liv '!C35+'Oslo Pensjonsforsikring'!C35+'Protector Forsikring'!C35+'Sparebank 1 Fors.'!C35+'Storebrand Livsforsikring'!C35+'Telenor Forsikring'!C35+'Tryg Forsikring'!C35+'WaterCircles F'!C35+'Euro Accident'!C35+'Ly Forsikring'!C35+'Youplus Livsforsikring'!C35+'Oslo Forsikring'!C35+'Knif Trygghet Forsikring'!C35</f>
        <v>7864.5627899999999</v>
      </c>
      <c r="D35" s="21">
        <f t="shared" si="5"/>
        <v>-105.3</v>
      </c>
      <c r="E35" s="250">
        <f>Fremtind!F35+'DNB Livsforsikring'!F35+'Frende Livsforsikring'!F35+'Frende Skadeforsikring'!F35+'Gjensidige Forsikring'!F35+'Gjensidige Pensjon'!F35+'If Skadeforsikring NUF'!F35+KLP!F35+'KLP Skadeforsikring AS'!F35+'Landkreditt Forsikring AS'!F35+'Nordea Liv '!F35+'Oslo Pensjonsforsikring'!F35+'Protector Forsikring'!F35+'Sparebank 1 Fors.'!F35+'Storebrand Livsforsikring'!F35+'Telenor Forsikring'!F35+'Tryg Forsikring'!F35+'WaterCircles F'!F35+'Euro Accident'!F35+'Ly Forsikring'!F35+'Youplus Livsforsikring'!F35+'Oslo Forsikring'!F35+'Knif Trygghet Forsikring'!F35</f>
        <v>68852.985529999991</v>
      </c>
      <c r="F35" s="250">
        <f>Fremtind!G35+'DNB Livsforsikring'!G35+'Frende Livsforsikring'!G35+'Frende Skadeforsikring'!G35+'Gjensidige Forsikring'!G35+'Gjensidige Pensjon'!G35+'If Skadeforsikring NUF'!G35+KLP!G35+'KLP Skadeforsikring AS'!G35+'Landkreditt Forsikring AS'!G35+'Nordea Liv '!G35+'Oslo Pensjonsforsikring'!G35+'Protector Forsikring'!G35+'Sparebank 1 Fors.'!G35+'Storebrand Livsforsikring'!G35+'Telenor Forsikring'!G35+'Tryg Forsikring'!G35+'WaterCircles F'!G35+'Euro Accident'!G35+'Ly Forsikring'!G35+'Youplus Livsforsikring'!G35+'Oslo Forsikring'!G35+'Knif Trygghet Forsikring'!G35</f>
        <v>109697.74497</v>
      </c>
      <c r="G35" s="127">
        <f t="shared" si="6"/>
        <v>59.3</v>
      </c>
      <c r="H35" s="250">
        <f t="shared" si="9"/>
        <v>-80200.833590000009</v>
      </c>
      <c r="I35" s="183">
        <f t="shared" si="7"/>
        <v>117562.30776</v>
      </c>
      <c r="J35" s="21">
        <f t="shared" si="8"/>
        <v>-246.6</v>
      </c>
    </row>
    <row r="36" spans="1:10" s="35" customFormat="1" ht="15.75" customHeight="1" x14ac:dyDescent="0.2">
      <c r="A36" s="9" t="s">
        <v>185</v>
      </c>
      <c r="B36" s="183">
        <f>Fremtind!B36+'DNB Livsforsikring'!B36+'Frende Livsforsikring'!B36+'Frende Skadeforsikring'!B36+'Gjensidige Forsikring'!B36+'Gjensidige Pensjon'!B36+'If Skadeforsikring NUF'!B36+KLP!B36+'KLP Skadeforsikring AS'!B36+'Landkreditt Forsikring AS'!B36+'Nordea Liv '!B36+'Oslo Pensjonsforsikring'!B36+'Protector Forsikring'!B36+'Sparebank 1 Fors.'!B36+'Storebrand Livsforsikring'!B36+'Telenor Forsikring'!B36+'Tryg Forsikring'!B36+'WaterCircles F'!B36+'Euro Accident'!B36+'Ly Forsikring'!B36+'Youplus Livsforsikring'!B36+'Oslo Forsikring'!B36+'Knif Trygghet Forsikring'!B36</f>
        <v>607</v>
      </c>
      <c r="C36" s="183">
        <f>Fremtind!C36+'DNB Livsforsikring'!C36+'Frende Livsforsikring'!C36+'Frende Skadeforsikring'!C36+'Gjensidige Forsikring'!C36+'Gjensidige Pensjon'!C36+'If Skadeforsikring NUF'!C36+KLP!C36+'KLP Skadeforsikring AS'!C36+'Landkreditt Forsikring AS'!C36+'Nordea Liv '!C36+'Oslo Pensjonsforsikring'!C36+'Protector Forsikring'!C36+'Sparebank 1 Fors.'!C36+'Storebrand Livsforsikring'!C36+'Telenor Forsikring'!C36+'Tryg Forsikring'!C36+'WaterCircles F'!C36+'Euro Accident'!C36+'Ly Forsikring'!C36+'Youplus Livsforsikring'!C36+'Oslo Forsikring'!C36+'Knif Trygghet Forsikring'!C36</f>
        <v>437.42599999999999</v>
      </c>
      <c r="D36" s="8">
        <f t="shared" si="5"/>
        <v>-27.9</v>
      </c>
      <c r="E36" s="261"/>
      <c r="F36" s="261"/>
      <c r="G36" s="127"/>
      <c r="H36" s="250">
        <f t="shared" si="9"/>
        <v>607</v>
      </c>
      <c r="I36" s="183">
        <f t="shared" si="7"/>
        <v>437.42599999999999</v>
      </c>
      <c r="J36" s="8">
        <f t="shared" si="8"/>
        <v>-27.9</v>
      </c>
    </row>
    <row r="37" spans="1:10" s="35" customFormat="1" ht="15.75" customHeight="1" x14ac:dyDescent="0.2">
      <c r="A37" s="9" t="s">
        <v>186</v>
      </c>
      <c r="B37" s="183">
        <f>Fremtind!B37+'DNB Livsforsikring'!B37+'Frende Livsforsikring'!B37+'Frende Skadeforsikring'!B37+'Gjensidige Forsikring'!B37+'Gjensidige Pensjon'!B37+'If Skadeforsikring NUF'!B37+KLP!B37+'KLP Skadeforsikring AS'!B37+'Landkreditt Forsikring AS'!B37+'Nordea Liv '!B37+'Oslo Pensjonsforsikring'!B37+'Protector Forsikring'!B37+'Sparebank 1 Fors.'!B37+'Storebrand Livsforsikring'!B37+'Telenor Forsikring'!B37+'Tryg Forsikring'!B37+'WaterCircles F'!B37+'Euro Accident'!B37+'Ly Forsikring'!B37+'Youplus Livsforsikring'!B37+'Oslo Forsikring'!B37+'Knif Trygghet Forsikring'!B37</f>
        <v>2445944.2662300002</v>
      </c>
      <c r="C37" s="183">
        <f>Fremtind!C37+'DNB Livsforsikring'!C37+'Frende Livsforsikring'!C37+'Frende Skadeforsikring'!C37+'Gjensidige Forsikring'!C37+'Gjensidige Pensjon'!C37+'If Skadeforsikring NUF'!C37+KLP!C37+'KLP Skadeforsikring AS'!C37+'Landkreditt Forsikring AS'!C37+'Nordea Liv '!C37+'Oslo Pensjonsforsikring'!C37+'Protector Forsikring'!C37+'Sparebank 1 Fors.'!C37+'Storebrand Livsforsikring'!C37+'Telenor Forsikring'!C37+'Tryg Forsikring'!C37+'WaterCircles F'!C37+'Euro Accident'!C37+'Ly Forsikring'!C37+'Youplus Livsforsikring'!C37+'Oslo Forsikring'!C37+'Knif Trygghet Forsikring'!C37</f>
        <v>2282179.75560768</v>
      </c>
      <c r="D37" s="21">
        <f t="shared" si="5"/>
        <v>-6.7</v>
      </c>
      <c r="E37" s="266"/>
      <c r="F37" s="266"/>
      <c r="G37" s="127"/>
      <c r="H37" s="250">
        <f t="shared" si="9"/>
        <v>2445944.2662300002</v>
      </c>
      <c r="I37" s="183">
        <f t="shared" si="7"/>
        <v>2282179.75560768</v>
      </c>
      <c r="J37" s="21">
        <f t="shared" si="8"/>
        <v>-6.7</v>
      </c>
    </row>
    <row r="38" spans="1:10" s="35" customFormat="1" ht="15.75" customHeight="1" x14ac:dyDescent="0.2">
      <c r="A38" s="9" t="s">
        <v>187</v>
      </c>
      <c r="B38" s="183"/>
      <c r="C38" s="183"/>
      <c r="D38" s="21"/>
      <c r="E38" s="261"/>
      <c r="F38" s="261"/>
      <c r="G38" s="127"/>
      <c r="H38" s="250"/>
      <c r="I38" s="183"/>
      <c r="J38" s="21"/>
    </row>
    <row r="39" spans="1:10" s="35" customFormat="1" ht="15.75" customHeight="1" x14ac:dyDescent="0.2">
      <c r="A39" s="15" t="s">
        <v>188</v>
      </c>
      <c r="B39" s="223">
        <f>Fremtind!B39+'DNB Livsforsikring'!B39+'Frende Livsforsikring'!B39+'Frende Skadeforsikring'!B39+'Gjensidige Forsikring'!B39+'Gjensidige Pensjon'!B39+'If Skadeforsikring NUF'!B39+KLP!B39+'KLP Skadeforsikring AS'!B39+'Landkreditt Forsikring AS'!B39+'Nordea Liv '!B39+'Oslo Pensjonsforsikring'!B39+'Protector Forsikring'!B39+'Sparebank 1 Fors.'!B39+'Storebrand Livsforsikring'!B39+'Telenor Forsikring'!B39+'Tryg Forsikring'!B39+'WaterCircles F'!B39+'Euro Accident'!B39+'Ly Forsikring'!B39+'Youplus Livsforsikring'!B39+'Oslo Forsikring'!B39+'Knif Trygghet Forsikring'!B39</f>
        <v>1</v>
      </c>
      <c r="C39" s="223">
        <f>Fremtind!C39+'DNB Livsforsikring'!C39+'Frende Livsforsikring'!C39+'Frende Skadeforsikring'!C39+'Gjensidige Forsikring'!C39+'Gjensidige Pensjon'!C39+'If Skadeforsikring NUF'!C39+KLP!C39+'KLP Skadeforsikring AS'!C39+'Landkreditt Forsikring AS'!C39+'Nordea Liv '!C39+'Oslo Pensjonsforsikring'!C39+'Protector Forsikring'!C39+'Sparebank 1 Fors.'!C39+'Storebrand Livsforsikring'!C39+'Telenor Forsikring'!C39+'Tryg Forsikring'!C39+'WaterCircles F'!C39+'Euro Accident'!C39+'Ly Forsikring'!C39+'Youplus Livsforsikring'!C39+'Oslo Forsikring'!C39+'Knif Trygghet Forsikring'!C39</f>
        <v>0.47299999999999998</v>
      </c>
      <c r="D39" s="30">
        <f t="shared" si="5"/>
        <v>-52.7</v>
      </c>
      <c r="E39" s="267"/>
      <c r="F39" s="267"/>
      <c r="G39" s="125"/>
      <c r="H39" s="256">
        <f t="shared" si="9"/>
        <v>1</v>
      </c>
      <c r="I39" s="223">
        <f t="shared" si="7"/>
        <v>0.47299999999999998</v>
      </c>
      <c r="J39" s="30">
        <f t="shared" si="8"/>
        <v>-52.7</v>
      </c>
    </row>
    <row r="40" spans="1:10" ht="15.75" customHeight="1" x14ac:dyDescent="0.2">
      <c r="A40" s="35"/>
    </row>
    <row r="41" spans="1:10" ht="15.75" customHeight="1" x14ac:dyDescent="0.2">
      <c r="A41" s="115"/>
    </row>
    <row r="42" spans="1:10" ht="15.75" customHeight="1" x14ac:dyDescent="0.25">
      <c r="A42" s="110" t="s">
        <v>189</v>
      </c>
      <c r="B42" s="595"/>
      <c r="C42" s="595"/>
      <c r="D42" s="595"/>
      <c r="E42" s="595"/>
      <c r="F42" s="595"/>
      <c r="G42" s="595"/>
      <c r="H42" s="595"/>
      <c r="I42" s="595"/>
      <c r="J42" s="595"/>
    </row>
    <row r="43" spans="1:10" ht="15.75" customHeight="1" x14ac:dyDescent="0.25">
      <c r="A43" s="122"/>
      <c r="B43" s="241"/>
      <c r="C43" s="241"/>
      <c r="D43" s="241"/>
      <c r="E43" s="241"/>
      <c r="F43" s="241"/>
      <c r="G43" s="241"/>
      <c r="H43" s="241"/>
      <c r="I43" s="241"/>
      <c r="J43" s="241"/>
    </row>
    <row r="44" spans="1:10" ht="15.75" customHeight="1" x14ac:dyDescent="0.25">
      <c r="A44" s="196"/>
      <c r="B44" s="268" t="s">
        <v>46</v>
      </c>
      <c r="C44" s="269"/>
      <c r="D44" s="204"/>
      <c r="E44" s="34"/>
      <c r="F44" s="34"/>
      <c r="G44" s="32"/>
      <c r="H44" s="34"/>
      <c r="I44" s="34"/>
      <c r="J44" s="32"/>
    </row>
    <row r="45" spans="1:10" ht="15.75" customHeight="1" x14ac:dyDescent="0.2">
      <c r="A45" s="105"/>
      <c r="B45" s="201" t="s">
        <v>418</v>
      </c>
      <c r="C45" s="202" t="s">
        <v>419</v>
      </c>
      <c r="D45" s="199" t="s">
        <v>167</v>
      </c>
      <c r="E45" s="34"/>
      <c r="F45" s="34"/>
      <c r="G45" s="32"/>
      <c r="H45" s="34"/>
      <c r="I45" s="34"/>
      <c r="J45" s="32"/>
    </row>
    <row r="46" spans="1:10" ht="15.75" customHeight="1" x14ac:dyDescent="0.2">
      <c r="A46" s="557"/>
      <c r="B46" s="7"/>
      <c r="C46" s="203"/>
      <c r="D46" s="14" t="s">
        <v>168</v>
      </c>
      <c r="E46" s="32"/>
      <c r="F46" s="32"/>
      <c r="G46" s="32"/>
      <c r="H46" s="32"/>
      <c r="I46" s="32"/>
      <c r="J46" s="32"/>
    </row>
    <row r="47" spans="1:10" s="35" customFormat="1" ht="15.75" customHeight="1" x14ac:dyDescent="0.2">
      <c r="A47" s="11" t="s">
        <v>169</v>
      </c>
      <c r="B47" s="183">
        <f>Fremtind!B47+'DNB Livsforsikring'!B47+'Frende Livsforsikring'!B47+'Frende Skadeforsikring'!B47+'Gjensidige Forsikring'!B47+'Gjensidige Pensjon'!B47+'If Skadeforsikring NUF'!B47+KLP!B47+'KLP Skadeforsikring AS'!B47+'Landkreditt Forsikring AS'!B47+'Nordea Liv '!B47+'Oslo Pensjonsforsikring'!B47+'Protector Forsikring'!B47+'Sparebank 1 Fors.'!B47+'Storebrand Livsforsikring'!B47+'Telenor Forsikring'!B47+'Tryg Forsikring'!B47+'WaterCircles F'!B47+'Euro Accident'!B47+'Ly Forsikring'!B47+'Youplus Livsforsikring'!B47+'Oslo Forsikring'!B47+'Knif Trygghet Forsikring'!B47</f>
        <v>4431215.9310300006</v>
      </c>
      <c r="C47" s="183">
        <f>Fremtind!C47+'DNB Livsforsikring'!C47+'Frende Livsforsikring'!C47+'Frende Skadeforsikring'!C47+'Gjensidige Forsikring'!C47+'Gjensidige Pensjon'!C47+'If Skadeforsikring NUF'!C47+KLP!C47+'KLP Skadeforsikring AS'!C47+'Landkreditt Forsikring AS'!C47+'Nordea Liv '!C47+'Oslo Pensjonsforsikring'!C47+'Protector Forsikring'!C47+'Sparebank 1 Fors.'!C47+'Storebrand Livsforsikring'!C47+'Telenor Forsikring'!C47+'Tryg Forsikring'!C47+'WaterCircles F'!C47+'Euro Accident'!C47+'Ly Forsikring'!C47+'Youplus Livsforsikring'!C47+'Oslo Forsikring'!C47+'Knif Trygghet Forsikring'!C47</f>
        <v>5034421.2459500004</v>
      </c>
      <c r="D47" s="21">
        <f t="shared" ref="D47:D58" si="20">IF(B47=0, "    ---- ", IF(ABS(ROUND(100/B47*C47-100,1))&lt;999,ROUND(100/B47*C47-100,1),IF(ROUND(100/B47*C47-100,1)&gt;999,999,-999)))</f>
        <v>13.6</v>
      </c>
      <c r="E47" s="336"/>
      <c r="F47" s="337"/>
      <c r="G47" s="26"/>
      <c r="H47" s="338"/>
      <c r="I47" s="338"/>
      <c r="J47" s="26"/>
    </row>
    <row r="48" spans="1:10" ht="15.75" customHeight="1" x14ac:dyDescent="0.2">
      <c r="A48" s="18" t="s">
        <v>190</v>
      </c>
      <c r="B48" s="36">
        <f>Fremtind!B48+'DNB Livsforsikring'!B48+'Frende Livsforsikring'!B48+'Frende Skadeforsikring'!B48+'Gjensidige Forsikring'!B48+'Gjensidige Pensjon'!B48+'If Skadeforsikring NUF'!B48+KLP!B48+'KLP Skadeforsikring AS'!B48+'Landkreditt Forsikring AS'!B48+'Nordea Liv '!B48+'Oslo Pensjonsforsikring'!B48+'Protector Forsikring'!B48+'Sparebank 1 Fors.'!B48+'Storebrand Livsforsikring'!B48+'Telenor Forsikring'!B48+'Tryg Forsikring'!B48+'WaterCircles F'!B48+'Euro Accident'!B48+'Ly Forsikring'!B48+'Youplus Livsforsikring'!B48+'Oslo Forsikring'!B48+'Knif Trygghet Forsikring'!B48</f>
        <v>2405619.74633</v>
      </c>
      <c r="C48" s="36">
        <f>Fremtind!C48+'DNB Livsforsikring'!C48+'Frende Livsforsikring'!C48+'Frende Skadeforsikring'!C48+'Gjensidige Forsikring'!C48+'Gjensidige Pensjon'!C48+'If Skadeforsikring NUF'!C48+KLP!C48+'KLP Skadeforsikring AS'!C48+'Landkreditt Forsikring AS'!C48+'Nordea Liv '!C48+'Oslo Pensjonsforsikring'!C48+'Protector Forsikring'!C48+'Sparebank 1 Fors.'!C48+'Storebrand Livsforsikring'!C48+'Telenor Forsikring'!C48+'Tryg Forsikring'!C48+'WaterCircles F'!C48+'Euro Accident'!C48+'Ly Forsikring'!C48+'Youplus Livsforsikring'!C48+'Oslo Forsikring'!C48+'Knif Trygghet Forsikring'!C48</f>
        <v>2486233.5774900001</v>
      </c>
      <c r="D48" s="21">
        <f t="shared" si="20"/>
        <v>3.4</v>
      </c>
      <c r="E48" s="29"/>
      <c r="F48" s="3"/>
      <c r="G48" s="28"/>
      <c r="H48" s="27"/>
      <c r="I48" s="27"/>
      <c r="J48" s="26"/>
    </row>
    <row r="49" spans="1:10" ht="15.75" customHeight="1" x14ac:dyDescent="0.2">
      <c r="A49" s="18" t="s">
        <v>191</v>
      </c>
      <c r="B49" s="143">
        <f>Fremtind!B49+'DNB Livsforsikring'!B49+'Frende Livsforsikring'!B49+'Frende Skadeforsikring'!B49+'Gjensidige Forsikring'!B49+'Gjensidige Pensjon'!B49+'If Skadeforsikring NUF'!B49+KLP!B49+'KLP Skadeforsikring AS'!B49+'Landkreditt Forsikring AS'!B49+'Nordea Liv '!B49+'Oslo Pensjonsforsikring'!B49+'Protector Forsikring'!B49+'Sparebank 1 Fors.'!B49+'Storebrand Livsforsikring'!B49+'Telenor Forsikring'!B49+'Tryg Forsikring'!B49+'WaterCircles F'!B49+'Euro Accident'!B49+'Ly Forsikring'!B49+'Youplus Livsforsikring'!B49+'Oslo Forsikring'!B49+'Knif Trygghet Forsikring'!B49</f>
        <v>2025596.1847000001</v>
      </c>
      <c r="C49" s="143">
        <f>Fremtind!C49+'DNB Livsforsikring'!C49+'Frende Livsforsikring'!C49+'Frende Skadeforsikring'!C49+'Gjensidige Forsikring'!C49+'Gjensidige Pensjon'!C49+'If Skadeforsikring NUF'!C49+KLP!C49+'KLP Skadeforsikring AS'!C49+'Landkreditt Forsikring AS'!C49+'Nordea Liv '!C49+'Oslo Pensjonsforsikring'!C49+'Protector Forsikring'!C49+'Sparebank 1 Fors.'!C49+'Storebrand Livsforsikring'!C49+'Telenor Forsikring'!C49+'Tryg Forsikring'!C49+'WaterCircles F'!C49+'Euro Accident'!C49+'Ly Forsikring'!C49+'Youplus Livsforsikring'!C49+'Oslo Forsikring'!C49+'Knif Trygghet Forsikring'!C49</f>
        <v>2548187.6684600003</v>
      </c>
      <c r="D49" s="21">
        <f t="shared" si="20"/>
        <v>25.8</v>
      </c>
      <c r="E49" s="29"/>
      <c r="F49" s="3"/>
      <c r="G49" s="28"/>
      <c r="H49" s="31"/>
      <c r="I49" s="31"/>
      <c r="J49" s="26"/>
    </row>
    <row r="50" spans="1:10" ht="15.75" customHeight="1" x14ac:dyDescent="0.2">
      <c r="A50" s="240" t="s">
        <v>192</v>
      </c>
      <c r="B50" s="261"/>
      <c r="C50" s="261"/>
      <c r="D50" s="23"/>
      <c r="E50" s="29"/>
      <c r="F50" s="3"/>
      <c r="G50" s="28"/>
      <c r="H50" s="27"/>
      <c r="I50" s="27"/>
      <c r="J50" s="26"/>
    </row>
    <row r="51" spans="1:10" ht="15.75" customHeight="1" x14ac:dyDescent="0.2">
      <c r="A51" s="240" t="s">
        <v>193</v>
      </c>
      <c r="B51" s="261"/>
      <c r="C51" s="261"/>
      <c r="D51" s="23"/>
      <c r="E51" s="29"/>
      <c r="F51" s="3"/>
      <c r="G51" s="28"/>
      <c r="H51" s="27"/>
      <c r="I51" s="27"/>
      <c r="J51" s="26"/>
    </row>
    <row r="52" spans="1:10" ht="15.75" customHeight="1" x14ac:dyDescent="0.2">
      <c r="A52" s="240" t="s">
        <v>194</v>
      </c>
      <c r="B52" s="261"/>
      <c r="C52" s="261"/>
      <c r="D52" s="23"/>
      <c r="E52" s="29"/>
      <c r="F52" s="3"/>
      <c r="G52" s="28"/>
      <c r="H52" s="27"/>
      <c r="I52" s="27"/>
      <c r="J52" s="26"/>
    </row>
    <row r="53" spans="1:10" s="35" customFormat="1" ht="15.75" customHeight="1" x14ac:dyDescent="0.2">
      <c r="A53" s="10" t="s">
        <v>195</v>
      </c>
      <c r="B53" s="183">
        <f>Fremtind!B53+'DNB Livsforsikring'!B53+'Frende Livsforsikring'!B53+'Frende Skadeforsikring'!B53+'Gjensidige Forsikring'!B53+'Gjensidige Pensjon'!B53+'If Skadeforsikring NUF'!B53+KLP!B53+'KLP Skadeforsikring AS'!B53+'Landkreditt Forsikring AS'!B53+'Nordea Liv '!B53+'Oslo Pensjonsforsikring'!B53+'Protector Forsikring'!B53+'Sparebank 1 Fors.'!B53+'Storebrand Livsforsikring'!B53+'Telenor Forsikring'!B53+'Tryg Forsikring'!B53+'WaterCircles F'!B53+'Euro Accident'!B53+'Ly Forsikring'!B53+'Youplus Livsforsikring'!B53+'Oslo Forsikring'!B53+'Knif Trygghet Forsikring'!B53</f>
        <v>182062.962</v>
      </c>
      <c r="C53" s="183">
        <f>Fremtind!C53+'DNB Livsforsikring'!C53+'Frende Livsforsikring'!C53+'Frende Skadeforsikring'!C53+'Gjensidige Forsikring'!C53+'Gjensidige Pensjon'!C53+'If Skadeforsikring NUF'!C53+KLP!C53+'KLP Skadeforsikring AS'!C53+'Landkreditt Forsikring AS'!C53+'Nordea Liv '!C53+'Oslo Pensjonsforsikring'!C53+'Protector Forsikring'!C53+'Sparebank 1 Fors.'!C53+'Storebrand Livsforsikring'!C53+'Telenor Forsikring'!C53+'Tryg Forsikring'!C53+'WaterCircles F'!C53+'Euro Accident'!C53+'Ly Forsikring'!C53+'Youplus Livsforsikring'!C53+'Oslo Forsikring'!C53+'Knif Trygghet Forsikring'!C53</f>
        <v>118391.601</v>
      </c>
      <c r="D53" s="21">
        <f t="shared" si="20"/>
        <v>-35</v>
      </c>
      <c r="E53" s="336"/>
      <c r="F53" s="337"/>
      <c r="G53" s="26"/>
      <c r="H53" s="130"/>
      <c r="I53" s="130"/>
      <c r="J53" s="26"/>
    </row>
    <row r="54" spans="1:10" ht="15.75" customHeight="1" x14ac:dyDescent="0.2">
      <c r="A54" s="18" t="s">
        <v>190</v>
      </c>
      <c r="B54" s="36">
        <f>Fremtind!B54+'DNB Livsforsikring'!B54+'Frende Livsforsikring'!B54+'Frende Skadeforsikring'!B54+'Gjensidige Forsikring'!B54+'Gjensidige Pensjon'!B54+'If Skadeforsikring NUF'!B54+KLP!B54+'KLP Skadeforsikring AS'!B54+'Landkreditt Forsikring AS'!B54+'Nordea Liv '!B54+'Oslo Pensjonsforsikring'!B54+'Protector Forsikring'!B54+'Sparebank 1 Fors.'!B54+'Storebrand Livsforsikring'!B54+'Telenor Forsikring'!B54+'Tryg Forsikring'!B54+'WaterCircles F'!B54+'Euro Accident'!B54+'Ly Forsikring'!B54+'Youplus Livsforsikring'!B54+'Oslo Forsikring'!B54+'Knif Trygghet Forsikring'!B54</f>
        <v>175907.897</v>
      </c>
      <c r="C54" s="36">
        <f>Fremtind!C54+'DNB Livsforsikring'!C54+'Frende Livsforsikring'!C54+'Frende Skadeforsikring'!C54+'Gjensidige Forsikring'!C54+'Gjensidige Pensjon'!C54+'If Skadeforsikring NUF'!C54+KLP!C54+'KLP Skadeforsikring AS'!C54+'Landkreditt Forsikring AS'!C54+'Nordea Liv '!C54+'Oslo Pensjonsforsikring'!C54+'Protector Forsikring'!C54+'Sparebank 1 Fors.'!C54+'Storebrand Livsforsikring'!C54+'Telenor Forsikring'!C54+'Tryg Forsikring'!C54+'WaterCircles F'!C54+'Euro Accident'!C54+'Ly Forsikring'!C54+'Youplus Livsforsikring'!C54+'Oslo Forsikring'!C54+'Knif Trygghet Forsikring'!C54</f>
        <v>118150.826</v>
      </c>
      <c r="D54" s="21">
        <f t="shared" si="20"/>
        <v>-32.799999999999997</v>
      </c>
      <c r="E54" s="29"/>
      <c r="F54" s="3"/>
      <c r="G54" s="28"/>
      <c r="H54" s="27"/>
      <c r="I54" s="27"/>
      <c r="J54" s="26"/>
    </row>
    <row r="55" spans="1:10" ht="15.75" customHeight="1" x14ac:dyDescent="0.2">
      <c r="A55" s="18" t="s">
        <v>191</v>
      </c>
      <c r="B55" s="36">
        <f>Fremtind!B55+'DNB Livsforsikring'!B55+'Frende Livsforsikring'!B55+'Frende Skadeforsikring'!B55+'Gjensidige Forsikring'!B55+'Gjensidige Pensjon'!B55+'If Skadeforsikring NUF'!B55+KLP!B55+'KLP Skadeforsikring AS'!B55+'Landkreditt Forsikring AS'!B55+'Nordea Liv '!B55+'Oslo Pensjonsforsikring'!B55+'Protector Forsikring'!B55+'Sparebank 1 Fors.'!B55+'Storebrand Livsforsikring'!B55+'Telenor Forsikring'!B55+'Tryg Forsikring'!B55+'WaterCircles F'!B55+'Euro Accident'!B55+'Ly Forsikring'!B55+'Youplus Livsforsikring'!B55+'Oslo Forsikring'!B55+'Knif Trygghet Forsikring'!B55</f>
        <v>6155.0649999999996</v>
      </c>
      <c r="C55" s="36">
        <f>Fremtind!C55+'DNB Livsforsikring'!C55+'Frende Livsforsikring'!C55+'Frende Skadeforsikring'!C55+'Gjensidige Forsikring'!C55+'Gjensidige Pensjon'!C55+'If Skadeforsikring NUF'!C55+KLP!C55+'KLP Skadeforsikring AS'!C55+'Landkreditt Forsikring AS'!C55+'Nordea Liv '!C55+'Oslo Pensjonsforsikring'!C55+'Protector Forsikring'!C55+'Sparebank 1 Fors.'!C55+'Storebrand Livsforsikring'!C55+'Telenor Forsikring'!C55+'Tryg Forsikring'!C55+'WaterCircles F'!C55+'Euro Accident'!C55+'Ly Forsikring'!C55+'Youplus Livsforsikring'!C55+'Oslo Forsikring'!C55+'Knif Trygghet Forsikring'!C55</f>
        <v>240.77500000000001</v>
      </c>
      <c r="D55" s="21">
        <f t="shared" si="20"/>
        <v>-96.1</v>
      </c>
      <c r="E55" s="29"/>
      <c r="F55" s="3"/>
      <c r="G55" s="28"/>
      <c r="H55" s="27"/>
      <c r="I55" s="27"/>
      <c r="J55" s="26"/>
    </row>
    <row r="56" spans="1:10" s="35" customFormat="1" ht="15.75" customHeight="1" x14ac:dyDescent="0.2">
      <c r="A56" s="10" t="s">
        <v>196</v>
      </c>
      <c r="B56" s="183">
        <f>Fremtind!B56+'DNB Livsforsikring'!B56+'Frende Livsforsikring'!B56+'Frende Skadeforsikring'!B56+'Gjensidige Forsikring'!B56+'Gjensidige Pensjon'!B56+'If Skadeforsikring NUF'!B56+KLP!B56+'KLP Skadeforsikring AS'!B56+'Landkreditt Forsikring AS'!B56+'Nordea Liv '!B56+'Oslo Pensjonsforsikring'!B56+'Protector Forsikring'!B56+'Sparebank 1 Fors.'!B56+'Storebrand Livsforsikring'!B56+'Telenor Forsikring'!B56+'Tryg Forsikring'!B56+'WaterCircles F'!B56+'Euro Accident'!B56+'Ly Forsikring'!B56+'Youplus Livsforsikring'!B56+'Oslo Forsikring'!B56+'Knif Trygghet Forsikring'!B56</f>
        <v>103338.186</v>
      </c>
      <c r="C56" s="183">
        <f>Fremtind!C56+'DNB Livsforsikring'!C56+'Frende Livsforsikring'!C56+'Frende Skadeforsikring'!C56+'Gjensidige Forsikring'!C56+'Gjensidige Pensjon'!C56+'If Skadeforsikring NUF'!C56+KLP!C56+'KLP Skadeforsikring AS'!C56+'Landkreditt Forsikring AS'!C56+'Nordea Liv '!C56+'Oslo Pensjonsforsikring'!C56+'Protector Forsikring'!C56+'Sparebank 1 Fors.'!C56+'Storebrand Livsforsikring'!C56+'Telenor Forsikring'!C56+'Tryg Forsikring'!C56+'WaterCircles F'!C56+'Euro Accident'!C56+'Ly Forsikring'!C56+'Youplus Livsforsikring'!C56+'Oslo Forsikring'!C56+'Knif Trygghet Forsikring'!C56</f>
        <v>110194.011</v>
      </c>
      <c r="D56" s="21">
        <f t="shared" si="20"/>
        <v>6.6</v>
      </c>
      <c r="E56" s="336"/>
      <c r="F56" s="337"/>
      <c r="G56" s="26"/>
      <c r="H56" s="130"/>
      <c r="I56" s="130"/>
      <c r="J56" s="26"/>
    </row>
    <row r="57" spans="1:10" ht="15.75" customHeight="1" x14ac:dyDescent="0.2">
      <c r="A57" s="18" t="s">
        <v>190</v>
      </c>
      <c r="B57" s="36">
        <f>Fremtind!B57+'DNB Livsforsikring'!B57+'Frende Livsforsikring'!B57+'Frende Skadeforsikring'!B57+'Gjensidige Forsikring'!B57+'Gjensidige Pensjon'!B57+'If Skadeforsikring NUF'!B57+KLP!B57+'KLP Skadeforsikring AS'!B57+'Landkreditt Forsikring AS'!B57+'Nordea Liv '!B57+'Oslo Pensjonsforsikring'!B57+'Protector Forsikring'!B57+'Sparebank 1 Fors.'!B57+'Storebrand Livsforsikring'!B57+'Telenor Forsikring'!B57+'Tryg Forsikring'!B57+'WaterCircles F'!B57+'Euro Accident'!B57+'Ly Forsikring'!B57+'Youplus Livsforsikring'!B57+'Oslo Forsikring'!B57+'Knif Trygghet Forsikring'!B57</f>
        <v>45411.186000000002</v>
      </c>
      <c r="C57" s="36">
        <f>Fremtind!C57+'DNB Livsforsikring'!C57+'Frende Livsforsikring'!C57+'Frende Skadeforsikring'!C57+'Gjensidige Forsikring'!C57+'Gjensidige Pensjon'!C57+'If Skadeforsikring NUF'!C57+KLP!C57+'KLP Skadeforsikring AS'!C57+'Landkreditt Forsikring AS'!C57+'Nordea Liv '!C57+'Oslo Pensjonsforsikring'!C57+'Protector Forsikring'!C57+'Sparebank 1 Fors.'!C57+'Storebrand Livsforsikring'!C57+'Telenor Forsikring'!C57+'Tryg Forsikring'!C57+'WaterCircles F'!C57+'Euro Accident'!C57+'Ly Forsikring'!C57+'Youplus Livsforsikring'!C57+'Oslo Forsikring'!C57+'Knif Trygghet Forsikring'!C57</f>
        <v>101608.011</v>
      </c>
      <c r="D57" s="21">
        <f t="shared" si="20"/>
        <v>123.8</v>
      </c>
      <c r="E57" s="29"/>
      <c r="F57" s="3"/>
      <c r="G57" s="28"/>
      <c r="H57" s="27"/>
      <c r="I57" s="27"/>
      <c r="J57" s="26"/>
    </row>
    <row r="58" spans="1:10" ht="15.75" customHeight="1" x14ac:dyDescent="0.2">
      <c r="A58" s="18" t="s">
        <v>191</v>
      </c>
      <c r="B58" s="37">
        <f>Fremtind!B58+'DNB Livsforsikring'!B58+'Frende Livsforsikring'!B58+'Frende Skadeforsikring'!B58+'Gjensidige Forsikring'!B58+'Gjensidige Pensjon'!B58+'If Skadeforsikring NUF'!B58+KLP!B58+'KLP Skadeforsikring AS'!B58+'Landkreditt Forsikring AS'!B58+'Nordea Liv '!B58+'Oslo Pensjonsforsikring'!B58+'Protector Forsikring'!B58+'Sparebank 1 Fors.'!B58+'Storebrand Livsforsikring'!B58+'Telenor Forsikring'!B58+'Tryg Forsikring'!B58+'WaterCircles F'!B58+'Euro Accident'!B58+'Ly Forsikring'!B58+'Youplus Livsforsikring'!B58+'Oslo Forsikring'!B58+'Knif Trygghet Forsikring'!B58</f>
        <v>57927</v>
      </c>
      <c r="C58" s="37">
        <f>Fremtind!C58+'DNB Livsforsikring'!C58+'Frende Livsforsikring'!C58+'Frende Skadeforsikring'!C58+'Gjensidige Forsikring'!C58+'Gjensidige Pensjon'!C58+'If Skadeforsikring NUF'!C58+KLP!C58+'KLP Skadeforsikring AS'!C58+'Landkreditt Forsikring AS'!C58+'Nordea Liv '!C58+'Oslo Pensjonsforsikring'!C58+'Protector Forsikring'!C58+'Sparebank 1 Fors.'!C58+'Storebrand Livsforsikring'!C58+'Telenor Forsikring'!C58+'Tryg Forsikring'!C58+'WaterCircles F'!C58+'Euro Accident'!C58+'Ly Forsikring'!C58+'Youplus Livsforsikring'!C58+'Oslo Forsikring'!C58+'Knif Trygghet Forsikring'!C58</f>
        <v>8586</v>
      </c>
      <c r="D58" s="30">
        <f t="shared" si="20"/>
        <v>-85.2</v>
      </c>
      <c r="E58" s="29"/>
      <c r="F58" s="3"/>
      <c r="G58" s="28"/>
      <c r="H58" s="27"/>
      <c r="I58" s="27"/>
      <c r="J58" s="26"/>
    </row>
    <row r="59" spans="1:10" ht="15.75" customHeight="1" x14ac:dyDescent="0.25">
      <c r="A59" s="115"/>
      <c r="B59" s="24"/>
      <c r="C59" s="24"/>
      <c r="D59" s="24"/>
      <c r="E59" s="24"/>
      <c r="F59" s="24"/>
      <c r="G59" s="24"/>
      <c r="H59" s="24"/>
      <c r="I59" s="24"/>
      <c r="J59" s="24"/>
    </row>
    <row r="60" spans="1:10" ht="15.75" customHeight="1" x14ac:dyDescent="0.2">
      <c r="A60" s="115"/>
    </row>
    <row r="61" spans="1:10" ht="15.75" customHeight="1" x14ac:dyDescent="0.25">
      <c r="A61" s="110" t="s">
        <v>197</v>
      </c>
      <c r="C61" s="22"/>
      <c r="D61" s="4"/>
      <c r="E61" s="22"/>
      <c r="F61" s="22"/>
      <c r="G61" s="4"/>
      <c r="H61" s="22"/>
      <c r="I61" s="22"/>
      <c r="J61" s="4"/>
    </row>
    <row r="62" spans="1:10" ht="20.100000000000001" customHeight="1" x14ac:dyDescent="0.25">
      <c r="A62" s="22"/>
      <c r="B62" s="595"/>
      <c r="C62" s="595"/>
      <c r="D62" s="595"/>
      <c r="E62" s="595"/>
      <c r="F62" s="595"/>
      <c r="G62" s="595"/>
      <c r="H62" s="595"/>
      <c r="I62" s="595"/>
      <c r="J62" s="595"/>
    </row>
    <row r="63" spans="1:10" ht="15.75" customHeight="1" x14ac:dyDescent="0.2">
      <c r="A63" s="108"/>
      <c r="B63" s="592" t="s">
        <v>46</v>
      </c>
      <c r="C63" s="593"/>
      <c r="D63" s="593"/>
      <c r="E63" s="592" t="s">
        <v>69</v>
      </c>
      <c r="F63" s="593"/>
      <c r="G63" s="594"/>
      <c r="H63" s="593" t="s">
        <v>120</v>
      </c>
      <c r="I63" s="593"/>
      <c r="J63" s="594"/>
    </row>
    <row r="64" spans="1:10" ht="15.75" customHeight="1" x14ac:dyDescent="0.2">
      <c r="A64" s="105"/>
      <c r="B64" s="200" t="s">
        <v>418</v>
      </c>
      <c r="C64" s="200" t="s">
        <v>419</v>
      </c>
      <c r="D64" s="16" t="s">
        <v>167</v>
      </c>
      <c r="E64" s="200" t="s">
        <v>418</v>
      </c>
      <c r="F64" s="200" t="s">
        <v>419</v>
      </c>
      <c r="G64" s="16" t="s">
        <v>167</v>
      </c>
      <c r="H64" s="200" t="s">
        <v>418</v>
      </c>
      <c r="I64" s="200" t="s">
        <v>419</v>
      </c>
      <c r="J64" s="16" t="s">
        <v>167</v>
      </c>
    </row>
    <row r="65" spans="1:10" ht="15.75" customHeight="1" x14ac:dyDescent="0.2">
      <c r="A65" s="557"/>
      <c r="B65" s="12"/>
      <c r="C65" s="12"/>
      <c r="D65" s="14" t="s">
        <v>168</v>
      </c>
      <c r="E65" s="13"/>
      <c r="F65" s="13"/>
      <c r="G65" s="12" t="s">
        <v>168</v>
      </c>
      <c r="H65" s="13"/>
      <c r="I65" s="13"/>
      <c r="J65" s="12" t="s">
        <v>168</v>
      </c>
    </row>
    <row r="66" spans="1:10" s="35" customFormat="1" ht="15.75" customHeight="1" x14ac:dyDescent="0.2">
      <c r="A66" s="11" t="s">
        <v>169</v>
      </c>
      <c r="B66" s="270">
        <f>Fremtind!B66+'DNB Livsforsikring'!B66+'Frende Livsforsikring'!B66+'Frende Skadeforsikring'!B66+'Gjensidige Forsikring'!B66+'Gjensidige Pensjon'!B66+'If Skadeforsikring NUF'!B66+KLP!B66+'KLP Skadeforsikring AS'!B66+'Landkreditt Forsikring AS'!B66+'Nordea Liv '!B66+'Oslo Pensjonsforsikring'!B66+'Protector Forsikring'!B66+'Sparebank 1 Fors.'!B66+'Storebrand Livsforsikring'!B66+'Telenor Forsikring'!B66+'Tryg Forsikring'!B66+'WaterCircles F'!B66+'Euro Accident'!B66+'Ly Forsikring'!B66+'Youplus Livsforsikring'!B66+'Oslo Forsikring'!B66+'Knif Trygghet Forsikring'!B66</f>
        <v>2945251.8256099997</v>
      </c>
      <c r="C66" s="270">
        <f>Fremtind!C66+'DNB Livsforsikring'!C66+'Frende Livsforsikring'!C66+'Frende Skadeforsikring'!C66+'Gjensidige Forsikring'!C66+'Gjensidige Pensjon'!C66+'If Skadeforsikring NUF'!C66+KLP!C66+'KLP Skadeforsikring AS'!C66+'Landkreditt Forsikring AS'!C66+'Nordea Liv '!C66+'Oslo Pensjonsforsikring'!C66+'Protector Forsikring'!C66+'Sparebank 1 Fors.'!C66+'Storebrand Livsforsikring'!C66+'Telenor Forsikring'!C66+'Tryg Forsikring'!C66+'WaterCircles F'!C66+'Euro Accident'!C66+'Ly Forsikring'!C66+'Youplus Livsforsikring'!C66+'Oslo Forsikring'!C66+'Knif Trygghet Forsikring'!C66</f>
        <v>3039821.6262999997</v>
      </c>
      <c r="D66" s="21">
        <f t="shared" ref="D66:D111" si="21">IF(B66=0, "    ---- ", IF(ABS(ROUND(100/B66*C66-100,1))&lt;999,ROUND(100/B66*C66-100,1),IF(ROUND(100/B66*C66-100,1)&gt;999,999,-999)))</f>
        <v>3.2</v>
      </c>
      <c r="E66" s="183">
        <f>Fremtind!F66+'DNB Livsforsikring'!F66+'Frende Livsforsikring'!F66+'Frende Skadeforsikring'!F66+'Gjensidige Forsikring'!F66+'Gjensidige Pensjon'!F66+'If Skadeforsikring NUF'!F66+KLP!F66+'KLP Skadeforsikring AS'!F66+'Landkreditt Forsikring AS'!F66+'Nordea Liv '!F66+'Oslo Pensjonsforsikring'!F66+'Protector Forsikring'!F66+'Sparebank 1 Fors.'!F66+'Storebrand Livsforsikring'!F66+'Telenor Forsikring'!F66+'Tryg Forsikring'!F66+'WaterCircles F'!F66+'Euro Accident'!F66+'Ly Forsikring'!F66+'Youplus Livsforsikring'!F66+'Oslo Forsikring'!F66+'Knif Trygghet Forsikring'!F66</f>
        <v>14574699.89064</v>
      </c>
      <c r="F66" s="183">
        <f>Fremtind!G66+'DNB Livsforsikring'!G66+'Frende Livsforsikring'!G66+'Frende Skadeforsikring'!G66+'Gjensidige Forsikring'!G66+'Gjensidige Pensjon'!G66+'If Skadeforsikring NUF'!G66+KLP!G66+'KLP Skadeforsikring AS'!G66+'Landkreditt Forsikring AS'!G66+'Nordea Liv '!G66+'Oslo Pensjonsforsikring'!G66+'Protector Forsikring'!G66+'Sparebank 1 Fors.'!G66+'Storebrand Livsforsikring'!G66+'Telenor Forsikring'!G66+'Tryg Forsikring'!G66+'WaterCircles F'!G66+'Euro Accident'!G66+'Ly Forsikring'!G66+'Youplus Livsforsikring'!G66+'Oslo Forsikring'!G66+'Knif Trygghet Forsikring'!G66</f>
        <v>15220599.516379999</v>
      </c>
      <c r="G66" s="127">
        <f t="shared" ref="G66:G125" si="22">IF(E66=0, "    ---- ", IF(ABS(ROUND(100/E66*F66-100,1))&lt;999,ROUND(100/E66*F66-100,1),IF(ROUND(100/E66*F66-100,1)&gt;999,999,-999)))</f>
        <v>4.4000000000000004</v>
      </c>
      <c r="H66" s="270">
        <f t="shared" ref="H66:H86" si="23">SUM(B66,E66)</f>
        <v>17519951.716249999</v>
      </c>
      <c r="I66" s="270">
        <f t="shared" ref="I66:I86" si="24">SUM(C66,F66)</f>
        <v>18260421.142679997</v>
      </c>
      <c r="J66" s="21">
        <f t="shared" ref="J66:J111" si="25">IF(H66=0, "    ---- ", IF(ABS(ROUND(100/H66*I66-100,1))&lt;999,ROUND(100/H66*I66-100,1),IF(ROUND(100/H66*I66-100,1)&gt;999,999,-999)))</f>
        <v>4.2</v>
      </c>
    </row>
    <row r="67" spans="1:10" ht="15.75" customHeight="1" x14ac:dyDescent="0.25">
      <c r="A67" s="18" t="s">
        <v>198</v>
      </c>
      <c r="B67" s="181">
        <f>Fremtind!B67+'DNB Livsforsikring'!B67+'Frende Livsforsikring'!B67+'Frende Skadeforsikring'!B67+'Gjensidige Forsikring'!B67+'Gjensidige Pensjon'!B67+'If Skadeforsikring NUF'!B67+KLP!B67+'KLP Skadeforsikring AS'!B67+'Landkreditt Forsikring AS'!B67+'Nordea Liv '!B67+'Oslo Pensjonsforsikring'!B67+'Protector Forsikring'!B67+'Sparebank 1 Fors.'!B67+'Storebrand Livsforsikring'!B67+'Telenor Forsikring'!B67+'Tryg Forsikring'!B67+'WaterCircles F'!B67+'Euro Accident'!B67+'Ly Forsikring'!B67+'Youplus Livsforsikring'!B67+'Oslo Forsikring'!B67+'Knif Trygghet Forsikring'!B67</f>
        <v>1830606.8049973622</v>
      </c>
      <c r="C67" s="181">
        <f>Fremtind!C67+'DNB Livsforsikring'!C67+'Frende Livsforsikring'!C67+'Frende Skadeforsikring'!C67+'Gjensidige Forsikring'!C67+'Gjensidige Pensjon'!C67+'If Skadeforsikring NUF'!C67+KLP!C67+'KLP Skadeforsikring AS'!C67+'Landkreditt Forsikring AS'!C67+'Nordea Liv '!C67+'Oslo Pensjonsforsikring'!C67+'Protector Forsikring'!C67+'Sparebank 1 Fors.'!C67+'Storebrand Livsforsikring'!C67+'Telenor Forsikring'!C67+'Tryg Forsikring'!C67+'WaterCircles F'!C67+'Euro Accident'!C67+'Ly Forsikring'!C67+'Youplus Livsforsikring'!C67+'Oslo Forsikring'!C67+'Knif Trygghet Forsikring'!C67</f>
        <v>1706246.0770745748</v>
      </c>
      <c r="D67" s="188">
        <f t="shared" si="21"/>
        <v>-6.8</v>
      </c>
      <c r="E67" s="36"/>
      <c r="F67" s="36"/>
      <c r="G67" s="123"/>
      <c r="H67" s="184">
        <f t="shared" si="23"/>
        <v>1830606.8049973622</v>
      </c>
      <c r="I67" s="184">
        <f t="shared" si="24"/>
        <v>1706246.0770745748</v>
      </c>
      <c r="J67" s="20">
        <f t="shared" si="25"/>
        <v>-6.8</v>
      </c>
    </row>
    <row r="68" spans="1:10" ht="15.75" customHeight="1" x14ac:dyDescent="0.25">
      <c r="A68" s="18" t="s">
        <v>199</v>
      </c>
      <c r="B68" s="181">
        <f>Fremtind!B68+'DNB Livsforsikring'!B68+'Frende Livsforsikring'!B68+'Frende Skadeforsikring'!B68+'Gjensidige Forsikring'!B68+'Gjensidige Pensjon'!B68+'If Skadeforsikring NUF'!B68+KLP!B68+'KLP Skadeforsikring AS'!B68+'Landkreditt Forsikring AS'!B68+'Nordea Liv '!B68+'Oslo Pensjonsforsikring'!B68+'Protector Forsikring'!B68+'Sparebank 1 Fors.'!B68+'Storebrand Livsforsikring'!B68+'Telenor Forsikring'!B68+'Tryg Forsikring'!B68+'WaterCircles F'!B68+'Euro Accident'!B68+'Ly Forsikring'!B68+'Youplus Livsforsikring'!B68+'Oslo Forsikring'!B68+'Knif Trygghet Forsikring'!B68</f>
        <v>8248.00252</v>
      </c>
      <c r="C68" s="181">
        <f>Fremtind!C68+'DNB Livsforsikring'!C68+'Frende Livsforsikring'!C68+'Frende Skadeforsikring'!C68+'Gjensidige Forsikring'!C68+'Gjensidige Pensjon'!C68+'If Skadeforsikring NUF'!C68+KLP!C68+'KLP Skadeforsikring AS'!C68+'Landkreditt Forsikring AS'!C68+'Nordea Liv '!C68+'Oslo Pensjonsforsikring'!C68+'Protector Forsikring'!C68+'Sparebank 1 Fors.'!C68+'Storebrand Livsforsikring'!C68+'Telenor Forsikring'!C68+'Tryg Forsikring'!C68+'WaterCircles F'!C68+'Euro Accident'!C68+'Ly Forsikring'!C68+'Youplus Livsforsikring'!C68+'Oslo Forsikring'!C68+'Knif Trygghet Forsikring'!C68</f>
        <v>4535.4735199999996</v>
      </c>
      <c r="D68" s="188">
        <f t="shared" si="21"/>
        <v>-45</v>
      </c>
      <c r="E68" s="36">
        <f>Fremtind!F68+'DNB Livsforsikring'!F68+'Frende Livsforsikring'!F68+'Frende Skadeforsikring'!F68+'Gjensidige Forsikring'!F68+'Gjensidige Pensjon'!F68+'If Skadeforsikring NUF'!F68+KLP!F68+'KLP Skadeforsikring AS'!F68+'Landkreditt Forsikring AS'!F68+'Nordea Liv '!F68+'Oslo Pensjonsforsikring'!F68+'Protector Forsikring'!F68+'Sparebank 1 Fors.'!F68+'Storebrand Livsforsikring'!F68+'Telenor Forsikring'!F68+'Tryg Forsikring'!F68+'WaterCircles F'!F68+'Euro Accident'!F68+'Ly Forsikring'!F68+'Youplus Livsforsikring'!F68+'Oslo Forsikring'!F68+'Knif Trygghet Forsikring'!F68</f>
        <v>14040757.27189</v>
      </c>
      <c r="F68" s="36">
        <f>Fremtind!G68+'DNB Livsforsikring'!G68+'Frende Livsforsikring'!G68+'Frende Skadeforsikring'!G68+'Gjensidige Forsikring'!G68+'Gjensidige Pensjon'!G68+'If Skadeforsikring NUF'!G68+KLP!G68+'KLP Skadeforsikring AS'!G68+'Landkreditt Forsikring AS'!G68+'Nordea Liv '!G68+'Oslo Pensjonsforsikring'!G68+'Protector Forsikring'!G68+'Sparebank 1 Fors.'!G68+'Storebrand Livsforsikring'!G68+'Telenor Forsikring'!G68+'Tryg Forsikring'!G68+'WaterCircles F'!G68+'Euro Accident'!G68+'Ly Forsikring'!G68+'Youplus Livsforsikring'!G68+'Oslo Forsikring'!G68+'Knif Trygghet Forsikring'!G68</f>
        <v>14665715.196029998</v>
      </c>
      <c r="G68" s="123">
        <f t="shared" si="22"/>
        <v>4.5</v>
      </c>
      <c r="H68" s="184">
        <f t="shared" si="23"/>
        <v>14049005.27441</v>
      </c>
      <c r="I68" s="184">
        <f t="shared" si="24"/>
        <v>14670250.669549998</v>
      </c>
      <c r="J68" s="20">
        <f t="shared" si="25"/>
        <v>4.4000000000000004</v>
      </c>
    </row>
    <row r="69" spans="1:10" ht="15.75" customHeight="1" x14ac:dyDescent="0.2">
      <c r="A69" s="240" t="s">
        <v>200</v>
      </c>
      <c r="B69" s="261"/>
      <c r="C69" s="261"/>
      <c r="D69" s="23"/>
      <c r="E69" s="261"/>
      <c r="F69" s="261"/>
      <c r="G69" s="123"/>
      <c r="H69" s="261"/>
      <c r="I69" s="261"/>
      <c r="J69" s="20"/>
    </row>
    <row r="70" spans="1:10" ht="15.75" customHeight="1" x14ac:dyDescent="0.2">
      <c r="A70" s="240" t="s">
        <v>201</v>
      </c>
      <c r="B70" s="261"/>
      <c r="C70" s="261"/>
      <c r="D70" s="23"/>
      <c r="E70" s="261"/>
      <c r="F70" s="261"/>
      <c r="G70" s="123"/>
      <c r="H70" s="261"/>
      <c r="I70" s="261"/>
      <c r="J70" s="20"/>
    </row>
    <row r="71" spans="1:10" ht="15.75" customHeight="1" x14ac:dyDescent="0.2">
      <c r="A71" s="240" t="s">
        <v>202</v>
      </c>
      <c r="B71" s="261"/>
      <c r="C71" s="261"/>
      <c r="D71" s="23"/>
      <c r="E71" s="261"/>
      <c r="F71" s="261"/>
      <c r="G71" s="123"/>
      <c r="H71" s="261"/>
      <c r="I71" s="261"/>
      <c r="J71" s="20"/>
    </row>
    <row r="72" spans="1:10" ht="15.75" customHeight="1" x14ac:dyDescent="0.2">
      <c r="A72" s="240" t="s">
        <v>203</v>
      </c>
      <c r="B72" s="261"/>
      <c r="C72" s="261"/>
      <c r="D72" s="23"/>
      <c r="E72" s="261"/>
      <c r="F72" s="261"/>
      <c r="G72" s="123"/>
      <c r="H72" s="261"/>
      <c r="I72" s="261"/>
      <c r="J72" s="21"/>
    </row>
    <row r="73" spans="1:10" ht="15.75" customHeight="1" x14ac:dyDescent="0.2">
      <c r="A73" s="240" t="s">
        <v>201</v>
      </c>
      <c r="B73" s="182"/>
      <c r="C73" s="182"/>
      <c r="D73" s="23"/>
      <c r="E73" s="261"/>
      <c r="F73" s="261"/>
      <c r="G73" s="123"/>
      <c r="H73" s="261"/>
      <c r="I73" s="261"/>
      <c r="J73" s="20"/>
    </row>
    <row r="74" spans="1:10" ht="15.75" customHeight="1" x14ac:dyDescent="0.2">
      <c r="A74" s="240" t="s">
        <v>202</v>
      </c>
      <c r="B74" s="182"/>
      <c r="C74" s="182"/>
      <c r="D74" s="23"/>
      <c r="E74" s="261"/>
      <c r="F74" s="261"/>
      <c r="G74" s="123"/>
      <c r="H74" s="261"/>
      <c r="I74" s="261"/>
      <c r="J74" s="20"/>
    </row>
    <row r="75" spans="1:10" ht="15.75" customHeight="1" x14ac:dyDescent="0.2">
      <c r="A75" s="18" t="s">
        <v>204</v>
      </c>
      <c r="B75" s="36">
        <f>Fremtind!B75+'DNB Livsforsikring'!B75+'Frende Livsforsikring'!B75+'Frende Skadeforsikring'!B75+'Gjensidige Forsikring'!B75+'Gjensidige Pensjon'!B75+'If Skadeforsikring NUF'!B75+KLP!B75+'KLP Skadeforsikring AS'!B75+'Landkreditt Forsikring AS'!B75+'Nordea Liv '!B75+'Oslo Pensjonsforsikring'!B75+'Protector Forsikring'!B75+'Sparebank 1 Fors.'!B75+'Storebrand Livsforsikring'!B75+'Telenor Forsikring'!B75+'Tryg Forsikring'!B75+'WaterCircles F'!B75+'Euro Accident'!B75+'Ly Forsikring'!B75+'Youplus Livsforsikring'!B75+'Oslo Forsikring'!B75+'Knif Trygghet Forsikring'!B75</f>
        <v>200046.06127999999</v>
      </c>
      <c r="C75" s="36">
        <f>Fremtind!C75+'DNB Livsforsikring'!C75+'Frende Livsforsikring'!C75+'Frende Skadeforsikring'!C75+'Gjensidige Forsikring'!C75+'Gjensidige Pensjon'!C75+'If Skadeforsikring NUF'!C75+KLP!C75+'KLP Skadeforsikring AS'!C75+'Landkreditt Forsikring AS'!C75+'Nordea Liv '!C75+'Oslo Pensjonsforsikring'!C75+'Protector Forsikring'!C75+'Sparebank 1 Fors.'!C75+'Storebrand Livsforsikring'!C75+'Telenor Forsikring'!C75+'Tryg Forsikring'!C75+'WaterCircles F'!C75+'Euro Accident'!C75+'Ly Forsikring'!C75+'Youplus Livsforsikring'!C75+'Oslo Forsikring'!C75+'Knif Trygghet Forsikring'!C75</f>
        <v>202288.74426000001</v>
      </c>
      <c r="D75" s="20">
        <f t="shared" si="21"/>
        <v>1.1000000000000001</v>
      </c>
      <c r="E75" s="36">
        <f>Fremtind!F75+'DNB Livsforsikring'!F75+'Frende Livsforsikring'!F75+'Frende Skadeforsikring'!F75+'Gjensidige Forsikring'!F75+'Gjensidige Pensjon'!F75+'If Skadeforsikring NUF'!F75+KLP!F75+'KLP Skadeforsikring AS'!F75+'Landkreditt Forsikring AS'!F75+'Nordea Liv '!F75+'Oslo Pensjonsforsikring'!F75+'Protector Forsikring'!F75+'Sparebank 1 Fors.'!F75+'Storebrand Livsforsikring'!F75+'Telenor Forsikring'!F75+'Tryg Forsikring'!F75+'WaterCircles F'!F75+'Euro Accident'!F75+'Ly Forsikring'!F75+'Youplus Livsforsikring'!F75+'Oslo Forsikring'!F75+'Knif Trygghet Forsikring'!F75</f>
        <v>533942.61875000002</v>
      </c>
      <c r="F75" s="36">
        <f>Fremtind!G75+'DNB Livsforsikring'!G75+'Frende Livsforsikring'!G75+'Frende Skadeforsikring'!G75+'Gjensidige Forsikring'!G75+'Gjensidige Pensjon'!G75+'If Skadeforsikring NUF'!G75+KLP!G75+'KLP Skadeforsikring AS'!G75+'Landkreditt Forsikring AS'!G75+'Nordea Liv '!G75+'Oslo Pensjonsforsikring'!G75+'Protector Forsikring'!G75+'Sparebank 1 Fors.'!G75+'Storebrand Livsforsikring'!G75+'Telenor Forsikring'!G75+'Tryg Forsikring'!G75+'WaterCircles F'!G75+'Euro Accident'!G75+'Ly Forsikring'!G75+'Youplus Livsforsikring'!G75+'Oslo Forsikring'!G75+'Knif Trygghet Forsikring'!G75</f>
        <v>554884.32034999994</v>
      </c>
      <c r="G75" s="123">
        <f t="shared" si="22"/>
        <v>3.9</v>
      </c>
      <c r="H75" s="184">
        <f t="shared" si="23"/>
        <v>733988.68003000005</v>
      </c>
      <c r="I75" s="184">
        <f t="shared" si="24"/>
        <v>757173.06461</v>
      </c>
      <c r="J75" s="20">
        <f t="shared" si="25"/>
        <v>3.2</v>
      </c>
    </row>
    <row r="76" spans="1:10" ht="15.75" customHeight="1" x14ac:dyDescent="0.2">
      <c r="A76" s="18" t="s">
        <v>410</v>
      </c>
      <c r="B76" s="36">
        <f>Fremtind!B76+'DNB Livsforsikring'!B76+'Frende Livsforsikring'!B76+'Frende Skadeforsikring'!B76+'Gjensidige Forsikring'!B76+'Gjensidige Pensjon'!B76+'If Skadeforsikring NUF'!B76+KLP!B76+'KLP Skadeforsikring AS'!B76+'Landkreditt Forsikring AS'!B76+'Nordea Liv '!B76+'Oslo Pensjonsforsikring'!B76+'Protector Forsikring'!B76+'Sparebank 1 Fors.'!B76+'Storebrand Livsforsikring'!B76+'Telenor Forsikring'!B76+'Tryg Forsikring'!B76+'WaterCircles F'!B76+'Euro Accident'!B76+'Ly Forsikring'!B76+'Youplus Livsforsikring'!B76+'Oslo Forsikring'!B76+'Knif Trygghet Forsikring'!B76</f>
        <v>906350.95681263809</v>
      </c>
      <c r="C76" s="36">
        <f>Fremtind!C76+'DNB Livsforsikring'!C76+'Frende Livsforsikring'!C76+'Frende Skadeforsikring'!C76+'Gjensidige Forsikring'!C76+'Gjensidige Pensjon'!C76+'If Skadeforsikring NUF'!C76+KLP!C76+'KLP Skadeforsikring AS'!C76+'Landkreditt Forsikring AS'!C76+'Nordea Liv '!C76+'Oslo Pensjonsforsikring'!C76+'Protector Forsikring'!C76+'Sparebank 1 Fors.'!C76+'Storebrand Livsforsikring'!C76+'Telenor Forsikring'!C76+'Tryg Forsikring'!C76+'WaterCircles F'!C76+'Euro Accident'!C76+'Ly Forsikring'!C76+'Youplus Livsforsikring'!C76+'Oslo Forsikring'!C76+'Knif Trygghet Forsikring'!C76</f>
        <v>1126751.3314454248</v>
      </c>
      <c r="D76" s="20">
        <f t="shared" ref="D76" si="26">IF(B76=0, "    ---- ", IF(ABS(ROUND(100/B76*C76-100,1))&lt;999,ROUND(100/B76*C76-100,1),IF(ROUND(100/B76*C76-100,1)&gt;999,999,-999)))</f>
        <v>24.3</v>
      </c>
      <c r="E76" s="36"/>
      <c r="F76" s="36"/>
      <c r="G76" s="123"/>
      <c r="H76" s="184">
        <f t="shared" ref="H76" si="27">SUM(B76,E76)</f>
        <v>906350.95681263809</v>
      </c>
      <c r="I76" s="184">
        <f t="shared" ref="I76" si="28">SUM(C76,F76)</f>
        <v>1126751.3314454248</v>
      </c>
      <c r="J76" s="20">
        <f t="shared" ref="J76" si="29">IF(H76=0, "    ---- ", IF(ABS(ROUND(100/H76*I76-100,1))&lt;999,ROUND(100/H76*I76-100,1),IF(ROUND(100/H76*I76-100,1)&gt;999,999,-999)))</f>
        <v>24.3</v>
      </c>
    </row>
    <row r="77" spans="1:10" ht="15.75" customHeight="1" x14ac:dyDescent="0.2">
      <c r="A77" s="18" t="s">
        <v>206</v>
      </c>
      <c r="B77" s="36">
        <f>Fremtind!B77+'DNB Livsforsikring'!B77+'Frende Livsforsikring'!B77+'Frende Skadeforsikring'!B77+'Gjensidige Forsikring'!B77+'Gjensidige Pensjon'!B77+'If Skadeforsikring NUF'!B77+KLP!B77+'KLP Skadeforsikring AS'!B77+'Landkreditt Forsikring AS'!B77+'Nordea Liv '!B77+'Oslo Pensjonsforsikring'!B77+'Protector Forsikring'!B77+'Sparebank 1 Fors.'!B77+'Storebrand Livsforsikring'!B77+'Telenor Forsikring'!B77+'Tryg Forsikring'!B77+'WaterCircles F'!B77+'Euro Accident'!B77+'Ly Forsikring'!B77+'Youplus Livsforsikring'!B77+'Oslo Forsikring'!B77+'Knif Trygghet Forsikring'!B77</f>
        <v>1764702.1615173619</v>
      </c>
      <c r="C77" s="36">
        <f>Fremtind!C77+'DNB Livsforsikring'!C77+'Frende Livsforsikring'!C77+'Frende Skadeforsikring'!C77+'Gjensidige Forsikring'!C77+'Gjensidige Pensjon'!C77+'If Skadeforsikring NUF'!C77+KLP!C77+'KLP Skadeforsikring AS'!C77+'Landkreditt Forsikring AS'!C77+'Nordea Liv '!C77+'Oslo Pensjonsforsikring'!C77+'Protector Forsikring'!C77+'Sparebank 1 Fors.'!C77+'Storebrand Livsforsikring'!C77+'Telenor Forsikring'!C77+'Tryg Forsikring'!C77+'WaterCircles F'!C77+'Euro Accident'!C77+'Ly Forsikring'!C77+'Youplus Livsforsikring'!C77+'Oslo Forsikring'!C77+'Knif Trygghet Forsikring'!C77</f>
        <v>1635663.9006345749</v>
      </c>
      <c r="D77" s="20">
        <f t="shared" si="21"/>
        <v>-7.3</v>
      </c>
      <c r="E77" s="36">
        <f>Fremtind!F77+'DNB Livsforsikring'!F77+'Frende Livsforsikring'!F77+'Frende Skadeforsikring'!F77+'Gjensidige Forsikring'!F77+'Gjensidige Pensjon'!F77+'If Skadeforsikring NUF'!F77+KLP!F77+'KLP Skadeforsikring AS'!F77+'Landkreditt Forsikring AS'!F77+'Nordea Liv '!F77+'Oslo Pensjonsforsikring'!F77+'Protector Forsikring'!F77+'Sparebank 1 Fors.'!F77+'Storebrand Livsforsikring'!F77+'Telenor Forsikring'!F77+'Tryg Forsikring'!F77+'WaterCircles F'!F77+'Euro Accident'!F77+'Ly Forsikring'!F77+'Youplus Livsforsikring'!F77+'Oslo Forsikring'!F77+'Knif Trygghet Forsikring'!F77</f>
        <v>14037162.651890002</v>
      </c>
      <c r="F77" s="36">
        <f>Fremtind!G77+'DNB Livsforsikring'!G77+'Frende Livsforsikring'!G77+'Frende Skadeforsikring'!G77+'Gjensidige Forsikring'!G77+'Gjensidige Pensjon'!G77+'If Skadeforsikring NUF'!G77+KLP!G77+'KLP Skadeforsikring AS'!G77+'Landkreditt Forsikring AS'!G77+'Nordea Liv '!G77+'Oslo Pensjonsforsikring'!G77+'Protector Forsikring'!G77+'Sparebank 1 Fors.'!G77+'Storebrand Livsforsikring'!G77+'Telenor Forsikring'!G77+'Tryg Forsikring'!G77+'WaterCircles F'!G77+'Euro Accident'!G77+'Ly Forsikring'!G77+'Youplus Livsforsikring'!G77+'Oslo Forsikring'!G77+'Knif Trygghet Forsikring'!G77</f>
        <v>14661194.552030001</v>
      </c>
      <c r="G77" s="123">
        <f t="shared" si="22"/>
        <v>4.4000000000000004</v>
      </c>
      <c r="H77" s="184">
        <f t="shared" si="23"/>
        <v>15801864.813407363</v>
      </c>
      <c r="I77" s="184">
        <f t="shared" si="24"/>
        <v>16296858.452664576</v>
      </c>
      <c r="J77" s="20">
        <f t="shared" si="25"/>
        <v>3.1</v>
      </c>
    </row>
    <row r="78" spans="1:10" ht="15.75" customHeight="1" x14ac:dyDescent="0.2">
      <c r="A78" s="18" t="s">
        <v>198</v>
      </c>
      <c r="B78" s="36">
        <f>Fremtind!B78+'DNB Livsforsikring'!B78+'Frende Livsforsikring'!B78+'Frende Skadeforsikring'!B78+'Gjensidige Forsikring'!B78+'Gjensidige Pensjon'!B78+'If Skadeforsikring NUF'!B78+KLP!B78+'KLP Skadeforsikring AS'!B78+'Landkreditt Forsikring AS'!B78+'Nordea Liv '!B78+'Oslo Pensjonsforsikring'!B78+'Protector Forsikring'!B78+'Sparebank 1 Fors.'!B78+'Storebrand Livsforsikring'!B78+'Telenor Forsikring'!B78+'Tryg Forsikring'!B78+'WaterCircles F'!B78+'Euro Accident'!B78+'Ly Forsikring'!B78+'Youplus Livsforsikring'!B78+'Oslo Forsikring'!B78+'Knif Trygghet Forsikring'!B78</f>
        <v>1756454.1589973618</v>
      </c>
      <c r="C78" s="36">
        <f>Fremtind!C78+'DNB Livsforsikring'!C78+'Frende Livsforsikring'!C78+'Frende Skadeforsikring'!C78+'Gjensidige Forsikring'!C78+'Gjensidige Pensjon'!C78+'If Skadeforsikring NUF'!C78+KLP!C78+'KLP Skadeforsikring AS'!C78+'Landkreditt Forsikring AS'!C78+'Nordea Liv '!C78+'Oslo Pensjonsforsikring'!C78+'Protector Forsikring'!C78+'Sparebank 1 Fors.'!C78+'Storebrand Livsforsikring'!C78+'Telenor Forsikring'!C78+'Tryg Forsikring'!C78+'WaterCircles F'!C78+'Euro Accident'!C78+'Ly Forsikring'!C78+'Youplus Livsforsikring'!C78+'Oslo Forsikring'!C78+'Knif Trygghet Forsikring'!C78</f>
        <v>1631128.4271145749</v>
      </c>
      <c r="D78" s="20">
        <f t="shared" si="21"/>
        <v>-7.1</v>
      </c>
      <c r="E78" s="36"/>
      <c r="F78" s="36"/>
      <c r="G78" s="123"/>
      <c r="H78" s="184">
        <f t="shared" si="23"/>
        <v>1756454.1589973618</v>
      </c>
      <c r="I78" s="184">
        <f t="shared" si="24"/>
        <v>1631128.4271145749</v>
      </c>
      <c r="J78" s="20">
        <f t="shared" si="25"/>
        <v>-7.1</v>
      </c>
    </row>
    <row r="79" spans="1:10" ht="15.75" customHeight="1" x14ac:dyDescent="0.2">
      <c r="A79" s="18" t="s">
        <v>207</v>
      </c>
      <c r="B79" s="36">
        <f>Fremtind!B79+'DNB Livsforsikring'!B79+'Frende Livsforsikring'!B79+'Frende Skadeforsikring'!B79+'Gjensidige Forsikring'!B79+'Gjensidige Pensjon'!B79+'If Skadeforsikring NUF'!B79+KLP!B79+'KLP Skadeforsikring AS'!B79+'Landkreditt Forsikring AS'!B79+'Nordea Liv '!B79+'Oslo Pensjonsforsikring'!B79+'Protector Forsikring'!B79+'Sparebank 1 Fors.'!B79+'Storebrand Livsforsikring'!B79+'Telenor Forsikring'!B79+'Tryg Forsikring'!B79+'WaterCircles F'!B79+'Euro Accident'!B79+'Ly Forsikring'!B79+'Youplus Livsforsikring'!B79+'Oslo Forsikring'!B79+'Knif Trygghet Forsikring'!B79</f>
        <v>8248.00252</v>
      </c>
      <c r="C79" s="36">
        <f>Fremtind!C79+'DNB Livsforsikring'!C79+'Frende Livsforsikring'!C79+'Frende Skadeforsikring'!C79+'Gjensidige Forsikring'!C79+'Gjensidige Pensjon'!C79+'If Skadeforsikring NUF'!C79+KLP!C79+'KLP Skadeforsikring AS'!C79+'Landkreditt Forsikring AS'!C79+'Nordea Liv '!C79+'Oslo Pensjonsforsikring'!C79+'Protector Forsikring'!C79+'Sparebank 1 Fors.'!C79+'Storebrand Livsforsikring'!C79+'Telenor Forsikring'!C79+'Tryg Forsikring'!C79+'WaterCircles F'!C79+'Euro Accident'!C79+'Ly Forsikring'!C79+'Youplus Livsforsikring'!C79+'Oslo Forsikring'!C79+'Knif Trygghet Forsikring'!C79</f>
        <v>4535.4735199999996</v>
      </c>
      <c r="D79" s="20">
        <f t="shared" si="21"/>
        <v>-45</v>
      </c>
      <c r="E79" s="36">
        <f>Fremtind!F79+'DNB Livsforsikring'!F79+'Frende Livsforsikring'!F79+'Frende Skadeforsikring'!F79+'Gjensidige Forsikring'!F79+'Gjensidige Pensjon'!F79+'If Skadeforsikring NUF'!F79+KLP!F79+'KLP Skadeforsikring AS'!F79+'Landkreditt Forsikring AS'!F79+'Nordea Liv '!F79+'Oslo Pensjonsforsikring'!F79+'Protector Forsikring'!F79+'Sparebank 1 Fors.'!F79+'Storebrand Livsforsikring'!F79+'Telenor Forsikring'!F79+'Tryg Forsikring'!F79+'WaterCircles F'!F79+'Euro Accident'!F79+'Ly Forsikring'!F79+'Youplus Livsforsikring'!F79+'Oslo Forsikring'!F79+'Knif Trygghet Forsikring'!F79</f>
        <v>14037162.651890002</v>
      </c>
      <c r="F79" s="36">
        <f>Fremtind!G79+'DNB Livsforsikring'!G79+'Frende Livsforsikring'!G79+'Frende Skadeforsikring'!G79+'Gjensidige Forsikring'!G79+'Gjensidige Pensjon'!G79+'If Skadeforsikring NUF'!G79+KLP!G79+'KLP Skadeforsikring AS'!G79+'Landkreditt Forsikring AS'!G79+'Nordea Liv '!G79+'Oslo Pensjonsforsikring'!G79+'Protector Forsikring'!G79+'Sparebank 1 Fors.'!G79+'Storebrand Livsforsikring'!G79+'Telenor Forsikring'!G79+'Tryg Forsikring'!G79+'WaterCircles F'!G79+'Euro Accident'!G79+'Ly Forsikring'!G79+'Youplus Livsforsikring'!G79+'Oslo Forsikring'!G79+'Knif Trygghet Forsikring'!G79</f>
        <v>14661194.552030001</v>
      </c>
      <c r="G79" s="123">
        <f t="shared" si="22"/>
        <v>4.4000000000000004</v>
      </c>
      <c r="H79" s="184">
        <f t="shared" si="23"/>
        <v>14045410.654410003</v>
      </c>
      <c r="I79" s="184">
        <f t="shared" si="24"/>
        <v>14665730.02555</v>
      </c>
      <c r="J79" s="20">
        <f t="shared" si="25"/>
        <v>4.4000000000000004</v>
      </c>
    </row>
    <row r="80" spans="1:10" ht="15.75" customHeight="1" x14ac:dyDescent="0.2">
      <c r="A80" s="240" t="s">
        <v>200</v>
      </c>
      <c r="B80" s="261"/>
      <c r="C80" s="261"/>
      <c r="D80" s="23"/>
      <c r="E80" s="261"/>
      <c r="F80" s="261"/>
      <c r="G80" s="123"/>
      <c r="H80" s="261"/>
      <c r="I80" s="261"/>
      <c r="J80" s="20"/>
    </row>
    <row r="81" spans="1:13" ht="15.75" customHeight="1" x14ac:dyDescent="0.2">
      <c r="A81" s="240" t="s">
        <v>201</v>
      </c>
      <c r="B81" s="261"/>
      <c r="C81" s="261"/>
      <c r="D81" s="23"/>
      <c r="E81" s="261"/>
      <c r="F81" s="261"/>
      <c r="G81" s="123"/>
      <c r="H81" s="261"/>
      <c r="I81" s="261"/>
      <c r="J81" s="20"/>
    </row>
    <row r="82" spans="1:13" ht="15.75" customHeight="1" x14ac:dyDescent="0.2">
      <c r="A82" s="240" t="s">
        <v>202</v>
      </c>
      <c r="B82" s="261"/>
      <c r="C82" s="261"/>
      <c r="D82" s="23"/>
      <c r="E82" s="261"/>
      <c r="F82" s="261"/>
      <c r="G82" s="123"/>
      <c r="H82" s="261"/>
      <c r="I82" s="261"/>
      <c r="J82" s="20"/>
    </row>
    <row r="83" spans="1:13" ht="15.75" customHeight="1" x14ac:dyDescent="0.2">
      <c r="A83" s="240" t="s">
        <v>203</v>
      </c>
      <c r="B83" s="261"/>
      <c r="C83" s="261"/>
      <c r="D83" s="23"/>
      <c r="E83" s="261"/>
      <c r="F83" s="261"/>
      <c r="G83" s="123"/>
      <c r="H83" s="261"/>
      <c r="I83" s="261"/>
      <c r="J83" s="21"/>
    </row>
    <row r="84" spans="1:13" ht="15.75" customHeight="1" x14ac:dyDescent="0.2">
      <c r="A84" s="240" t="s">
        <v>201</v>
      </c>
      <c r="B84" s="261"/>
      <c r="C84" s="261"/>
      <c r="D84" s="23"/>
      <c r="E84" s="261"/>
      <c r="F84" s="261"/>
      <c r="G84" s="123"/>
      <c r="H84" s="261"/>
      <c r="I84" s="261"/>
      <c r="J84" s="20"/>
    </row>
    <row r="85" spans="1:13" ht="15.75" customHeight="1" x14ac:dyDescent="0.2">
      <c r="A85" s="240" t="s">
        <v>202</v>
      </c>
      <c r="B85" s="261"/>
      <c r="C85" s="261"/>
      <c r="D85" s="23"/>
      <c r="E85" s="261"/>
      <c r="F85" s="261"/>
      <c r="G85" s="123"/>
      <c r="H85" s="261"/>
      <c r="I85" s="261"/>
      <c r="J85" s="20"/>
    </row>
    <row r="86" spans="1:13" ht="15.75" customHeight="1" x14ac:dyDescent="0.2">
      <c r="A86" s="18" t="s">
        <v>208</v>
      </c>
      <c r="B86" s="181">
        <f>Fremtind!B86+'DNB Livsforsikring'!B86+'Frende Livsforsikring'!B86+'Frende Skadeforsikring'!B86+'Gjensidige Forsikring'!B86+'Gjensidige Pensjon'!B86+'If Skadeforsikring NUF'!B86+KLP!B86+'KLP Skadeforsikring AS'!B86+'Landkreditt Forsikring AS'!B86+'Nordea Liv '!B86+'Oslo Pensjonsforsikring'!B86+'Protector Forsikring'!B86+'Sparebank 1 Fors.'!B86+'Storebrand Livsforsikring'!B86+'Telenor Forsikring'!B86+'Tryg Forsikring'!B86+'WaterCircles F'!B86+'Euro Accident'!B86+'Ly Forsikring'!B86+'Youplus Livsforsikring'!B86+'Oslo Forsikring'!B86+'Knif Trygghet Forsikring'!B86</f>
        <v>74152.603999999992</v>
      </c>
      <c r="C86" s="181">
        <f>Fremtind!C86+'DNB Livsforsikring'!C86+'Frende Livsforsikring'!C86+'Frende Skadeforsikring'!C86+'Gjensidige Forsikring'!C86+'Gjensidige Pensjon'!C86+'If Skadeforsikring NUF'!C86+KLP!C86+'KLP Skadeforsikring AS'!C86+'Landkreditt Forsikring AS'!C86+'Nordea Liv '!C86+'Oslo Pensjonsforsikring'!C86+'Protector Forsikring'!C86+'Sparebank 1 Fors.'!C86+'Storebrand Livsforsikring'!C86+'Telenor Forsikring'!C86+'Tryg Forsikring'!C86+'WaterCircles F'!C86+'Euro Accident'!C86+'Ly Forsikring'!C86+'Youplus Livsforsikring'!C86+'Oslo Forsikring'!C86+'Knif Trygghet Forsikring'!C86</f>
        <v>75117.173999999999</v>
      </c>
      <c r="D86" s="20">
        <f t="shared" si="21"/>
        <v>1.3</v>
      </c>
      <c r="E86" s="36">
        <f>Fremtind!F86+'DNB Livsforsikring'!F86+'Frende Livsforsikring'!F86+'Frende Skadeforsikring'!F86+'Gjensidige Forsikring'!F86+'Gjensidige Pensjon'!F86+'If Skadeforsikring NUF'!F86+KLP!F86+'KLP Skadeforsikring AS'!F86+'Landkreditt Forsikring AS'!F86+'Nordea Liv '!F86+'Oslo Pensjonsforsikring'!F86+'Protector Forsikring'!F86+'Sparebank 1 Fors.'!F86+'Storebrand Livsforsikring'!F86+'Telenor Forsikring'!F86+'Tryg Forsikring'!F86+'WaterCircles F'!F86+'Euro Accident'!F86+'Ly Forsikring'!F86+'Youplus Livsforsikring'!F86+'Oslo Forsikring'!F86+'Knif Trygghet Forsikring'!F86</f>
        <v>3594.73</v>
      </c>
      <c r="F86" s="36">
        <f>Fremtind!G86+'DNB Livsforsikring'!G86+'Frende Livsforsikring'!G86+'Frende Skadeforsikring'!G86+'Gjensidige Forsikring'!G86+'Gjensidige Pensjon'!G86+'If Skadeforsikring NUF'!G86+KLP!G86+'KLP Skadeforsikring AS'!G86+'Landkreditt Forsikring AS'!G86+'Nordea Liv '!G86+'Oslo Pensjonsforsikring'!G86+'Protector Forsikring'!G86+'Sparebank 1 Fors.'!G86+'Storebrand Livsforsikring'!G86+'Telenor Forsikring'!G86+'Tryg Forsikring'!G86+'WaterCircles F'!G86+'Euro Accident'!G86+'Ly Forsikring'!G86+'Youplus Livsforsikring'!G86+'Oslo Forsikring'!G86+'Knif Trygghet Forsikring'!G86</f>
        <v>4520.6440000000002</v>
      </c>
      <c r="G86" s="123">
        <f t="shared" si="22"/>
        <v>25.8</v>
      </c>
      <c r="H86" s="184">
        <f t="shared" si="23"/>
        <v>77747.333999999988</v>
      </c>
      <c r="I86" s="184">
        <f t="shared" si="24"/>
        <v>79637.817999999999</v>
      </c>
      <c r="J86" s="20">
        <f t="shared" si="25"/>
        <v>2.4</v>
      </c>
    </row>
    <row r="87" spans="1:13" s="35" customFormat="1" ht="15.75" customHeight="1" x14ac:dyDescent="0.2">
      <c r="A87" s="10" t="s">
        <v>172</v>
      </c>
      <c r="B87" s="250">
        <f>Fremtind!B87+'DNB Livsforsikring'!B87+'Frende Livsforsikring'!B87+'Frende Skadeforsikring'!B87+'Gjensidige Forsikring'!B87+'Gjensidige Pensjon'!B87+'If Skadeforsikring NUF'!B87+KLP!B87+'KLP Skadeforsikring AS'!B87+'Landkreditt Forsikring AS'!B87+'Nordea Liv '!B87+'Oslo Pensjonsforsikring'!B87+'Protector Forsikring'!B87+'Sparebank 1 Fors.'!B87+'Storebrand Livsforsikring'!B87+'Telenor Forsikring'!B87+'Tryg Forsikring'!B87+'WaterCircles F'!B87+'Euro Accident'!B87+'Ly Forsikring'!B87+'Youplus Livsforsikring'!B87+'Oslo Forsikring'!B87+'Knif Trygghet Forsikring'!B87</f>
        <v>406587314.16967237</v>
      </c>
      <c r="C87" s="250">
        <f>Fremtind!C87+'DNB Livsforsikring'!C87+'Frende Livsforsikring'!C87+'Frende Skadeforsikring'!C87+'Gjensidige Forsikring'!C87+'Gjensidige Pensjon'!C87+'If Skadeforsikring NUF'!C87+KLP!C87+'KLP Skadeforsikring AS'!C87+'Landkreditt Forsikring AS'!C87+'Nordea Liv '!C87+'Oslo Pensjonsforsikring'!C87+'Protector Forsikring'!C87+'Sparebank 1 Fors.'!C87+'Storebrand Livsforsikring'!C87+'Telenor Forsikring'!C87+'Tryg Forsikring'!C87+'WaterCircles F'!C87+'Euro Accident'!C87+'Ly Forsikring'!C87+'Youplus Livsforsikring'!C87+'Oslo Forsikring'!C87+'Knif Trygghet Forsikring'!C87</f>
        <v>414599950.62831992</v>
      </c>
      <c r="D87" s="21">
        <f t="shared" si="21"/>
        <v>2</v>
      </c>
      <c r="E87" s="183">
        <f>Fremtind!F87+'DNB Livsforsikring'!F87+'Frende Livsforsikring'!F87+'Frende Skadeforsikring'!F87+'Gjensidige Forsikring'!F87+'Gjensidige Pensjon'!F87+'If Skadeforsikring NUF'!F87+KLP!F87+'KLP Skadeforsikring AS'!F87+'Landkreditt Forsikring AS'!F87+'Nordea Liv '!F87+'Oslo Pensjonsforsikring'!F87+'Protector Forsikring'!F87+'Sparebank 1 Fors.'!F87+'Storebrand Livsforsikring'!F87+'Telenor Forsikring'!F87+'Tryg Forsikring'!F87+'WaterCircles F'!F87+'Euro Accident'!F87+'Ly Forsikring'!F87+'Youplus Livsforsikring'!F87+'Oslo Forsikring'!F87+'Knif Trygghet Forsikring'!F87</f>
        <v>665340565.92370605</v>
      </c>
      <c r="F87" s="183">
        <f>Fremtind!G87+'DNB Livsforsikring'!G87+'Frende Livsforsikring'!G87+'Frende Skadeforsikring'!G87+'Gjensidige Forsikring'!G87+'Gjensidige Pensjon'!G87+'If Skadeforsikring NUF'!G87+KLP!G87+'KLP Skadeforsikring AS'!G87+'Landkreditt Forsikring AS'!G87+'Nordea Liv '!G87+'Oslo Pensjonsforsikring'!G87+'Protector Forsikring'!G87+'Sparebank 1 Fors.'!G87+'Storebrand Livsforsikring'!G87+'Telenor Forsikring'!G87+'Tryg Forsikring'!G87+'WaterCircles F'!G87+'Euro Accident'!G87+'Ly Forsikring'!G87+'Youplus Livsforsikring'!G87+'Oslo Forsikring'!G87+'Knif Trygghet Forsikring'!G87</f>
        <v>794755365.11502802</v>
      </c>
      <c r="G87" s="127">
        <f t="shared" si="22"/>
        <v>19.5</v>
      </c>
      <c r="H87" s="270">
        <f t="shared" ref="H87:H111" si="30">SUM(B87,E87)</f>
        <v>1071927880.0933784</v>
      </c>
      <c r="I87" s="270">
        <f t="shared" ref="I87:I111" si="31">SUM(C87,F87)</f>
        <v>1209355315.7433479</v>
      </c>
      <c r="J87" s="21">
        <f t="shared" si="25"/>
        <v>12.8</v>
      </c>
    </row>
    <row r="88" spans="1:13" ht="15.75" customHeight="1" x14ac:dyDescent="0.2">
      <c r="A88" s="18" t="s">
        <v>198</v>
      </c>
      <c r="B88" s="181">
        <f>Fremtind!B88+'DNB Livsforsikring'!B88+'Frende Livsforsikring'!B88+'Frende Skadeforsikring'!B88+'Gjensidige Forsikring'!B88+'Gjensidige Pensjon'!B88+'If Skadeforsikring NUF'!B88+KLP!B88+'KLP Skadeforsikring AS'!B88+'Landkreditt Forsikring AS'!B88+'Nordea Liv '!B88+'Oslo Pensjonsforsikring'!B88+'Protector Forsikring'!B88+'Sparebank 1 Fors.'!B88+'Storebrand Livsforsikring'!B88+'Telenor Forsikring'!B88+'Tryg Forsikring'!B88+'WaterCircles F'!B88+'Euro Accident'!B88+'Ly Forsikring'!B88+'Youplus Livsforsikring'!B88+'Oslo Forsikring'!B88+'Knif Trygghet Forsikring'!B88</f>
        <v>384247244.00849229</v>
      </c>
      <c r="C88" s="181">
        <f>Fremtind!C88+'DNB Livsforsikring'!C88+'Frende Livsforsikring'!C88+'Frende Skadeforsikring'!C88+'Gjensidige Forsikring'!C88+'Gjensidige Pensjon'!C88+'If Skadeforsikring NUF'!C88+KLP!C88+'KLP Skadeforsikring AS'!C88+'Landkreditt Forsikring AS'!C88+'Nordea Liv '!C88+'Oslo Pensjonsforsikring'!C88+'Protector Forsikring'!C88+'Sparebank 1 Fors.'!C88+'Storebrand Livsforsikring'!C88+'Telenor Forsikring'!C88+'Tryg Forsikring'!C88+'WaterCircles F'!C88+'Euro Accident'!C88+'Ly Forsikring'!C88+'Youplus Livsforsikring'!C88+'Oslo Forsikring'!C88+'Knif Trygghet Forsikring'!C88</f>
        <v>386739169.43989027</v>
      </c>
      <c r="D88" s="20">
        <f t="shared" si="21"/>
        <v>0.6</v>
      </c>
      <c r="E88" s="36"/>
      <c r="F88" s="36"/>
      <c r="G88" s="123"/>
      <c r="H88" s="184">
        <f t="shared" si="30"/>
        <v>384247244.00849229</v>
      </c>
      <c r="I88" s="184">
        <f t="shared" si="31"/>
        <v>386739169.43989027</v>
      </c>
      <c r="J88" s="20">
        <f t="shared" si="25"/>
        <v>0.6</v>
      </c>
      <c r="M88" s="22"/>
    </row>
    <row r="89" spans="1:13" ht="15.75" customHeight="1" x14ac:dyDescent="0.2">
      <c r="A89" s="18" t="s">
        <v>199</v>
      </c>
      <c r="B89" s="181">
        <f>Fremtind!B89+'DNB Livsforsikring'!B89+'Frende Livsforsikring'!B89+'Frende Skadeforsikring'!B89+'Gjensidige Forsikring'!B89+'Gjensidige Pensjon'!B89+'If Skadeforsikring NUF'!B89+KLP!B89+'KLP Skadeforsikring AS'!B89+'Landkreditt Forsikring AS'!B89+'Nordea Liv '!B89+'Oslo Pensjonsforsikring'!B89+'Protector Forsikring'!B89+'Sparebank 1 Fors.'!B89+'Storebrand Livsforsikring'!B89+'Telenor Forsikring'!B89+'Tryg Forsikring'!B89+'WaterCircles F'!B89+'Euro Accident'!B89+'Ly Forsikring'!B89+'Youplus Livsforsikring'!B89+'Oslo Forsikring'!B89+'Knif Trygghet Forsikring'!B89</f>
        <v>2369244.5086599998</v>
      </c>
      <c r="C89" s="181">
        <f>Fremtind!C89+'DNB Livsforsikring'!C89+'Frende Livsforsikring'!C89+'Frende Skadeforsikring'!C89+'Gjensidige Forsikring'!C89+'Gjensidige Pensjon'!C89+'If Skadeforsikring NUF'!C89+KLP!C89+'KLP Skadeforsikring AS'!C89+'Landkreditt Forsikring AS'!C89+'Nordea Liv '!C89+'Oslo Pensjonsforsikring'!C89+'Protector Forsikring'!C89+'Sparebank 1 Fors.'!C89+'Storebrand Livsforsikring'!C89+'Telenor Forsikring'!C89+'Tryg Forsikring'!C89+'WaterCircles F'!C89+'Euro Accident'!C89+'Ly Forsikring'!C89+'Youplus Livsforsikring'!C89+'Oslo Forsikring'!C89+'Knif Trygghet Forsikring'!C89</f>
        <v>4235867.1137095941</v>
      </c>
      <c r="D89" s="20">
        <f t="shared" si="21"/>
        <v>78.8</v>
      </c>
      <c r="E89" s="36">
        <f>Fremtind!F89+'DNB Livsforsikring'!F89+'Frende Livsforsikring'!F89+'Frende Skadeforsikring'!F89+'Gjensidige Forsikring'!F89+'Gjensidige Pensjon'!F89+'If Skadeforsikring NUF'!F89+KLP!F89+'KLP Skadeforsikring AS'!F89+'Landkreditt Forsikring AS'!F89+'Nordea Liv '!F89+'Oslo Pensjonsforsikring'!F89+'Protector Forsikring'!F89+'Sparebank 1 Fors.'!F89+'Storebrand Livsforsikring'!F89+'Telenor Forsikring'!F89+'Tryg Forsikring'!F89+'WaterCircles F'!F89+'Euro Accident'!F89+'Ly Forsikring'!F89+'Youplus Livsforsikring'!F89+'Oslo Forsikring'!F89+'Knif Trygghet Forsikring'!F89</f>
        <v>655108168.52648604</v>
      </c>
      <c r="F89" s="36">
        <f>Fremtind!G89+'DNB Livsforsikring'!G89+'Frende Livsforsikring'!G89+'Frende Skadeforsikring'!G89+'Gjensidige Forsikring'!G89+'Gjensidige Pensjon'!G89+'If Skadeforsikring NUF'!G89+KLP!G89+'KLP Skadeforsikring AS'!G89+'Landkreditt Forsikring AS'!G89+'Nordea Liv '!G89+'Oslo Pensjonsforsikring'!G89+'Protector Forsikring'!G89+'Sparebank 1 Fors.'!G89+'Storebrand Livsforsikring'!G89+'Telenor Forsikring'!G89+'Tryg Forsikring'!G89+'WaterCircles F'!G89+'Euro Accident'!G89+'Ly Forsikring'!G89+'Youplus Livsforsikring'!G89+'Oslo Forsikring'!G89+'Knif Trygghet Forsikring'!G89</f>
        <v>781900269.66406798</v>
      </c>
      <c r="G89" s="123">
        <f t="shared" si="22"/>
        <v>19.399999999999999</v>
      </c>
      <c r="H89" s="184">
        <f t="shared" si="30"/>
        <v>657477413.035146</v>
      </c>
      <c r="I89" s="184">
        <f t="shared" si="31"/>
        <v>786136136.77777755</v>
      </c>
      <c r="J89" s="20">
        <f t="shared" si="25"/>
        <v>19.600000000000001</v>
      </c>
      <c r="M89" s="22"/>
    </row>
    <row r="90" spans="1:13" ht="15.75" customHeight="1" x14ac:dyDescent="0.2">
      <c r="A90" s="240" t="s">
        <v>200</v>
      </c>
      <c r="B90" s="261"/>
      <c r="C90" s="261"/>
      <c r="D90" s="23"/>
      <c r="E90" s="261"/>
      <c r="F90" s="261"/>
      <c r="G90" s="123"/>
      <c r="H90" s="261"/>
      <c r="I90" s="261"/>
      <c r="J90" s="20"/>
    </row>
    <row r="91" spans="1:13" ht="15.75" customHeight="1" x14ac:dyDescent="0.2">
      <c r="A91" s="240" t="s">
        <v>201</v>
      </c>
      <c r="B91" s="261"/>
      <c r="C91" s="261"/>
      <c r="D91" s="23"/>
      <c r="E91" s="261"/>
      <c r="F91" s="261"/>
      <c r="G91" s="123"/>
      <c r="H91" s="261"/>
      <c r="I91" s="261"/>
      <c r="J91" s="20"/>
    </row>
    <row r="92" spans="1:13" ht="15.75" customHeight="1" x14ac:dyDescent="0.2">
      <c r="A92" s="240" t="s">
        <v>202</v>
      </c>
      <c r="B92" s="261"/>
      <c r="C92" s="261"/>
      <c r="D92" s="23"/>
      <c r="E92" s="261"/>
      <c r="F92" s="261"/>
      <c r="G92" s="123"/>
      <c r="H92" s="261"/>
      <c r="I92" s="261"/>
      <c r="J92" s="20"/>
    </row>
    <row r="93" spans="1:13" ht="15.75" customHeight="1" x14ac:dyDescent="0.2">
      <c r="A93" s="240" t="s">
        <v>203</v>
      </c>
      <c r="B93" s="261"/>
      <c r="C93" s="261"/>
      <c r="D93" s="23"/>
      <c r="E93" s="261"/>
      <c r="F93" s="261"/>
      <c r="G93" s="123"/>
      <c r="H93" s="261"/>
      <c r="I93" s="261"/>
      <c r="J93" s="20"/>
    </row>
    <row r="94" spans="1:13" ht="15.75" customHeight="1" x14ac:dyDescent="0.2">
      <c r="A94" s="240" t="s">
        <v>201</v>
      </c>
      <c r="B94" s="182"/>
      <c r="C94" s="182"/>
      <c r="D94" s="23"/>
      <c r="E94" s="261"/>
      <c r="F94" s="261"/>
      <c r="G94" s="123"/>
      <c r="H94" s="261"/>
      <c r="I94" s="261"/>
      <c r="J94" s="20"/>
    </row>
    <row r="95" spans="1:13" ht="15.75" customHeight="1" x14ac:dyDescent="0.2">
      <c r="A95" s="240" t="s">
        <v>202</v>
      </c>
      <c r="B95" s="182"/>
      <c r="C95" s="182"/>
      <c r="D95" s="23"/>
      <c r="E95" s="261"/>
      <c r="F95" s="261"/>
      <c r="G95" s="123"/>
      <c r="H95" s="261"/>
      <c r="I95" s="261"/>
      <c r="J95" s="20"/>
    </row>
    <row r="96" spans="1:13" ht="15.75" customHeight="1" x14ac:dyDescent="0.2">
      <c r="A96" s="18" t="s">
        <v>204</v>
      </c>
      <c r="B96" s="181">
        <f>Fremtind!B96+'DNB Livsforsikring'!B96+'Frende Livsforsikring'!B96+'Frende Skadeforsikring'!B96+'Gjensidige Forsikring'!B96+'Gjensidige Pensjon'!B96+'If Skadeforsikring NUF'!B96+KLP!B96+'KLP Skadeforsikring AS'!B96+'Landkreditt Forsikring AS'!B96+'Nordea Liv '!B96+'Oslo Pensjonsforsikring'!B96+'Protector Forsikring'!B96+'Sparebank 1 Fors.'!B96+'Storebrand Livsforsikring'!B96+'Telenor Forsikring'!B96+'Tryg Forsikring'!B96+'WaterCircles F'!B96+'Euro Accident'!B96+'Ly Forsikring'!B96+'Youplus Livsforsikring'!B96+'Oslo Forsikring'!B96+'Knif Trygghet Forsikring'!B96</f>
        <v>7409666.6989399996</v>
      </c>
      <c r="C96" s="181">
        <f>Fremtind!C96+'DNB Livsforsikring'!C96+'Frende Livsforsikring'!C96+'Frende Skadeforsikring'!C96+'Gjensidige Forsikring'!C96+'Gjensidige Pensjon'!C96+'If Skadeforsikring NUF'!C96+KLP!C96+'KLP Skadeforsikring AS'!C96+'Landkreditt Forsikring AS'!C96+'Nordea Liv '!C96+'Oslo Pensjonsforsikring'!C96+'Protector Forsikring'!C96+'Sparebank 1 Fors.'!C96+'Storebrand Livsforsikring'!C96+'Telenor Forsikring'!C96+'Tryg Forsikring'!C96+'WaterCircles F'!C96+'Euro Accident'!C96+'Ly Forsikring'!C96+'Youplus Livsforsikring'!C96+'Oslo Forsikring'!C96+'Knif Trygghet Forsikring'!C96</f>
        <v>9572857.2185900006</v>
      </c>
      <c r="D96" s="20">
        <f t="shared" si="21"/>
        <v>29.2</v>
      </c>
      <c r="E96" s="36">
        <f>Fremtind!F96+'DNB Livsforsikring'!F96+'Frende Livsforsikring'!F96+'Frende Skadeforsikring'!F96+'Gjensidige Forsikring'!F96+'Gjensidige Pensjon'!F96+'If Skadeforsikring NUF'!F96+KLP!F96+'KLP Skadeforsikring AS'!F96+'Landkreditt Forsikring AS'!F96+'Nordea Liv '!F96+'Oslo Pensjonsforsikring'!F96+'Protector Forsikring'!F96+'Sparebank 1 Fors.'!F96+'Storebrand Livsforsikring'!F96+'Telenor Forsikring'!F96+'Tryg Forsikring'!F96+'WaterCircles F'!F96+'Euro Accident'!F96+'Ly Forsikring'!F96+'Youplus Livsforsikring'!F96+'Oslo Forsikring'!F96+'Knif Trygghet Forsikring'!F96</f>
        <v>10232397.397220001</v>
      </c>
      <c r="F96" s="36">
        <f>Fremtind!G96+'DNB Livsforsikring'!G96+'Frende Livsforsikring'!G96+'Frende Skadeforsikring'!G96+'Gjensidige Forsikring'!G96+'Gjensidige Pensjon'!G96+'If Skadeforsikring NUF'!G96+KLP!G96+'KLP Skadeforsikring AS'!G96+'Landkreditt Forsikring AS'!G96+'Nordea Liv '!G96+'Oslo Pensjonsforsikring'!G96+'Protector Forsikring'!G96+'Sparebank 1 Fors.'!G96+'Storebrand Livsforsikring'!G96+'Telenor Forsikring'!G96+'Tryg Forsikring'!G96+'WaterCircles F'!G96+'Euro Accident'!G96+'Ly Forsikring'!G96+'Youplus Livsforsikring'!G96+'Oslo Forsikring'!G96+'Knif Trygghet Forsikring'!G96</f>
        <v>12855095.450959999</v>
      </c>
      <c r="G96" s="123">
        <f t="shared" si="22"/>
        <v>25.6</v>
      </c>
      <c r="H96" s="184">
        <f t="shared" si="30"/>
        <v>17642064.096160002</v>
      </c>
      <c r="I96" s="184">
        <f t="shared" si="31"/>
        <v>22427952.669550002</v>
      </c>
      <c r="J96" s="20">
        <f t="shared" si="25"/>
        <v>27.1</v>
      </c>
    </row>
    <row r="97" spans="1:13" ht="15.75" customHeight="1" x14ac:dyDescent="0.2">
      <c r="A97" s="18" t="s">
        <v>205</v>
      </c>
      <c r="B97" s="181">
        <f>Fremtind!B97+'DNB Livsforsikring'!B97+'Frende Livsforsikring'!B97+'Frende Skadeforsikring'!B97+'Gjensidige Forsikring'!B97+'Gjensidige Pensjon'!B97+'If Skadeforsikring NUF'!B97+KLP!B97+'KLP Skadeforsikring AS'!B97+'Landkreditt Forsikring AS'!B97+'Nordea Liv '!B97+'Oslo Pensjonsforsikring'!B97+'Protector Forsikring'!B97+'Sparebank 1 Fors.'!B97+'Storebrand Livsforsikring'!B97+'Telenor Forsikring'!B97+'Tryg Forsikring'!B97+'WaterCircles F'!B97+'Euro Accident'!B97+'Ly Forsikring'!B97+'Youplus Livsforsikring'!B97+'Oslo Forsikring'!B97+'Knif Trygghet Forsikring'!B97</f>
        <v>12561158.95358</v>
      </c>
      <c r="C97" s="181">
        <f>Fremtind!C97+'DNB Livsforsikring'!C97+'Frende Livsforsikring'!C97+'Frende Skadeforsikring'!C97+'Gjensidige Forsikring'!C97+'Gjensidige Pensjon'!C97+'If Skadeforsikring NUF'!C97+KLP!C97+'KLP Skadeforsikring AS'!C97+'Landkreditt Forsikring AS'!C97+'Nordea Liv '!C97+'Oslo Pensjonsforsikring'!C97+'Protector Forsikring'!C97+'Sparebank 1 Fors.'!C97+'Storebrand Livsforsikring'!C97+'Telenor Forsikring'!C97+'Tryg Forsikring'!C97+'WaterCircles F'!C97+'Euro Accident'!C97+'Ly Forsikring'!C97+'Youplus Livsforsikring'!C97+'Oslo Forsikring'!C97+'Knif Trygghet Forsikring'!C97</f>
        <v>14052056.85613</v>
      </c>
      <c r="D97" s="20">
        <f t="shared" ref="D97" si="32">IF(B97=0, "    ---- ", IF(ABS(ROUND(100/B97*C97-100,1))&lt;999,ROUND(100/B97*C97-100,1),IF(ROUND(100/B97*C97-100,1)&gt;999,999,-999)))</f>
        <v>11.9</v>
      </c>
      <c r="E97" s="36"/>
      <c r="F97" s="36"/>
      <c r="G97" s="123"/>
      <c r="H97" s="184">
        <f t="shared" ref="H97" si="33">SUM(B97,E97)</f>
        <v>12561158.95358</v>
      </c>
      <c r="I97" s="184">
        <f t="shared" ref="I97" si="34">SUM(C97,F97)</f>
        <v>14052056.85613</v>
      </c>
      <c r="J97" s="20">
        <f t="shared" ref="J97" si="35">IF(H97=0, "    ---- ", IF(ABS(ROUND(100/H97*I97-100,1))&lt;999,ROUND(100/H97*I97-100,1),IF(ROUND(100/H97*I97-100,1)&gt;999,999,-999)))</f>
        <v>11.9</v>
      </c>
    </row>
    <row r="98" spans="1:13" ht="15.75" customHeight="1" x14ac:dyDescent="0.2">
      <c r="A98" s="18" t="s">
        <v>206</v>
      </c>
      <c r="B98" s="181">
        <f>Fremtind!B98+'DNB Livsforsikring'!B98+'Frende Livsforsikring'!B98+'Frende Skadeforsikring'!B98+'Gjensidige Forsikring'!B98+'Gjensidige Pensjon'!B98+'If Skadeforsikring NUF'!B98+KLP!B98+'KLP Skadeforsikring AS'!B98+'Landkreditt Forsikring AS'!B98+'Nordea Liv '!B98+'Oslo Pensjonsforsikring'!B98+'Protector Forsikring'!B98+'Sparebank 1 Fors.'!B98+'Storebrand Livsforsikring'!B98+'Telenor Forsikring'!B98+'Tryg Forsikring'!B98+'WaterCircles F'!B98+'Euro Accident'!B98+'Ly Forsikring'!B98+'Youplus Livsforsikring'!B98+'Oslo Forsikring'!B98+'Knif Trygghet Forsikring'!B98</f>
        <v>382451924.30115235</v>
      </c>
      <c r="C98" s="181">
        <f>Fremtind!C98+'DNB Livsforsikring'!C98+'Frende Livsforsikring'!C98+'Frende Skadeforsikring'!C98+'Gjensidige Forsikring'!C98+'Gjensidige Pensjon'!C98+'If Skadeforsikring NUF'!C98+KLP!C98+'KLP Skadeforsikring AS'!C98+'Landkreditt Forsikring AS'!C98+'Nordea Liv '!C98+'Oslo Pensjonsforsikring'!C98+'Protector Forsikring'!C98+'Sparebank 1 Fors.'!C98+'Storebrand Livsforsikring'!C98+'Telenor Forsikring'!C98+'Tryg Forsikring'!C98+'WaterCircles F'!C98+'Euro Accident'!C98+'Ly Forsikring'!C98+'Youplus Livsforsikring'!C98+'Oslo Forsikring'!C98+'Knif Trygghet Forsikring'!C98</f>
        <v>386645446.22359985</v>
      </c>
      <c r="D98" s="20">
        <f t="shared" si="21"/>
        <v>1.1000000000000001</v>
      </c>
      <c r="E98" s="36">
        <f>Fremtind!F98+'DNB Livsforsikring'!F98+'Frende Livsforsikring'!F98+'Frende Skadeforsikring'!F98+'Gjensidige Forsikring'!F98+'Gjensidige Pensjon'!F98+'If Skadeforsikring NUF'!F98+KLP!F98+'KLP Skadeforsikring AS'!F98+'Landkreditt Forsikring AS'!F98+'Nordea Liv '!F98+'Oslo Pensjonsforsikring'!F98+'Protector Forsikring'!F98+'Sparebank 1 Fors.'!F98+'Storebrand Livsforsikring'!F98+'Telenor Forsikring'!F98+'Tryg Forsikring'!F98+'WaterCircles F'!F98+'Euro Accident'!F98+'Ly Forsikring'!F98+'Youplus Livsforsikring'!F98+'Oslo Forsikring'!F98+'Knif Trygghet Forsikring'!F98</f>
        <v>654713222.16928506</v>
      </c>
      <c r="F98" s="36">
        <f>Fremtind!G98+'DNB Livsforsikring'!G98+'Frende Livsforsikring'!G98+'Frende Skadeforsikring'!G98+'Gjensidige Forsikring'!G98+'Gjensidige Pensjon'!G98+'If Skadeforsikring NUF'!G98+KLP!G98+'KLP Skadeforsikring AS'!G98+'Landkreditt Forsikring AS'!G98+'Nordea Liv '!G98+'Oslo Pensjonsforsikring'!G98+'Protector Forsikring'!G98+'Sparebank 1 Fors.'!G98+'Storebrand Livsforsikring'!G98+'Telenor Forsikring'!G98+'Tryg Forsikring'!G98+'WaterCircles F'!G98+'Euro Accident'!G98+'Ly Forsikring'!G98+'Youplus Livsforsikring'!G98+'Oslo Forsikring'!G98+'Knif Trygghet Forsikring'!G98</f>
        <v>781491279.64756203</v>
      </c>
      <c r="G98" s="123">
        <f t="shared" si="22"/>
        <v>19.399999999999999</v>
      </c>
      <c r="H98" s="184">
        <f t="shared" si="30"/>
        <v>1037165146.4704374</v>
      </c>
      <c r="I98" s="184">
        <f t="shared" si="31"/>
        <v>1168136725.8711619</v>
      </c>
      <c r="J98" s="20">
        <f t="shared" si="25"/>
        <v>12.6</v>
      </c>
    </row>
    <row r="99" spans="1:13" ht="15.75" customHeight="1" x14ac:dyDescent="0.2">
      <c r="A99" s="18" t="s">
        <v>198</v>
      </c>
      <c r="B99" s="181">
        <f>Fremtind!B99+'DNB Livsforsikring'!B99+'Frende Livsforsikring'!B99+'Frende Skadeforsikring'!B99+'Gjensidige Forsikring'!B99+'Gjensidige Pensjon'!B99+'If Skadeforsikring NUF'!B99+KLP!B99+'KLP Skadeforsikring AS'!B99+'Landkreditt Forsikring AS'!B99+'Nordea Liv '!B99+'Oslo Pensjonsforsikring'!B99+'Protector Forsikring'!B99+'Sparebank 1 Fors.'!B99+'Storebrand Livsforsikring'!B99+'Telenor Forsikring'!B99+'Tryg Forsikring'!B99+'WaterCircles F'!B99+'Euro Accident'!B99+'Ly Forsikring'!B99+'Youplus Livsforsikring'!B99+'Oslo Forsikring'!B99+'Knif Trygghet Forsikring'!B99</f>
        <v>380082679.79249227</v>
      </c>
      <c r="C99" s="181">
        <f>Fremtind!C99+'DNB Livsforsikring'!C99+'Frende Livsforsikring'!C99+'Frende Skadeforsikring'!C99+'Gjensidige Forsikring'!C99+'Gjensidige Pensjon'!C99+'If Skadeforsikring NUF'!C99+KLP!C99+'KLP Skadeforsikring AS'!C99+'Landkreditt Forsikring AS'!C99+'Nordea Liv '!C99+'Oslo Pensjonsforsikring'!C99+'Protector Forsikring'!C99+'Sparebank 1 Fors.'!C99+'Storebrand Livsforsikring'!C99+'Telenor Forsikring'!C99+'Tryg Forsikring'!C99+'WaterCircles F'!C99+'Euro Accident'!C99+'Ly Forsikring'!C99+'Youplus Livsforsikring'!C99+'Oslo Forsikring'!C99+'Knif Trygghet Forsikring'!C99</f>
        <v>382409579.10989028</v>
      </c>
      <c r="D99" s="20">
        <f t="shared" si="21"/>
        <v>0.6</v>
      </c>
      <c r="E99" s="36"/>
      <c r="F99" s="36"/>
      <c r="G99" s="123"/>
      <c r="H99" s="184">
        <f t="shared" si="30"/>
        <v>380082679.79249227</v>
      </c>
      <c r="I99" s="184">
        <f t="shared" si="31"/>
        <v>382409579.10989028</v>
      </c>
      <c r="J99" s="20">
        <f t="shared" si="25"/>
        <v>0.6</v>
      </c>
    </row>
    <row r="100" spans="1:13" ht="15.75" customHeight="1" x14ac:dyDescent="0.2">
      <c r="A100" s="18" t="s">
        <v>207</v>
      </c>
      <c r="B100" s="181">
        <f>Fremtind!B100+'DNB Livsforsikring'!B100+'Frende Livsforsikring'!B100+'Frende Skadeforsikring'!B100+'Gjensidige Forsikring'!B100+'Gjensidige Pensjon'!B100+'If Skadeforsikring NUF'!B100+KLP!B100+'KLP Skadeforsikring AS'!B100+'Landkreditt Forsikring AS'!B100+'Nordea Liv '!B100+'Oslo Pensjonsforsikring'!B100+'Protector Forsikring'!B100+'Sparebank 1 Fors.'!B100+'Storebrand Livsforsikring'!B100+'Telenor Forsikring'!B100+'Tryg Forsikring'!B100+'WaterCircles F'!B100+'Euro Accident'!B100+'Ly Forsikring'!B100+'Youplus Livsforsikring'!B100+'Oslo Forsikring'!B100+'Knif Trygghet Forsikring'!B100</f>
        <v>2369244.5086599998</v>
      </c>
      <c r="C100" s="181">
        <f>Fremtind!C100+'DNB Livsforsikring'!C100+'Frende Livsforsikring'!C100+'Frende Skadeforsikring'!C100+'Gjensidige Forsikring'!C100+'Gjensidige Pensjon'!C100+'If Skadeforsikring NUF'!C100+KLP!C100+'KLP Skadeforsikring AS'!C100+'Landkreditt Forsikring AS'!C100+'Nordea Liv '!C100+'Oslo Pensjonsforsikring'!C100+'Protector Forsikring'!C100+'Sparebank 1 Fors.'!C100+'Storebrand Livsforsikring'!C100+'Telenor Forsikring'!C100+'Tryg Forsikring'!C100+'WaterCircles F'!C100+'Euro Accident'!C100+'Ly Forsikring'!C100+'Youplus Livsforsikring'!C100+'Oslo Forsikring'!C100+'Knif Trygghet Forsikring'!C100</f>
        <v>4235867.1137095941</v>
      </c>
      <c r="D100" s="20">
        <f t="shared" si="21"/>
        <v>78.8</v>
      </c>
      <c r="E100" s="36">
        <f>Fremtind!F100+'DNB Livsforsikring'!F100+'Frende Livsforsikring'!F100+'Frende Skadeforsikring'!F100+'Gjensidige Forsikring'!F100+'Gjensidige Pensjon'!F100+'If Skadeforsikring NUF'!F100+KLP!F100+'KLP Skadeforsikring AS'!F100+'Landkreditt Forsikring AS'!F100+'Nordea Liv '!F100+'Oslo Pensjonsforsikring'!F100+'Protector Forsikring'!F100+'Sparebank 1 Fors.'!F100+'Storebrand Livsforsikring'!F100+'Telenor Forsikring'!F100+'Tryg Forsikring'!F100+'WaterCircles F'!F100+'Euro Accident'!F100+'Ly Forsikring'!F100+'Youplus Livsforsikring'!F100+'Oslo Forsikring'!F100+'Knif Trygghet Forsikring'!F100</f>
        <v>654713222.16928506</v>
      </c>
      <c r="F100" s="36">
        <f>Fremtind!G100+'DNB Livsforsikring'!G100+'Frende Livsforsikring'!G100+'Frende Skadeforsikring'!G100+'Gjensidige Forsikring'!G100+'Gjensidige Pensjon'!G100+'If Skadeforsikring NUF'!G100+KLP!G100+'KLP Skadeforsikring AS'!G100+'Landkreditt Forsikring AS'!G100+'Nordea Liv '!G100+'Oslo Pensjonsforsikring'!G100+'Protector Forsikring'!G100+'Sparebank 1 Fors.'!G100+'Storebrand Livsforsikring'!G100+'Telenor Forsikring'!G100+'Tryg Forsikring'!G100+'WaterCircles F'!G100+'Euro Accident'!G100+'Ly Forsikring'!G100+'Youplus Livsforsikring'!G100+'Oslo Forsikring'!G100+'Knif Trygghet Forsikring'!G100</f>
        <v>781491279.64756203</v>
      </c>
      <c r="G100" s="123">
        <f t="shared" si="22"/>
        <v>19.399999999999999</v>
      </c>
      <c r="H100" s="184">
        <f t="shared" si="30"/>
        <v>657082466.67794502</v>
      </c>
      <c r="I100" s="184">
        <f t="shared" si="31"/>
        <v>785727146.7612716</v>
      </c>
      <c r="J100" s="20">
        <f t="shared" si="25"/>
        <v>19.600000000000001</v>
      </c>
    </row>
    <row r="101" spans="1:13" ht="15.75" customHeight="1" x14ac:dyDescent="0.2">
      <c r="A101" s="240" t="s">
        <v>200</v>
      </c>
      <c r="B101" s="261"/>
      <c r="C101" s="261"/>
      <c r="D101" s="23"/>
      <c r="E101" s="261"/>
      <c r="F101" s="261"/>
      <c r="G101" s="123"/>
      <c r="H101" s="261"/>
      <c r="I101" s="261"/>
      <c r="J101" s="20"/>
      <c r="K101" s="553"/>
      <c r="L101" s="554"/>
      <c r="M101" s="554"/>
    </row>
    <row r="102" spans="1:13" ht="15.75" customHeight="1" x14ac:dyDescent="0.2">
      <c r="A102" s="240" t="s">
        <v>201</v>
      </c>
      <c r="B102" s="261"/>
      <c r="C102" s="261"/>
      <c r="D102" s="23"/>
      <c r="E102" s="261"/>
      <c r="F102" s="261"/>
      <c r="G102" s="123"/>
      <c r="H102" s="261"/>
      <c r="I102" s="261"/>
      <c r="J102" s="20"/>
      <c r="K102" s="553"/>
      <c r="L102" s="554"/>
      <c r="M102" s="554"/>
    </row>
    <row r="103" spans="1:13" ht="15.75" customHeight="1" x14ac:dyDescent="0.2">
      <c r="A103" s="240" t="s">
        <v>202</v>
      </c>
      <c r="B103" s="261"/>
      <c r="C103" s="261"/>
      <c r="D103" s="23"/>
      <c r="E103" s="261"/>
      <c r="F103" s="261"/>
      <c r="G103" s="123"/>
      <c r="H103" s="261"/>
      <c r="I103" s="261"/>
      <c r="J103" s="20"/>
      <c r="K103" s="553"/>
      <c r="L103" s="554"/>
      <c r="M103" s="554"/>
    </row>
    <row r="104" spans="1:13" ht="15.75" customHeight="1" x14ac:dyDescent="0.2">
      <c r="A104" s="240" t="s">
        <v>203</v>
      </c>
      <c r="B104" s="261"/>
      <c r="C104" s="261"/>
      <c r="D104" s="23"/>
      <c r="E104" s="261"/>
      <c r="F104" s="261"/>
      <c r="G104" s="123"/>
      <c r="H104" s="261"/>
      <c r="I104" s="261"/>
      <c r="J104" s="20"/>
      <c r="K104" s="553"/>
      <c r="L104" s="554"/>
      <c r="M104" s="554"/>
    </row>
    <row r="105" spans="1:13" ht="15.75" customHeight="1" x14ac:dyDescent="0.2">
      <c r="A105" s="240" t="s">
        <v>201</v>
      </c>
      <c r="B105" s="182"/>
      <c r="C105" s="182"/>
      <c r="D105" s="23"/>
      <c r="E105" s="261"/>
      <c r="F105" s="261"/>
      <c r="G105" s="123"/>
      <c r="H105" s="261"/>
      <c r="I105" s="261"/>
      <c r="J105" s="20"/>
      <c r="K105" s="553"/>
      <c r="L105" s="554"/>
      <c r="M105" s="554"/>
    </row>
    <row r="106" spans="1:13" ht="15.75" customHeight="1" x14ac:dyDescent="0.2">
      <c r="A106" s="240" t="s">
        <v>202</v>
      </c>
      <c r="B106" s="182"/>
      <c r="C106" s="182"/>
      <c r="D106" s="23"/>
      <c r="E106" s="261"/>
      <c r="F106" s="261"/>
      <c r="G106" s="123"/>
      <c r="H106" s="261"/>
      <c r="I106" s="261"/>
      <c r="J106" s="20"/>
      <c r="K106" s="553"/>
      <c r="L106" s="554"/>
      <c r="M106" s="554"/>
    </row>
    <row r="107" spans="1:13" ht="15.75" customHeight="1" x14ac:dyDescent="0.2">
      <c r="A107" s="18" t="s">
        <v>208</v>
      </c>
      <c r="B107" s="181">
        <f>Fremtind!B107+'DNB Livsforsikring'!B107+'Frende Livsforsikring'!B107+'Frende Skadeforsikring'!B107+'Gjensidige Forsikring'!B107+'Gjensidige Pensjon'!B107+'If Skadeforsikring NUF'!B107+KLP!B107+'KLP Skadeforsikring AS'!B107+'Landkreditt Forsikring AS'!B107+'Nordea Liv '!B107+'Oslo Pensjonsforsikring'!B107+'Protector Forsikring'!B107+'Sparebank 1 Fors.'!B107+'Storebrand Livsforsikring'!B107+'Telenor Forsikring'!B107+'Tryg Forsikring'!B107+'WaterCircles F'!B107+'Euro Accident'!B107+'Ly Forsikring'!B107+'Youplus Livsforsikring'!B107+'Oslo Forsikring'!B107+'Knif Trygghet Forsikring'!B107</f>
        <v>4164564.0870000003</v>
      </c>
      <c r="C107" s="181">
        <f>Fremtind!C107+'DNB Livsforsikring'!C107+'Frende Livsforsikring'!C107+'Frende Skadeforsikring'!C107+'Gjensidige Forsikring'!C107+'Gjensidige Pensjon'!C107+'If Skadeforsikring NUF'!C107+KLP!C107+'KLP Skadeforsikring AS'!C107+'Landkreditt Forsikring AS'!C107+'Nordea Liv '!C107+'Oslo Pensjonsforsikring'!C107+'Protector Forsikring'!C107+'Sparebank 1 Fors.'!C107+'Storebrand Livsforsikring'!C107+'Telenor Forsikring'!C107+'Tryg Forsikring'!C107+'WaterCircles F'!C107+'Euro Accident'!C107+'Ly Forsikring'!C107+'Youplus Livsforsikring'!C107+'Oslo Forsikring'!C107+'Knif Trygghet Forsikring'!C107</f>
        <v>4329590.33</v>
      </c>
      <c r="D107" s="20">
        <f t="shared" si="21"/>
        <v>4</v>
      </c>
      <c r="E107" s="36">
        <f>Fremtind!F107+'DNB Livsforsikring'!F107+'Frende Livsforsikring'!F107+'Frende Skadeforsikring'!F107+'Gjensidige Forsikring'!F107+'Gjensidige Pensjon'!F107+'If Skadeforsikring NUF'!F107+KLP!F107+'KLP Skadeforsikring AS'!F107+'Landkreditt Forsikring AS'!F107+'Nordea Liv '!F107+'Oslo Pensjonsforsikring'!F107+'Protector Forsikring'!F107+'Sparebank 1 Fors.'!F107+'Storebrand Livsforsikring'!F107+'Telenor Forsikring'!F107+'Tryg Forsikring'!F107+'WaterCircles F'!F107+'Euro Accident'!F107+'Ly Forsikring'!F107+'Youplus Livsforsikring'!F107+'Oslo Forsikring'!F107+'Knif Trygghet Forsikring'!F107</f>
        <v>394946.35720098694</v>
      </c>
      <c r="F107" s="36">
        <f>Fremtind!G107+'DNB Livsforsikring'!G107+'Frende Livsforsikring'!G107+'Frende Skadeforsikring'!G107+'Gjensidige Forsikring'!G107+'Gjensidige Pensjon'!G107+'If Skadeforsikring NUF'!G107+KLP!G107+'KLP Skadeforsikring AS'!G107+'Landkreditt Forsikring AS'!G107+'Nordea Liv '!G107+'Oslo Pensjonsforsikring'!G107+'Protector Forsikring'!G107+'Sparebank 1 Fors.'!G107+'Storebrand Livsforsikring'!G107+'Telenor Forsikring'!G107+'Tryg Forsikring'!G107+'WaterCircles F'!G107+'Euro Accident'!G107+'Ly Forsikring'!G107+'Youplus Livsforsikring'!G107+'Oslo Forsikring'!G107+'Knif Trygghet Forsikring'!G107</f>
        <v>408990.01650598901</v>
      </c>
      <c r="G107" s="123">
        <f t="shared" si="22"/>
        <v>3.6</v>
      </c>
      <c r="H107" s="184">
        <f t="shared" si="30"/>
        <v>4559510.444200987</v>
      </c>
      <c r="I107" s="184">
        <f t="shared" si="31"/>
        <v>4738580.3465059893</v>
      </c>
      <c r="J107" s="20">
        <f t="shared" si="25"/>
        <v>3.9</v>
      </c>
    </row>
    <row r="108" spans="1:13" ht="15.75" customHeight="1" x14ac:dyDescent="0.2">
      <c r="A108" s="18" t="s">
        <v>209</v>
      </c>
      <c r="B108" s="181">
        <f>Fremtind!B108+'DNB Livsforsikring'!B108+'Frende Livsforsikring'!B108+'Frende Skadeforsikring'!B108+'Gjensidige Forsikring'!B108+'Gjensidige Pensjon'!B108+'If Skadeforsikring NUF'!B108+KLP!B108+'KLP Skadeforsikring AS'!B108+'Landkreditt Forsikring AS'!B108+'Nordea Liv '!B108+'Oslo Pensjonsforsikring'!B108+'Protector Forsikring'!B108+'Sparebank 1 Fors.'!B108+'Storebrand Livsforsikring'!B108+'Telenor Forsikring'!B108+'Tryg Forsikring'!B108+'WaterCircles F'!B108+'Euro Accident'!B108+'Ly Forsikring'!B108+'Youplus Livsforsikring'!B108+'Oslo Forsikring'!B108+'Knif Trygghet Forsikring'!B108</f>
        <v>330457899.48653722</v>
      </c>
      <c r="C108" s="181">
        <f>Fremtind!C108+'DNB Livsforsikring'!C108+'Frende Livsforsikring'!C108+'Frende Skadeforsikring'!C108+'Gjensidige Forsikring'!C108+'Gjensidige Pensjon'!C108+'If Skadeforsikring NUF'!C108+KLP!C108+'KLP Skadeforsikring AS'!C108+'Landkreditt Forsikring AS'!C108+'Nordea Liv '!C108+'Oslo Pensjonsforsikring'!C108+'Protector Forsikring'!C108+'Sparebank 1 Fors.'!C108+'Storebrand Livsforsikring'!C108+'Telenor Forsikring'!C108+'Tryg Forsikring'!C108+'WaterCircles F'!C108+'Euro Accident'!C108+'Ly Forsikring'!C108+'Youplus Livsforsikring'!C108+'Oslo Forsikring'!C108+'Knif Trygghet Forsikring'!C108</f>
        <v>329827672.72600996</v>
      </c>
      <c r="D108" s="20">
        <f t="shared" si="21"/>
        <v>-0.2</v>
      </c>
      <c r="E108" s="36">
        <f>Fremtind!F108+'DNB Livsforsikring'!F108+'Frende Livsforsikring'!F108+'Frende Skadeforsikring'!F108+'Gjensidige Forsikring'!F108+'Gjensidige Pensjon'!F108+'If Skadeforsikring NUF'!F108+KLP!F108+'KLP Skadeforsikring AS'!F108+'Landkreditt Forsikring AS'!F108+'Nordea Liv '!F108+'Oslo Pensjonsforsikring'!F108+'Protector Forsikring'!F108+'Sparebank 1 Fors.'!F108+'Storebrand Livsforsikring'!F108+'Telenor Forsikring'!F108+'Tryg Forsikring'!F108+'WaterCircles F'!F108+'Euro Accident'!F108+'Ly Forsikring'!F108+'Youplus Livsforsikring'!F108+'Oslo Forsikring'!F108+'Knif Trygghet Forsikring'!F108</f>
        <v>23222155.307822309</v>
      </c>
      <c r="F108" s="36">
        <f>Fremtind!G108+'DNB Livsforsikring'!G108+'Frende Livsforsikring'!G108+'Frende Skadeforsikring'!G108+'Gjensidige Forsikring'!G108+'Gjensidige Pensjon'!G108+'If Skadeforsikring NUF'!G108+KLP!G108+'KLP Skadeforsikring AS'!G108+'Landkreditt Forsikring AS'!G108+'Nordea Liv '!G108+'Oslo Pensjonsforsikring'!G108+'Protector Forsikring'!G108+'Sparebank 1 Fors.'!G108+'Storebrand Livsforsikring'!G108+'Telenor Forsikring'!G108+'Tryg Forsikring'!G108+'WaterCircles F'!G108+'Euro Accident'!G108+'Ly Forsikring'!G108+'Youplus Livsforsikring'!G108+'Oslo Forsikring'!G108+'Knif Trygghet Forsikring'!G108</f>
        <v>25915301.51329229</v>
      </c>
      <c r="G108" s="123">
        <f t="shared" si="22"/>
        <v>11.6</v>
      </c>
      <c r="H108" s="184">
        <f t="shared" si="30"/>
        <v>353680054.79435951</v>
      </c>
      <c r="I108" s="184">
        <f t="shared" si="31"/>
        <v>355742974.23930228</v>
      </c>
      <c r="J108" s="20">
        <f t="shared" si="25"/>
        <v>0.6</v>
      </c>
    </row>
    <row r="109" spans="1:13" ht="15.75" customHeight="1" x14ac:dyDescent="0.2">
      <c r="A109" s="18" t="s">
        <v>210</v>
      </c>
      <c r="B109" s="181">
        <f>Fremtind!B109+'DNB Livsforsikring'!B109+'Frende Livsforsikring'!B109+'Frende Skadeforsikring'!B109+'Gjensidige Forsikring'!B109+'Gjensidige Pensjon'!B109+'If Skadeforsikring NUF'!B109+KLP!B109+'KLP Skadeforsikring AS'!B109+'Landkreditt Forsikring AS'!B109+'Nordea Liv '!B109+'Oslo Pensjonsforsikring'!B109+'Protector Forsikring'!B109+'Sparebank 1 Fors.'!B109+'Storebrand Livsforsikring'!B109+'Telenor Forsikring'!B109+'Tryg Forsikring'!B109+'WaterCircles F'!B109+'Euro Accident'!B109+'Ly Forsikring'!B109+'Youplus Livsforsikring'!B109+'Oslo Forsikring'!B109+'Knif Trygghet Forsikring'!B109</f>
        <v>2564583.3651173301</v>
      </c>
      <c r="C109" s="181">
        <f>Fremtind!C109+'DNB Livsforsikring'!C109+'Frende Livsforsikring'!C109+'Frende Skadeforsikring'!C109+'Gjensidige Forsikring'!C109+'Gjensidige Pensjon'!C109+'If Skadeforsikring NUF'!C109+KLP!C109+'KLP Skadeforsikring AS'!C109+'Landkreditt Forsikring AS'!C109+'Nordea Liv '!C109+'Oslo Pensjonsforsikring'!C109+'Protector Forsikring'!C109+'Sparebank 1 Fors.'!C109+'Storebrand Livsforsikring'!C109+'Telenor Forsikring'!C109+'Tryg Forsikring'!C109+'WaterCircles F'!C109+'Euro Accident'!C109+'Ly Forsikring'!C109+'Youplus Livsforsikring'!C109+'Oslo Forsikring'!C109+'Knif Trygghet Forsikring'!C109</f>
        <v>3246980.7611615639</v>
      </c>
      <c r="D109" s="20">
        <f t="shared" si="21"/>
        <v>26.6</v>
      </c>
      <c r="E109" s="36">
        <f>Fremtind!F109+'DNB Livsforsikring'!F109+'Frende Livsforsikring'!F109+'Frende Skadeforsikring'!F109+'Gjensidige Forsikring'!F109+'Gjensidige Pensjon'!F109+'If Skadeforsikring NUF'!F109+KLP!F109+'KLP Skadeforsikring AS'!F109+'Landkreditt Forsikring AS'!F109+'Nordea Liv '!F109+'Oslo Pensjonsforsikring'!F109+'Protector Forsikring'!F109+'Sparebank 1 Fors.'!F109+'Storebrand Livsforsikring'!F109+'Telenor Forsikring'!F109+'Tryg Forsikring'!F109+'WaterCircles F'!F109+'Euro Accident'!F109+'Ly Forsikring'!F109+'Youplus Livsforsikring'!F109+'Oslo Forsikring'!F109+'Knif Trygghet Forsikring'!F109</f>
        <v>258106009.55182999</v>
      </c>
      <c r="F109" s="36">
        <f>Fremtind!G109+'DNB Livsforsikring'!G109+'Frende Livsforsikring'!G109+'Frende Skadeforsikring'!G109+'Gjensidige Forsikring'!G109+'Gjensidige Pensjon'!G109+'If Skadeforsikring NUF'!G109+KLP!G109+'KLP Skadeforsikring AS'!G109+'Landkreditt Forsikring AS'!G109+'Nordea Liv '!G109+'Oslo Pensjonsforsikring'!G109+'Protector Forsikring'!G109+'Sparebank 1 Fors.'!G109+'Storebrand Livsforsikring'!G109+'Telenor Forsikring'!G109+'Tryg Forsikring'!G109+'WaterCircles F'!G109+'Euro Accident'!G109+'Ly Forsikring'!G109+'Youplus Livsforsikring'!G109+'Oslo Forsikring'!G109+'Knif Trygghet Forsikring'!G109</f>
        <v>315806322.49540997</v>
      </c>
      <c r="G109" s="123">
        <f t="shared" si="22"/>
        <v>22.4</v>
      </c>
      <c r="H109" s="184">
        <f t="shared" si="30"/>
        <v>260670592.91694734</v>
      </c>
      <c r="I109" s="184">
        <f t="shared" si="31"/>
        <v>319053303.25657153</v>
      </c>
      <c r="J109" s="20">
        <f t="shared" si="25"/>
        <v>22.4</v>
      </c>
    </row>
    <row r="110" spans="1:13" ht="15.75" customHeight="1" x14ac:dyDescent="0.2">
      <c r="A110" s="18" t="s">
        <v>211</v>
      </c>
      <c r="B110" s="181">
        <f>Fremtind!B110+'DNB Livsforsikring'!B110+'Frende Livsforsikring'!B110+'Frende Skadeforsikring'!B110+'Gjensidige Forsikring'!B110+'Gjensidige Pensjon'!B110+'If Skadeforsikring NUF'!B110+KLP!B110+'KLP Skadeforsikring AS'!B110+'Landkreditt Forsikring AS'!B110+'Nordea Liv '!B110+'Oslo Pensjonsforsikring'!B110+'Protector Forsikring'!B110+'Sparebank 1 Fors.'!B110+'Storebrand Livsforsikring'!B110+'Telenor Forsikring'!B110+'Tryg Forsikring'!B110+'WaterCircles F'!B110+'Euro Accident'!B110+'Ly Forsikring'!B110+'Youplus Livsforsikring'!B110+'Oslo Forsikring'!B110+'Knif Trygghet Forsikring'!B110</f>
        <v>3790071.2579199998</v>
      </c>
      <c r="C110" s="181">
        <f>Fremtind!C110+'DNB Livsforsikring'!C110+'Frende Livsforsikring'!C110+'Frende Skadeforsikring'!C110+'Gjensidige Forsikring'!C110+'Gjensidige Pensjon'!C110+'If Skadeforsikring NUF'!C110+KLP!C110+'KLP Skadeforsikring AS'!C110+'Landkreditt Forsikring AS'!C110+'Nordea Liv '!C110+'Oslo Pensjonsforsikring'!C110+'Protector Forsikring'!C110+'Sparebank 1 Fors.'!C110+'Storebrand Livsforsikring'!C110+'Telenor Forsikring'!C110+'Tryg Forsikring'!C110+'WaterCircles F'!C110+'Euro Accident'!C110+'Ly Forsikring'!C110+'Youplus Livsforsikring'!C110+'Oslo Forsikring'!C110+'Knif Trygghet Forsikring'!C110</f>
        <v>5222134.5877400003</v>
      </c>
      <c r="D110" s="20">
        <f t="shared" si="21"/>
        <v>37.799999999999997</v>
      </c>
      <c r="E110" s="36"/>
      <c r="F110" s="36"/>
      <c r="G110" s="123"/>
      <c r="H110" s="184">
        <f t="shared" si="30"/>
        <v>3790071.2579199998</v>
      </c>
      <c r="I110" s="184">
        <f t="shared" si="31"/>
        <v>5222134.5877400003</v>
      </c>
      <c r="J110" s="20">
        <f t="shared" si="25"/>
        <v>37.799999999999997</v>
      </c>
    </row>
    <row r="111" spans="1:13" s="35" customFormat="1" ht="15.75" customHeight="1" x14ac:dyDescent="0.2">
      <c r="A111" s="10" t="s">
        <v>173</v>
      </c>
      <c r="B111" s="250">
        <f>Fremtind!B111+'DNB Livsforsikring'!B111+'Frende Livsforsikring'!B111+'Frende Skadeforsikring'!B111+'Gjensidige Forsikring'!B111+'Gjensidige Pensjon'!B111+'If Skadeforsikring NUF'!B111+KLP!B111+'KLP Skadeforsikring AS'!B111+'Landkreditt Forsikring AS'!B111+'Nordea Liv '!B111+'Oslo Pensjonsforsikring'!B111+'Protector Forsikring'!B111+'Sparebank 1 Fors.'!B111+'Storebrand Livsforsikring'!B111+'Telenor Forsikring'!B111+'Tryg Forsikring'!B111+'WaterCircles F'!B111+'Euro Accident'!B111+'Ly Forsikring'!B111+'Youplus Livsforsikring'!B111+'Oslo Forsikring'!B111+'Knif Trygghet Forsikring'!B111</f>
        <v>1135493.62424</v>
      </c>
      <c r="C111" s="250">
        <f>Fremtind!C111+'DNB Livsforsikring'!C111+'Frende Livsforsikring'!C111+'Frende Skadeforsikring'!C111+'Gjensidige Forsikring'!C111+'Gjensidige Pensjon'!C111+'If Skadeforsikring NUF'!C111+KLP!C111+'KLP Skadeforsikring AS'!C111+'Landkreditt Forsikring AS'!C111+'Nordea Liv '!C111+'Oslo Pensjonsforsikring'!C111+'Protector Forsikring'!C111+'Sparebank 1 Fors.'!C111+'Storebrand Livsforsikring'!C111+'Telenor Forsikring'!C111+'Tryg Forsikring'!C111+'WaterCircles F'!C111+'Euro Accident'!C111+'Ly Forsikring'!C111+'Youplus Livsforsikring'!C111+'Oslo Forsikring'!C111+'Knif Trygghet Forsikring'!C111</f>
        <v>299574.75540000002</v>
      </c>
      <c r="D111" s="21">
        <f t="shared" si="21"/>
        <v>-73.599999999999994</v>
      </c>
      <c r="E111" s="183">
        <f>Fremtind!F111+'DNB Livsforsikring'!F111+'Frende Livsforsikring'!F111+'Frende Skadeforsikring'!F111+'Gjensidige Forsikring'!F111+'Gjensidige Pensjon'!F111+'If Skadeforsikring NUF'!F111+KLP!F111+'KLP Skadeforsikring AS'!F111+'Landkreditt Forsikring AS'!F111+'Nordea Liv '!F111+'Oslo Pensjonsforsikring'!F111+'Protector Forsikring'!F111+'Sparebank 1 Fors.'!F111+'Storebrand Livsforsikring'!F111+'Telenor Forsikring'!F111+'Tryg Forsikring'!F111+'WaterCircles F'!F111+'Euro Accident'!F111+'Ly Forsikring'!F111+'Youplus Livsforsikring'!F111+'Oslo Forsikring'!F111+'Knif Trygghet Forsikring'!F111</f>
        <v>19977944.200959999</v>
      </c>
      <c r="F111" s="183">
        <f>Fremtind!G111+'DNB Livsforsikring'!G111+'Frende Livsforsikring'!G111+'Frende Skadeforsikring'!G111+'Gjensidige Forsikring'!G111+'Gjensidige Pensjon'!G111+'If Skadeforsikring NUF'!G111+KLP!G111+'KLP Skadeforsikring AS'!G111+'Landkreditt Forsikring AS'!G111+'Nordea Liv '!G111+'Oslo Pensjonsforsikring'!G111+'Protector Forsikring'!G111+'Sparebank 1 Fors.'!G111+'Storebrand Livsforsikring'!G111+'Telenor Forsikring'!G111+'Tryg Forsikring'!G111+'WaterCircles F'!G111+'Euro Accident'!G111+'Ly Forsikring'!G111+'Youplus Livsforsikring'!G111+'Oslo Forsikring'!G111+'Knif Trygghet Forsikring'!G111</f>
        <v>24119223.99368</v>
      </c>
      <c r="G111" s="127">
        <f t="shared" si="22"/>
        <v>20.7</v>
      </c>
      <c r="H111" s="270">
        <f t="shared" si="30"/>
        <v>21113437.825199999</v>
      </c>
      <c r="I111" s="270">
        <f t="shared" si="31"/>
        <v>24418798.749079999</v>
      </c>
      <c r="J111" s="21">
        <f t="shared" si="25"/>
        <v>15.7</v>
      </c>
    </row>
    <row r="112" spans="1:13" ht="15.75" customHeight="1" x14ac:dyDescent="0.2">
      <c r="A112" s="18" t="s">
        <v>198</v>
      </c>
      <c r="B112" s="181">
        <f>Fremtind!B112+'DNB Livsforsikring'!B112+'Frende Livsforsikring'!B112+'Frende Skadeforsikring'!B112+'Gjensidige Forsikring'!B112+'Gjensidige Pensjon'!B112+'If Skadeforsikring NUF'!B112+KLP!B112+'KLP Skadeforsikring AS'!B112+'Landkreditt Forsikring AS'!B112+'Nordea Liv '!B112+'Oslo Pensjonsforsikring'!B112+'Protector Forsikring'!B112+'Sparebank 1 Fors.'!B112+'Storebrand Livsforsikring'!B112+'Telenor Forsikring'!B112+'Tryg Forsikring'!B112+'WaterCircles F'!B112+'Euro Accident'!B112+'Ly Forsikring'!B112+'Youplus Livsforsikring'!B112+'Oslo Forsikring'!B112+'Knif Trygghet Forsikring'!B112</f>
        <v>1057841.1397199999</v>
      </c>
      <c r="C112" s="181">
        <f>Fremtind!C112+'DNB Livsforsikring'!C112+'Frende Livsforsikring'!C112+'Frende Skadeforsikring'!C112+'Gjensidige Forsikring'!C112+'Gjensidige Pensjon'!C112+'If Skadeforsikring NUF'!C112+KLP!C112+'KLP Skadeforsikring AS'!C112+'Landkreditt Forsikring AS'!C112+'Nordea Liv '!C112+'Oslo Pensjonsforsikring'!C112+'Protector Forsikring'!C112+'Sparebank 1 Fors.'!C112+'Storebrand Livsforsikring'!C112+'Telenor Forsikring'!C112+'Tryg Forsikring'!C112+'WaterCircles F'!C112+'Euro Accident'!C112+'Ly Forsikring'!C112+'Youplus Livsforsikring'!C112+'Oslo Forsikring'!C112+'Knif Trygghet Forsikring'!C112</f>
        <v>219733.91652</v>
      </c>
      <c r="D112" s="20">
        <f t="shared" ref="D112:D125" si="36">IF(B112=0, "    ---- ", IF(ABS(ROUND(100/B112*C112-100,1))&lt;999,ROUND(100/B112*C112-100,1),IF(ROUND(100/B112*C112-100,1)&gt;999,999,-999)))</f>
        <v>-79.2</v>
      </c>
      <c r="E112" s="36">
        <f>Fremtind!F112+'DNB Livsforsikring'!F112+'Frende Livsforsikring'!F112+'Frende Skadeforsikring'!F112+'Gjensidige Forsikring'!F112+'Gjensidige Pensjon'!F112+'If Skadeforsikring NUF'!F112+KLP!F112+'KLP Skadeforsikring AS'!F112+'Landkreditt Forsikring AS'!F112+'Nordea Liv '!F112+'Oslo Pensjonsforsikring'!F112+'Protector Forsikring'!F112+'Sparebank 1 Fors.'!F112+'Storebrand Livsforsikring'!F112+'Telenor Forsikring'!F112+'Tryg Forsikring'!F112+'WaterCircles F'!F112+'Euro Accident'!F112+'Ly Forsikring'!F112+'Youplus Livsforsikring'!F112+'Oslo Forsikring'!F112+'Knif Trygghet Forsikring'!F112</f>
        <v>472.80700000000002</v>
      </c>
      <c r="F112" s="36">
        <f>Fremtind!G112+'DNB Livsforsikring'!G112+'Frende Livsforsikring'!G112+'Frende Skadeforsikring'!G112+'Gjensidige Forsikring'!G112+'Gjensidige Pensjon'!G112+'If Skadeforsikring NUF'!G112+KLP!G112+'KLP Skadeforsikring AS'!G112+'Landkreditt Forsikring AS'!G112+'Nordea Liv '!G112+'Oslo Pensjonsforsikring'!G112+'Protector Forsikring'!G112+'Sparebank 1 Fors.'!G112+'Storebrand Livsforsikring'!G112+'Telenor Forsikring'!G112+'Tryg Forsikring'!G112+'WaterCircles F'!G112+'Euro Accident'!G112+'Ly Forsikring'!G112+'Youplus Livsforsikring'!G112+'Oslo Forsikring'!G112+'Knif Trygghet Forsikring'!G112</f>
        <v>2491.8789999999999</v>
      </c>
      <c r="G112" s="123">
        <f t="shared" si="22"/>
        <v>427</v>
      </c>
      <c r="H112" s="184">
        <f t="shared" ref="H112:H125" si="37">SUM(B112,E112)</f>
        <v>1058313.9467199999</v>
      </c>
      <c r="I112" s="184">
        <f t="shared" ref="I112:I125" si="38">SUM(C112,F112)</f>
        <v>222225.79551999999</v>
      </c>
      <c r="J112" s="20">
        <f t="shared" ref="J112:J125" si="39">IF(H112=0, "    ---- ", IF(ABS(ROUND(100/H112*I112-100,1))&lt;999,ROUND(100/H112*I112-100,1),IF(ROUND(100/H112*I112-100,1)&gt;999,999,-999)))</f>
        <v>-79</v>
      </c>
    </row>
    <row r="113" spans="1:10" ht="15.75" customHeight="1" x14ac:dyDescent="0.2">
      <c r="A113" s="18" t="s">
        <v>199</v>
      </c>
      <c r="B113" s="181"/>
      <c r="C113" s="181">
        <f>Fremtind!C113+'DNB Livsforsikring'!C113+'Frende Livsforsikring'!C113+'Frende Skadeforsikring'!C113+'Gjensidige Forsikring'!C113+'Gjensidige Pensjon'!C113+'If Skadeforsikring NUF'!C113+KLP!C113+'KLP Skadeforsikring AS'!C113+'Landkreditt Forsikring AS'!C113+'Nordea Liv '!C113+'Oslo Pensjonsforsikring'!C113+'Protector Forsikring'!C113+'Sparebank 1 Fors.'!C113+'Storebrand Livsforsikring'!C113+'Telenor Forsikring'!C113+'Tryg Forsikring'!C113+'WaterCircles F'!C113+'Euro Accident'!C113+'Ly Forsikring'!C113+'Youplus Livsforsikring'!C113+'Oslo Forsikring'!C113+'Knif Trygghet Forsikring'!C113</f>
        <v>10682.736070000001</v>
      </c>
      <c r="D113" s="20" t="str">
        <f t="shared" si="36"/>
        <v xml:space="preserve">    ---- </v>
      </c>
      <c r="E113" s="36">
        <f>Fremtind!F113+'DNB Livsforsikring'!F113+'Frende Livsforsikring'!F113+'Frende Skadeforsikring'!F113+'Gjensidige Forsikring'!F113+'Gjensidige Pensjon'!F113+'If Skadeforsikring NUF'!F113+KLP!F113+'KLP Skadeforsikring AS'!F113+'Landkreditt Forsikring AS'!F113+'Nordea Liv '!F113+'Oslo Pensjonsforsikring'!F113+'Protector Forsikring'!F113+'Sparebank 1 Fors.'!F113+'Storebrand Livsforsikring'!F113+'Telenor Forsikring'!F113+'Tryg Forsikring'!F113+'WaterCircles F'!F113+'Euro Accident'!F113+'Ly Forsikring'!F113+'Youplus Livsforsikring'!F113+'Oslo Forsikring'!F113+'Knif Trygghet Forsikring'!F113</f>
        <v>19977471.393959999</v>
      </c>
      <c r="F113" s="36">
        <f>Fremtind!G113+'DNB Livsforsikring'!G113+'Frende Livsforsikring'!G113+'Frende Skadeforsikring'!G113+'Gjensidige Forsikring'!G113+'Gjensidige Pensjon'!G113+'If Skadeforsikring NUF'!G113+KLP!G113+'KLP Skadeforsikring AS'!G113+'Landkreditt Forsikring AS'!G113+'Nordea Liv '!G113+'Oslo Pensjonsforsikring'!G113+'Protector Forsikring'!G113+'Sparebank 1 Fors.'!G113+'Storebrand Livsforsikring'!G113+'Telenor Forsikring'!G113+'Tryg Forsikring'!G113+'WaterCircles F'!G113+'Euro Accident'!G113+'Ly Forsikring'!G113+'Youplus Livsforsikring'!G113+'Oslo Forsikring'!G113+'Knif Trygghet Forsikring'!G113</f>
        <v>24113484.853050001</v>
      </c>
      <c r="G113" s="127">
        <f t="shared" si="22"/>
        <v>20.7</v>
      </c>
      <c r="H113" s="184">
        <f t="shared" si="37"/>
        <v>19977471.393959999</v>
      </c>
      <c r="I113" s="184">
        <f t="shared" si="38"/>
        <v>24124167.589120001</v>
      </c>
      <c r="J113" s="21">
        <f t="shared" si="39"/>
        <v>20.8</v>
      </c>
    </row>
    <row r="114" spans="1:10" ht="15.75" customHeight="1" x14ac:dyDescent="0.2">
      <c r="A114" s="18" t="s">
        <v>212</v>
      </c>
      <c r="B114" s="181">
        <f>Fremtind!B114+'DNB Livsforsikring'!B114+'Frende Livsforsikring'!B114+'Frende Skadeforsikring'!B114+'Gjensidige Forsikring'!B114+'Gjensidige Pensjon'!B114+'If Skadeforsikring NUF'!B114+KLP!B114+'KLP Skadeforsikring AS'!B114+'Landkreditt Forsikring AS'!B114+'Nordea Liv '!B114+'Oslo Pensjonsforsikring'!B114+'Protector Forsikring'!B114+'Sparebank 1 Fors.'!B114+'Storebrand Livsforsikring'!B114+'Telenor Forsikring'!B114+'Tryg Forsikring'!B114+'WaterCircles F'!B114+'Euro Accident'!B114+'Ly Forsikring'!B114+'Youplus Livsforsikring'!B114+'Oslo Forsikring'!B114+'Knif Trygghet Forsikring'!B114</f>
        <v>77652.484519999998</v>
      </c>
      <c r="C114" s="181">
        <f>Fremtind!C114+'DNB Livsforsikring'!C114+'Frende Livsforsikring'!C114+'Frende Skadeforsikring'!C114+'Gjensidige Forsikring'!C114+'Gjensidige Pensjon'!C114+'If Skadeforsikring NUF'!C114+KLP!C114+'KLP Skadeforsikring AS'!C114+'Landkreditt Forsikring AS'!C114+'Nordea Liv '!C114+'Oslo Pensjonsforsikring'!C114+'Protector Forsikring'!C114+'Sparebank 1 Fors.'!C114+'Storebrand Livsforsikring'!C114+'Telenor Forsikring'!C114+'Tryg Forsikring'!C114+'WaterCircles F'!C114+'Euro Accident'!C114+'Ly Forsikring'!C114+'Youplus Livsforsikring'!C114+'Oslo Forsikring'!C114+'Knif Trygghet Forsikring'!C114</f>
        <v>69158.102810000011</v>
      </c>
      <c r="D114" s="20">
        <f t="shared" si="36"/>
        <v>-10.9</v>
      </c>
      <c r="E114" s="36"/>
      <c r="F114" s="36">
        <f>Fremtind!G114+'DNB Livsforsikring'!G114+'Frende Livsforsikring'!G114+'Frende Skadeforsikring'!G114+'Gjensidige Forsikring'!G114+'Gjensidige Pensjon'!G114+'If Skadeforsikring NUF'!G114+KLP!G114+'KLP Skadeforsikring AS'!G114+'Landkreditt Forsikring AS'!G114+'Nordea Liv '!G114+'Oslo Pensjonsforsikring'!G114+'Protector Forsikring'!G114+'Sparebank 1 Fors.'!G114+'Storebrand Livsforsikring'!G114+'Telenor Forsikring'!G114+'Tryg Forsikring'!G114+'WaterCircles F'!G114+'Euro Accident'!G114+'Ly Forsikring'!G114+'Youplus Livsforsikring'!G114+'Oslo Forsikring'!G114+'Knif Trygghet Forsikring'!G114</f>
        <v>3247.26163</v>
      </c>
      <c r="G114" s="127" t="str">
        <f t="shared" si="22"/>
        <v xml:space="preserve">    ---- </v>
      </c>
      <c r="H114" s="184">
        <f t="shared" si="37"/>
        <v>77652.484519999998</v>
      </c>
      <c r="I114" s="184">
        <f t="shared" si="38"/>
        <v>72405.364440000005</v>
      </c>
      <c r="J114" s="21">
        <f t="shared" si="39"/>
        <v>-6.8</v>
      </c>
    </row>
    <row r="115" spans="1:10" ht="15.75" customHeight="1" x14ac:dyDescent="0.2">
      <c r="A115" s="555" t="s">
        <v>213</v>
      </c>
      <c r="B115" s="36"/>
      <c r="C115" s="36"/>
      <c r="D115" s="23"/>
      <c r="E115" s="36"/>
      <c r="F115" s="36"/>
      <c r="G115" s="123"/>
      <c r="H115" s="184"/>
      <c r="I115" s="184"/>
      <c r="J115" s="20"/>
    </row>
    <row r="116" spans="1:10" ht="15.75" customHeight="1" x14ac:dyDescent="0.2">
      <c r="A116" s="18" t="s">
        <v>214</v>
      </c>
      <c r="B116" s="181">
        <f>Fremtind!B116+'DNB Livsforsikring'!B116+'Frende Livsforsikring'!B116+'Frende Skadeforsikring'!B116+'Gjensidige Forsikring'!B116+'Gjensidige Pensjon'!B116+'If Skadeforsikring NUF'!B116+KLP!B116+'KLP Skadeforsikring AS'!B116+'Landkreditt Forsikring AS'!B116+'Nordea Liv '!B116+'Oslo Pensjonsforsikring'!B116+'Protector Forsikring'!B116+'Sparebank 1 Fors.'!B116+'Storebrand Livsforsikring'!B116+'Telenor Forsikring'!B116+'Tryg Forsikring'!B116+'WaterCircles F'!B116+'Euro Accident'!B116+'Ly Forsikring'!B116+'Youplus Livsforsikring'!B116+'Oslo Forsikring'!B116+'Knif Trygghet Forsikring'!B116</f>
        <v>915297.67884000007</v>
      </c>
      <c r="C116" s="181">
        <f>Fremtind!C116+'DNB Livsforsikring'!C116+'Frende Livsforsikring'!C116+'Frende Skadeforsikring'!C116+'Gjensidige Forsikring'!C116+'Gjensidige Pensjon'!C116+'If Skadeforsikring NUF'!C116+KLP!C116+'KLP Skadeforsikring AS'!C116+'Landkreditt Forsikring AS'!C116+'Nordea Liv '!C116+'Oslo Pensjonsforsikring'!C116+'Protector Forsikring'!C116+'Sparebank 1 Fors.'!C116+'Storebrand Livsforsikring'!C116+'Telenor Forsikring'!C116+'Tryg Forsikring'!C116+'WaterCircles F'!C116+'Euro Accident'!C116+'Ly Forsikring'!C116+'Youplus Livsforsikring'!C116+'Oslo Forsikring'!C116+'Knif Trygghet Forsikring'!C116</f>
        <v>34025.336749999995</v>
      </c>
      <c r="D116" s="20">
        <f t="shared" si="36"/>
        <v>-96.3</v>
      </c>
      <c r="E116" s="36">
        <f>Fremtind!F116+'DNB Livsforsikring'!F116+'Frende Livsforsikring'!F116+'Frende Skadeforsikring'!F116+'Gjensidige Forsikring'!F116+'Gjensidige Pensjon'!F116+'If Skadeforsikring NUF'!F116+KLP!F116+'KLP Skadeforsikring AS'!F116+'Landkreditt Forsikring AS'!F116+'Nordea Liv '!F116+'Oslo Pensjonsforsikring'!F116+'Protector Forsikring'!F116+'Sparebank 1 Fors.'!F116+'Storebrand Livsforsikring'!F116+'Telenor Forsikring'!F116+'Tryg Forsikring'!F116+'WaterCircles F'!F116+'Euro Accident'!F116+'Ly Forsikring'!F116+'Youplus Livsforsikring'!F116+'Oslo Forsikring'!F116+'Knif Trygghet Forsikring'!F116</f>
        <v>472.80700000000002</v>
      </c>
      <c r="F116" s="36">
        <f>Fremtind!G116+'DNB Livsforsikring'!G116+'Frende Livsforsikring'!G116+'Frende Skadeforsikring'!G116+'Gjensidige Forsikring'!G116+'Gjensidige Pensjon'!G116+'If Skadeforsikring NUF'!G116+KLP!G116+'KLP Skadeforsikring AS'!G116+'Landkreditt Forsikring AS'!G116+'Nordea Liv '!G116+'Oslo Pensjonsforsikring'!G116+'Protector Forsikring'!G116+'Sparebank 1 Fors.'!G116+'Storebrand Livsforsikring'!G116+'Telenor Forsikring'!G116+'Tryg Forsikring'!G116+'WaterCircles F'!G116+'Euro Accident'!G116+'Ly Forsikring'!G116+'Youplus Livsforsikring'!G116+'Oslo Forsikring'!G116+'Knif Trygghet Forsikring'!G116</f>
        <v>2491.8789999999999</v>
      </c>
      <c r="G116" s="123">
        <f t="shared" si="22"/>
        <v>427</v>
      </c>
      <c r="H116" s="184">
        <f t="shared" si="37"/>
        <v>915770.4858400001</v>
      </c>
      <c r="I116" s="184">
        <f t="shared" si="38"/>
        <v>36517.215749999996</v>
      </c>
      <c r="J116" s="20">
        <f t="shared" si="39"/>
        <v>-96</v>
      </c>
    </row>
    <row r="117" spans="1:10" ht="15.75" customHeight="1" x14ac:dyDescent="0.2">
      <c r="A117" s="18" t="s">
        <v>210</v>
      </c>
      <c r="B117" s="181"/>
      <c r="C117" s="181"/>
      <c r="D117" s="20"/>
      <c r="E117" s="36">
        <f>Fremtind!F117+'DNB Livsforsikring'!F117+'Frende Livsforsikring'!F117+'Frende Skadeforsikring'!F117+'Gjensidige Forsikring'!F117+'Gjensidige Pensjon'!F117+'If Skadeforsikring NUF'!F117+KLP!F117+'KLP Skadeforsikring AS'!F117+'Landkreditt Forsikring AS'!F117+'Nordea Liv '!F117+'Oslo Pensjonsforsikring'!F117+'Protector Forsikring'!F117+'Sparebank 1 Fors.'!F117+'Storebrand Livsforsikring'!F117+'Telenor Forsikring'!F117+'Tryg Forsikring'!F117+'WaterCircles F'!F117+'Euro Accident'!F117+'Ly Forsikring'!F117+'Youplus Livsforsikring'!F117+'Oslo Forsikring'!F117+'Knif Trygghet Forsikring'!F117</f>
        <v>11197390.0682</v>
      </c>
      <c r="F117" s="36">
        <f>Fremtind!G117+'DNB Livsforsikring'!G117+'Frende Livsforsikring'!G117+'Frende Skadeforsikring'!G117+'Gjensidige Forsikring'!G117+'Gjensidige Pensjon'!G117+'If Skadeforsikring NUF'!G117+KLP!G117+'KLP Skadeforsikring AS'!G117+'Landkreditt Forsikring AS'!G117+'Nordea Liv '!G117+'Oslo Pensjonsforsikring'!G117+'Protector Forsikring'!G117+'Sparebank 1 Fors.'!G117+'Storebrand Livsforsikring'!G117+'Telenor Forsikring'!G117+'Tryg Forsikring'!G117+'WaterCircles F'!G117+'Euro Accident'!G117+'Ly Forsikring'!G117+'Youplus Livsforsikring'!G117+'Oslo Forsikring'!G117+'Knif Trygghet Forsikring'!G117</f>
        <v>13531594.28882</v>
      </c>
      <c r="G117" s="123">
        <f t="shared" si="22"/>
        <v>20.8</v>
      </c>
      <c r="H117" s="184">
        <f t="shared" si="37"/>
        <v>11197390.0682</v>
      </c>
      <c r="I117" s="184">
        <f t="shared" si="38"/>
        <v>13531594.28882</v>
      </c>
      <c r="J117" s="20">
        <f t="shared" si="39"/>
        <v>20.8</v>
      </c>
    </row>
    <row r="118" spans="1:10" ht="15.75" customHeight="1" x14ac:dyDescent="0.2">
      <c r="A118" s="18" t="s">
        <v>211</v>
      </c>
      <c r="B118" s="181"/>
      <c r="C118" s="181">
        <f>Fremtind!C118+'DNB Livsforsikring'!C118+'Frende Livsforsikring'!C118+'Frende Skadeforsikring'!C118+'Gjensidige Forsikring'!C118+'Gjensidige Pensjon'!C118+'If Skadeforsikring NUF'!C118+KLP!C118+'KLP Skadeforsikring AS'!C118+'Landkreditt Forsikring AS'!C118+'Nordea Liv '!C118+'Oslo Pensjonsforsikring'!C118+'Protector Forsikring'!C118+'Sparebank 1 Fors.'!C118+'Storebrand Livsforsikring'!C118+'Telenor Forsikring'!C118+'Tryg Forsikring'!C118+'WaterCircles F'!C118+'Euro Accident'!C118+'Ly Forsikring'!C118+'Youplus Livsforsikring'!C118+'Oslo Forsikring'!C118+'Knif Trygghet Forsikring'!C118</f>
        <v>165.32499999999999</v>
      </c>
      <c r="D118" s="20" t="str">
        <f t="shared" si="36"/>
        <v xml:space="preserve">    ---- </v>
      </c>
      <c r="E118" s="36"/>
      <c r="F118" s="36"/>
      <c r="G118" s="123"/>
      <c r="H118" s="184"/>
      <c r="I118" s="184">
        <f t="shared" si="38"/>
        <v>165.32499999999999</v>
      </c>
      <c r="J118" s="20" t="str">
        <f t="shared" si="39"/>
        <v xml:space="preserve">    ---- </v>
      </c>
    </row>
    <row r="119" spans="1:10" s="35" customFormat="1" ht="15.75" customHeight="1" x14ac:dyDescent="0.2">
      <c r="A119" s="10" t="s">
        <v>174</v>
      </c>
      <c r="B119" s="270">
        <f>Fremtind!B119+'DNB Livsforsikring'!B119+'Frende Livsforsikring'!B119+'Frende Skadeforsikring'!B119+'Gjensidige Forsikring'!B119+'Gjensidige Pensjon'!B119+'If Skadeforsikring NUF'!B119+KLP!B119+'KLP Skadeforsikring AS'!B119+'Landkreditt Forsikring AS'!B119+'Nordea Liv '!B119+'Oslo Pensjonsforsikring'!B119+'Protector Forsikring'!B119+'Sparebank 1 Fors.'!B119+'Storebrand Livsforsikring'!B119+'Telenor Forsikring'!B119+'Tryg Forsikring'!B119+'WaterCircles F'!B119+'Euro Accident'!B119+'Ly Forsikring'!B119+'Youplus Livsforsikring'!B119+'Oslo Forsikring'!B119+'Knif Trygghet Forsikring'!B119</f>
        <v>215315.51566</v>
      </c>
      <c r="C119" s="270">
        <f>Fremtind!C119+'DNB Livsforsikring'!C119+'Frende Livsforsikring'!C119+'Frende Skadeforsikring'!C119+'Gjensidige Forsikring'!C119+'Gjensidige Pensjon'!C119+'If Skadeforsikring NUF'!C119+KLP!C119+'KLP Skadeforsikring AS'!C119+'Landkreditt Forsikring AS'!C119+'Nordea Liv '!C119+'Oslo Pensjonsforsikring'!C119+'Protector Forsikring'!C119+'Sparebank 1 Fors.'!C119+'Storebrand Livsforsikring'!C119+'Telenor Forsikring'!C119+'Tryg Forsikring'!C119+'WaterCircles F'!C119+'Euro Accident'!C119+'Ly Forsikring'!C119+'Youplus Livsforsikring'!C119+'Oslo Forsikring'!C119+'Knif Trygghet Forsikring'!C119</f>
        <v>343318.17107999994</v>
      </c>
      <c r="D119" s="21">
        <f t="shared" si="36"/>
        <v>59.4</v>
      </c>
      <c r="E119" s="183">
        <f>Fremtind!F119+'DNB Livsforsikring'!F119+'Frende Livsforsikring'!F119+'Frende Skadeforsikring'!F119+'Gjensidige Forsikring'!F119+'Gjensidige Pensjon'!F119+'If Skadeforsikring NUF'!F119+KLP!F119+'KLP Skadeforsikring AS'!F119+'Landkreditt Forsikring AS'!F119+'Nordea Liv '!F119+'Oslo Pensjonsforsikring'!F119+'Protector Forsikring'!F119+'Sparebank 1 Fors.'!F119+'Storebrand Livsforsikring'!F119+'Telenor Forsikring'!F119+'Tryg Forsikring'!F119+'WaterCircles F'!F119+'Euro Accident'!F119+'Ly Forsikring'!F119+'Youplus Livsforsikring'!F119+'Oslo Forsikring'!F119+'Knif Trygghet Forsikring'!F119</f>
        <v>21023794.571490001</v>
      </c>
      <c r="F119" s="183">
        <f>Fremtind!G119+'DNB Livsforsikring'!G119+'Frende Livsforsikring'!G119+'Frende Skadeforsikring'!G119+'Gjensidige Forsikring'!G119+'Gjensidige Pensjon'!G119+'If Skadeforsikring NUF'!G119+KLP!G119+'KLP Skadeforsikring AS'!G119+'Landkreditt Forsikring AS'!G119+'Nordea Liv '!G119+'Oslo Pensjonsforsikring'!G119+'Protector Forsikring'!G119+'Sparebank 1 Fors.'!G119+'Storebrand Livsforsikring'!G119+'Telenor Forsikring'!G119+'Tryg Forsikring'!G119+'WaterCircles F'!G119+'Euro Accident'!G119+'Ly Forsikring'!G119+'Youplus Livsforsikring'!G119+'Oslo Forsikring'!G119+'Knif Trygghet Forsikring'!G119</f>
        <v>24959799.818119999</v>
      </c>
      <c r="G119" s="127">
        <f t="shared" si="22"/>
        <v>18.7</v>
      </c>
      <c r="H119" s="270">
        <f t="shared" si="37"/>
        <v>21239110.08715</v>
      </c>
      <c r="I119" s="270">
        <f t="shared" si="38"/>
        <v>25303117.9892</v>
      </c>
      <c r="J119" s="21">
        <f t="shared" si="39"/>
        <v>19.100000000000001</v>
      </c>
    </row>
    <row r="120" spans="1:10" ht="15.75" customHeight="1" x14ac:dyDescent="0.2">
      <c r="A120" s="18" t="s">
        <v>198</v>
      </c>
      <c r="B120" s="184">
        <f>Fremtind!B120+'DNB Livsforsikring'!B120+'Frende Livsforsikring'!B120+'Frende Skadeforsikring'!B120+'Gjensidige Forsikring'!B120+'Gjensidige Pensjon'!B120+'If Skadeforsikring NUF'!B120+KLP!B120+'KLP Skadeforsikring AS'!B120+'Landkreditt Forsikring AS'!B120+'Nordea Liv '!B120+'Oslo Pensjonsforsikring'!B120+'Protector Forsikring'!B120+'Sparebank 1 Fors.'!B120+'Storebrand Livsforsikring'!B120+'Telenor Forsikring'!B120+'Tryg Forsikring'!B120+'WaterCircles F'!B120+'Euro Accident'!B120+'Ly Forsikring'!B120+'Youplus Livsforsikring'!B120+'Oslo Forsikring'!B120+'Knif Trygghet Forsikring'!B120</f>
        <v>58174.167110000002</v>
      </c>
      <c r="C120" s="184">
        <f>Fremtind!C120+'DNB Livsforsikring'!C120+'Frende Livsforsikring'!C120+'Frende Skadeforsikring'!C120+'Gjensidige Forsikring'!C120+'Gjensidige Pensjon'!C120+'If Skadeforsikring NUF'!C120+KLP!C120+'KLP Skadeforsikring AS'!C120+'Landkreditt Forsikring AS'!C120+'Nordea Liv '!C120+'Oslo Pensjonsforsikring'!C120+'Protector Forsikring'!C120+'Sparebank 1 Fors.'!C120+'Storebrand Livsforsikring'!C120+'Telenor Forsikring'!C120+'Tryg Forsikring'!C120+'WaterCircles F'!C120+'Euro Accident'!C120+'Ly Forsikring'!C120+'Youplus Livsforsikring'!C120+'Oslo Forsikring'!C120+'Knif Trygghet Forsikring'!C120</f>
        <v>58652.946729999967</v>
      </c>
      <c r="D120" s="20">
        <f t="shared" si="36"/>
        <v>0.8</v>
      </c>
      <c r="E120" s="36"/>
      <c r="F120" s="36"/>
      <c r="G120" s="123"/>
      <c r="H120" s="184">
        <f t="shared" si="37"/>
        <v>58174.167110000002</v>
      </c>
      <c r="I120" s="184">
        <f t="shared" si="38"/>
        <v>58652.946729999967</v>
      </c>
      <c r="J120" s="20">
        <f t="shared" si="39"/>
        <v>0.8</v>
      </c>
    </row>
    <row r="121" spans="1:10" ht="15.75" customHeight="1" x14ac:dyDescent="0.2">
      <c r="A121" s="18" t="s">
        <v>199</v>
      </c>
      <c r="B121" s="184">
        <f>Fremtind!B121+'DNB Livsforsikring'!B121+'Frende Livsforsikring'!B121+'Frende Skadeforsikring'!B121+'Gjensidige Forsikring'!B121+'Gjensidige Pensjon'!B121+'If Skadeforsikring NUF'!B121+KLP!B121+'KLP Skadeforsikring AS'!B121+'Landkreditt Forsikring AS'!B121+'Nordea Liv '!B121+'Oslo Pensjonsforsikring'!B121+'Protector Forsikring'!B121+'Sparebank 1 Fors.'!B121+'Storebrand Livsforsikring'!B121+'Telenor Forsikring'!B121+'Tryg Forsikring'!B121+'WaterCircles F'!B121+'Euro Accident'!B121+'Ly Forsikring'!B121+'Youplus Livsforsikring'!B121+'Oslo Forsikring'!B121+'Knif Trygghet Forsikring'!B121</f>
        <v>3892.3750700000001</v>
      </c>
      <c r="C121" s="184">
        <f>Fremtind!C121+'DNB Livsforsikring'!C121+'Frende Livsforsikring'!C121+'Frende Skadeforsikring'!C121+'Gjensidige Forsikring'!C121+'Gjensidige Pensjon'!C121+'If Skadeforsikring NUF'!C121+KLP!C121+'KLP Skadeforsikring AS'!C121+'Landkreditt Forsikring AS'!C121+'Nordea Liv '!C121+'Oslo Pensjonsforsikring'!C121+'Protector Forsikring'!C121+'Sparebank 1 Fors.'!C121+'Storebrand Livsforsikring'!C121+'Telenor Forsikring'!C121+'Tryg Forsikring'!C121+'WaterCircles F'!C121+'Euro Accident'!C121+'Ly Forsikring'!C121+'Youplus Livsforsikring'!C121+'Oslo Forsikring'!C121+'Knif Trygghet Forsikring'!C121</f>
        <v>37338.012439999999</v>
      </c>
      <c r="D121" s="20">
        <f t="shared" si="36"/>
        <v>859.3</v>
      </c>
      <c r="E121" s="36">
        <f>Fremtind!F121+'DNB Livsforsikring'!F121+'Frende Livsforsikring'!F121+'Frende Skadeforsikring'!F121+'Gjensidige Forsikring'!F121+'Gjensidige Pensjon'!F121+'If Skadeforsikring NUF'!F121+KLP!F121+'KLP Skadeforsikring AS'!F121+'Landkreditt Forsikring AS'!F121+'Nordea Liv '!F121+'Oslo Pensjonsforsikring'!F121+'Protector Forsikring'!F121+'Sparebank 1 Fors.'!F121+'Storebrand Livsforsikring'!F121+'Telenor Forsikring'!F121+'Tryg Forsikring'!F121+'WaterCircles F'!F121+'Euro Accident'!F121+'Ly Forsikring'!F121+'Youplus Livsforsikring'!F121+'Oslo Forsikring'!F121+'Knif Trygghet Forsikring'!F121</f>
        <v>21023794.571490001</v>
      </c>
      <c r="F121" s="36">
        <f>Fremtind!G121+'DNB Livsforsikring'!G121+'Frende Livsforsikring'!G121+'Frende Skadeforsikring'!G121+'Gjensidige Forsikring'!G121+'Gjensidige Pensjon'!G121+'If Skadeforsikring NUF'!G121+KLP!G121+'KLP Skadeforsikring AS'!G121+'Landkreditt Forsikring AS'!G121+'Nordea Liv '!G121+'Oslo Pensjonsforsikring'!G121+'Protector Forsikring'!G121+'Sparebank 1 Fors.'!G121+'Storebrand Livsforsikring'!G121+'Telenor Forsikring'!G121+'Tryg Forsikring'!G121+'WaterCircles F'!G121+'Euro Accident'!G121+'Ly Forsikring'!G121+'Youplus Livsforsikring'!G121+'Oslo Forsikring'!G121+'Knif Trygghet Forsikring'!G121</f>
        <v>24959799.818119999</v>
      </c>
      <c r="G121" s="123">
        <f t="shared" si="22"/>
        <v>18.7</v>
      </c>
      <c r="H121" s="184">
        <f t="shared" si="37"/>
        <v>21027686.946559999</v>
      </c>
      <c r="I121" s="184">
        <f t="shared" si="38"/>
        <v>24997137.830559999</v>
      </c>
      <c r="J121" s="20">
        <f t="shared" si="39"/>
        <v>18.899999999999999</v>
      </c>
    </row>
    <row r="122" spans="1:10" ht="15.75" customHeight="1" x14ac:dyDescent="0.2">
      <c r="A122" s="18" t="s">
        <v>212</v>
      </c>
      <c r="B122" s="184">
        <f>Fremtind!B122+'DNB Livsforsikring'!B122+'Frende Livsforsikring'!B122+'Frende Skadeforsikring'!B122+'Gjensidige Forsikring'!B122+'Gjensidige Pensjon'!B122+'If Skadeforsikring NUF'!B122+KLP!B122+'KLP Skadeforsikring AS'!B122+'Landkreditt Forsikring AS'!B122+'Nordea Liv '!B122+'Oslo Pensjonsforsikring'!B122+'Protector Forsikring'!B122+'Sparebank 1 Fors.'!B122+'Storebrand Livsforsikring'!B122+'Telenor Forsikring'!B122+'Tryg Forsikring'!B122+'WaterCircles F'!B122+'Euro Accident'!B122+'Ly Forsikring'!B122+'Youplus Livsforsikring'!B122+'Oslo Forsikring'!B122+'Knif Trygghet Forsikring'!B122</f>
        <v>153248.97348000002</v>
      </c>
      <c r="C122" s="184">
        <f>Fremtind!C122+'DNB Livsforsikring'!C122+'Frende Livsforsikring'!C122+'Frende Skadeforsikring'!C122+'Gjensidige Forsikring'!C122+'Gjensidige Pensjon'!C122+'If Skadeforsikring NUF'!C122+KLP!C122+'KLP Skadeforsikring AS'!C122+'Landkreditt Forsikring AS'!C122+'Nordea Liv '!C122+'Oslo Pensjonsforsikring'!C122+'Protector Forsikring'!C122+'Sparebank 1 Fors.'!C122+'Storebrand Livsforsikring'!C122+'Telenor Forsikring'!C122+'Tryg Forsikring'!C122+'WaterCircles F'!C122+'Euro Accident'!C122+'Ly Forsikring'!C122+'Youplus Livsforsikring'!C122+'Oslo Forsikring'!C122+'Knif Trygghet Forsikring'!C122</f>
        <v>247327.21191000001</v>
      </c>
      <c r="D122" s="20">
        <f t="shared" si="36"/>
        <v>61.4</v>
      </c>
      <c r="E122" s="36"/>
      <c r="F122" s="36"/>
      <c r="G122" s="123"/>
      <c r="H122" s="184">
        <f t="shared" si="37"/>
        <v>153248.97348000002</v>
      </c>
      <c r="I122" s="184">
        <f t="shared" si="38"/>
        <v>247327.21191000001</v>
      </c>
      <c r="J122" s="20">
        <f t="shared" si="39"/>
        <v>61.4</v>
      </c>
    </row>
    <row r="123" spans="1:10" ht="15.75" customHeight="1" x14ac:dyDescent="0.2">
      <c r="A123" s="555" t="s">
        <v>215</v>
      </c>
      <c r="B123" s="36"/>
      <c r="C123" s="36"/>
      <c r="D123" s="23"/>
      <c r="E123" s="36"/>
      <c r="F123" s="36"/>
      <c r="G123" s="123"/>
      <c r="H123" s="184"/>
      <c r="I123" s="184"/>
      <c r="J123" s="20"/>
    </row>
    <row r="124" spans="1:10" ht="15.75" customHeight="1" x14ac:dyDescent="0.2">
      <c r="A124" s="18" t="s">
        <v>209</v>
      </c>
      <c r="B124" s="184">
        <f>Fremtind!B124+'DNB Livsforsikring'!B124+'Frende Livsforsikring'!B124+'Frende Skadeforsikring'!B124+'Gjensidige Forsikring'!B124+'Gjensidige Pensjon'!B124+'If Skadeforsikring NUF'!B124+KLP!B124+'KLP Skadeforsikring AS'!B124+'Landkreditt Forsikring AS'!B124+'Nordea Liv '!B124+'Oslo Pensjonsforsikring'!B124+'Protector Forsikring'!B124+'Sparebank 1 Fors.'!B124+'Storebrand Livsforsikring'!B124+'Telenor Forsikring'!B124+'Tryg Forsikring'!B124+'WaterCircles F'!B124+'Euro Accident'!B124+'Ly Forsikring'!B124+'Youplus Livsforsikring'!B124+'Oslo Forsikring'!B124+'Knif Trygghet Forsikring'!B124</f>
        <v>14051.918</v>
      </c>
      <c r="C124" s="184">
        <f>Fremtind!C124+'DNB Livsforsikring'!C124+'Frende Livsforsikring'!C124+'Frende Skadeforsikring'!C124+'Gjensidige Forsikring'!C124+'Gjensidige Pensjon'!C124+'If Skadeforsikring NUF'!C124+KLP!C124+'KLP Skadeforsikring AS'!C124+'Landkreditt Forsikring AS'!C124+'Nordea Liv '!C124+'Oslo Pensjonsforsikring'!C124+'Protector Forsikring'!C124+'Sparebank 1 Fors.'!C124+'Storebrand Livsforsikring'!C124+'Telenor Forsikring'!C124+'Tryg Forsikring'!C124+'WaterCircles F'!C124+'Euro Accident'!C124+'Ly Forsikring'!C124+'Youplus Livsforsikring'!C124+'Oslo Forsikring'!C124+'Knif Trygghet Forsikring'!C124</f>
        <v>3423.9009999999998</v>
      </c>
      <c r="D124" s="20">
        <f t="shared" si="36"/>
        <v>-75.599999999999994</v>
      </c>
      <c r="E124" s="36">
        <f>Fremtind!F124+'DNB Livsforsikring'!F124+'Frende Livsforsikring'!F124+'Frende Skadeforsikring'!F124+'Gjensidige Forsikring'!F124+'Gjensidige Pensjon'!F124+'If Skadeforsikring NUF'!F124+KLP!F124+'KLP Skadeforsikring AS'!F124+'Landkreditt Forsikring AS'!F124+'Nordea Liv '!F124+'Oslo Pensjonsforsikring'!F124+'Protector Forsikring'!F124+'Sparebank 1 Fors.'!F124+'Storebrand Livsforsikring'!F124+'Telenor Forsikring'!F124+'Tryg Forsikring'!F124+'WaterCircles F'!F124+'Euro Accident'!F124+'Ly Forsikring'!F124+'Youplus Livsforsikring'!F124+'Oslo Forsikring'!F124+'Knif Trygghet Forsikring'!F124</f>
        <v>17578.107</v>
      </c>
      <c r="F124" s="36">
        <f>Fremtind!G124+'DNB Livsforsikring'!G124+'Frende Livsforsikring'!G124+'Frende Skadeforsikring'!G124+'Gjensidige Forsikring'!G124+'Gjensidige Pensjon'!G124+'If Skadeforsikring NUF'!G124+KLP!G124+'KLP Skadeforsikring AS'!G124+'Landkreditt Forsikring AS'!G124+'Nordea Liv '!G124+'Oslo Pensjonsforsikring'!G124+'Protector Forsikring'!G124+'Sparebank 1 Fors.'!G124+'Storebrand Livsforsikring'!G124+'Telenor Forsikring'!G124+'Tryg Forsikring'!G124+'WaterCircles F'!G124+'Euro Accident'!G124+'Ly Forsikring'!G124+'Youplus Livsforsikring'!G124+'Oslo Forsikring'!G124+'Knif Trygghet Forsikring'!G124</f>
        <v>17250.649000000001</v>
      </c>
      <c r="G124" s="123">
        <f t="shared" si="22"/>
        <v>-1.9</v>
      </c>
      <c r="H124" s="184">
        <f t="shared" si="37"/>
        <v>31630.025000000001</v>
      </c>
      <c r="I124" s="184">
        <f t="shared" si="38"/>
        <v>20674.550000000003</v>
      </c>
      <c r="J124" s="20">
        <f t="shared" si="39"/>
        <v>-34.6</v>
      </c>
    </row>
    <row r="125" spans="1:10" ht="15.75" customHeight="1" x14ac:dyDescent="0.2">
      <c r="A125" s="18" t="s">
        <v>210</v>
      </c>
      <c r="B125" s="184">
        <f>Fremtind!B125+'DNB Livsforsikring'!B125+'Frende Livsforsikring'!B125+'Frende Skadeforsikring'!B125+'Gjensidige Forsikring'!B125+'Gjensidige Pensjon'!B125+'If Skadeforsikring NUF'!B125+KLP!B125+'KLP Skadeforsikring AS'!B125+'Landkreditt Forsikring AS'!B125+'Nordea Liv '!B125+'Oslo Pensjonsforsikring'!B125+'Protector Forsikring'!B125+'Sparebank 1 Fors.'!B125+'Storebrand Livsforsikring'!B125+'Telenor Forsikring'!B125+'Tryg Forsikring'!B125+'WaterCircles F'!B125+'Euro Accident'!B125+'Ly Forsikring'!B125+'Youplus Livsforsikring'!B125+'Oslo Forsikring'!B125+'Knif Trygghet Forsikring'!B125</f>
        <v>948.16627000000005</v>
      </c>
      <c r="C125" s="184">
        <f>Fremtind!C125+'DNB Livsforsikring'!C125+'Frende Livsforsikring'!C125+'Frende Skadeforsikring'!C125+'Gjensidige Forsikring'!C125+'Gjensidige Pensjon'!C125+'If Skadeforsikring NUF'!C125+KLP!C125+'KLP Skadeforsikring AS'!C125+'Landkreditt Forsikring AS'!C125+'Nordea Liv '!C125+'Oslo Pensjonsforsikring'!C125+'Protector Forsikring'!C125+'Sparebank 1 Fors.'!C125+'Storebrand Livsforsikring'!C125+'Telenor Forsikring'!C125+'Tryg Forsikring'!C125+'WaterCircles F'!C125+'Euro Accident'!C125+'Ly Forsikring'!C125+'Youplus Livsforsikring'!C125+'Oslo Forsikring'!C125+'Knif Trygghet Forsikring'!C125</f>
        <v>333.36658</v>
      </c>
      <c r="D125" s="20">
        <f t="shared" si="36"/>
        <v>-64.8</v>
      </c>
      <c r="E125" s="36">
        <f>Fremtind!F125+'DNB Livsforsikring'!F125+'Frende Livsforsikring'!F125+'Frende Skadeforsikring'!F125+'Gjensidige Forsikring'!F125+'Gjensidige Pensjon'!F125+'If Skadeforsikring NUF'!F125+KLP!F125+'KLP Skadeforsikring AS'!F125+'Landkreditt Forsikring AS'!F125+'Nordea Liv '!F125+'Oslo Pensjonsforsikring'!F125+'Protector Forsikring'!F125+'Sparebank 1 Fors.'!F125+'Storebrand Livsforsikring'!F125+'Telenor Forsikring'!F125+'Tryg Forsikring'!F125+'WaterCircles F'!F125+'Euro Accident'!F125+'Ly Forsikring'!F125+'Youplus Livsforsikring'!F125+'Oslo Forsikring'!F125+'Knif Trygghet Forsikring'!F125</f>
        <v>11185465.604189999</v>
      </c>
      <c r="F125" s="36">
        <f>Fremtind!G125+'DNB Livsforsikring'!G125+'Frende Livsforsikring'!G125+'Frende Skadeforsikring'!G125+'Gjensidige Forsikring'!G125+'Gjensidige Pensjon'!G125+'If Skadeforsikring NUF'!G125+KLP!G125+'KLP Skadeforsikring AS'!G125+'Landkreditt Forsikring AS'!G125+'Nordea Liv '!G125+'Oslo Pensjonsforsikring'!G125+'Protector Forsikring'!G125+'Sparebank 1 Fors.'!G125+'Storebrand Livsforsikring'!G125+'Telenor Forsikring'!G125+'Tryg Forsikring'!G125+'WaterCircles F'!G125+'Euro Accident'!G125+'Ly Forsikring'!G125+'Youplus Livsforsikring'!G125+'Oslo Forsikring'!G125+'Knif Trygghet Forsikring'!G125</f>
        <v>12032861.37679</v>
      </c>
      <c r="G125" s="123">
        <f t="shared" si="22"/>
        <v>7.6</v>
      </c>
      <c r="H125" s="184">
        <f t="shared" si="37"/>
        <v>11186413.77046</v>
      </c>
      <c r="I125" s="184">
        <f t="shared" si="38"/>
        <v>12033194.74337</v>
      </c>
      <c r="J125" s="20">
        <f t="shared" si="39"/>
        <v>7.6</v>
      </c>
    </row>
    <row r="126" spans="1:10" ht="15.75" customHeight="1" x14ac:dyDescent="0.2">
      <c r="A126" s="7" t="s">
        <v>211</v>
      </c>
      <c r="B126" s="185"/>
      <c r="C126" s="185"/>
      <c r="D126" s="19"/>
      <c r="E126" s="37"/>
      <c r="F126" s="37"/>
      <c r="G126" s="124"/>
      <c r="H126" s="185"/>
      <c r="I126" s="186"/>
      <c r="J126" s="19"/>
    </row>
    <row r="127" spans="1:10" ht="15.75" customHeight="1" x14ac:dyDescent="0.2">
      <c r="A127" s="115"/>
    </row>
    <row r="128" spans="1:10" ht="15.75" customHeight="1" x14ac:dyDescent="0.2">
      <c r="A128" s="22"/>
    </row>
    <row r="129" spans="1:10" ht="15.75" customHeight="1" x14ac:dyDescent="0.25">
      <c r="A129" s="110" t="s">
        <v>216</v>
      </c>
    </row>
    <row r="130" spans="1:10" ht="15.75" customHeight="1" x14ac:dyDescent="0.25">
      <c r="A130" s="22"/>
      <c r="B130" s="595"/>
      <c r="C130" s="595"/>
      <c r="D130" s="595"/>
      <c r="E130" s="595"/>
      <c r="F130" s="595"/>
      <c r="G130" s="595"/>
      <c r="H130" s="595"/>
      <c r="I130" s="595"/>
      <c r="J130" s="595"/>
    </row>
    <row r="131" spans="1:10" ht="20.100000000000001" customHeight="1" x14ac:dyDescent="0.2">
      <c r="A131" s="108"/>
      <c r="B131" s="592" t="s">
        <v>46</v>
      </c>
      <c r="C131" s="593"/>
      <c r="D131" s="594"/>
      <c r="E131" s="593" t="s">
        <v>69</v>
      </c>
      <c r="F131" s="593"/>
      <c r="G131" s="593"/>
      <c r="H131" s="592" t="s">
        <v>120</v>
      </c>
      <c r="I131" s="593"/>
      <c r="J131" s="594"/>
    </row>
    <row r="132" spans="1:10" ht="15.75" customHeight="1" x14ac:dyDescent="0.2">
      <c r="A132" s="105"/>
      <c r="B132" s="200" t="s">
        <v>418</v>
      </c>
      <c r="C132" s="200" t="s">
        <v>419</v>
      </c>
      <c r="D132" s="16" t="s">
        <v>167</v>
      </c>
      <c r="E132" s="200" t="s">
        <v>418</v>
      </c>
      <c r="F132" s="200" t="s">
        <v>419</v>
      </c>
      <c r="G132" s="16" t="s">
        <v>167</v>
      </c>
      <c r="H132" s="200" t="s">
        <v>418</v>
      </c>
      <c r="I132" s="200" t="s">
        <v>419</v>
      </c>
      <c r="J132" s="16" t="s">
        <v>167</v>
      </c>
    </row>
    <row r="133" spans="1:10" ht="15.75" customHeight="1" x14ac:dyDescent="0.2">
      <c r="A133" s="557"/>
      <c r="B133" s="12"/>
      <c r="C133" s="12"/>
      <c r="D133" s="14" t="s">
        <v>168</v>
      </c>
      <c r="E133" s="13"/>
      <c r="F133" s="13"/>
      <c r="G133" s="12" t="s">
        <v>168</v>
      </c>
      <c r="H133" s="13"/>
      <c r="I133" s="13"/>
      <c r="J133" s="12" t="s">
        <v>168</v>
      </c>
    </row>
    <row r="134" spans="1:10" s="35" customFormat="1" ht="15.75" customHeight="1" x14ac:dyDescent="0.2">
      <c r="A134" s="11" t="s">
        <v>217</v>
      </c>
      <c r="B134" s="183">
        <f>Fremtind!B134+'DNB Livsforsikring'!B134+'Frende Livsforsikring'!B134+'Frende Skadeforsikring'!B134+'Gjensidige Forsikring'!B134+'Gjensidige Pensjon'!B134+'If Skadeforsikring NUF'!B134+KLP!B134+'KLP Skadeforsikring AS'!B134+'Landkreditt Forsikring AS'!B134+'Nordea Liv '!B134+'Oslo Pensjonsforsikring'!B134+'Protector Forsikring'!B134+'Sparebank 1 Fors.'!B134+'Storebrand Livsforsikring'!B134+'Telenor Forsikring'!B134+'Tryg Forsikring'!B134+'WaterCircles F'!B134+'Euro Accident'!B134+'Ly Forsikring'!B134+'Youplus Livsforsikring'!B134+'Oslo Forsikring'!B134+'Knif Trygghet Forsikring'!B134</f>
        <v>9379924.6689600013</v>
      </c>
      <c r="C134" s="183">
        <f>Fremtind!C134+'DNB Livsforsikring'!C134+'Frende Livsforsikring'!C134+'Frende Skadeforsikring'!C134+'Gjensidige Forsikring'!C134+'Gjensidige Pensjon'!C134+'If Skadeforsikring NUF'!C134+KLP!C134+'KLP Skadeforsikring AS'!C134+'Landkreditt Forsikring AS'!C134+'Nordea Liv '!C134+'Oslo Pensjonsforsikring'!C134+'Protector Forsikring'!C134+'Sparebank 1 Fors.'!C134+'Storebrand Livsforsikring'!C134+'Telenor Forsikring'!C134+'Tryg Forsikring'!C134+'WaterCircles F'!C134+'Euro Accident'!C134+'Ly Forsikring'!C134+'Youplus Livsforsikring'!C134+'Oslo Forsikring'!C134+'Knif Trygghet Forsikring'!C134</f>
        <v>9894732.5936399996</v>
      </c>
      <c r="D134" s="8">
        <f t="shared" ref="D134:D137" si="40">IF(B134=0, "    ---- ", IF(ABS(ROUND(100/B134*C134-100,1))&lt;999,ROUND(100/B134*C134-100,1),IF(ROUND(100/B134*C134-100,1)&gt;999,999,-999)))</f>
        <v>5.5</v>
      </c>
      <c r="E134" s="183">
        <f>Fremtind!F134+'DNB Livsforsikring'!F134+'Frende Livsforsikring'!F134+'Frende Skadeforsikring'!F134+'Gjensidige Forsikring'!F134+'Gjensidige Pensjon'!F134+'If Skadeforsikring NUF'!F134+KLP!F134+'KLP Skadeforsikring AS'!F134+'Landkreditt Forsikring AS'!F134+'Nordea Liv '!F134+'Oslo Pensjonsforsikring'!F134+'Protector Forsikring'!F134+'Sparebank 1 Fors.'!F134+'Storebrand Livsforsikring'!F134+'Telenor Forsikring'!F134+'Tryg Forsikring'!F134+'WaterCircles F'!F134+'Euro Accident'!F134+'Ly Forsikring'!F134+'Youplus Livsforsikring'!F134+'Oslo Forsikring'!F134+'Knif Trygghet Forsikring'!F134</f>
        <v>20929.275000000001</v>
      </c>
      <c r="F134" s="183">
        <f>Fremtind!G134+'DNB Livsforsikring'!G134+'Frende Livsforsikring'!G134+'Frende Skadeforsikring'!G134+'Gjensidige Forsikring'!G134+'Gjensidige Pensjon'!G134+'If Skadeforsikring NUF'!G134+KLP!G134+'KLP Skadeforsikring AS'!G134+'Landkreditt Forsikring AS'!G134+'Nordea Liv '!G134+'Oslo Pensjonsforsikring'!G134+'Protector Forsikring'!G134+'Sparebank 1 Fors.'!G134+'Storebrand Livsforsikring'!G134+'Telenor Forsikring'!G134+'Tryg Forsikring'!G134+'WaterCircles F'!G134+'Euro Accident'!G134+'Ly Forsikring'!G134+'Youplus Livsforsikring'!G134+'Oslo Forsikring'!G134+'Knif Trygghet Forsikring'!G134</f>
        <v>30212.771000000001</v>
      </c>
      <c r="G134" s="8">
        <f t="shared" ref="G134:G136" si="41">IF(E134=0, "    ---- ", IF(ABS(ROUND(100/E134*F134-100,1))&lt;999,ROUND(100/E134*F134-100,1),IF(ROUND(100/E134*F134-100,1)&gt;999,999,-999)))</f>
        <v>44.4</v>
      </c>
      <c r="H134" s="183">
        <f t="shared" ref="H134:I137" si="42">SUM(B134,E134)</f>
        <v>9400853.9439600017</v>
      </c>
      <c r="I134" s="183">
        <f t="shared" si="42"/>
        <v>9924945.3646399993</v>
      </c>
      <c r="J134" s="8">
        <f t="shared" ref="J134:J137" si="43">IF(H134=0, "    ---- ", IF(ABS(ROUND(100/H134*I134-100,1))&lt;999,ROUND(100/H134*I134-100,1),IF(ROUND(100/H134*I134-100,1)&gt;999,999,-999)))</f>
        <v>5.6</v>
      </c>
    </row>
    <row r="135" spans="1:10" s="35" customFormat="1" ht="15.75" customHeight="1" x14ac:dyDescent="0.2">
      <c r="A135" s="10" t="s">
        <v>218</v>
      </c>
      <c r="B135" s="183">
        <f>Fremtind!B135+'DNB Livsforsikring'!B135+'Frende Livsforsikring'!B135+'Frende Skadeforsikring'!B135+'Gjensidige Forsikring'!B135+'Gjensidige Pensjon'!B135+'If Skadeforsikring NUF'!B135+KLP!B135+'KLP Skadeforsikring AS'!B135+'Landkreditt Forsikring AS'!B135+'Nordea Liv '!B135+'Oslo Pensjonsforsikring'!B135+'Protector Forsikring'!B135+'Sparebank 1 Fors.'!B135+'Storebrand Livsforsikring'!B135+'Telenor Forsikring'!B135+'Tryg Forsikring'!B135+'WaterCircles F'!B135+'Euro Accident'!B135+'Ly Forsikring'!B135+'Youplus Livsforsikring'!B135+'Oslo Forsikring'!B135+'Knif Trygghet Forsikring'!B135</f>
        <v>920369575.27947998</v>
      </c>
      <c r="C135" s="183">
        <f>Fremtind!C135+'DNB Livsforsikring'!C135+'Frende Livsforsikring'!C135+'Frende Skadeforsikring'!C135+'Gjensidige Forsikring'!C135+'Gjensidige Pensjon'!C135+'If Skadeforsikring NUF'!C135+KLP!C135+'KLP Skadeforsikring AS'!C135+'Landkreditt Forsikring AS'!C135+'Nordea Liv '!C135+'Oslo Pensjonsforsikring'!C135+'Protector Forsikring'!C135+'Sparebank 1 Fors.'!C135+'Storebrand Livsforsikring'!C135+'Telenor Forsikring'!C135+'Tryg Forsikring'!C135+'WaterCircles F'!C135+'Euro Accident'!C135+'Ly Forsikring'!C135+'Youplus Livsforsikring'!C135+'Oslo Forsikring'!C135+'Knif Trygghet Forsikring'!C135</f>
        <v>1011167882.8414201</v>
      </c>
      <c r="D135" s="8">
        <f t="shared" si="40"/>
        <v>9.9</v>
      </c>
      <c r="E135" s="183">
        <f>Fremtind!F135+'DNB Livsforsikring'!F135+'Frende Livsforsikring'!F135+'Frende Skadeforsikring'!F135+'Gjensidige Forsikring'!F135+'Gjensidige Pensjon'!F135+'If Skadeforsikring NUF'!F135+KLP!F135+'KLP Skadeforsikring AS'!F135+'Landkreditt Forsikring AS'!F135+'Nordea Liv '!F135+'Oslo Pensjonsforsikring'!F135+'Protector Forsikring'!F135+'Sparebank 1 Fors.'!F135+'Storebrand Livsforsikring'!F135+'Telenor Forsikring'!F135+'Tryg Forsikring'!F135+'WaterCircles F'!F135+'Euro Accident'!F135+'Ly Forsikring'!F135+'Youplus Livsforsikring'!F135+'Oslo Forsikring'!F135+'Knif Trygghet Forsikring'!F135</f>
        <v>2888738.0707899998</v>
      </c>
      <c r="F135" s="183">
        <f>Fremtind!G135+'DNB Livsforsikring'!G135+'Frende Livsforsikring'!G135+'Frende Skadeforsikring'!G135+'Gjensidige Forsikring'!G135+'Gjensidige Pensjon'!G135+'If Skadeforsikring NUF'!G135+KLP!G135+'KLP Skadeforsikring AS'!G135+'Landkreditt Forsikring AS'!G135+'Nordea Liv '!G135+'Oslo Pensjonsforsikring'!G135+'Protector Forsikring'!G135+'Sparebank 1 Fors.'!G135+'Storebrand Livsforsikring'!G135+'Telenor Forsikring'!G135+'Tryg Forsikring'!G135+'WaterCircles F'!G135+'Euro Accident'!G135+'Ly Forsikring'!G135+'Youplus Livsforsikring'!G135+'Oslo Forsikring'!G135+'Knif Trygghet Forsikring'!G135</f>
        <v>2410575.5415099999</v>
      </c>
      <c r="G135" s="8">
        <f t="shared" si="41"/>
        <v>-16.600000000000001</v>
      </c>
      <c r="H135" s="183">
        <f t="shared" si="42"/>
        <v>923258313.35027003</v>
      </c>
      <c r="I135" s="183">
        <f t="shared" si="42"/>
        <v>1013578458.38293</v>
      </c>
      <c r="J135" s="8">
        <f t="shared" si="43"/>
        <v>9.8000000000000007</v>
      </c>
    </row>
    <row r="136" spans="1:10" s="35" customFormat="1" ht="15.75" customHeight="1" x14ac:dyDescent="0.2">
      <c r="A136" s="10" t="s">
        <v>219</v>
      </c>
      <c r="B136" s="183">
        <f>Fremtind!B136+'DNB Livsforsikring'!B136+'Frende Livsforsikring'!B136+'Frende Skadeforsikring'!B136+'Gjensidige Forsikring'!B136+'Gjensidige Pensjon'!B136+'If Skadeforsikring NUF'!B136+KLP!B136+'KLP Skadeforsikring AS'!B136+'Landkreditt Forsikring AS'!B136+'Nordea Liv '!B136+'Oslo Pensjonsforsikring'!B136+'Protector Forsikring'!B136+'Sparebank 1 Fors.'!B136+'Storebrand Livsforsikring'!B136+'Telenor Forsikring'!B136+'Tryg Forsikring'!B136+'WaterCircles F'!B136+'Euro Accident'!B136+'Ly Forsikring'!B136+'Youplus Livsforsikring'!B136+'Oslo Forsikring'!B136+'Knif Trygghet Forsikring'!B136</f>
        <v>3241225.6810000003</v>
      </c>
      <c r="C136" s="183">
        <f>Fremtind!C136+'DNB Livsforsikring'!C136+'Frende Livsforsikring'!C136+'Frende Skadeforsikring'!C136+'Gjensidige Forsikring'!C136+'Gjensidige Pensjon'!C136+'If Skadeforsikring NUF'!C136+KLP!C136+'KLP Skadeforsikring AS'!C136+'Landkreditt Forsikring AS'!C136+'Nordea Liv '!C136+'Oslo Pensjonsforsikring'!C136+'Protector Forsikring'!C136+'Sparebank 1 Fors.'!C136+'Storebrand Livsforsikring'!C136+'Telenor Forsikring'!C136+'Tryg Forsikring'!C136+'WaterCircles F'!C136+'Euro Accident'!C136+'Ly Forsikring'!C136+'Youplus Livsforsikring'!C136+'Oslo Forsikring'!C136+'Knif Trygghet Forsikring'!C136</f>
        <v>3412565.5005900003</v>
      </c>
      <c r="D136" s="8">
        <f t="shared" si="40"/>
        <v>5.3</v>
      </c>
      <c r="E136" s="183"/>
      <c r="F136" s="183">
        <f>Fremtind!G136+'DNB Livsforsikring'!G136+'Frende Livsforsikring'!G136+'Frende Skadeforsikring'!G136+'Gjensidige Forsikring'!G136+'Gjensidige Pensjon'!G136+'If Skadeforsikring NUF'!G136+KLP!G136+'KLP Skadeforsikring AS'!G136+'Landkreditt Forsikring AS'!G136+'Nordea Liv '!G136+'Oslo Pensjonsforsikring'!G136+'Protector Forsikring'!G136+'Sparebank 1 Fors.'!G136+'Storebrand Livsforsikring'!G136+'Telenor Forsikring'!G136+'Tryg Forsikring'!G136+'WaterCircles F'!G136+'Euro Accident'!G136+'Ly Forsikring'!G136+'Youplus Livsforsikring'!G136+'Oslo Forsikring'!G136+'Knif Trygghet Forsikring'!G136</f>
        <v>-516456.22738</v>
      </c>
      <c r="G136" s="8" t="str">
        <f t="shared" si="41"/>
        <v xml:space="preserve">    ---- </v>
      </c>
      <c r="H136" s="183">
        <f t="shared" si="42"/>
        <v>3241225.6810000003</v>
      </c>
      <c r="I136" s="183">
        <f t="shared" si="42"/>
        <v>2896109.2732100002</v>
      </c>
      <c r="J136" s="8">
        <f t="shared" si="43"/>
        <v>-10.6</v>
      </c>
    </row>
    <row r="137" spans="1:10" s="35" customFormat="1" ht="15.75" customHeight="1" x14ac:dyDescent="0.2">
      <c r="A137" s="33" t="s">
        <v>220</v>
      </c>
      <c r="B137" s="223">
        <f>Fremtind!B137+'DNB Livsforsikring'!B137+'Frende Livsforsikring'!B137+'Frende Skadeforsikring'!B137+'Gjensidige Forsikring'!B137+'Gjensidige Pensjon'!B137+'If Skadeforsikring NUF'!B137+KLP!B137+'KLP Skadeforsikring AS'!B137+'Landkreditt Forsikring AS'!B137+'Nordea Liv '!B137+'Oslo Pensjonsforsikring'!B137+'Protector Forsikring'!B137+'Sparebank 1 Fors.'!B137+'Storebrand Livsforsikring'!B137+'Telenor Forsikring'!B137+'Tryg Forsikring'!B137+'WaterCircles F'!B137+'Euro Accident'!B137+'Ly Forsikring'!B137+'Youplus Livsforsikring'!B137+'Oslo Forsikring'!B137+'Knif Trygghet Forsikring'!B137</f>
        <v>4289073.5640000002</v>
      </c>
      <c r="C137" s="223">
        <f>Fremtind!C137+'DNB Livsforsikring'!C137+'Frende Livsforsikring'!C137+'Frende Skadeforsikring'!C137+'Gjensidige Forsikring'!C137+'Gjensidige Pensjon'!C137+'If Skadeforsikring NUF'!C137+KLP!C137+'KLP Skadeforsikring AS'!C137+'Landkreditt Forsikring AS'!C137+'Nordea Liv '!C137+'Oslo Pensjonsforsikring'!C137+'Protector Forsikring'!C137+'Sparebank 1 Fors.'!C137+'Storebrand Livsforsikring'!C137+'Telenor Forsikring'!C137+'Tryg Forsikring'!C137+'WaterCircles F'!C137+'Euro Accident'!C137+'Ly Forsikring'!C137+'Youplus Livsforsikring'!C137+'Oslo Forsikring'!C137+'Knif Trygghet Forsikring'!C137</f>
        <v>891012.81200000003</v>
      </c>
      <c r="D137" s="6">
        <f t="shared" si="40"/>
        <v>-79.2</v>
      </c>
      <c r="E137" s="223"/>
      <c r="F137" s="223"/>
      <c r="G137" s="6"/>
      <c r="H137" s="223">
        <f t="shared" si="42"/>
        <v>4289073.5640000002</v>
      </c>
      <c r="I137" s="223">
        <f t="shared" si="42"/>
        <v>891012.81200000003</v>
      </c>
      <c r="J137" s="6">
        <f t="shared" si="43"/>
        <v>-79.2</v>
      </c>
    </row>
    <row r="138" spans="1:10" ht="15.75" customHeight="1" x14ac:dyDescent="0.2">
      <c r="A138" s="5"/>
      <c r="G138" s="4"/>
      <c r="J138" s="4"/>
    </row>
    <row r="139" spans="1:10" ht="15.75" customHeight="1" x14ac:dyDescent="0.2"/>
    <row r="140" spans="1:10" ht="15.75" customHeight="1" x14ac:dyDescent="0.2"/>
    <row r="141" spans="1:10" ht="15.75" customHeight="1" x14ac:dyDescent="0.2"/>
    <row r="142" spans="1:10" ht="15.75" customHeight="1" x14ac:dyDescent="0.2"/>
    <row r="143" spans="1:10" ht="15.75" customHeight="1" x14ac:dyDescent="0.2"/>
    <row r="144" spans="1:10"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sheetData>
  <mergeCells count="27">
    <mergeCell ref="B63:D63"/>
    <mergeCell ref="E63:G63"/>
    <mergeCell ref="H63:J63"/>
    <mergeCell ref="B19:D19"/>
    <mergeCell ref="E19:G19"/>
    <mergeCell ref="H19:J19"/>
    <mergeCell ref="B62:D62"/>
    <mergeCell ref="E62:G62"/>
    <mergeCell ref="H62:J62"/>
    <mergeCell ref="B42:D42"/>
    <mergeCell ref="E42:G42"/>
    <mergeCell ref="H42:J42"/>
    <mergeCell ref="B18:D18"/>
    <mergeCell ref="E18:G18"/>
    <mergeCell ref="H18:J18"/>
    <mergeCell ref="B2:D2"/>
    <mergeCell ref="E2:G2"/>
    <mergeCell ref="H2:J2"/>
    <mergeCell ref="B4:D4"/>
    <mergeCell ref="E4:G4"/>
    <mergeCell ref="H4:J4"/>
    <mergeCell ref="B131:D131"/>
    <mergeCell ref="E131:G131"/>
    <mergeCell ref="H131:J131"/>
    <mergeCell ref="B130:D130"/>
    <mergeCell ref="E130:G130"/>
    <mergeCell ref="H130:J130"/>
  </mergeCells>
  <conditionalFormatting sqref="A50:A52">
    <cfRule type="expression" dxfId="488" priority="64">
      <formula>kvartal &lt; 4</formula>
    </cfRule>
  </conditionalFormatting>
  <conditionalFormatting sqref="A69:A74">
    <cfRule type="expression" dxfId="487" priority="62">
      <formula>kvartal &lt; 4</formula>
    </cfRule>
  </conditionalFormatting>
  <conditionalFormatting sqref="A80:A85">
    <cfRule type="expression" dxfId="486" priority="61">
      <formula>kvartal &lt; 4</formula>
    </cfRule>
  </conditionalFormatting>
  <conditionalFormatting sqref="A90:A95">
    <cfRule type="expression" dxfId="485" priority="58">
      <formula>kvartal &lt; 4</formula>
    </cfRule>
  </conditionalFormatting>
  <conditionalFormatting sqref="A101:A106">
    <cfRule type="expression" dxfId="484" priority="57">
      <formula>kvartal &lt; 4</formula>
    </cfRule>
  </conditionalFormatting>
  <conditionalFormatting sqref="A115">
    <cfRule type="expression" dxfId="483" priority="56">
      <formula>kvartal &lt; 4</formula>
    </cfRule>
  </conditionalFormatting>
  <conditionalFormatting sqref="A123">
    <cfRule type="expression" dxfId="482" priority="55">
      <formula>kvartal &lt; 4</formula>
    </cfRule>
  </conditionalFormatting>
  <conditionalFormatting sqref="B115:C115">
    <cfRule type="expression" dxfId="481" priority="34">
      <formula>kvartal&lt;4</formula>
    </cfRule>
  </conditionalFormatting>
  <conditionalFormatting sqref="B123:C123">
    <cfRule type="expression" dxfId="480" priority="33">
      <formula>kvartal&lt;4</formula>
    </cfRule>
  </conditionalFormatting>
  <conditionalFormatting sqref="E115:F115">
    <cfRule type="expression" dxfId="479" priority="26">
      <formula>kvartal&lt;4</formula>
    </cfRule>
  </conditionalFormatting>
  <conditionalFormatting sqref="E123:F123">
    <cfRule type="expression" dxfId="478" priority="25">
      <formula>kvartal&lt;4</formula>
    </cfRule>
  </conditionalFormatting>
  <conditionalFormatting sqref="H115:I115">
    <cfRule type="expression" dxfId="477" priority="69">
      <formula>kvartal&lt;4</formula>
    </cfRule>
  </conditionalFormatting>
  <conditionalFormatting sqref="H123:I123">
    <cfRule type="expression" dxfId="476" priority="68">
      <formula>kvartal&lt;4</formula>
    </cfRule>
  </conditionalFormatting>
  <pageMargins left="0.23622047244094491" right="0.23622047244094491" top="0.62992125984251968" bottom="0.59055118110236227" header="0.51181102362204722" footer="0.51181102362204722"/>
  <pageSetup paperSize="9" scale="55" fitToHeight="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7"/>
  <dimension ref="A1:Q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7" x14ac:dyDescent="0.2">
      <c r="A1" s="128" t="s">
        <v>221</v>
      </c>
      <c r="B1" s="558"/>
      <c r="C1" s="197" t="s">
        <v>399</v>
      </c>
    </row>
    <row r="2" spans="1:17" ht="15.75" x14ac:dyDescent="0.25">
      <c r="A2" s="110" t="s">
        <v>166</v>
      </c>
      <c r="B2" s="574"/>
      <c r="C2" s="574"/>
      <c r="D2" s="574"/>
      <c r="E2" s="242"/>
      <c r="F2" s="574"/>
      <c r="G2" s="574"/>
      <c r="H2" s="574"/>
      <c r="I2" s="242"/>
      <c r="J2" s="574"/>
      <c r="K2" s="574"/>
      <c r="L2" s="574"/>
      <c r="M2" s="242"/>
    </row>
    <row r="3" spans="1:17" ht="15.75" x14ac:dyDescent="0.25">
      <c r="A3" s="122"/>
      <c r="B3" s="242"/>
      <c r="C3" s="242"/>
      <c r="D3" s="242"/>
      <c r="E3" s="242"/>
      <c r="F3" s="242"/>
      <c r="G3" s="242"/>
      <c r="H3" s="242"/>
      <c r="I3" s="242"/>
      <c r="J3" s="242"/>
      <c r="K3" s="242"/>
      <c r="L3" s="242"/>
      <c r="M3" s="242"/>
    </row>
    <row r="4" spans="1:17" x14ac:dyDescent="0.2">
      <c r="A4" s="108"/>
      <c r="B4" s="570" t="s">
        <v>46</v>
      </c>
      <c r="C4" s="571"/>
      <c r="D4" s="571"/>
      <c r="E4" s="244"/>
      <c r="F4" s="570" t="s">
        <v>69</v>
      </c>
      <c r="G4" s="571"/>
      <c r="H4" s="571"/>
      <c r="I4" s="246"/>
      <c r="J4" s="570" t="s">
        <v>120</v>
      </c>
      <c r="K4" s="571"/>
      <c r="L4" s="571"/>
      <c r="M4" s="246"/>
    </row>
    <row r="5" spans="1:17"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7" x14ac:dyDescent="0.2">
      <c r="A6" s="556"/>
      <c r="B6" s="116"/>
      <c r="C6" s="116"/>
      <c r="D6" s="195" t="s">
        <v>168</v>
      </c>
      <c r="E6" s="116" t="s">
        <v>88</v>
      </c>
      <c r="F6" s="120"/>
      <c r="G6" s="120"/>
      <c r="H6" s="193" t="s">
        <v>168</v>
      </c>
      <c r="I6" s="116" t="s">
        <v>88</v>
      </c>
      <c r="J6" s="120"/>
      <c r="K6" s="120"/>
      <c r="L6" s="193" t="s">
        <v>168</v>
      </c>
      <c r="M6" s="116" t="s">
        <v>88</v>
      </c>
    </row>
    <row r="7" spans="1:17" ht="15.75" x14ac:dyDescent="0.2">
      <c r="A7" s="11" t="s">
        <v>169</v>
      </c>
      <c r="B7" s="248">
        <v>32493</v>
      </c>
      <c r="C7" s="249">
        <v>33466</v>
      </c>
      <c r="D7" s="285">
        <f>IF(B7=0, "    ---- ", IF(ABS(ROUND(100/B7*C7-100,1))&lt;999,ROUND(100/B7*C7-100,1),IF(ROUND(100/B7*C7-100,1)&gt;999,999,-999)))</f>
        <v>3</v>
      </c>
      <c r="E7" s="8">
        <f>IFERROR(100/'Skjema total MA'!C7*C7,0)</f>
        <v>1.5943634672752161</v>
      </c>
      <c r="F7" s="248">
        <v>135391.18</v>
      </c>
      <c r="G7" s="249">
        <v>124608.98349</v>
      </c>
      <c r="H7" s="285">
        <f>IF(F7=0, "    ---- ", IF(ABS(ROUND(100/F7*G7-100,1))&lt;999,ROUND(100/F7*G7-100,1),IF(ROUND(100/F7*G7-100,1)&gt;999,999,-999)))</f>
        <v>-8</v>
      </c>
      <c r="I7" s="119">
        <f>IFERROR(100/'Skjema total MA'!F7*G7,0)</f>
        <v>3.315938631192985</v>
      </c>
      <c r="J7" s="250">
        <f t="shared" ref="J7:K12" si="0">SUM(B7,F7)</f>
        <v>167884.18</v>
      </c>
      <c r="K7" s="251">
        <f t="shared" si="0"/>
        <v>158074.98349000001</v>
      </c>
      <c r="L7" s="341">
        <f>IF(J7=0, "    ---- ", IF(ABS(ROUND(100/J7*K7-100,1))&lt;999,ROUND(100/J7*K7-100,1),IF(ROUND(100/J7*K7-100,1)&gt;999,999,-999)))</f>
        <v>-5.8</v>
      </c>
      <c r="M7" s="8">
        <f>IFERROR(100/'Skjema total MA'!I7*K7,0)</f>
        <v>2.6989534769049044</v>
      </c>
    </row>
    <row r="8" spans="1:17" ht="15.75" x14ac:dyDescent="0.2">
      <c r="A8" s="18" t="s">
        <v>170</v>
      </c>
      <c r="B8" s="228">
        <v>5998.6130000000003</v>
      </c>
      <c r="C8" s="229">
        <v>5736.9229999999998</v>
      </c>
      <c r="D8" s="123">
        <f t="shared" ref="D8:D12" si="1">IF(B8=0, "    ---- ", IF(ABS(ROUND(100/B8*C8-100,1))&lt;999,ROUND(100/B8*C8-100,1),IF(ROUND(100/B8*C8-100,1)&gt;999,999,-999)))</f>
        <v>-4.4000000000000004</v>
      </c>
      <c r="E8" s="23">
        <f>IFERROR(100/'Skjema total MA'!C8*C8,0)</f>
        <v>0.39951778292793372</v>
      </c>
      <c r="F8" s="232"/>
      <c r="G8" s="233"/>
      <c r="H8" s="123"/>
      <c r="I8" s="132"/>
      <c r="J8" s="181">
        <f t="shared" si="0"/>
        <v>5998.6130000000003</v>
      </c>
      <c r="K8" s="234">
        <f t="shared" si="0"/>
        <v>5736.9229999999998</v>
      </c>
      <c r="L8" s="123">
        <f t="shared" ref="L8:L9" si="2">IF(J8=0, "    ---- ", IF(ABS(ROUND(100/J8*K8-100,1))&lt;999,ROUND(100/J8*K8-100,1),IF(ROUND(100/J8*K8-100,1)&gt;999,999,-999)))</f>
        <v>-4.4000000000000004</v>
      </c>
      <c r="M8" s="23">
        <f>IFERROR(100/'Skjema total MA'!I8*K8,0)</f>
        <v>0.39951778292793372</v>
      </c>
    </row>
    <row r="9" spans="1:17" ht="15.75" x14ac:dyDescent="0.2">
      <c r="A9" s="18" t="s">
        <v>171</v>
      </c>
      <c r="B9" s="228">
        <v>4280.5330000000004</v>
      </c>
      <c r="C9" s="229">
        <v>4011.0709999999999</v>
      </c>
      <c r="D9" s="123">
        <f t="shared" si="1"/>
        <v>-6.3</v>
      </c>
      <c r="E9" s="23">
        <f>IFERROR(100/'Skjema total MA'!C9*C9,0)</f>
        <v>0.93868453088430559</v>
      </c>
      <c r="F9" s="232"/>
      <c r="G9" s="233"/>
      <c r="H9" s="123"/>
      <c r="I9" s="132"/>
      <c r="J9" s="181">
        <f t="shared" si="0"/>
        <v>4280.5330000000004</v>
      </c>
      <c r="K9" s="234">
        <f t="shared" si="0"/>
        <v>4011.0709999999999</v>
      </c>
      <c r="L9" s="123">
        <f t="shared" si="2"/>
        <v>-6.3</v>
      </c>
      <c r="M9" s="23">
        <f>IFERROR(100/'Skjema total MA'!I9*K9,0)</f>
        <v>0.93868453088430559</v>
      </c>
    </row>
    <row r="10" spans="1:17" ht="15.75" x14ac:dyDescent="0.2">
      <c r="A10" s="10" t="s">
        <v>172</v>
      </c>
      <c r="B10" s="252">
        <v>5412840.6699999999</v>
      </c>
      <c r="C10" s="253">
        <v>4912382.83268179</v>
      </c>
      <c r="D10" s="127">
        <f t="shared" si="1"/>
        <v>-9.1999999999999993</v>
      </c>
      <c r="E10" s="8">
        <f>IFERROR(100/'Skjema total MA'!C10*C10,0)</f>
        <v>38.450265732499858</v>
      </c>
      <c r="F10" s="252">
        <v>8925133.6711575203</v>
      </c>
      <c r="G10" s="253">
        <v>10041244.736657299</v>
      </c>
      <c r="H10" s="127">
        <f t="shared" ref="H10:H12" si="3">IF(F10=0, "    ---- ", IF(ABS(ROUND(100/F10*G10-100,1))&lt;999,ROUND(100/F10*G10-100,1),IF(ROUND(100/F10*G10-100,1)&gt;999,999,-999)))</f>
        <v>12.5</v>
      </c>
      <c r="I10" s="119">
        <f>IFERROR(100/'Skjema total MA'!F10*G10,0)</f>
        <v>9.3254186429255252</v>
      </c>
      <c r="J10" s="250">
        <f t="shared" si="0"/>
        <v>14337974.34115752</v>
      </c>
      <c r="K10" s="251">
        <f t="shared" si="0"/>
        <v>14953627.569339089</v>
      </c>
      <c r="L10" s="342">
        <f t="shared" ref="L10:L12" si="4">IF(J10=0, "    ---- ", IF(ABS(ROUND(100/J10*K10-100,1))&lt;999,ROUND(100/J10*K10-100,1),IF(ROUND(100/J10*K10-100,1)&gt;999,999,-999)))</f>
        <v>4.3</v>
      </c>
      <c r="M10" s="8">
        <f>IFERROR(100/'Skjema total MA'!I10*K10,0)</f>
        <v>12.414593173587042</v>
      </c>
      <c r="Q10" s="22"/>
    </row>
    <row r="11" spans="1:17" s="35" customFormat="1" ht="15.75" x14ac:dyDescent="0.2">
      <c r="A11" s="10" t="s">
        <v>173</v>
      </c>
      <c r="B11" s="252"/>
      <c r="C11" s="253"/>
      <c r="D11" s="127"/>
      <c r="E11" s="8"/>
      <c r="F11" s="252">
        <v>15643</v>
      </c>
      <c r="G11" s="253">
        <v>10522.68597</v>
      </c>
      <c r="H11" s="127">
        <f t="shared" si="3"/>
        <v>-32.700000000000003</v>
      </c>
      <c r="I11" s="119">
        <f>IFERROR(100/'Skjema total MA'!F11*G11,0)</f>
        <v>9.8381298770346888</v>
      </c>
      <c r="J11" s="250">
        <f t="shared" si="0"/>
        <v>15643</v>
      </c>
      <c r="K11" s="251">
        <f t="shared" si="0"/>
        <v>10522.68597</v>
      </c>
      <c r="L11" s="342">
        <f t="shared" si="4"/>
        <v>-32.700000000000003</v>
      </c>
      <c r="M11" s="8">
        <f>IFERROR(100/'Skjema total MA'!I11*K11,0)</f>
        <v>9.8381298770346888</v>
      </c>
      <c r="N11" s="107"/>
    </row>
    <row r="12" spans="1:17" s="35" customFormat="1" ht="15.75" x14ac:dyDescent="0.2">
      <c r="A12" s="33" t="s">
        <v>174</v>
      </c>
      <c r="B12" s="254"/>
      <c r="C12" s="255"/>
      <c r="D12" s="125"/>
      <c r="E12" s="30">
        <f>IFERROR(100/'Skjema total MA'!C12*C12,0)</f>
        <v>0</v>
      </c>
      <c r="F12" s="254">
        <v>14238</v>
      </c>
      <c r="G12" s="255">
        <v>14114.58034</v>
      </c>
      <c r="H12" s="125">
        <f t="shared" si="3"/>
        <v>-0.9</v>
      </c>
      <c r="I12" s="125">
        <f>IFERROR(100/'Skjema total MA'!F12*G12,0)</f>
        <v>11.257165182638817</v>
      </c>
      <c r="J12" s="256">
        <f t="shared" si="0"/>
        <v>14238</v>
      </c>
      <c r="K12" s="257">
        <f t="shared" si="0"/>
        <v>14114.58034</v>
      </c>
      <c r="L12" s="343">
        <f t="shared" si="4"/>
        <v>-0.9</v>
      </c>
      <c r="M12" s="30">
        <f>IFERROR(100/'Skjema total MA'!I12*K12,0)</f>
        <v>11.257165182638817</v>
      </c>
      <c r="N12" s="107"/>
      <c r="Q12" s="107"/>
    </row>
    <row r="13" spans="1:17" s="35" customFormat="1" x14ac:dyDescent="0.2">
      <c r="A13" s="107"/>
      <c r="B13" s="109"/>
      <c r="C13" s="27"/>
      <c r="D13" s="118"/>
      <c r="E13" s="118"/>
      <c r="F13" s="109"/>
      <c r="G13" s="27"/>
      <c r="H13" s="118"/>
      <c r="I13" s="118"/>
      <c r="J13" s="38"/>
      <c r="K13" s="38"/>
      <c r="L13" s="118"/>
      <c r="M13" s="118"/>
      <c r="N13" s="107"/>
    </row>
    <row r="14" spans="1:17" x14ac:dyDescent="0.2">
      <c r="A14" s="114" t="s">
        <v>175</v>
      </c>
    </row>
    <row r="16" spans="1:17"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v>65939</v>
      </c>
      <c r="C22" s="252">
        <v>52736</v>
      </c>
      <c r="D22" s="285">
        <f t="shared" ref="D22:D39" si="5">IF(B22=0, "    ---- ", IF(ABS(ROUND(100/B22*C22-100,1))&lt;999,ROUND(100/B22*C22-100,1),IF(ROUND(100/B22*C22-100,1)&gt;999,999,-999)))</f>
        <v>-20</v>
      </c>
      <c r="E22" s="8">
        <f>IFERROR(100/'Skjema total MA'!C22*C22,0)</f>
        <v>4.8917757105456827</v>
      </c>
      <c r="F22" s="260">
        <v>4752.7240000000002</v>
      </c>
      <c r="G22" s="260">
        <v>4431.0780000000004</v>
      </c>
      <c r="H22" s="285">
        <f t="shared" ref="H22:H35" si="6">IF(F22=0, "    ---- ", IF(ABS(ROUND(100/F22*G22-100,1))&lt;999,ROUND(100/F22*G22-100,1),IF(ROUND(100/F22*G22-100,1)&gt;999,999,-999)))</f>
        <v>-6.8</v>
      </c>
      <c r="I22" s="8">
        <f>IFERROR(100/'Skjema total MA'!F22*G22,0)</f>
        <v>0.99274626633599961</v>
      </c>
      <c r="J22" s="258">
        <f t="shared" ref="J22:K35" si="7">SUM(B22,F22)</f>
        <v>70691.724000000002</v>
      </c>
      <c r="K22" s="258">
        <f t="shared" si="7"/>
        <v>57167.078000000001</v>
      </c>
      <c r="L22" s="341">
        <f t="shared" ref="L22:L35" si="8">IF(J22=0, "    ---- ", IF(ABS(ROUND(100/J22*K22-100,1))&lt;999,ROUND(100/J22*K22-100,1),IF(ROUND(100/J22*K22-100,1)&gt;999,999,-999)))</f>
        <v>-19.100000000000001</v>
      </c>
      <c r="M22" s="21">
        <f>IFERROR(100/'Skjema total MA'!I22*K22,0)</f>
        <v>3.7501367980952036</v>
      </c>
    </row>
    <row r="23" spans="1:13" ht="15.75" x14ac:dyDescent="0.2">
      <c r="A23" s="382" t="s">
        <v>178</v>
      </c>
      <c r="B23" s="228">
        <v>56444</v>
      </c>
      <c r="C23" s="228">
        <v>45703.702528266098</v>
      </c>
      <c r="D23" s="123">
        <f t="shared" si="5"/>
        <v>-19</v>
      </c>
      <c r="E23" s="8">
        <f>IFERROR(100/'Skjema total MA'!C23*C23,0)</f>
        <v>5.7271821577583548</v>
      </c>
      <c r="F23" s="236">
        <v>3160.8910000000001</v>
      </c>
      <c r="G23" s="236">
        <v>2908.3510000000001</v>
      </c>
      <c r="H23" s="123">
        <f t="shared" si="6"/>
        <v>-8</v>
      </c>
      <c r="I23" s="335">
        <f>IFERROR(100/'Skjema total MA'!F23*G23,0)</f>
        <v>33.612838587992812</v>
      </c>
      <c r="J23" s="236">
        <f t="shared" ref="J23:J25" si="9">SUM(B23,F23)</f>
        <v>59604.891000000003</v>
      </c>
      <c r="K23" s="236">
        <f t="shared" ref="K23:K25" si="10">SUM(C23,G23)</f>
        <v>48612.0535282661</v>
      </c>
      <c r="L23" s="123">
        <f t="shared" si="8"/>
        <v>-18.399999999999999</v>
      </c>
      <c r="M23" s="20">
        <f>IFERROR(100/'Skjema total MA'!I23*K23,0)</f>
        <v>6.0262905516243501</v>
      </c>
    </row>
    <row r="24" spans="1:13" ht="15.75" x14ac:dyDescent="0.2">
      <c r="A24" s="382" t="s">
        <v>179</v>
      </c>
      <c r="B24" s="228">
        <v>3864.15</v>
      </c>
      <c r="C24" s="228">
        <v>2696.6922246377499</v>
      </c>
      <c r="D24" s="123">
        <f t="shared" si="5"/>
        <v>-30.2</v>
      </c>
      <c r="E24" s="8">
        <f>IFERROR(100/'Skjema total MA'!C24*C24,0)</f>
        <v>79.788749026804936</v>
      </c>
      <c r="F24" s="236">
        <v>2</v>
      </c>
      <c r="G24" s="236">
        <v>2.9</v>
      </c>
      <c r="H24" s="123">
        <f t="shared" si="6"/>
        <v>45</v>
      </c>
      <c r="I24" s="335">
        <f>IFERROR(100/'Skjema total MA'!F24*G24,0)</f>
        <v>4.4442060579126021</v>
      </c>
      <c r="J24" s="236">
        <f t="shared" si="9"/>
        <v>3866.15</v>
      </c>
      <c r="K24" s="236">
        <f t="shared" si="10"/>
        <v>2699.59222463775</v>
      </c>
      <c r="L24" s="123">
        <f t="shared" si="8"/>
        <v>-30.2</v>
      </c>
      <c r="M24" s="20">
        <f>IFERROR(100/'Skjema total MA'!I24*K24,0)</f>
        <v>78.361627708795723</v>
      </c>
    </row>
    <row r="25" spans="1:13" ht="15.75" x14ac:dyDescent="0.2">
      <c r="A25" s="382" t="s">
        <v>180</v>
      </c>
      <c r="B25" s="228">
        <v>5630.85</v>
      </c>
      <c r="C25" s="228">
        <v>4335.6052470961204</v>
      </c>
      <c r="D25" s="123">
        <f t="shared" si="5"/>
        <v>-23</v>
      </c>
      <c r="E25" s="8">
        <f>IFERROR(100/'Skjema total MA'!C25*C25,0)</f>
        <v>100</v>
      </c>
      <c r="F25" s="236">
        <v>1589.8330000000001</v>
      </c>
      <c r="G25" s="236">
        <v>1519.827</v>
      </c>
      <c r="H25" s="123">
        <f t="shared" si="6"/>
        <v>-4.4000000000000004</v>
      </c>
      <c r="I25" s="335">
        <f>IFERROR(100/'Skjema total MA'!F25*G25,0)</f>
        <v>21.530084227272933</v>
      </c>
      <c r="J25" s="236">
        <f t="shared" si="9"/>
        <v>7220.6830000000009</v>
      </c>
      <c r="K25" s="236">
        <f t="shared" si="10"/>
        <v>5855.4322470961206</v>
      </c>
      <c r="L25" s="123">
        <f t="shared" si="8"/>
        <v>-18.899999999999999</v>
      </c>
      <c r="M25" s="20">
        <f>IFERROR(100/'Skjema total MA'!I25*K25,0)</f>
        <v>51.3873742212511</v>
      </c>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v>24887.668000000001</v>
      </c>
      <c r="C28" s="234">
        <v>24204.05</v>
      </c>
      <c r="D28" s="123">
        <f t="shared" si="5"/>
        <v>-2.7</v>
      </c>
      <c r="E28" s="8">
        <f>IFERROR(100/'Skjema total MA'!C28*C28,0)</f>
        <v>1.7957050481250127</v>
      </c>
      <c r="F28" s="181"/>
      <c r="G28" s="234"/>
      <c r="H28" s="123"/>
      <c r="I28" s="23"/>
      <c r="J28" s="36">
        <f t="shared" si="7"/>
        <v>24887.668000000001</v>
      </c>
      <c r="K28" s="36">
        <f t="shared" si="7"/>
        <v>24204.05</v>
      </c>
      <c r="L28" s="206">
        <f t="shared" si="8"/>
        <v>-2.7</v>
      </c>
      <c r="M28" s="20">
        <f>IFERROR(100/'Skjema total MA'!I28*K28,0)</f>
        <v>1.7957050481250127</v>
      </c>
    </row>
    <row r="29" spans="1:13" ht="15.75" x14ac:dyDescent="0.2">
      <c r="A29" s="10" t="s">
        <v>172</v>
      </c>
      <c r="B29" s="183">
        <v>18905890.760000002</v>
      </c>
      <c r="C29" s="183">
        <v>18165330.614677701</v>
      </c>
      <c r="D29" s="127">
        <f t="shared" si="5"/>
        <v>-3.9</v>
      </c>
      <c r="E29" s="8">
        <f>IFERROR(100/'Skjema total MA'!C29*C29,0)</f>
        <v>40.816522917054861</v>
      </c>
      <c r="F29" s="250">
        <v>4668992.0689591896</v>
      </c>
      <c r="G29" s="250">
        <v>4696425.1937544197</v>
      </c>
      <c r="H29" s="127">
        <f t="shared" si="6"/>
        <v>0.6</v>
      </c>
      <c r="I29" s="8">
        <f>IFERROR(100/'Skjema total MA'!F29*G29,0)</f>
        <v>15.061172164966964</v>
      </c>
      <c r="J29" s="183">
        <f t="shared" si="7"/>
        <v>23574882.828959189</v>
      </c>
      <c r="K29" s="183">
        <f t="shared" si="7"/>
        <v>22861755.808432121</v>
      </c>
      <c r="L29" s="342">
        <f t="shared" si="8"/>
        <v>-3</v>
      </c>
      <c r="M29" s="21">
        <f>IFERROR(100/'Skjema total MA'!I29*K29,0)</f>
        <v>30.205584982893953</v>
      </c>
    </row>
    <row r="30" spans="1:13" ht="15.75" x14ac:dyDescent="0.2">
      <c r="A30" s="382" t="s">
        <v>178</v>
      </c>
      <c r="B30" s="228">
        <v>3667549.8430428701</v>
      </c>
      <c r="C30" s="228">
        <v>3401630.6888735802</v>
      </c>
      <c r="D30" s="123">
        <f t="shared" si="5"/>
        <v>-7.3</v>
      </c>
      <c r="E30" s="8">
        <f>IFERROR(100/'Skjema total MA'!C30*C30,0)</f>
        <v>17.095321595988345</v>
      </c>
      <c r="F30" s="236">
        <v>1539758.67753617</v>
      </c>
      <c r="G30" s="236">
        <v>1538468.2122531701</v>
      </c>
      <c r="H30" s="123">
        <f t="shared" si="6"/>
        <v>-0.1</v>
      </c>
      <c r="I30" s="335">
        <f>IFERROR(100/'Skjema total MA'!F30*G30,0)</f>
        <v>43.370007030804032</v>
      </c>
      <c r="J30" s="236">
        <f t="shared" ref="J30:J32" si="11">SUM(B30,F30)</f>
        <v>5207308.5205790401</v>
      </c>
      <c r="K30" s="236">
        <f t="shared" ref="K30:K32" si="12">SUM(C30,G30)</f>
        <v>4940098.9011267498</v>
      </c>
      <c r="L30" s="123">
        <f t="shared" si="8"/>
        <v>-5.0999999999999996</v>
      </c>
      <c r="M30" s="20">
        <f>IFERROR(100/'Skjema total MA'!I30*K30,0)</f>
        <v>21.070715863587612</v>
      </c>
    </row>
    <row r="31" spans="1:13" ht="15.75" x14ac:dyDescent="0.2">
      <c r="A31" s="382" t="s">
        <v>179</v>
      </c>
      <c r="B31" s="228">
        <v>13888882.2613052</v>
      </c>
      <c r="C31" s="228">
        <v>13181507.0000354</v>
      </c>
      <c r="D31" s="123">
        <f t="shared" si="5"/>
        <v>-5.0999999999999996</v>
      </c>
      <c r="E31" s="8">
        <f>IFERROR(100/'Skjema total MA'!C31*C31,0)</f>
        <v>61.081563117124773</v>
      </c>
      <c r="F31" s="236">
        <v>2542082.6961687501</v>
      </c>
      <c r="G31" s="236">
        <v>2502036.70888568</v>
      </c>
      <c r="H31" s="123">
        <f t="shared" si="6"/>
        <v>-1.6</v>
      </c>
      <c r="I31" s="335">
        <f>IFERROR(100/'Skjema total MA'!F31*G31,0)</f>
        <v>35.727124617446712</v>
      </c>
      <c r="J31" s="236">
        <f t="shared" si="11"/>
        <v>16430964.95747395</v>
      </c>
      <c r="K31" s="236">
        <f t="shared" si="12"/>
        <v>15683543.708921079</v>
      </c>
      <c r="L31" s="123">
        <f t="shared" si="8"/>
        <v>-4.5</v>
      </c>
      <c r="M31" s="20">
        <f>IFERROR(100/'Skjema total MA'!I31*K31,0)</f>
        <v>54.869492883376388</v>
      </c>
    </row>
    <row r="32" spans="1:13" ht="15.75" x14ac:dyDescent="0.2">
      <c r="A32" s="382" t="s">
        <v>180</v>
      </c>
      <c r="B32" s="228">
        <v>1349458.89565195</v>
      </c>
      <c r="C32" s="228">
        <v>1582192.92576876</v>
      </c>
      <c r="D32" s="123">
        <f t="shared" si="5"/>
        <v>17.2</v>
      </c>
      <c r="E32" s="8">
        <f>IFERROR(100/'Skjema total MA'!C32*C32,0)</f>
        <v>56.595384288124315</v>
      </c>
      <c r="F32" s="236">
        <v>587150.69525426696</v>
      </c>
      <c r="G32" s="236">
        <v>655920.27261557302</v>
      </c>
      <c r="H32" s="123">
        <f t="shared" si="6"/>
        <v>11.7</v>
      </c>
      <c r="I32" s="335">
        <f>IFERROR(100/'Skjema total MA'!F32*G32,0)</f>
        <v>9.0201245906472511</v>
      </c>
      <c r="J32" s="236">
        <f t="shared" si="11"/>
        <v>1936609.590906217</v>
      </c>
      <c r="K32" s="236">
        <f t="shared" si="12"/>
        <v>2238113.1983843329</v>
      </c>
      <c r="L32" s="123">
        <f t="shared" si="8"/>
        <v>15.6</v>
      </c>
      <c r="M32" s="20">
        <f>IFERROR(100/'Skjema total MA'!I32*K32,0)</f>
        <v>22.231370846599219</v>
      </c>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v>806</v>
      </c>
      <c r="C34" s="251">
        <v>-136</v>
      </c>
      <c r="D34" s="127">
        <f t="shared" si="5"/>
        <v>-116.9</v>
      </c>
      <c r="E34" s="8">
        <f>IFERROR(100/'Skjema total MA'!C34*C34,0)</f>
        <v>-3.143217952581784</v>
      </c>
      <c r="F34" s="250">
        <v>-152356</v>
      </c>
      <c r="G34" s="251">
        <v>4264.2340000000004</v>
      </c>
      <c r="H34" s="127">
        <f t="shared" si="6"/>
        <v>-102.8</v>
      </c>
      <c r="I34" s="8">
        <f>IFERROR(100/'Skjema total MA'!F34*G34,0)</f>
        <v>5.4439907802766756</v>
      </c>
      <c r="J34" s="183">
        <f t="shared" si="7"/>
        <v>-151550</v>
      </c>
      <c r="K34" s="183">
        <f t="shared" si="7"/>
        <v>4128.2340000000004</v>
      </c>
      <c r="L34" s="342">
        <f t="shared" si="8"/>
        <v>-102.7</v>
      </c>
      <c r="M34" s="21">
        <f>IFERROR(100/'Skjema total MA'!I34*K34,0)</f>
        <v>4.9944778234396674</v>
      </c>
    </row>
    <row r="35" spans="1:13" ht="15.75" x14ac:dyDescent="0.2">
      <c r="A35" s="10" t="s">
        <v>174</v>
      </c>
      <c r="B35" s="183">
        <v>-149296</v>
      </c>
      <c r="C35" s="611">
        <v>6560</v>
      </c>
      <c r="D35" s="127">
        <f t="shared" si="5"/>
        <v>-104.4</v>
      </c>
      <c r="E35" s="8">
        <f>IFERROR(100/'Skjema total MA'!C35*C35,0)</f>
        <v>83.412138413354825</v>
      </c>
      <c r="F35" s="250">
        <v>-1225</v>
      </c>
      <c r="G35" s="251">
        <v>10408</v>
      </c>
      <c r="H35" s="127">
        <f t="shared" si="6"/>
        <v>-949.6</v>
      </c>
      <c r="I35" s="8">
        <f>IFERROR(100/'Skjema total MA'!F35*G35,0)</f>
        <v>9.4878887463423851</v>
      </c>
      <c r="J35" s="183">
        <f t="shared" si="7"/>
        <v>-150521</v>
      </c>
      <c r="K35" s="183">
        <f t="shared" si="7"/>
        <v>16968</v>
      </c>
      <c r="L35" s="342">
        <f t="shared" si="8"/>
        <v>-111.3</v>
      </c>
      <c r="M35" s="21">
        <f>IFERROR(100/'Skjema total MA'!I35*K35,0)</f>
        <v>14.433197445085609</v>
      </c>
    </row>
    <row r="36" spans="1:13" ht="15.75" x14ac:dyDescent="0.2">
      <c r="A36" s="9" t="s">
        <v>185</v>
      </c>
      <c r="B36" s="183">
        <v>607</v>
      </c>
      <c r="C36" s="251">
        <v>233.42599999999999</v>
      </c>
      <c r="D36" s="127">
        <f t="shared" si="5"/>
        <v>-61.5</v>
      </c>
      <c r="E36" s="8">
        <f>IFERROR(100/'Skjema total MA'!C36*C36,0)</f>
        <v>53.363540347395904</v>
      </c>
      <c r="F36" s="261"/>
      <c r="G36" s="262"/>
      <c r="H36" s="127"/>
      <c r="I36" s="348"/>
      <c r="J36" s="183">
        <f t="shared" ref="J36:J39" si="13">SUM(B36,F36)</f>
        <v>607</v>
      </c>
      <c r="K36" s="183">
        <f t="shared" ref="K36:K39" si="14">SUM(C36,G36)</f>
        <v>233.42599999999999</v>
      </c>
      <c r="L36" s="342"/>
      <c r="M36" s="21">
        <f>IFERROR(100/'Skjema total MA'!I36*K36,0)</f>
        <v>53.363540347395904</v>
      </c>
    </row>
    <row r="37" spans="1:13" ht="15.75" x14ac:dyDescent="0.2">
      <c r="A37" s="9" t="s">
        <v>186</v>
      </c>
      <c r="B37" s="183">
        <v>2063057.1094500001</v>
      </c>
      <c r="C37" s="251">
        <v>1896024.51206768</v>
      </c>
      <c r="D37" s="127">
        <f t="shared" si="5"/>
        <v>-8.1</v>
      </c>
      <c r="E37" s="8">
        <f>IFERROR(100/'Skjema total MA'!C37*C37,0)</f>
        <v>83.079543029371152</v>
      </c>
      <c r="F37" s="261"/>
      <c r="G37" s="263"/>
      <c r="H37" s="127"/>
      <c r="I37" s="348"/>
      <c r="J37" s="183">
        <f t="shared" si="13"/>
        <v>2063057.1094500001</v>
      </c>
      <c r="K37" s="183">
        <f t="shared" si="14"/>
        <v>1896024.51206768</v>
      </c>
      <c r="L37" s="342"/>
      <c r="M37" s="21">
        <f>IFERROR(100/'Skjema total MA'!I37*K37,0)</f>
        <v>83.079543029371152</v>
      </c>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v>1</v>
      </c>
      <c r="C39" s="257">
        <v>0.47299999999999998</v>
      </c>
      <c r="D39" s="125">
        <f t="shared" si="5"/>
        <v>-52.7</v>
      </c>
      <c r="E39" s="30">
        <f>IFERROR(100/'Skjema total MA'!C38*C39,0)</f>
        <v>0</v>
      </c>
      <c r="F39" s="264"/>
      <c r="G39" s="265"/>
      <c r="H39" s="125"/>
      <c r="I39" s="30"/>
      <c r="J39" s="183">
        <f t="shared" si="13"/>
        <v>1</v>
      </c>
      <c r="K39" s="183">
        <f t="shared" si="14"/>
        <v>0.47299999999999998</v>
      </c>
      <c r="L39" s="343"/>
      <c r="M39" s="30">
        <f>IFERROR(100/'Skjema total MA'!I39*K39,0)</f>
        <v>100</v>
      </c>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331071</v>
      </c>
      <c r="C47" s="253">
        <v>360233</v>
      </c>
      <c r="D47" s="341">
        <f t="shared" ref="D47:D57" si="15">IF(B47=0, "    ---- ", IF(ABS(ROUND(100/B47*C47-100,1))&lt;999,ROUND(100/B47*C47-100,1),IF(ROUND(100/B47*C47-100,1)&gt;999,999,-999)))</f>
        <v>8.8000000000000007</v>
      </c>
      <c r="E47" s="8">
        <f>IFERROR(100/'Skjema total MA'!C47*C47,0)</f>
        <v>7.1554004403146374</v>
      </c>
      <c r="F47" s="109"/>
      <c r="G47" s="27"/>
      <c r="H47" s="118"/>
      <c r="I47" s="118"/>
      <c r="J47" s="31"/>
      <c r="K47" s="31"/>
      <c r="L47" s="118"/>
      <c r="M47" s="118"/>
    </row>
    <row r="48" spans="1:13" ht="15.75" x14ac:dyDescent="0.2">
      <c r="A48" s="18" t="s">
        <v>190</v>
      </c>
      <c r="B48" s="228">
        <v>331071</v>
      </c>
      <c r="C48" s="229">
        <v>360233</v>
      </c>
      <c r="D48" s="206">
        <f t="shared" si="15"/>
        <v>8.8000000000000007</v>
      </c>
      <c r="E48" s="23">
        <f>IFERROR(100/'Skjema total MA'!C48*C48,0)</f>
        <v>14.489105257908895</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v>10898.752</v>
      </c>
      <c r="C53" s="253">
        <v>14175</v>
      </c>
      <c r="D53" s="342">
        <f t="shared" si="15"/>
        <v>30.1</v>
      </c>
      <c r="E53" s="8">
        <f>IFERROR(100/'Skjema total MA'!C53*C53,0)</f>
        <v>11.972977711484786</v>
      </c>
      <c r="F53" s="109"/>
      <c r="G53" s="27"/>
      <c r="H53" s="109"/>
      <c r="I53" s="109"/>
      <c r="J53" s="27"/>
      <c r="K53" s="27"/>
      <c r="L53" s="118"/>
      <c r="M53" s="118"/>
    </row>
    <row r="54" spans="1:13" ht="15.75" x14ac:dyDescent="0.2">
      <c r="A54" s="18" t="s">
        <v>190</v>
      </c>
      <c r="B54" s="228">
        <v>10898.752</v>
      </c>
      <c r="C54" s="229">
        <v>14175</v>
      </c>
      <c r="D54" s="206">
        <f t="shared" si="15"/>
        <v>30.1</v>
      </c>
      <c r="E54" s="23">
        <f>IFERROR(100/'Skjema total MA'!C54*C54,0)</f>
        <v>11.997376979827463</v>
      </c>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v>5871.3450000000003</v>
      </c>
      <c r="C56" s="253">
        <v>9771.2350000000006</v>
      </c>
      <c r="D56" s="342">
        <f t="shared" si="15"/>
        <v>66.400000000000006</v>
      </c>
      <c r="E56" s="8">
        <f>IFERROR(100/'Skjema total MA'!C56*C56,0)</f>
        <v>8.8673013272926422</v>
      </c>
      <c r="F56" s="109"/>
      <c r="G56" s="27"/>
      <c r="H56" s="109"/>
      <c r="I56" s="109"/>
      <c r="J56" s="27"/>
      <c r="K56" s="27"/>
      <c r="L56" s="118"/>
      <c r="M56" s="118"/>
    </row>
    <row r="57" spans="1:13" ht="15.75" x14ac:dyDescent="0.2">
      <c r="A57" s="18" t="s">
        <v>190</v>
      </c>
      <c r="B57" s="228">
        <v>5871.3450000000003</v>
      </c>
      <c r="C57" s="229">
        <v>9771.2350000000006</v>
      </c>
      <c r="D57" s="206">
        <f t="shared" si="15"/>
        <v>66.400000000000006</v>
      </c>
      <c r="E57" s="23">
        <f>IFERROR(100/'Skjema total MA'!C57*C57,0)</f>
        <v>9.616599029775319</v>
      </c>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v>819578</v>
      </c>
      <c r="C66" s="288">
        <v>804365.81195999996</v>
      </c>
      <c r="D66" s="285">
        <f t="shared" ref="D66:D111" si="16">IF(B66=0, "    ---- ", IF(ABS(ROUND(100/B66*C66-100,1))&lt;999,ROUND(100/B66*C66-100,1),IF(ROUND(100/B66*C66-100,1)&gt;999,999,-999)))</f>
        <v>-1.9</v>
      </c>
      <c r="E66" s="559">
        <f>IFERROR(100/'Skjema total MA'!C66*C66,0)</f>
        <v>26.46095432050253</v>
      </c>
      <c r="F66" s="560">
        <v>4276067</v>
      </c>
      <c r="G66" s="287">
        <v>4466145.0928499997</v>
      </c>
      <c r="H66" s="285">
        <f t="shared" ref="H66:H111" si="17">IF(F66=0, "    ---- ", IF(ABS(ROUND(100/F66*G66-100,1))&lt;999,ROUND(100/F66*G66-100,1),IF(ROUND(100/F66*G66-100,1)&gt;999,999,-999)))</f>
        <v>4.4000000000000004</v>
      </c>
      <c r="I66" s="559">
        <f>IFERROR(100/'Skjema total MA'!F66*G66,0)</f>
        <v>29.342767267765336</v>
      </c>
      <c r="J66" s="258">
        <f t="shared" ref="J66:K86" si="18">SUM(B66,F66)</f>
        <v>5095645</v>
      </c>
      <c r="K66" s="258">
        <f t="shared" si="18"/>
        <v>5270510.9048099993</v>
      </c>
      <c r="L66" s="342">
        <f t="shared" ref="L66:L111" si="19">IF(J66=0, "    ---- ", IF(ABS(ROUND(100/J66*K66-100,1))&lt;999,ROUND(100/J66*K66-100,1),IF(ROUND(100/J66*K66-100,1)&gt;999,999,-999)))</f>
        <v>3.4</v>
      </c>
      <c r="M66" s="8">
        <f>IFERROR(100/'Skjema total MA'!I66*K66,0)</f>
        <v>28.86303039578457</v>
      </c>
    </row>
    <row r="67" spans="1:13" x14ac:dyDescent="0.2">
      <c r="A67" s="18" t="s">
        <v>198</v>
      </c>
      <c r="B67" s="36">
        <v>675915.69400000002</v>
      </c>
      <c r="C67" s="109">
        <v>501747.31095999997</v>
      </c>
      <c r="D67" s="123">
        <f t="shared" si="16"/>
        <v>-25.8</v>
      </c>
      <c r="E67" s="20">
        <f>IFERROR(100/'Skjema total MA'!C67*C67,0)</f>
        <v>29.406503417154532</v>
      </c>
      <c r="F67" s="36"/>
      <c r="G67" s="109"/>
      <c r="H67" s="123"/>
      <c r="I67" s="20"/>
      <c r="J67" s="36">
        <f t="shared" si="18"/>
        <v>675915.69400000002</v>
      </c>
      <c r="K67" s="36">
        <f t="shared" si="18"/>
        <v>501747.31095999997</v>
      </c>
      <c r="L67" s="206">
        <f t="shared" si="19"/>
        <v>-25.8</v>
      </c>
      <c r="M67" s="23">
        <f>IFERROR(100/'Skjema total MA'!I67*K67,0)</f>
        <v>29.406503417154532</v>
      </c>
    </row>
    <row r="68" spans="1:13" x14ac:dyDescent="0.2">
      <c r="A68" s="18" t="s">
        <v>199</v>
      </c>
      <c r="B68" s="237"/>
      <c r="C68" s="238"/>
      <c r="D68" s="123"/>
      <c r="E68" s="20"/>
      <c r="F68" s="142">
        <v>4276067</v>
      </c>
      <c r="G68" s="238">
        <v>4466145.0928499997</v>
      </c>
      <c r="H68" s="123">
        <f t="shared" si="17"/>
        <v>4.4000000000000004</v>
      </c>
      <c r="I68" s="20">
        <f>IFERROR(100/'Skjema total MA'!F68*G68,0)</f>
        <v>30.45296484455789</v>
      </c>
      <c r="J68" s="36">
        <f t="shared" si="18"/>
        <v>4276067</v>
      </c>
      <c r="K68" s="36">
        <f t="shared" si="18"/>
        <v>4466145.0928499997</v>
      </c>
      <c r="L68" s="206">
        <f t="shared" si="19"/>
        <v>4.4000000000000004</v>
      </c>
      <c r="M68" s="23">
        <f>IFERROR(100/'Skjema total MA'!I68*K68,0)</f>
        <v>30.443549966873174</v>
      </c>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v>143662.30600000001</v>
      </c>
      <c r="C76" s="109">
        <v>302618.50099999999</v>
      </c>
      <c r="D76" s="123">
        <f t="shared" ref="D76" si="20">IF(B76=0, "    ---- ", IF(ABS(ROUND(100/B76*C76-100,1))&lt;999,ROUND(100/B76*C76-100,1),IF(ROUND(100/B76*C76-100,1)&gt;999,999,-999)))</f>
        <v>110.6</v>
      </c>
      <c r="E76" s="20">
        <f>IFERROR(100/'Skjema total MA'!C76*C76,0)</f>
        <v>26.857612017355539</v>
      </c>
      <c r="F76" s="36"/>
      <c r="G76" s="109"/>
      <c r="H76" s="123"/>
      <c r="I76" s="20"/>
      <c r="J76" s="36">
        <f t="shared" ref="J76" si="21">SUM(B76,F76)</f>
        <v>143662.30600000001</v>
      </c>
      <c r="K76" s="36">
        <f t="shared" ref="K76" si="22">SUM(C76,G76)</f>
        <v>302618.50099999999</v>
      </c>
      <c r="L76" s="206">
        <f t="shared" ref="L76" si="23">IF(J76=0, "    ---- ", IF(ABS(ROUND(100/J76*K76-100,1))&lt;999,ROUND(100/J76*K76-100,1),IF(ROUND(100/J76*K76-100,1)&gt;999,999,-999)))</f>
        <v>110.6</v>
      </c>
      <c r="M76" s="23">
        <f>IFERROR(100/'Skjema total MA'!I76*K76,0)</f>
        <v>26.857612017355539</v>
      </c>
    </row>
    <row r="77" spans="1:13" ht="15.75" x14ac:dyDescent="0.2">
      <c r="A77" s="18" t="s">
        <v>206</v>
      </c>
      <c r="B77" s="181">
        <v>651230.69400000002</v>
      </c>
      <c r="C77" s="181">
        <v>477626.31099999999</v>
      </c>
      <c r="D77" s="123">
        <f t="shared" si="16"/>
        <v>-26.7</v>
      </c>
      <c r="E77" s="20">
        <f>IFERROR(100/'Skjema total MA'!C77*C77,0)</f>
        <v>29.200761281990712</v>
      </c>
      <c r="F77" s="36">
        <v>4276067.1100000003</v>
      </c>
      <c r="G77" s="109">
        <v>4466145.0928499997</v>
      </c>
      <c r="H77" s="123">
        <f t="shared" si="17"/>
        <v>4.4000000000000004</v>
      </c>
      <c r="I77" s="20">
        <f>IFERROR(100/'Skjema total MA'!F77*G77,0)</f>
        <v>30.462354735150921</v>
      </c>
      <c r="J77" s="36">
        <f t="shared" si="18"/>
        <v>4927297.8040000005</v>
      </c>
      <c r="K77" s="36">
        <f t="shared" si="18"/>
        <v>4943771.4038499994</v>
      </c>
      <c r="L77" s="206">
        <f t="shared" si="19"/>
        <v>0.3</v>
      </c>
      <c r="M77" s="23">
        <f>IFERROR(100/'Skjema total MA'!I77*K77,0)</f>
        <v>30.335732608892364</v>
      </c>
    </row>
    <row r="78" spans="1:13" x14ac:dyDescent="0.2">
      <c r="A78" s="18" t="s">
        <v>198</v>
      </c>
      <c r="B78" s="181">
        <v>651230.69400000002</v>
      </c>
      <c r="C78" s="109">
        <v>477626.31099999999</v>
      </c>
      <c r="D78" s="123">
        <f t="shared" si="16"/>
        <v>-26.7</v>
      </c>
      <c r="E78" s="20">
        <f>IFERROR(100/'Skjema total MA'!C78*C78,0)</f>
        <v>29.281956163617899</v>
      </c>
      <c r="F78" s="36"/>
      <c r="G78" s="109"/>
      <c r="H78" s="123"/>
      <c r="I78" s="20"/>
      <c r="J78" s="36">
        <f t="shared" si="18"/>
        <v>651230.69400000002</v>
      </c>
      <c r="K78" s="36">
        <f t="shared" si="18"/>
        <v>477626.31099999999</v>
      </c>
      <c r="L78" s="206">
        <f t="shared" si="19"/>
        <v>-26.7</v>
      </c>
      <c r="M78" s="23">
        <f>IFERROR(100/'Skjema total MA'!I78*K78,0)</f>
        <v>29.281956163617899</v>
      </c>
    </row>
    <row r="79" spans="1:13" x14ac:dyDescent="0.2">
      <c r="A79" s="18" t="s">
        <v>207</v>
      </c>
      <c r="B79" s="237"/>
      <c r="C79" s="238"/>
      <c r="D79" s="123"/>
      <c r="E79" s="20"/>
      <c r="F79" s="142">
        <v>4276067.1100000003</v>
      </c>
      <c r="G79" s="238">
        <v>4466145.0928499997</v>
      </c>
      <c r="H79" s="123">
        <f t="shared" si="17"/>
        <v>4.4000000000000004</v>
      </c>
      <c r="I79" s="20">
        <f>IFERROR(100/'Skjema total MA'!F79*G79,0)</f>
        <v>30.462354735150921</v>
      </c>
      <c r="J79" s="36">
        <f t="shared" si="18"/>
        <v>4276067.1100000003</v>
      </c>
      <c r="K79" s="36">
        <f t="shared" si="18"/>
        <v>4466145.0928499997</v>
      </c>
      <c r="L79" s="206">
        <f t="shared" si="19"/>
        <v>4.4000000000000004</v>
      </c>
      <c r="M79" s="23">
        <f>IFERROR(100/'Skjema total MA'!I79*K79,0)</f>
        <v>30.45293405148789</v>
      </c>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v>24684.957999999999</v>
      </c>
      <c r="C86" s="109">
        <v>24120.524000000001</v>
      </c>
      <c r="D86" s="123">
        <f t="shared" si="16"/>
        <v>-2.2999999999999998</v>
      </c>
      <c r="E86" s="20">
        <f>IFERROR(100/'Skjema total MA'!C86*C86,0)</f>
        <v>32.110531740717512</v>
      </c>
      <c r="F86" s="36"/>
      <c r="G86" s="109"/>
      <c r="H86" s="123"/>
      <c r="I86" s="20"/>
      <c r="J86" s="36">
        <f t="shared" si="18"/>
        <v>24684.957999999999</v>
      </c>
      <c r="K86" s="36">
        <f t="shared" si="18"/>
        <v>24120.524000000001</v>
      </c>
      <c r="L86" s="206">
        <f t="shared" si="19"/>
        <v>-2.2999999999999998</v>
      </c>
      <c r="M86" s="23">
        <f>IFERROR(100/'Skjema total MA'!I86*K86,0)</f>
        <v>30.287776091504668</v>
      </c>
    </row>
    <row r="87" spans="1:13" ht="15.75" x14ac:dyDescent="0.2">
      <c r="A87" s="10" t="s">
        <v>172</v>
      </c>
      <c r="B87" s="288">
        <v>153302614.183</v>
      </c>
      <c r="C87" s="288">
        <v>153544015.49748757</v>
      </c>
      <c r="D87" s="127">
        <f t="shared" si="16"/>
        <v>0.2</v>
      </c>
      <c r="E87" s="21">
        <f>IFERROR(100/'Skjema total MA'!C87*C87,0)</f>
        <v>37.034258027477804</v>
      </c>
      <c r="F87" s="225">
        <v>189974574.17172101</v>
      </c>
      <c r="G87" s="287">
        <v>231219979.02774799</v>
      </c>
      <c r="H87" s="127">
        <f t="shared" si="17"/>
        <v>21.7</v>
      </c>
      <c r="I87" s="21">
        <f>IFERROR(100/'Skjema total MA'!F87*G87,0)</f>
        <v>29.093226567181794</v>
      </c>
      <c r="J87" s="183">
        <f t="shared" ref="J87:K111" si="24">SUM(B87,F87)</f>
        <v>343277188.35472101</v>
      </c>
      <c r="K87" s="183">
        <f t="shared" si="24"/>
        <v>384763994.52523553</v>
      </c>
      <c r="L87" s="342">
        <f t="shared" si="19"/>
        <v>12.1</v>
      </c>
      <c r="M87" s="8">
        <f>IFERROR(100/'Skjema total MA'!I87*K87,0)</f>
        <v>31.815628501929123</v>
      </c>
    </row>
    <row r="88" spans="1:13" x14ac:dyDescent="0.2">
      <c r="A88" s="18" t="s">
        <v>198</v>
      </c>
      <c r="B88" s="181">
        <v>153162961</v>
      </c>
      <c r="C88" s="109">
        <v>153427418.05491799</v>
      </c>
      <c r="D88" s="123">
        <f t="shared" si="16"/>
        <v>0.2</v>
      </c>
      <c r="E88" s="20">
        <f>IFERROR(100/'Skjema total MA'!C88*C88,0)</f>
        <v>39.672065872491032</v>
      </c>
      <c r="F88" s="36"/>
      <c r="G88" s="109"/>
      <c r="H88" s="123"/>
      <c r="I88" s="20"/>
      <c r="J88" s="36">
        <f t="shared" si="24"/>
        <v>153162961</v>
      </c>
      <c r="K88" s="36">
        <f t="shared" si="24"/>
        <v>153427418.05491799</v>
      </c>
      <c r="L88" s="206">
        <f t="shared" si="19"/>
        <v>0.2</v>
      </c>
      <c r="M88" s="23">
        <f>IFERROR(100/'Skjema total MA'!I88*K88,0)</f>
        <v>39.672065872491032</v>
      </c>
    </row>
    <row r="89" spans="1:13" x14ac:dyDescent="0.2">
      <c r="A89" s="18" t="s">
        <v>199</v>
      </c>
      <c r="B89" s="181">
        <v>84639.837239999993</v>
      </c>
      <c r="C89" s="109">
        <v>79317.786609594099</v>
      </c>
      <c r="D89" s="123">
        <f t="shared" si="16"/>
        <v>-6.3</v>
      </c>
      <c r="E89" s="20">
        <f>IFERROR(100/'Skjema total MA'!C89*C89,0)</f>
        <v>1.8725277370689497</v>
      </c>
      <c r="F89" s="36">
        <v>189974574.17172101</v>
      </c>
      <c r="G89" s="109">
        <v>231219979.02774799</v>
      </c>
      <c r="H89" s="123">
        <f t="shared" si="17"/>
        <v>21.7</v>
      </c>
      <c r="I89" s="20">
        <f>IFERROR(100/'Skjema total MA'!F89*G89,0)</f>
        <v>29.571543584079883</v>
      </c>
      <c r="J89" s="36">
        <f t="shared" si="24"/>
        <v>190059214.00896102</v>
      </c>
      <c r="K89" s="36">
        <f t="shared" si="24"/>
        <v>231299296.81435758</v>
      </c>
      <c r="L89" s="206">
        <f t="shared" si="19"/>
        <v>21.7</v>
      </c>
      <c r="M89" s="23">
        <f>IFERROR(100/'Skjema total MA'!I89*K89,0)</f>
        <v>29.42229545157527</v>
      </c>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v>55013.345759999997</v>
      </c>
      <c r="C97" s="109">
        <v>37279.655959999996</v>
      </c>
      <c r="D97" s="123">
        <f t="shared" ref="D97" si="25">IF(B97=0, "    ---- ", IF(ABS(ROUND(100/B97*C97-100,1))&lt;999,ROUND(100/B97*C97-100,1),IF(ROUND(100/B97*C97-100,1)&gt;999,999,-999)))</f>
        <v>-32.200000000000003</v>
      </c>
      <c r="E97" s="20">
        <f>IFERROR(100/'Skjema total MA'!C98*C97,0)</f>
        <v>9.6418194819345941E-3</v>
      </c>
      <c r="F97" s="36"/>
      <c r="G97" s="109"/>
      <c r="H97" s="123"/>
      <c r="I97" s="20"/>
      <c r="J97" s="36">
        <f t="shared" ref="J97" si="26">SUM(B97,F97)</f>
        <v>55013.345759999997</v>
      </c>
      <c r="K97" s="36">
        <f t="shared" ref="K97" si="27">SUM(C97,G97)</f>
        <v>37279.655959999996</v>
      </c>
      <c r="L97" s="206">
        <f t="shared" ref="L97" si="28">IF(J97=0, "    ---- ", IF(ABS(ROUND(100/J97*K97-100,1))&lt;999,ROUND(100/J97*K97-100,1),IF(ROUND(100/J97*K97-100,1)&gt;999,999,-999)))</f>
        <v>-32.200000000000003</v>
      </c>
      <c r="M97" s="23">
        <f>IFERROR(100/'Skjema total MA'!I98*K97,0)</f>
        <v>3.1913777843255399E-3</v>
      </c>
    </row>
    <row r="98" spans="1:13" ht="15.75" x14ac:dyDescent="0.2">
      <c r="A98" s="18" t="s">
        <v>206</v>
      </c>
      <c r="B98" s="181">
        <v>152143957.83724001</v>
      </c>
      <c r="C98" s="181">
        <v>152419239.79952759</v>
      </c>
      <c r="D98" s="123">
        <f t="shared" si="16"/>
        <v>0.2</v>
      </c>
      <c r="E98" s="20">
        <f>IFERROR(100/'Skjema total MA'!C98*C98,0)</f>
        <v>39.42093235242254</v>
      </c>
      <c r="F98" s="142">
        <v>189681719.73363999</v>
      </c>
      <c r="G98" s="237">
        <v>230923136.65089199</v>
      </c>
      <c r="H98" s="123">
        <f t="shared" si="17"/>
        <v>21.7</v>
      </c>
      <c r="I98" s="20">
        <f>IFERROR(100/'Skjema total MA'!F98*G98,0)</f>
        <v>29.54903562775953</v>
      </c>
      <c r="J98" s="36">
        <f t="shared" si="24"/>
        <v>341825677.57088</v>
      </c>
      <c r="K98" s="36">
        <f t="shared" si="24"/>
        <v>383342376.45041955</v>
      </c>
      <c r="L98" s="206">
        <f t="shared" si="19"/>
        <v>12.1</v>
      </c>
      <c r="M98" s="23">
        <f>IFERROR(100/'Skjema total MA'!I98*K98,0)</f>
        <v>32.816567441155833</v>
      </c>
    </row>
    <row r="99" spans="1:13" x14ac:dyDescent="0.2">
      <c r="A99" s="18" t="s">
        <v>198</v>
      </c>
      <c r="B99" s="237">
        <v>152059318</v>
      </c>
      <c r="C99" s="238">
        <v>152339922.012918</v>
      </c>
      <c r="D99" s="123">
        <f t="shared" si="16"/>
        <v>0.2</v>
      </c>
      <c r="E99" s="20">
        <f>IFERROR(100/'Skjema total MA'!C99*C99,0)</f>
        <v>39.83684780269094</v>
      </c>
      <c r="F99" s="36"/>
      <c r="G99" s="109"/>
      <c r="H99" s="123"/>
      <c r="I99" s="20"/>
      <c r="J99" s="36">
        <f t="shared" si="24"/>
        <v>152059318</v>
      </c>
      <c r="K99" s="36">
        <f t="shared" si="24"/>
        <v>152339922.012918</v>
      </c>
      <c r="L99" s="206">
        <f t="shared" si="19"/>
        <v>0.2</v>
      </c>
      <c r="M99" s="23">
        <f>IFERROR(100/'Skjema total MA'!I99*K99,0)</f>
        <v>39.83684780269094</v>
      </c>
    </row>
    <row r="100" spans="1:13" x14ac:dyDescent="0.2">
      <c r="A100" s="18" t="s">
        <v>207</v>
      </c>
      <c r="B100" s="237">
        <v>84639.837239999993</v>
      </c>
      <c r="C100" s="238">
        <v>79317.786609594099</v>
      </c>
      <c r="D100" s="123">
        <f t="shared" si="16"/>
        <v>-6.3</v>
      </c>
      <c r="E100" s="20">
        <f>IFERROR(100/'Skjema total MA'!C100*C100,0)</f>
        <v>1.8725277370689497</v>
      </c>
      <c r="F100" s="36">
        <v>189681719.73363999</v>
      </c>
      <c r="G100" s="181">
        <v>230923136.65089199</v>
      </c>
      <c r="H100" s="123">
        <f t="shared" si="17"/>
        <v>21.7</v>
      </c>
      <c r="I100" s="20">
        <f>IFERROR(100/'Skjema total MA'!F100*G100,0)</f>
        <v>29.54903562775953</v>
      </c>
      <c r="J100" s="36">
        <f t="shared" si="24"/>
        <v>189766359.57088</v>
      </c>
      <c r="K100" s="36">
        <f t="shared" si="24"/>
        <v>231002454.43750158</v>
      </c>
      <c r="L100" s="206">
        <f t="shared" si="19"/>
        <v>21.7</v>
      </c>
      <c r="M100" s="23">
        <f>IFERROR(100/'Skjema total MA'!I100*K100,0)</f>
        <v>29.399831148724115</v>
      </c>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v>1103642.871</v>
      </c>
      <c r="C107" s="109">
        <v>1087496.0419999999</v>
      </c>
      <c r="D107" s="123">
        <f t="shared" si="16"/>
        <v>-1.5</v>
      </c>
      <c r="E107" s="20">
        <f>IFERROR(100/'Skjema total MA'!C107*C107,0)</f>
        <v>25.117758473929332</v>
      </c>
      <c r="F107" s="36">
        <v>292854.43808098702</v>
      </c>
      <c r="G107" s="109">
        <v>296842.37685598899</v>
      </c>
      <c r="H107" s="123">
        <f t="shared" si="17"/>
        <v>1.4</v>
      </c>
      <c r="I107" s="20">
        <f>IFERROR(100/'Skjema total MA'!F107*G107,0)</f>
        <v>72.579369880937477</v>
      </c>
      <c r="J107" s="36">
        <f t="shared" si="24"/>
        <v>1396497.309080987</v>
      </c>
      <c r="K107" s="36">
        <f t="shared" si="24"/>
        <v>1384338.4188559889</v>
      </c>
      <c r="L107" s="206">
        <f t="shared" si="19"/>
        <v>-0.9</v>
      </c>
      <c r="M107" s="23">
        <f>IFERROR(100/'Skjema total MA'!I107*K107,0)</f>
        <v>29.214201672801355</v>
      </c>
    </row>
    <row r="108" spans="1:13" ht="15.75" x14ac:dyDescent="0.2">
      <c r="A108" s="18" t="s">
        <v>209</v>
      </c>
      <c r="B108" s="181">
        <v>132714229.199452</v>
      </c>
      <c r="C108" s="181">
        <v>132022247.07799999</v>
      </c>
      <c r="D108" s="123">
        <f t="shared" si="16"/>
        <v>-0.5</v>
      </c>
      <c r="E108" s="20">
        <f>IFERROR(100/'Skjema total MA'!C108*C108,0)</f>
        <v>40.027644129081843</v>
      </c>
      <c r="F108" s="36">
        <v>2192421.1937123099</v>
      </c>
      <c r="G108" s="181">
        <v>2969279.70834229</v>
      </c>
      <c r="H108" s="123">
        <f t="shared" si="17"/>
        <v>35.4</v>
      </c>
      <c r="I108" s="20">
        <f>IFERROR(100/'Skjema total MA'!F108*G108,0)</f>
        <v>11.457631341156915</v>
      </c>
      <c r="J108" s="36">
        <f t="shared" si="24"/>
        <v>134906650.39316431</v>
      </c>
      <c r="K108" s="36">
        <f t="shared" si="24"/>
        <v>134991526.78634229</v>
      </c>
      <c r="L108" s="206">
        <f t="shared" si="19"/>
        <v>0.1</v>
      </c>
      <c r="M108" s="23">
        <f>IFERROR(100/'Skjema total MA'!I108*K108,0)</f>
        <v>37.946364808749749</v>
      </c>
    </row>
    <row r="109" spans="1:13" ht="15.75" x14ac:dyDescent="0.2">
      <c r="A109" s="18" t="s">
        <v>210</v>
      </c>
      <c r="B109" s="181">
        <v>84639.837239999993</v>
      </c>
      <c r="C109" s="181">
        <v>79317.786609594099</v>
      </c>
      <c r="D109" s="123">
        <f t="shared" si="16"/>
        <v>-6.3</v>
      </c>
      <c r="E109" s="20">
        <f>IFERROR(100/'Skjema total MA'!C109*C109,0)</f>
        <v>2.4428166485722946</v>
      </c>
      <c r="F109" s="36">
        <v>75442626</v>
      </c>
      <c r="G109" s="181">
        <v>92908713</v>
      </c>
      <c r="H109" s="123">
        <f t="shared" si="17"/>
        <v>23.2</v>
      </c>
      <c r="I109" s="20">
        <f>IFERROR(100/'Skjema total MA'!F109*G109,0)</f>
        <v>29.419522784047604</v>
      </c>
      <c r="J109" s="36">
        <f t="shared" si="24"/>
        <v>75527265.837239996</v>
      </c>
      <c r="K109" s="36">
        <f t="shared" si="24"/>
        <v>92988030.78660959</v>
      </c>
      <c r="L109" s="206">
        <f t="shared" si="19"/>
        <v>23.1</v>
      </c>
      <c r="M109" s="23">
        <f>IFERROR(100/'Skjema total MA'!I109*K109,0)</f>
        <v>29.144982934664011</v>
      </c>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v>38129</v>
      </c>
      <c r="C111" s="118">
        <v>84418.495790000001</v>
      </c>
      <c r="D111" s="127">
        <f t="shared" si="16"/>
        <v>121.4</v>
      </c>
      <c r="E111" s="21">
        <f>IFERROR(100/'Skjema total MA'!C111*C111,0)</f>
        <v>28.179442449108311</v>
      </c>
      <c r="F111" s="183">
        <v>6006855.1211299999</v>
      </c>
      <c r="G111" s="118">
        <v>6558943.0739099998</v>
      </c>
      <c r="H111" s="127">
        <f t="shared" si="17"/>
        <v>9.1999999999999993</v>
      </c>
      <c r="I111" s="21">
        <f>IFERROR(100/'Skjema total MA'!F111*G111,0)</f>
        <v>27.193839551507338</v>
      </c>
      <c r="J111" s="183">
        <f t="shared" si="24"/>
        <v>6044984.1211299999</v>
      </c>
      <c r="K111" s="183">
        <f t="shared" si="24"/>
        <v>6643361.5696999999</v>
      </c>
      <c r="L111" s="342">
        <f t="shared" si="19"/>
        <v>9.9</v>
      </c>
      <c r="M111" s="8">
        <f>IFERROR(100/'Skjema total MA'!I111*K111,0)</f>
        <v>27.205931126936765</v>
      </c>
    </row>
    <row r="112" spans="1:13" x14ac:dyDescent="0.2">
      <c r="A112" s="18" t="s">
        <v>198</v>
      </c>
      <c r="B112" s="181">
        <v>38129</v>
      </c>
      <c r="C112" s="109">
        <v>84418.495790000001</v>
      </c>
      <c r="D112" s="123">
        <f t="shared" ref="D112:D124" si="29">IF(B112=0, "    ---- ", IF(ABS(ROUND(100/B112*C112-100,1))&lt;999,ROUND(100/B112*C112-100,1),IF(ROUND(100/B112*C112-100,1)&gt;999,999,-999)))</f>
        <v>121.4</v>
      </c>
      <c r="E112" s="20">
        <f>IFERROR(100/'Skjema total MA'!C112*C112,0)</f>
        <v>38.41850958967288</v>
      </c>
      <c r="F112" s="36"/>
      <c r="G112" s="109"/>
      <c r="H112" s="123"/>
      <c r="I112" s="20"/>
      <c r="J112" s="36">
        <f t="shared" ref="J112:K125" si="30">SUM(B112,F112)</f>
        <v>38129</v>
      </c>
      <c r="K112" s="36">
        <f t="shared" si="30"/>
        <v>84418.495790000001</v>
      </c>
      <c r="L112" s="206">
        <f t="shared" ref="L112:L125" si="31">IF(J112=0, "    ---- ", IF(ABS(ROUND(100/J112*K112-100,1))&lt;999,ROUND(100/J112*K112-100,1),IF(ROUND(100/J112*K112-100,1)&gt;999,999,-999)))</f>
        <v>121.4</v>
      </c>
      <c r="M112" s="23">
        <f>IFERROR(100/'Skjema total MA'!I112*K112,0)</f>
        <v>37.987712269164746</v>
      </c>
    </row>
    <row r="113" spans="1:13" x14ac:dyDescent="0.2">
      <c r="A113" s="18" t="s">
        <v>199</v>
      </c>
      <c r="B113" s="181"/>
      <c r="C113" s="109"/>
      <c r="D113" s="123"/>
      <c r="E113" s="20"/>
      <c r="F113" s="36">
        <v>6006855.1211299999</v>
      </c>
      <c r="G113" s="109">
        <v>6558943.0739099998</v>
      </c>
      <c r="H113" s="123">
        <f t="shared" ref="H113:H125" si="32">IF(F113=0, "    ---- ", IF(ABS(ROUND(100/F113*G113-100,1))&lt;999,ROUND(100/F113*G113-100,1),IF(ROUND(100/F113*G113-100,1)&gt;999,999,-999)))</f>
        <v>9.1999999999999993</v>
      </c>
      <c r="I113" s="20">
        <f>IFERROR(100/'Skjema total MA'!F113*G113,0)</f>
        <v>27.200311833320061</v>
      </c>
      <c r="J113" s="36">
        <f t="shared" si="30"/>
        <v>6006855.1211299999</v>
      </c>
      <c r="K113" s="36">
        <f t="shared" si="30"/>
        <v>6558943.0739099998</v>
      </c>
      <c r="L113" s="206">
        <f t="shared" si="31"/>
        <v>9.1999999999999993</v>
      </c>
      <c r="M113" s="23">
        <f>IFERROR(100/'Skjema total MA'!I113*K113,0)</f>
        <v>27.188266909852189</v>
      </c>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v>19597</v>
      </c>
      <c r="C116" s="181">
        <v>33791.545749999997</v>
      </c>
      <c r="D116" s="123">
        <f t="shared" si="29"/>
        <v>72.400000000000006</v>
      </c>
      <c r="E116" s="20">
        <f>IFERROR(100/'Skjema total MA'!C116*C116,0)</f>
        <v>99.312891444050152</v>
      </c>
      <c r="F116" s="36"/>
      <c r="G116" s="181"/>
      <c r="H116" s="123"/>
      <c r="I116" s="20"/>
      <c r="J116" s="36">
        <f t="shared" si="30"/>
        <v>19597</v>
      </c>
      <c r="K116" s="36">
        <f t="shared" si="30"/>
        <v>33791.545749999997</v>
      </c>
      <c r="L116" s="206">
        <f t="shared" si="31"/>
        <v>72.400000000000006</v>
      </c>
      <c r="M116" s="23">
        <f>IFERROR(100/'Skjema total MA'!I116*K116,0)</f>
        <v>92.535931494174775</v>
      </c>
    </row>
    <row r="117" spans="1:13" ht="15.75" x14ac:dyDescent="0.2">
      <c r="A117" s="18" t="s">
        <v>210</v>
      </c>
      <c r="B117" s="181"/>
      <c r="C117" s="181"/>
      <c r="D117" s="123"/>
      <c r="E117" s="20"/>
      <c r="F117" s="36">
        <v>4188562.2442800002</v>
      </c>
      <c r="G117" s="181">
        <v>4923616.3174599996</v>
      </c>
      <c r="H117" s="123">
        <f t="shared" si="32"/>
        <v>17.5</v>
      </c>
      <c r="I117" s="20">
        <f>IFERROR(100/'Skjema total MA'!F117*G117,0)</f>
        <v>36.386077001495401</v>
      </c>
      <c r="J117" s="36">
        <f t="shared" si="30"/>
        <v>4188562.2442800002</v>
      </c>
      <c r="K117" s="36">
        <f t="shared" si="30"/>
        <v>4923616.3174599996</v>
      </c>
      <c r="L117" s="206">
        <f t="shared" si="31"/>
        <v>17.5</v>
      </c>
      <c r="M117" s="23">
        <f>IFERROR(100/'Skjema total MA'!I117*K117,0)</f>
        <v>36.386077001495401</v>
      </c>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v>41154</v>
      </c>
      <c r="C119" s="118">
        <v>-53565.909</v>
      </c>
      <c r="D119" s="127">
        <f t="shared" si="29"/>
        <v>-230.2</v>
      </c>
      <c r="E119" s="21">
        <f>IFERROR(100/'Skjema total MA'!C119*C119,0)</f>
        <v>-15.602410100081212</v>
      </c>
      <c r="F119" s="183">
        <v>5665441</v>
      </c>
      <c r="G119" s="118">
        <v>8042406</v>
      </c>
      <c r="H119" s="127">
        <f t="shared" si="32"/>
        <v>42</v>
      </c>
      <c r="I119" s="21">
        <f>IFERROR(100/'Skjema total MA'!F119*G119,0)</f>
        <v>32.221436303994217</v>
      </c>
      <c r="J119" s="183">
        <f t="shared" si="30"/>
        <v>5706595</v>
      </c>
      <c r="K119" s="183">
        <f t="shared" si="30"/>
        <v>7988840.091</v>
      </c>
      <c r="L119" s="342">
        <f t="shared" si="31"/>
        <v>40</v>
      </c>
      <c r="M119" s="8">
        <f>IFERROR(100/'Skjema total MA'!I119*K119,0)</f>
        <v>31.572552024654968</v>
      </c>
    </row>
    <row r="120" spans="1:13" x14ac:dyDescent="0.2">
      <c r="A120" s="18" t="s">
        <v>198</v>
      </c>
      <c r="B120" s="181">
        <v>41154</v>
      </c>
      <c r="C120" s="109">
        <v>-53565.909</v>
      </c>
      <c r="D120" s="123">
        <f t="shared" si="29"/>
        <v>-230.2</v>
      </c>
      <c r="E120" s="20">
        <f>IFERROR(100/'Skjema total MA'!C120*C120,0)</f>
        <v>-91.32688464329442</v>
      </c>
      <c r="F120" s="36"/>
      <c r="G120" s="109"/>
      <c r="H120" s="123"/>
      <c r="I120" s="20"/>
      <c r="J120" s="36">
        <f t="shared" si="30"/>
        <v>41154</v>
      </c>
      <c r="K120" s="36">
        <f t="shared" si="30"/>
        <v>-53565.909</v>
      </c>
      <c r="L120" s="206">
        <f t="shared" si="31"/>
        <v>-230.2</v>
      </c>
      <c r="M120" s="23">
        <f>IFERROR(100/'Skjema total MA'!I120*K120,0)</f>
        <v>-91.32688464329442</v>
      </c>
    </row>
    <row r="121" spans="1:13" x14ac:dyDescent="0.2">
      <c r="A121" s="18" t="s">
        <v>199</v>
      </c>
      <c r="B121" s="181"/>
      <c r="C121" s="109"/>
      <c r="D121" s="123"/>
      <c r="E121" s="20"/>
      <c r="F121" s="36">
        <v>5665441</v>
      </c>
      <c r="G121" s="109">
        <v>8042406</v>
      </c>
      <c r="H121" s="123">
        <f t="shared" si="32"/>
        <v>42</v>
      </c>
      <c r="I121" s="20">
        <f>IFERROR(100/'Skjema total MA'!F121*G121,0)</f>
        <v>32.221436303994217</v>
      </c>
      <c r="J121" s="36">
        <f t="shared" si="30"/>
        <v>5665441</v>
      </c>
      <c r="K121" s="36">
        <f t="shared" si="30"/>
        <v>8042406</v>
      </c>
      <c r="L121" s="206">
        <f t="shared" si="31"/>
        <v>42</v>
      </c>
      <c r="M121" s="23">
        <f>IFERROR(100/'Skjema total MA'!I121*K121,0)</f>
        <v>32.17330741829106</v>
      </c>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v>11965</v>
      </c>
      <c r="C124" s="181">
        <v>698.50900000000001</v>
      </c>
      <c r="D124" s="123">
        <f t="shared" si="29"/>
        <v>-94.2</v>
      </c>
      <c r="E124" s="20">
        <f>IFERROR(100/'Skjema total MA'!C124*C124,0)</f>
        <v>20.400969537378565</v>
      </c>
      <c r="F124" s="36"/>
      <c r="G124" s="181"/>
      <c r="H124" s="123"/>
      <c r="I124" s="20"/>
      <c r="J124" s="36">
        <f t="shared" si="30"/>
        <v>11965</v>
      </c>
      <c r="K124" s="36">
        <f t="shared" si="30"/>
        <v>698.50900000000001</v>
      </c>
      <c r="L124" s="206">
        <f t="shared" si="31"/>
        <v>-94.2</v>
      </c>
      <c r="M124" s="23">
        <f>IFERROR(100/'Skjema total MA'!I124*K124,0)</f>
        <v>3.3785934881291242</v>
      </c>
    </row>
    <row r="125" spans="1:13" ht="15.75" x14ac:dyDescent="0.2">
      <c r="A125" s="18" t="s">
        <v>210</v>
      </c>
      <c r="B125" s="181"/>
      <c r="C125" s="181"/>
      <c r="D125" s="123"/>
      <c r="E125" s="20"/>
      <c r="F125" s="36">
        <v>3851408.9146199999</v>
      </c>
      <c r="G125" s="181">
        <v>4463133.5684900004</v>
      </c>
      <c r="H125" s="123">
        <f t="shared" si="32"/>
        <v>15.9</v>
      </c>
      <c r="I125" s="20">
        <f>IFERROR(100/'Skjema total MA'!F125*G125,0)</f>
        <v>37.091207392273873</v>
      </c>
      <c r="J125" s="36">
        <f t="shared" si="30"/>
        <v>3851408.9146199999</v>
      </c>
      <c r="K125" s="36">
        <f t="shared" si="30"/>
        <v>4463133.5684900004</v>
      </c>
      <c r="L125" s="206">
        <f t="shared" si="31"/>
        <v>15.9</v>
      </c>
      <c r="M125" s="23">
        <f>IFERROR(100/'Skjema total MA'!I125*K125,0)</f>
        <v>37.090179820692086</v>
      </c>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475" priority="12">
      <formula>kvartal &lt; 4</formula>
    </cfRule>
  </conditionalFormatting>
  <conditionalFormatting sqref="A69:A74">
    <cfRule type="expression" dxfId="474" priority="10">
      <formula>kvartal &lt; 4</formula>
    </cfRule>
  </conditionalFormatting>
  <conditionalFormatting sqref="A80:A85">
    <cfRule type="expression" dxfId="473" priority="9">
      <formula>kvartal &lt; 4</formula>
    </cfRule>
  </conditionalFormatting>
  <conditionalFormatting sqref="A90:A95">
    <cfRule type="expression" dxfId="472" priority="6">
      <formula>kvartal &lt; 4</formula>
    </cfRule>
  </conditionalFormatting>
  <conditionalFormatting sqref="A101:A106">
    <cfRule type="expression" dxfId="471" priority="5">
      <formula>kvartal &lt; 4</formula>
    </cfRule>
  </conditionalFormatting>
  <conditionalFormatting sqref="A115:C115">
    <cfRule type="expression" dxfId="470" priority="4">
      <formula>kvartal &lt; 4</formula>
    </cfRule>
  </conditionalFormatting>
  <conditionalFormatting sqref="A123:C123">
    <cfRule type="expression" dxfId="469" priority="3">
      <formula>kvartal &lt; 4</formula>
    </cfRule>
  </conditionalFormatting>
  <conditionalFormatting sqref="B69:C69">
    <cfRule type="expression" dxfId="468" priority="99">
      <formula>kvartal &lt; 4</formula>
    </cfRule>
  </conditionalFormatting>
  <conditionalFormatting sqref="B72:C72">
    <cfRule type="expression" dxfId="467" priority="97">
      <formula>kvartal &lt; 4</formula>
    </cfRule>
  </conditionalFormatting>
  <conditionalFormatting sqref="F115:G115">
    <cfRule type="expression" dxfId="466" priority="57">
      <formula>kvartal &lt; 4</formula>
    </cfRule>
  </conditionalFormatting>
  <conditionalFormatting sqref="F123:G123">
    <cfRule type="expression" dxfId="465" priority="56">
      <formula>kvartal &lt; 4</formula>
    </cfRule>
  </conditionalFormatting>
  <conditionalFormatting sqref="J115:K115">
    <cfRule type="expression" dxfId="464" priority="32">
      <formula>kvartal &lt; 4</formula>
    </cfRule>
  </conditionalFormatting>
  <conditionalFormatting sqref="J123:K123">
    <cfRule type="expression" dxfId="463" priority="31">
      <formula>kvartal &lt; 4</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51DA9-89CE-4218-BAD2-ABC9A5D34523}">
  <sheetPr codeName="Ark8"/>
  <dimension ref="A1:N144"/>
  <sheetViews>
    <sheetView showGridLines="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48</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c r="G7" s="249"/>
      <c r="H7" s="285"/>
      <c r="I7" s="119"/>
      <c r="J7" s="250"/>
      <c r="K7" s="251"/>
      <c r="L7" s="341"/>
      <c r="M7" s="8"/>
    </row>
    <row r="8" spans="1:14" ht="15.75" x14ac:dyDescent="0.2">
      <c r="A8" s="18" t="s">
        <v>170</v>
      </c>
      <c r="B8" s="228"/>
      <c r="C8" s="229"/>
      <c r="D8" s="123"/>
      <c r="E8" s="23"/>
      <c r="F8" s="232"/>
      <c r="G8" s="233"/>
      <c r="H8" s="123"/>
      <c r="I8" s="132"/>
      <c r="J8" s="181"/>
      <c r="K8" s="234"/>
      <c r="L8" s="123"/>
      <c r="M8" s="23"/>
    </row>
    <row r="9" spans="1:14" ht="15.75" x14ac:dyDescent="0.2">
      <c r="A9" s="18" t="s">
        <v>171</v>
      </c>
      <c r="B9" s="228"/>
      <c r="C9" s="229"/>
      <c r="D9" s="123"/>
      <c r="E9" s="23"/>
      <c r="F9" s="232"/>
      <c r="G9" s="233"/>
      <c r="H9" s="123"/>
      <c r="I9" s="132"/>
      <c r="J9" s="181"/>
      <c r="K9" s="234"/>
      <c r="L9" s="123"/>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334"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119"/>
      <c r="J22" s="258"/>
      <c r="K22" s="258"/>
      <c r="L22" s="341"/>
      <c r="M22" s="21"/>
    </row>
    <row r="23" spans="1:13" ht="15.75" x14ac:dyDescent="0.2">
      <c r="A23" s="382" t="s">
        <v>178</v>
      </c>
      <c r="B23" s="228"/>
      <c r="C23" s="228"/>
      <c r="D23" s="123"/>
      <c r="E23" s="8"/>
      <c r="F23" s="236"/>
      <c r="G23" s="236"/>
      <c r="H23" s="123"/>
      <c r="I23" s="187"/>
      <c r="J23" s="236"/>
      <c r="K23" s="236"/>
      <c r="L23" s="123"/>
      <c r="M23" s="20"/>
    </row>
    <row r="24" spans="1:13" ht="15.75" x14ac:dyDescent="0.2">
      <c r="A24" s="382" t="s">
        <v>179</v>
      </c>
      <c r="B24" s="228"/>
      <c r="C24" s="228"/>
      <c r="D24" s="123"/>
      <c r="E24" s="8"/>
      <c r="F24" s="236"/>
      <c r="G24" s="236"/>
      <c r="H24" s="123"/>
      <c r="I24" s="187"/>
      <c r="J24" s="236"/>
      <c r="K24" s="236"/>
      <c r="L24" s="123"/>
      <c r="M24" s="20"/>
    </row>
    <row r="25" spans="1:13" ht="15.75" x14ac:dyDescent="0.2">
      <c r="A25" s="382" t="s">
        <v>180</v>
      </c>
      <c r="B25" s="228"/>
      <c r="C25" s="228"/>
      <c r="D25" s="123"/>
      <c r="E25" s="8"/>
      <c r="F25" s="236"/>
      <c r="G25" s="236"/>
      <c r="H25" s="123"/>
      <c r="I25" s="187"/>
      <c r="J25" s="236"/>
      <c r="K25" s="236"/>
      <c r="L25" s="123"/>
      <c r="M25" s="20"/>
    </row>
    <row r="26" spans="1:13" ht="15.75" x14ac:dyDescent="0.2">
      <c r="A26" s="382" t="s">
        <v>181</v>
      </c>
      <c r="B26" s="228"/>
      <c r="C26" s="228"/>
      <c r="D26" s="123"/>
      <c r="E26" s="8"/>
      <c r="F26" s="236"/>
      <c r="G26" s="236"/>
      <c r="H26" s="123"/>
      <c r="I26" s="187"/>
      <c r="J26" s="236"/>
      <c r="K26" s="236"/>
      <c r="L26" s="123"/>
      <c r="M26" s="20"/>
    </row>
    <row r="27" spans="1:13" x14ac:dyDescent="0.2">
      <c r="A27" s="382" t="s">
        <v>182</v>
      </c>
      <c r="B27" s="228"/>
      <c r="C27" s="228"/>
      <c r="D27" s="123"/>
      <c r="E27" s="8"/>
      <c r="F27" s="236"/>
      <c r="G27" s="236"/>
      <c r="H27" s="123"/>
      <c r="I27" s="187"/>
      <c r="J27" s="236"/>
      <c r="K27" s="236"/>
      <c r="L27" s="123"/>
      <c r="M27" s="20"/>
    </row>
    <row r="28" spans="1:13" ht="15.75" x14ac:dyDescent="0.2">
      <c r="A28" s="39" t="s">
        <v>183</v>
      </c>
      <c r="B28" s="36"/>
      <c r="C28" s="234"/>
      <c r="D28" s="123"/>
      <c r="E28" s="8"/>
      <c r="F28" s="181"/>
      <c r="G28" s="234"/>
      <c r="H28" s="123"/>
      <c r="I28" s="132"/>
      <c r="J28" s="36"/>
      <c r="K28" s="36"/>
      <c r="L28" s="206"/>
      <c r="M28" s="20"/>
    </row>
    <row r="29" spans="1:13" ht="15.75" x14ac:dyDescent="0.2">
      <c r="A29" s="10" t="s">
        <v>172</v>
      </c>
      <c r="B29" s="183"/>
      <c r="C29" s="183"/>
      <c r="D29" s="127"/>
      <c r="E29" s="8"/>
      <c r="F29" s="250"/>
      <c r="G29" s="250"/>
      <c r="H29" s="127"/>
      <c r="I29" s="119"/>
      <c r="J29" s="183"/>
      <c r="K29" s="183"/>
      <c r="L29" s="342"/>
      <c r="M29" s="21"/>
    </row>
    <row r="30" spans="1:13" ht="15.75" x14ac:dyDescent="0.2">
      <c r="A30" s="382" t="s">
        <v>178</v>
      </c>
      <c r="B30" s="228"/>
      <c r="C30" s="228"/>
      <c r="D30" s="123"/>
      <c r="E30" s="8"/>
      <c r="F30" s="236"/>
      <c r="G30" s="236"/>
      <c r="H30" s="123"/>
      <c r="I30" s="187"/>
      <c r="J30" s="236"/>
      <c r="K30" s="236"/>
      <c r="L30" s="123"/>
      <c r="M30" s="20"/>
    </row>
    <row r="31" spans="1:13" ht="15.75" x14ac:dyDescent="0.2">
      <c r="A31" s="382" t="s">
        <v>179</v>
      </c>
      <c r="B31" s="228"/>
      <c r="C31" s="228"/>
      <c r="D31" s="123"/>
      <c r="E31" s="8"/>
      <c r="F31" s="236"/>
      <c r="G31" s="236"/>
      <c r="H31" s="123"/>
      <c r="I31" s="187"/>
      <c r="J31" s="236"/>
      <c r="K31" s="236"/>
      <c r="L31" s="123"/>
      <c r="M31" s="20"/>
    </row>
    <row r="32" spans="1:13" ht="15.75" x14ac:dyDescent="0.2">
      <c r="A32" s="382" t="s">
        <v>180</v>
      </c>
      <c r="B32" s="228"/>
      <c r="C32" s="228"/>
      <c r="D32" s="123"/>
      <c r="E32" s="8"/>
      <c r="F32" s="236"/>
      <c r="G32" s="236"/>
      <c r="H32" s="123"/>
      <c r="I32" s="187"/>
      <c r="J32" s="236"/>
      <c r="K32" s="236"/>
      <c r="L32" s="123"/>
      <c r="M32" s="20"/>
    </row>
    <row r="33" spans="1:13" ht="15.75" x14ac:dyDescent="0.2">
      <c r="A33" s="382" t="s">
        <v>181</v>
      </c>
      <c r="B33" s="228"/>
      <c r="C33" s="228"/>
      <c r="D33" s="123"/>
      <c r="E33" s="8"/>
      <c r="F33" s="236"/>
      <c r="G33" s="236"/>
      <c r="H33" s="123"/>
      <c r="I33" s="187"/>
      <c r="J33" s="236"/>
      <c r="K33" s="236"/>
      <c r="L33" s="123"/>
      <c r="M33" s="20"/>
    </row>
    <row r="34" spans="1:13" ht="15.75" x14ac:dyDescent="0.2">
      <c r="A34" s="10" t="s">
        <v>173</v>
      </c>
      <c r="B34" s="183"/>
      <c r="C34" s="251"/>
      <c r="D34" s="127"/>
      <c r="E34" s="8"/>
      <c r="F34" s="250"/>
      <c r="G34" s="251"/>
      <c r="H34" s="127"/>
      <c r="I34" s="119"/>
      <c r="J34" s="183"/>
      <c r="K34" s="183"/>
      <c r="L34" s="342"/>
      <c r="M34" s="21"/>
    </row>
    <row r="35" spans="1:13" ht="15.75" x14ac:dyDescent="0.2">
      <c r="A35" s="10" t="s">
        <v>174</v>
      </c>
      <c r="B35" s="183"/>
      <c r="C35" s="251"/>
      <c r="D35" s="127"/>
      <c r="E35" s="8"/>
      <c r="F35" s="250"/>
      <c r="G35" s="251"/>
      <c r="H35" s="127"/>
      <c r="I35" s="119"/>
      <c r="J35" s="183"/>
      <c r="K35" s="183"/>
      <c r="L35" s="342"/>
      <c r="M35" s="21"/>
    </row>
    <row r="36" spans="1:13" ht="15.75" x14ac:dyDescent="0.2">
      <c r="A36" s="9" t="s">
        <v>185</v>
      </c>
      <c r="B36" s="183"/>
      <c r="C36" s="251"/>
      <c r="D36" s="127"/>
      <c r="E36" s="8"/>
      <c r="F36" s="261"/>
      <c r="G36" s="262"/>
      <c r="H36" s="127"/>
      <c r="I36" s="344"/>
      <c r="J36" s="183"/>
      <c r="K36" s="183"/>
      <c r="L36" s="342"/>
      <c r="M36" s="21"/>
    </row>
    <row r="37" spans="1:13" ht="15.75" x14ac:dyDescent="0.2">
      <c r="A37" s="9" t="s">
        <v>186</v>
      </c>
      <c r="B37" s="183"/>
      <c r="C37" s="251"/>
      <c r="D37" s="127"/>
      <c r="E37" s="8"/>
      <c r="F37" s="261"/>
      <c r="G37" s="263"/>
      <c r="H37" s="127"/>
      <c r="I37" s="344"/>
      <c r="J37" s="183"/>
      <c r="K37" s="183"/>
      <c r="L37" s="342"/>
      <c r="M37" s="21"/>
    </row>
    <row r="38" spans="1:13" ht="15.75" x14ac:dyDescent="0.2">
      <c r="A38" s="9" t="s">
        <v>187</v>
      </c>
      <c r="B38" s="183"/>
      <c r="C38" s="251"/>
      <c r="D38" s="127"/>
      <c r="E38" s="21"/>
      <c r="F38" s="261"/>
      <c r="G38" s="262"/>
      <c r="H38" s="127"/>
      <c r="I38" s="344"/>
      <c r="J38" s="183"/>
      <c r="K38" s="183"/>
      <c r="L38" s="342"/>
      <c r="M38" s="21"/>
    </row>
    <row r="39" spans="1:13" ht="15.75" x14ac:dyDescent="0.2">
      <c r="A39" s="15" t="s">
        <v>188</v>
      </c>
      <c r="B39" s="223"/>
      <c r="C39" s="257"/>
      <c r="D39" s="125"/>
      <c r="E39" s="30"/>
      <c r="F39" s="264"/>
      <c r="G39" s="265"/>
      <c r="H39" s="125"/>
      <c r="I39" s="125"/>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30761</v>
      </c>
      <c r="C47" s="253">
        <v>46204</v>
      </c>
      <c r="D47" s="341">
        <f t="shared" ref="D47:D55" si="0">IF(B47=0, "    ---- ", IF(ABS(ROUND(100/B47*C47-100,1))&lt;999,ROUND(100/B47*C47-100,1),IF(ROUND(100/B47*C47-100,1)&gt;999,999,-999)))</f>
        <v>50.2</v>
      </c>
      <c r="E47" s="8">
        <f>IFERROR(100/'Skjema total MA'!C47*C47,0)</f>
        <v>0.91776189839436562</v>
      </c>
      <c r="F47" s="109"/>
      <c r="G47" s="27"/>
      <c r="H47" s="118"/>
      <c r="I47" s="118"/>
      <c r="J47" s="31"/>
      <c r="K47" s="31"/>
      <c r="L47" s="118"/>
      <c r="M47" s="118"/>
    </row>
    <row r="48" spans="1:13" ht="15.75" x14ac:dyDescent="0.2">
      <c r="A48" s="18" t="s">
        <v>190</v>
      </c>
      <c r="B48" s="228">
        <v>30495</v>
      </c>
      <c r="C48" s="229">
        <v>45965</v>
      </c>
      <c r="D48" s="206">
        <f t="shared" si="0"/>
        <v>50.7</v>
      </c>
      <c r="E48" s="23">
        <f>IFERROR(100/'Skjema total MA'!C48*C48,0)</f>
        <v>1.8487804370498604</v>
      </c>
      <c r="F48" s="109"/>
      <c r="G48" s="27"/>
      <c r="H48" s="109"/>
      <c r="I48" s="109"/>
      <c r="J48" s="27"/>
      <c r="K48" s="27"/>
      <c r="L48" s="118"/>
      <c r="M48" s="118"/>
    </row>
    <row r="49" spans="1:13" ht="15.75" x14ac:dyDescent="0.2">
      <c r="A49" s="18" t="s">
        <v>191</v>
      </c>
      <c r="B49" s="36">
        <v>266</v>
      </c>
      <c r="C49" s="234">
        <v>239</v>
      </c>
      <c r="D49" s="206">
        <f>IF(B49=0, "    ---- ", IF(ABS(ROUND(100/B49*C49-100,1))&lt;999,ROUND(100/B49*C49-100,1),IF(ROUND(100/B49*C49-100,1)&gt;999,999,-999)))</f>
        <v>-10.199999999999999</v>
      </c>
      <c r="E49" s="23">
        <f>IFERROR(100/'Skjema total MA'!C49*C49,0)</f>
        <v>9.379214998887421E-3</v>
      </c>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v>30761</v>
      </c>
      <c r="C53" s="253">
        <v>46204</v>
      </c>
      <c r="D53" s="342">
        <f t="shared" si="0"/>
        <v>50.2</v>
      </c>
      <c r="E53" s="8">
        <f>IFERROR(100/'Skjema total MA'!C53*C53,0)</f>
        <v>39.026417085110623</v>
      </c>
      <c r="F53" s="109"/>
      <c r="G53" s="27"/>
      <c r="H53" s="109"/>
      <c r="I53" s="109"/>
      <c r="J53" s="27"/>
      <c r="K53" s="27"/>
      <c r="L53" s="118"/>
      <c r="M53" s="118"/>
    </row>
    <row r="54" spans="1:13" ht="15.75" x14ac:dyDescent="0.2">
      <c r="A54" s="18" t="s">
        <v>190</v>
      </c>
      <c r="B54" s="228">
        <v>30495</v>
      </c>
      <c r="C54" s="229">
        <v>45965</v>
      </c>
      <c r="D54" s="206">
        <f t="shared" si="0"/>
        <v>50.7</v>
      </c>
      <c r="E54" s="23">
        <f>IFERROR(100/'Skjema total MA'!C54*C54,0)</f>
        <v>38.903663695080731</v>
      </c>
      <c r="F54" s="109"/>
      <c r="G54" s="27"/>
      <c r="H54" s="109"/>
      <c r="I54" s="109"/>
      <c r="J54" s="27"/>
      <c r="K54" s="27"/>
      <c r="L54" s="118"/>
      <c r="M54" s="118"/>
    </row>
    <row r="55" spans="1:13" ht="15.75" x14ac:dyDescent="0.2">
      <c r="A55" s="18" t="s">
        <v>191</v>
      </c>
      <c r="B55" s="228">
        <v>266</v>
      </c>
      <c r="C55" s="229">
        <v>239</v>
      </c>
      <c r="D55" s="206">
        <f t="shared" si="0"/>
        <v>-10.199999999999999</v>
      </c>
      <c r="E55" s="23">
        <f>IFERROR(100/'Skjema total MA'!C55*C55,0)</f>
        <v>99.262797217319076</v>
      </c>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18"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30:D130"/>
    <mergeCell ref="F130:H130"/>
    <mergeCell ref="J130:L130"/>
    <mergeCell ref="B131:D131"/>
    <mergeCell ref="F131:H131"/>
    <mergeCell ref="J131:L131"/>
    <mergeCell ref="B44:D44"/>
    <mergeCell ref="B62:D62"/>
    <mergeCell ref="F62:H62"/>
    <mergeCell ref="J62:L62"/>
    <mergeCell ref="B63:D63"/>
    <mergeCell ref="F63:H63"/>
    <mergeCell ref="J63:L63"/>
    <mergeCell ref="D40:F40"/>
    <mergeCell ref="G40:I40"/>
    <mergeCell ref="J40:L40"/>
    <mergeCell ref="B42:D42"/>
    <mergeCell ref="F42:H42"/>
    <mergeCell ref="J42:L42"/>
    <mergeCell ref="B18:D18"/>
    <mergeCell ref="F18:H18"/>
    <mergeCell ref="J18:L18"/>
    <mergeCell ref="B19:D19"/>
    <mergeCell ref="F19:H19"/>
    <mergeCell ref="J19:L19"/>
    <mergeCell ref="B2:D2"/>
    <mergeCell ref="F2:H2"/>
    <mergeCell ref="J2:L2"/>
    <mergeCell ref="B4:D4"/>
    <mergeCell ref="F4:H4"/>
    <mergeCell ref="J4:L4"/>
  </mergeCells>
  <conditionalFormatting sqref="A50:A52">
    <cfRule type="expression" dxfId="462" priority="7">
      <formula>kvartal &lt; 4</formula>
    </cfRule>
  </conditionalFormatting>
  <conditionalFormatting sqref="A69:A74">
    <cfRule type="expression" dxfId="461" priority="6">
      <formula>kvartal &lt; 4</formula>
    </cfRule>
  </conditionalFormatting>
  <conditionalFormatting sqref="A80:A85">
    <cfRule type="expression" dxfId="460" priority="5">
      <formula>kvartal &lt; 4</formula>
    </cfRule>
  </conditionalFormatting>
  <conditionalFormatting sqref="A90:A95">
    <cfRule type="expression" dxfId="459" priority="4">
      <formula>kvartal &lt; 4</formula>
    </cfRule>
  </conditionalFormatting>
  <conditionalFormatting sqref="A101:A106">
    <cfRule type="expression" dxfId="458" priority="3">
      <formula>kvartal &lt; 4</formula>
    </cfRule>
  </conditionalFormatting>
  <conditionalFormatting sqref="A115:C115">
    <cfRule type="expression" dxfId="457" priority="2">
      <formula>kvartal &lt; 4</formula>
    </cfRule>
  </conditionalFormatting>
  <conditionalFormatting sqref="A123:C123">
    <cfRule type="expression" dxfId="456" priority="1">
      <formula>kvartal &lt; 4</formula>
    </cfRule>
  </conditionalFormatting>
  <conditionalFormatting sqref="B69:C69">
    <cfRule type="expression" dxfId="455" priority="57">
      <formula>kvartal &lt; 4</formula>
    </cfRule>
  </conditionalFormatting>
  <conditionalFormatting sqref="B72:C72">
    <cfRule type="expression" dxfId="454" priority="55">
      <formula>kvartal &lt; 4</formula>
    </cfRule>
  </conditionalFormatting>
  <conditionalFormatting sqref="F115:G115">
    <cfRule type="expression" dxfId="453" priority="27">
      <formula>kvartal &lt; 4</formula>
    </cfRule>
  </conditionalFormatting>
  <conditionalFormatting sqref="F123:G123">
    <cfRule type="expression" dxfId="452" priority="26">
      <formula>kvartal &lt; 4</formula>
    </cfRule>
  </conditionalFormatting>
  <conditionalFormatting sqref="J115:K115">
    <cfRule type="expression" dxfId="451" priority="9">
      <formula>kvartal &lt; 4</formula>
    </cfRule>
  </conditionalFormatting>
  <conditionalFormatting sqref="J123:K123">
    <cfRule type="expression" dxfId="450" priority="8">
      <formula>kvartal &lt; 4</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1DD8E-9B03-4DEF-9AA3-E8477D0D27F5}">
  <dimension ref="A1:P144"/>
  <sheetViews>
    <sheetView showGridLines="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6" x14ac:dyDescent="0.2">
      <c r="A1" s="128" t="s">
        <v>221</v>
      </c>
      <c r="B1" s="558"/>
      <c r="C1" s="531" t="s">
        <v>409</v>
      </c>
    </row>
    <row r="2" spans="1:16" ht="15.75" x14ac:dyDescent="0.25">
      <c r="A2" s="110" t="s">
        <v>166</v>
      </c>
      <c r="B2" s="242"/>
      <c r="C2" s="242"/>
      <c r="D2" s="242"/>
      <c r="E2" s="521"/>
      <c r="F2" s="242"/>
      <c r="G2" s="242"/>
      <c r="H2" s="242"/>
      <c r="I2" s="242"/>
      <c r="J2" s="242"/>
      <c r="K2" s="242"/>
      <c r="L2" s="242"/>
      <c r="M2" s="242"/>
    </row>
    <row r="3" spans="1:16" ht="15.75" x14ac:dyDescent="0.25">
      <c r="A3" s="122"/>
      <c r="B3" s="242"/>
      <c r="C3" s="242"/>
      <c r="D3" s="242"/>
      <c r="E3" s="521"/>
      <c r="F3" s="242"/>
      <c r="G3" s="242"/>
      <c r="H3" s="242"/>
      <c r="I3" s="242"/>
      <c r="J3" s="242"/>
      <c r="K3" s="242"/>
      <c r="L3" s="242"/>
      <c r="M3" s="242"/>
    </row>
    <row r="4" spans="1:16" x14ac:dyDescent="0.2">
      <c r="A4" s="108"/>
      <c r="B4" s="570" t="s">
        <v>46</v>
      </c>
      <c r="C4" s="571"/>
      <c r="D4" s="571"/>
      <c r="E4" s="244"/>
      <c r="F4" s="570" t="s">
        <v>69</v>
      </c>
      <c r="G4" s="571"/>
      <c r="H4" s="571"/>
      <c r="I4" s="246"/>
      <c r="J4" s="570" t="s">
        <v>120</v>
      </c>
      <c r="K4" s="571"/>
      <c r="L4" s="571"/>
      <c r="M4" s="246"/>
    </row>
    <row r="5" spans="1:16" x14ac:dyDescent="0.2">
      <c r="A5" s="117"/>
      <c r="B5" s="113" t="s">
        <v>418</v>
      </c>
      <c r="C5" s="113" t="s">
        <v>419</v>
      </c>
      <c r="D5" s="193" t="s">
        <v>167</v>
      </c>
      <c r="E5" s="247" t="s">
        <v>85</v>
      </c>
      <c r="F5" s="113" t="s">
        <v>418</v>
      </c>
      <c r="G5" s="113" t="s">
        <v>419</v>
      </c>
      <c r="H5" s="193" t="s">
        <v>167</v>
      </c>
      <c r="I5" s="247" t="s">
        <v>85</v>
      </c>
      <c r="J5" s="113" t="s">
        <v>418</v>
      </c>
      <c r="K5" s="113" t="s">
        <v>419</v>
      </c>
      <c r="L5" s="193" t="s">
        <v>167</v>
      </c>
      <c r="M5" s="121" t="s">
        <v>85</v>
      </c>
    </row>
    <row r="6" spans="1:16" x14ac:dyDescent="0.2">
      <c r="A6" s="556"/>
      <c r="B6" s="116"/>
      <c r="C6" s="116"/>
      <c r="D6" s="195" t="s">
        <v>168</v>
      </c>
      <c r="E6" s="116" t="s">
        <v>88</v>
      </c>
      <c r="F6" s="120"/>
      <c r="G6" s="120"/>
      <c r="H6" s="193" t="s">
        <v>168</v>
      </c>
      <c r="I6" s="116" t="s">
        <v>88</v>
      </c>
      <c r="J6" s="120"/>
      <c r="K6" s="120"/>
      <c r="L6" s="193" t="s">
        <v>168</v>
      </c>
      <c r="M6" s="116" t="s">
        <v>88</v>
      </c>
    </row>
    <row r="7" spans="1:16" ht="15.75" x14ac:dyDescent="0.2">
      <c r="A7" s="11" t="s">
        <v>169</v>
      </c>
      <c r="B7" s="290">
        <v>492164.23651000002</v>
      </c>
      <c r="C7" s="290">
        <v>513548.88023000001</v>
      </c>
      <c r="D7" s="299">
        <f t="shared" ref="D7:D10" si="0">IF(AND(_xlfn.NUMBERVALUE(B7)=0,_xlfn.NUMBERVALUE(C7)=0),,IF(B7=0, "    ---- ", IF(ABS(ROUND(100/B7*C7-100,1))&lt;999,IF(ROUND(100/B7*C7-100,1)=0,"    ---- ",ROUND(100/B7*C7-100,1)),IF(ROUND(100/B7*C7-100,1)&gt;999,999,-999))))</f>
        <v>4.3</v>
      </c>
      <c r="E7" s="300">
        <f>IFERROR(100/'Skjema total MA'!C7*C7,0)</f>
        <v>24.466131993629578</v>
      </c>
      <c r="F7" s="290"/>
      <c r="G7" s="290"/>
      <c r="H7" s="299"/>
      <c r="I7" s="300"/>
      <c r="J7" s="301">
        <f t="shared" ref="J7:K10" si="1">SUM(B7,F7)</f>
        <v>492164.23651000002</v>
      </c>
      <c r="K7" s="296">
        <f t="shared" si="1"/>
        <v>513548.88023000001</v>
      </c>
      <c r="L7" s="299">
        <f t="shared" ref="L7:L10" si="2">IF(AND(_xlfn.NUMBERVALUE(J7)=0,_xlfn.NUMBERVALUE(K7)=0),,IF(J7=0, "    ---- ", IF(ABS(ROUND(100/J7*K7-100,1))&lt;999,IF(ROUND(100/J7*K7-100,1)=0,"    ---- ",ROUND(100/J7*K7-100,1)),IF(ROUND(100/J7*K7-100,1)&gt;999,999,-999))))</f>
        <v>4.3</v>
      </c>
      <c r="M7" s="300">
        <f>IFERROR(100/'Skjema total MA'!I7*K7,0)</f>
        <v>8.7682725327949278</v>
      </c>
      <c r="P7" s="22"/>
    </row>
    <row r="8" spans="1:16" ht="15.75" x14ac:dyDescent="0.2">
      <c r="A8" s="18" t="s">
        <v>170</v>
      </c>
      <c r="B8" s="293">
        <v>390887.14295000001</v>
      </c>
      <c r="C8" s="294">
        <v>411920.59636999998</v>
      </c>
      <c r="D8" s="302">
        <f t="shared" si="0"/>
        <v>5.4</v>
      </c>
      <c r="E8" s="300">
        <f>IFERROR(100/'Skjema total MA'!C8*C8,0)</f>
        <v>28.686040130588239</v>
      </c>
      <c r="F8" s="303"/>
      <c r="G8" s="304"/>
      <c r="H8" s="302"/>
      <c r="I8" s="300"/>
      <c r="J8" s="305">
        <f t="shared" si="1"/>
        <v>390887.14295000001</v>
      </c>
      <c r="K8" s="294">
        <f t="shared" si="1"/>
        <v>411920.59636999998</v>
      </c>
      <c r="L8" s="302">
        <f t="shared" si="2"/>
        <v>5.4</v>
      </c>
      <c r="M8" s="300">
        <f>IFERROR(100/'Skjema total MA'!I8*K8,0)</f>
        <v>28.686040130588239</v>
      </c>
      <c r="P8" s="22"/>
    </row>
    <row r="9" spans="1:16" ht="15.75" x14ac:dyDescent="0.2">
      <c r="A9" s="18" t="s">
        <v>171</v>
      </c>
      <c r="B9" s="293">
        <v>101277.09355999999</v>
      </c>
      <c r="C9" s="294">
        <v>101628.28386</v>
      </c>
      <c r="D9" s="302">
        <f t="shared" si="0"/>
        <v>0.3</v>
      </c>
      <c r="E9" s="300">
        <f>IFERROR(100/'Skjema total MA'!C9*C9,0)</f>
        <v>23.783397990138081</v>
      </c>
      <c r="F9" s="303"/>
      <c r="G9" s="303"/>
      <c r="H9" s="302"/>
      <c r="I9" s="300"/>
      <c r="J9" s="305">
        <f t="shared" si="1"/>
        <v>101277.09355999999</v>
      </c>
      <c r="K9" s="294">
        <f t="shared" si="1"/>
        <v>101628.28386</v>
      </c>
      <c r="L9" s="302">
        <f t="shared" si="2"/>
        <v>0.3</v>
      </c>
      <c r="M9" s="300">
        <f>IFERROR(100/'Skjema total MA'!I9*K9,0)</f>
        <v>23.783397990138081</v>
      </c>
      <c r="P9" s="22"/>
    </row>
    <row r="10" spans="1:16" ht="15.75" x14ac:dyDescent="0.2">
      <c r="A10" s="10" t="s">
        <v>172</v>
      </c>
      <c r="B10" s="295">
        <v>708771.90668999997</v>
      </c>
      <c r="C10" s="296">
        <v>743148.88607999997</v>
      </c>
      <c r="D10" s="302">
        <f t="shared" si="0"/>
        <v>4.9000000000000004</v>
      </c>
      <c r="E10" s="300">
        <f>IFERROR(100/'Skjema total MA'!C10*C10,0)</f>
        <v>5.8167844652669034</v>
      </c>
      <c r="F10" s="295"/>
      <c r="G10" s="295"/>
      <c r="H10" s="302"/>
      <c r="I10" s="300"/>
      <c r="J10" s="301">
        <f t="shared" si="1"/>
        <v>708771.90668999997</v>
      </c>
      <c r="K10" s="296">
        <f t="shared" si="1"/>
        <v>743148.88607999997</v>
      </c>
      <c r="L10" s="302">
        <f t="shared" si="2"/>
        <v>4.9000000000000004</v>
      </c>
      <c r="M10" s="300">
        <f>IFERROR(100/'Skjema total MA'!I10*K10,0)</f>
        <v>0.61696675574589965</v>
      </c>
      <c r="P10" s="22"/>
    </row>
    <row r="11" spans="1:16" s="35" customFormat="1" ht="15.75" x14ac:dyDescent="0.2">
      <c r="A11" s="10" t="s">
        <v>173</v>
      </c>
      <c r="B11" s="295"/>
      <c r="C11" s="296"/>
      <c r="D11" s="302"/>
      <c r="E11" s="300"/>
      <c r="F11" s="295"/>
      <c r="G11" s="295"/>
      <c r="H11" s="302"/>
      <c r="I11" s="300"/>
      <c r="J11" s="301"/>
      <c r="K11" s="296"/>
      <c r="L11" s="302"/>
      <c r="M11" s="300"/>
      <c r="N11" s="107"/>
    </row>
    <row r="12" spans="1:16" s="35" customFormat="1" ht="15.75" x14ac:dyDescent="0.2">
      <c r="A12" s="33" t="s">
        <v>174</v>
      </c>
      <c r="B12" s="297"/>
      <c r="C12" s="298"/>
      <c r="D12" s="306"/>
      <c r="E12" s="306"/>
      <c r="F12" s="297"/>
      <c r="G12" s="297"/>
      <c r="H12" s="306"/>
      <c r="I12" s="306"/>
      <c r="J12" s="307"/>
      <c r="K12" s="298"/>
      <c r="L12" s="306"/>
      <c r="M12" s="306"/>
      <c r="N12" s="107"/>
    </row>
    <row r="13" spans="1:16" s="35" customFormat="1" x14ac:dyDescent="0.2">
      <c r="A13" s="107"/>
      <c r="B13" s="109"/>
      <c r="C13" s="27"/>
      <c r="D13" s="118"/>
      <c r="E13" s="118"/>
      <c r="F13" s="109"/>
      <c r="G13" s="27"/>
      <c r="H13" s="118"/>
      <c r="I13" s="118"/>
      <c r="J13" s="38"/>
      <c r="K13" s="38"/>
      <c r="L13" s="118"/>
      <c r="M13" s="118"/>
      <c r="N13" s="107"/>
    </row>
    <row r="14" spans="1:16" x14ac:dyDescent="0.2">
      <c r="A14" s="114" t="s">
        <v>175</v>
      </c>
    </row>
    <row r="16" spans="1:16" ht="15.75" x14ac:dyDescent="0.25">
      <c r="A16" s="115"/>
      <c r="C16" s="106"/>
      <c r="D16" s="106"/>
      <c r="E16" s="106"/>
      <c r="F16" s="106"/>
      <c r="G16" s="106"/>
      <c r="H16" s="106"/>
      <c r="I16" s="106"/>
      <c r="J16" s="106"/>
      <c r="K16" s="106"/>
      <c r="L16" s="106"/>
      <c r="M16" s="106"/>
    </row>
    <row r="17" spans="1:16" ht="15.75" x14ac:dyDescent="0.25">
      <c r="A17" s="110" t="s">
        <v>176</v>
      </c>
      <c r="B17" s="106"/>
      <c r="C17" s="106"/>
      <c r="D17" s="112"/>
      <c r="E17" s="112"/>
      <c r="F17" s="106"/>
      <c r="G17" s="106"/>
      <c r="H17" s="106"/>
      <c r="I17" s="106"/>
      <c r="J17" s="106"/>
      <c r="K17" s="106"/>
      <c r="L17" s="106"/>
      <c r="M17" s="106"/>
    </row>
    <row r="18" spans="1:16" ht="15.75" x14ac:dyDescent="0.25">
      <c r="B18" s="245"/>
      <c r="C18" s="245"/>
      <c r="D18" s="245"/>
      <c r="E18" s="242"/>
      <c r="F18" s="245"/>
      <c r="G18" s="245"/>
      <c r="H18" s="245"/>
      <c r="I18" s="242"/>
      <c r="J18" s="245"/>
      <c r="K18" s="245"/>
      <c r="L18" s="245"/>
      <c r="M18" s="242"/>
    </row>
    <row r="19" spans="1:16" x14ac:dyDescent="0.2">
      <c r="A19" s="108"/>
      <c r="B19" s="570" t="s">
        <v>46</v>
      </c>
      <c r="C19" s="571"/>
      <c r="D19" s="571"/>
      <c r="E19" s="244"/>
      <c r="F19" s="570" t="s">
        <v>69</v>
      </c>
      <c r="G19" s="571"/>
      <c r="H19" s="571"/>
      <c r="I19" s="246"/>
      <c r="J19" s="570" t="s">
        <v>120</v>
      </c>
      <c r="K19" s="571"/>
      <c r="L19" s="571"/>
      <c r="M19" s="246"/>
    </row>
    <row r="20" spans="1:16" x14ac:dyDescent="0.2">
      <c r="A20" s="105" t="s">
        <v>177</v>
      </c>
      <c r="B20" s="190" t="s">
        <v>418</v>
      </c>
      <c r="C20" s="190" t="s">
        <v>419</v>
      </c>
      <c r="D20" s="121" t="s">
        <v>167</v>
      </c>
      <c r="E20" s="247" t="s">
        <v>85</v>
      </c>
      <c r="F20" s="190" t="s">
        <v>418</v>
      </c>
      <c r="G20" s="190" t="s">
        <v>419</v>
      </c>
      <c r="H20" s="121" t="s">
        <v>167</v>
      </c>
      <c r="I20" s="247" t="s">
        <v>85</v>
      </c>
      <c r="J20" s="190" t="s">
        <v>418</v>
      </c>
      <c r="K20" s="190" t="s">
        <v>419</v>
      </c>
      <c r="L20" s="121" t="s">
        <v>167</v>
      </c>
      <c r="M20" s="121" t="s">
        <v>85</v>
      </c>
    </row>
    <row r="21" spans="1:16" x14ac:dyDescent="0.2">
      <c r="A21" s="557"/>
      <c r="B21" s="116"/>
      <c r="C21" s="116"/>
      <c r="D21" s="195" t="s">
        <v>168</v>
      </c>
      <c r="E21" s="116" t="s">
        <v>88</v>
      </c>
      <c r="F21" s="120"/>
      <c r="G21" s="120"/>
      <c r="H21" s="193" t="s">
        <v>168</v>
      </c>
      <c r="I21" s="116" t="s">
        <v>88</v>
      </c>
      <c r="J21" s="120"/>
      <c r="K21" s="120"/>
      <c r="L21" s="116" t="s">
        <v>168</v>
      </c>
      <c r="M21" s="116" t="s">
        <v>88</v>
      </c>
    </row>
    <row r="22" spans="1:16" ht="15.75" x14ac:dyDescent="0.2">
      <c r="A22" s="11" t="s">
        <v>169</v>
      </c>
      <c r="B22" s="393">
        <v>241165.76057000001</v>
      </c>
      <c r="C22" s="393">
        <v>259016.94068</v>
      </c>
      <c r="D22" s="299">
        <f t="shared" ref="D22:D30" si="3">IF(AND(_xlfn.NUMBERVALUE(B22)=0,_xlfn.NUMBERVALUE(C22)=0),,IF(B22=0, "    ---- ", IF(ABS(ROUND(100/B22*C22-100,1))&lt;999,IF(ROUND(100/B22*C22-100,1)=0,"    ---- ",ROUND(100/B22*C22-100,1)),IF(ROUND(100/B22*C22-100,1)&gt;999,999,-999))))</f>
        <v>7.4</v>
      </c>
      <c r="E22" s="300">
        <f>IFERROR(100/'Skjema total MA'!C22*C22,0)</f>
        <v>24.026334553972159</v>
      </c>
      <c r="F22" s="308"/>
      <c r="G22" s="308"/>
      <c r="H22" s="299"/>
      <c r="I22" s="300"/>
      <c r="J22" s="290">
        <f t="shared" ref="J22:K30" si="4">SUM(B22,F22)</f>
        <v>241165.76057000001</v>
      </c>
      <c r="K22" s="290">
        <f t="shared" si="4"/>
        <v>259016.94068</v>
      </c>
      <c r="L22" s="299">
        <f t="shared" ref="L22:L30" si="5">IF(AND(_xlfn.NUMBERVALUE(J22)=0,_xlfn.NUMBERVALUE(K22)=0),,IF(J22=0, "    ---- ", IF(ABS(ROUND(100/J22*K22-100,1))&lt;999,IF(ROUND(100/J22*K22-100,1)=0,"    ---- ",ROUND(100/J22*K22-100,1)),IF(ROUND(100/J22*K22-100,1)&gt;999,999,-999))))</f>
        <v>7.4</v>
      </c>
      <c r="M22" s="300">
        <f>IFERROR(100/'Skjema total MA'!I22*K22,0)</f>
        <v>16.991404748273307</v>
      </c>
      <c r="P22" s="22"/>
    </row>
    <row r="23" spans="1:16" ht="15.75" x14ac:dyDescent="0.2">
      <c r="A23" s="382" t="s">
        <v>178</v>
      </c>
      <c r="B23" s="292"/>
      <c r="C23" s="292"/>
      <c r="D23" s="302"/>
      <c r="E23" s="300"/>
      <c r="F23" s="292"/>
      <c r="G23" s="292"/>
      <c r="H23" s="302"/>
      <c r="I23" s="300"/>
      <c r="J23" s="292"/>
      <c r="K23" s="292"/>
      <c r="L23" s="302"/>
      <c r="M23" s="300"/>
      <c r="P23" s="22"/>
    </row>
    <row r="24" spans="1:16" ht="15.75" x14ac:dyDescent="0.2">
      <c r="A24" s="382" t="s">
        <v>179</v>
      </c>
      <c r="B24" s="292"/>
      <c r="C24" s="292"/>
      <c r="D24" s="302"/>
      <c r="E24" s="300"/>
      <c r="F24" s="292"/>
      <c r="G24" s="292"/>
      <c r="H24" s="302"/>
      <c r="I24" s="300"/>
      <c r="J24" s="292"/>
      <c r="K24" s="292"/>
      <c r="L24" s="302"/>
      <c r="M24" s="300"/>
      <c r="P24" s="22"/>
    </row>
    <row r="25" spans="1:16" ht="15.75" x14ac:dyDescent="0.2">
      <c r="A25" s="382" t="s">
        <v>180</v>
      </c>
      <c r="B25" s="292"/>
      <c r="C25" s="292"/>
      <c r="D25" s="302"/>
      <c r="E25" s="300"/>
      <c r="F25" s="292"/>
      <c r="G25" s="292"/>
      <c r="H25" s="302"/>
      <c r="I25" s="300"/>
      <c r="J25" s="292"/>
      <c r="K25" s="292"/>
      <c r="L25" s="302"/>
      <c r="M25" s="300"/>
      <c r="P25" s="22"/>
    </row>
    <row r="26" spans="1:16" ht="15.75" x14ac:dyDescent="0.2">
      <c r="A26" s="382" t="s">
        <v>181</v>
      </c>
      <c r="B26" s="292"/>
      <c r="C26" s="292"/>
      <c r="D26" s="302"/>
      <c r="E26" s="300"/>
      <c r="F26" s="292"/>
      <c r="G26" s="292"/>
      <c r="H26" s="302"/>
      <c r="I26" s="300"/>
      <c r="J26" s="292"/>
      <c r="K26" s="292"/>
      <c r="L26" s="302"/>
      <c r="M26" s="300"/>
    </row>
    <row r="27" spans="1:16" x14ac:dyDescent="0.2">
      <c r="A27" s="382" t="s">
        <v>182</v>
      </c>
      <c r="B27" s="292"/>
      <c r="C27" s="292"/>
      <c r="D27" s="302"/>
      <c r="E27" s="300"/>
      <c r="F27" s="292"/>
      <c r="G27" s="292"/>
      <c r="H27" s="302"/>
      <c r="I27" s="300"/>
      <c r="J27" s="292"/>
      <c r="K27" s="292"/>
      <c r="L27" s="302"/>
      <c r="M27" s="300"/>
    </row>
    <row r="28" spans="1:16" ht="15.75" x14ac:dyDescent="0.2">
      <c r="A28" s="39" t="s">
        <v>183</v>
      </c>
      <c r="B28" s="292">
        <v>241165.76057000001</v>
      </c>
      <c r="C28" s="292">
        <v>259067.94068</v>
      </c>
      <c r="D28" s="302">
        <f t="shared" si="3"/>
        <v>7.4</v>
      </c>
      <c r="E28" s="300">
        <f>IFERROR(100/'Skjema total MA'!C28*C28,0)</f>
        <v>19.220320933332534</v>
      </c>
      <c r="F28" s="305"/>
      <c r="G28" s="294"/>
      <c r="H28" s="302"/>
      <c r="I28" s="300"/>
      <c r="J28" s="293">
        <f t="shared" si="4"/>
        <v>241165.76057000001</v>
      </c>
      <c r="K28" s="293">
        <f t="shared" si="4"/>
        <v>259067.94068</v>
      </c>
      <c r="L28" s="302">
        <f t="shared" si="5"/>
        <v>7.4</v>
      </c>
      <c r="M28" s="300">
        <f>IFERROR(100/'Skjema total MA'!I28*K28,0)</f>
        <v>19.220320933332534</v>
      </c>
      <c r="P28" s="22"/>
    </row>
    <row r="29" spans="1:16" ht="15.75" x14ac:dyDescent="0.2">
      <c r="A29" s="10" t="s">
        <v>172</v>
      </c>
      <c r="B29" s="295">
        <v>5291723.2743300004</v>
      </c>
      <c r="C29" s="295">
        <v>5849609.3037700001</v>
      </c>
      <c r="D29" s="302">
        <f t="shared" si="3"/>
        <v>10.5</v>
      </c>
      <c r="E29" s="300">
        <f>IFERROR(100/'Skjema total MA'!C29*C29,0)</f>
        <v>13.143758143891166</v>
      </c>
      <c r="F29" s="301"/>
      <c r="G29" s="301"/>
      <c r="H29" s="302"/>
      <c r="I29" s="300"/>
      <c r="J29" s="295">
        <f t="shared" si="4"/>
        <v>5291723.2743300004</v>
      </c>
      <c r="K29" s="295">
        <f t="shared" si="4"/>
        <v>5849609.3037700001</v>
      </c>
      <c r="L29" s="302">
        <f t="shared" si="5"/>
        <v>10.5</v>
      </c>
      <c r="M29" s="300">
        <f>IFERROR(100/'Skjema total MA'!I29*K29,0)</f>
        <v>7.7286658304950846</v>
      </c>
      <c r="P29" s="22"/>
    </row>
    <row r="30" spans="1:16" ht="15.75" x14ac:dyDescent="0.2">
      <c r="A30" s="382" t="s">
        <v>178</v>
      </c>
      <c r="B30" s="292">
        <v>5291723.2743300004</v>
      </c>
      <c r="C30" s="292">
        <v>5849609.3037700001</v>
      </c>
      <c r="D30" s="302">
        <f t="shared" si="3"/>
        <v>10.5</v>
      </c>
      <c r="E30" s="300">
        <f>IFERROR(100/'Skjema total MA'!C30*C30,0)</f>
        <v>29.397945104954371</v>
      </c>
      <c r="F30" s="292"/>
      <c r="G30" s="292"/>
      <c r="H30" s="302"/>
      <c r="I30" s="300"/>
      <c r="J30" s="292">
        <f t="shared" si="4"/>
        <v>5291723.2743300004</v>
      </c>
      <c r="K30" s="292">
        <f t="shared" si="4"/>
        <v>5849609.3037700001</v>
      </c>
      <c r="L30" s="302">
        <f t="shared" si="5"/>
        <v>10.5</v>
      </c>
      <c r="M30" s="300">
        <f>IFERROR(100/'Skjema total MA'!I30*K30,0)</f>
        <v>24.949997564749935</v>
      </c>
      <c r="P30" s="22"/>
    </row>
    <row r="31" spans="1:16" ht="15.75" x14ac:dyDescent="0.2">
      <c r="A31" s="382" t="s">
        <v>179</v>
      </c>
      <c r="B31" s="292"/>
      <c r="C31" s="292"/>
      <c r="D31" s="302"/>
      <c r="E31" s="300"/>
      <c r="F31" s="292"/>
      <c r="G31" s="292"/>
      <c r="H31" s="302"/>
      <c r="I31" s="300"/>
      <c r="J31" s="292"/>
      <c r="K31" s="292"/>
      <c r="L31" s="302"/>
      <c r="M31" s="300"/>
    </row>
    <row r="32" spans="1:16" ht="15.75" x14ac:dyDescent="0.2">
      <c r="A32" s="382" t="s">
        <v>180</v>
      </c>
      <c r="B32" s="292"/>
      <c r="C32" s="292"/>
      <c r="D32" s="302"/>
      <c r="E32" s="300"/>
      <c r="F32" s="292"/>
      <c r="G32" s="292"/>
      <c r="H32" s="302"/>
      <c r="I32" s="300"/>
      <c r="J32" s="292"/>
      <c r="K32" s="292"/>
      <c r="L32" s="302"/>
      <c r="M32" s="300"/>
    </row>
    <row r="33" spans="1:14" ht="15.75" x14ac:dyDescent="0.2">
      <c r="A33" s="382" t="s">
        <v>181</v>
      </c>
      <c r="B33" s="292"/>
      <c r="C33" s="292"/>
      <c r="D33" s="302"/>
      <c r="E33" s="300"/>
      <c r="F33" s="292"/>
      <c r="G33" s="292"/>
      <c r="H33" s="302"/>
      <c r="I33" s="300"/>
      <c r="J33" s="292"/>
      <c r="K33" s="292"/>
      <c r="L33" s="302"/>
      <c r="M33" s="300"/>
    </row>
    <row r="34" spans="1:14" ht="15.75" x14ac:dyDescent="0.2">
      <c r="A34" s="10" t="s">
        <v>173</v>
      </c>
      <c r="B34" s="295"/>
      <c r="C34" s="296"/>
      <c r="D34" s="302"/>
      <c r="E34" s="300"/>
      <c r="F34" s="301"/>
      <c r="G34" s="296"/>
      <c r="H34" s="302"/>
      <c r="I34" s="300"/>
      <c r="J34" s="295"/>
      <c r="K34" s="295"/>
      <c r="L34" s="302"/>
      <c r="M34" s="300"/>
    </row>
    <row r="35" spans="1:14" ht="15.75" x14ac:dyDescent="0.2">
      <c r="A35" s="10" t="s">
        <v>174</v>
      </c>
      <c r="B35" s="295"/>
      <c r="C35" s="296"/>
      <c r="D35" s="302"/>
      <c r="E35" s="300"/>
      <c r="F35" s="301"/>
      <c r="G35" s="296"/>
      <c r="H35" s="302"/>
      <c r="I35" s="300"/>
      <c r="J35" s="295"/>
      <c r="K35" s="295"/>
      <c r="L35" s="302"/>
      <c r="M35" s="300"/>
    </row>
    <row r="36" spans="1:14" ht="15.75" x14ac:dyDescent="0.2">
      <c r="A36" s="9" t="s">
        <v>185</v>
      </c>
      <c r="B36" s="295"/>
      <c r="C36" s="296"/>
      <c r="D36" s="302"/>
      <c r="E36" s="300"/>
      <c r="F36" s="309"/>
      <c r="G36" s="310"/>
      <c r="H36" s="302"/>
      <c r="I36" s="300"/>
      <c r="J36" s="295"/>
      <c r="K36" s="295"/>
      <c r="L36" s="302"/>
      <c r="M36" s="300"/>
    </row>
    <row r="37" spans="1:14" ht="15.75" x14ac:dyDescent="0.2">
      <c r="A37" s="9" t="s">
        <v>186</v>
      </c>
      <c r="B37" s="295"/>
      <c r="C37" s="296"/>
      <c r="D37" s="302"/>
      <c r="E37" s="300"/>
      <c r="F37" s="309"/>
      <c r="G37" s="311"/>
      <c r="H37" s="302"/>
      <c r="I37" s="300"/>
      <c r="J37" s="295"/>
      <c r="K37" s="295"/>
      <c r="L37" s="302"/>
      <c r="M37" s="300"/>
    </row>
    <row r="38" spans="1:14" ht="15.75" x14ac:dyDescent="0.2">
      <c r="A38" s="9" t="s">
        <v>187</v>
      </c>
      <c r="B38" s="295"/>
      <c r="C38" s="296"/>
      <c r="D38" s="302"/>
      <c r="E38" s="123"/>
      <c r="F38" s="309"/>
      <c r="G38" s="310"/>
      <c r="H38" s="302"/>
      <c r="I38" s="300"/>
      <c r="J38" s="295"/>
      <c r="K38" s="295"/>
      <c r="L38" s="302"/>
      <c r="M38" s="300"/>
    </row>
    <row r="39" spans="1:14" ht="15.75" x14ac:dyDescent="0.2">
      <c r="A39" s="15" t="s">
        <v>188</v>
      </c>
      <c r="B39" s="297"/>
      <c r="C39" s="298"/>
      <c r="D39" s="306"/>
      <c r="E39" s="124"/>
      <c r="F39" s="312"/>
      <c r="G39" s="313"/>
      <c r="H39" s="306"/>
      <c r="I39" s="300"/>
      <c r="J39" s="295"/>
      <c r="K39" s="295"/>
      <c r="L39" s="306"/>
      <c r="M39" s="306"/>
    </row>
    <row r="40" spans="1:14" ht="15.75" x14ac:dyDescent="0.25">
      <c r="A40" s="35"/>
      <c r="B40" s="205"/>
      <c r="C40" s="205"/>
      <c r="D40" s="289"/>
      <c r="E40" s="289"/>
      <c r="F40" s="289"/>
      <c r="G40" s="289"/>
      <c r="H40" s="289"/>
      <c r="I40" s="289"/>
      <c r="J40" s="289"/>
      <c r="K40" s="289"/>
      <c r="L40" s="289"/>
      <c r="M40" s="242"/>
    </row>
    <row r="41" spans="1:14" x14ac:dyDescent="0.2">
      <c r="A41" s="115"/>
    </row>
    <row r="42" spans="1:14" ht="15.75" x14ac:dyDescent="0.25">
      <c r="A42" s="110" t="s">
        <v>189</v>
      </c>
      <c r="B42" s="242"/>
      <c r="C42" s="242"/>
      <c r="D42" s="242"/>
      <c r="E42" s="242"/>
      <c r="F42" s="242"/>
      <c r="G42" s="242"/>
      <c r="H42" s="242"/>
      <c r="I42" s="242"/>
      <c r="J42" s="242"/>
      <c r="K42" s="242"/>
      <c r="L42" s="242"/>
      <c r="M42" s="242"/>
    </row>
    <row r="43" spans="1:14" ht="15.75" x14ac:dyDescent="0.25">
      <c r="A43" s="122"/>
      <c r="B43" s="245"/>
      <c r="C43" s="245"/>
      <c r="D43" s="245"/>
      <c r="E43" s="245"/>
      <c r="F43" s="242"/>
      <c r="G43" s="242"/>
      <c r="H43" s="242"/>
      <c r="I43" s="242"/>
      <c r="J43" s="242"/>
      <c r="K43" s="242"/>
      <c r="L43" s="242"/>
      <c r="M43" s="242"/>
    </row>
    <row r="44" spans="1:14" ht="15.75" x14ac:dyDescent="0.25">
      <c r="A44" s="196"/>
      <c r="B44" s="570" t="s">
        <v>46</v>
      </c>
      <c r="C44" s="571"/>
      <c r="D44" s="571"/>
      <c r="E44" s="191"/>
      <c r="F44" s="242"/>
      <c r="G44" s="242"/>
      <c r="H44" s="242"/>
      <c r="I44" s="242"/>
      <c r="J44" s="242"/>
      <c r="K44" s="242"/>
      <c r="L44" s="242"/>
      <c r="M44" s="242"/>
    </row>
    <row r="45" spans="1:14" x14ac:dyDescent="0.2">
      <c r="A45" s="105"/>
      <c r="B45" s="129" t="s">
        <v>418</v>
      </c>
      <c r="C45" s="129" t="s">
        <v>419</v>
      </c>
      <c r="D45" s="121" t="s">
        <v>167</v>
      </c>
      <c r="E45" s="121" t="s">
        <v>85</v>
      </c>
      <c r="F45" s="131"/>
      <c r="G45" s="131"/>
      <c r="H45" s="130"/>
      <c r="I45" s="130"/>
      <c r="J45" s="131"/>
      <c r="K45" s="131"/>
      <c r="L45" s="130"/>
      <c r="M45" s="130"/>
    </row>
    <row r="46" spans="1:14" x14ac:dyDescent="0.2">
      <c r="A46" s="557"/>
      <c r="B46" s="192"/>
      <c r="C46" s="192"/>
      <c r="D46" s="193" t="s">
        <v>168</v>
      </c>
      <c r="E46" s="116" t="s">
        <v>88</v>
      </c>
      <c r="F46" s="130"/>
      <c r="G46" s="130"/>
      <c r="H46" s="130"/>
      <c r="I46" s="130"/>
      <c r="J46" s="130"/>
      <c r="K46" s="130"/>
      <c r="L46" s="130"/>
      <c r="M46" s="130"/>
    </row>
    <row r="47" spans="1:14" s="35" customFormat="1" ht="15.75" x14ac:dyDescent="0.2">
      <c r="A47" s="11" t="s">
        <v>169</v>
      </c>
      <c r="B47" s="295">
        <v>537807.34131000005</v>
      </c>
      <c r="C47" s="296">
        <v>447652.89</v>
      </c>
      <c r="D47" s="339">
        <f>IF(AND(_xlfn.NUMBERVALUE(B47)=0,_xlfn.NUMBERVALUE(C47)=0),,IF(B47=0, "    ---- ", IF(ABS(ROUND(100/B47*C47-100,1))&lt;999,IF(ROUND(100/B47*C47-100,1)=0,"    ---- ",ROUND(100/B47*C47-100,1)),IF(ROUND(100/B47*C47-100,1)&gt;999,999,-999))))</f>
        <v>-16.8</v>
      </c>
      <c r="E47" s="340">
        <f>IFERROR(100/'Skjema total MA'!C47*C47,0)</f>
        <v>8.8918441292555652</v>
      </c>
      <c r="F47" s="118"/>
      <c r="G47" s="130"/>
      <c r="H47" s="118"/>
      <c r="I47" s="118"/>
      <c r="J47" s="338"/>
      <c r="K47" s="338"/>
      <c r="L47" s="118"/>
      <c r="M47" s="118"/>
      <c r="N47" s="107"/>
    </row>
    <row r="48" spans="1:14" ht="15.75" x14ac:dyDescent="0.2">
      <c r="A48" s="18" t="s">
        <v>190</v>
      </c>
      <c r="B48" s="293">
        <v>125731.28853000001</v>
      </c>
      <c r="C48" s="294">
        <v>133041.48307000002</v>
      </c>
      <c r="D48" s="302">
        <f t="shared" ref="D48:D57" si="6">IF(AND(_xlfn.NUMBERVALUE(B48)=0,_xlfn.NUMBERVALUE(C48)=0),,IF(B48=0, "    ---- ", IF(ABS(ROUND(100/B48*C48-100,1))&lt;999,IF(ROUND(100/B48*C48-100,1)=0,"    ---- ",ROUND(100/B48*C48-100,1)),IF(ROUND(100/B48*C48-100,1)&gt;999,999,-999))))</f>
        <v>5.8</v>
      </c>
      <c r="E48" s="331">
        <f>IFERROR(100/'Skjema total MA'!C48*C48,0)</f>
        <v>5.3511256655262969</v>
      </c>
      <c r="F48" s="109"/>
      <c r="G48" s="27"/>
      <c r="H48" s="109"/>
      <c r="I48" s="109"/>
      <c r="J48" s="27"/>
      <c r="K48" s="27"/>
      <c r="L48" s="118"/>
      <c r="M48" s="118"/>
    </row>
    <row r="49" spans="1:13" ht="15.75" x14ac:dyDescent="0.2">
      <c r="A49" s="18" t="s">
        <v>191</v>
      </c>
      <c r="B49" s="293">
        <v>412076.05278000003</v>
      </c>
      <c r="C49" s="294">
        <v>314611.40693</v>
      </c>
      <c r="D49" s="302">
        <f t="shared" si="6"/>
        <v>-23.7</v>
      </c>
      <c r="E49" s="331">
        <f>IFERROR(100/'Skjema total MA'!C49*C49,0)</f>
        <v>12.346477099158703</v>
      </c>
      <c r="F49" s="109"/>
      <c r="G49" s="27"/>
      <c r="H49" s="109"/>
      <c r="I49" s="109"/>
      <c r="J49" s="31"/>
      <c r="K49" s="31"/>
      <c r="L49" s="118"/>
      <c r="M49" s="118"/>
    </row>
    <row r="50" spans="1:13" x14ac:dyDescent="0.2">
      <c r="A50" s="240" t="s">
        <v>192</v>
      </c>
      <c r="B50" s="320"/>
      <c r="C50" s="320"/>
      <c r="D50" s="302"/>
      <c r="E50" s="332"/>
      <c r="F50" s="109"/>
      <c r="G50" s="27"/>
      <c r="H50" s="109"/>
      <c r="I50" s="109"/>
      <c r="J50" s="27"/>
      <c r="K50" s="27"/>
      <c r="L50" s="118"/>
      <c r="M50" s="118"/>
    </row>
    <row r="51" spans="1:13" x14ac:dyDescent="0.2">
      <c r="A51" s="240" t="s">
        <v>193</v>
      </c>
      <c r="B51" s="320"/>
      <c r="C51" s="320"/>
      <c r="D51" s="302"/>
      <c r="E51" s="332"/>
      <c r="F51" s="109"/>
      <c r="G51" s="27"/>
      <c r="H51" s="109"/>
      <c r="I51" s="109"/>
      <c r="J51" s="27"/>
      <c r="K51" s="27"/>
      <c r="L51" s="118"/>
      <c r="M51" s="118"/>
    </row>
    <row r="52" spans="1:13" x14ac:dyDescent="0.2">
      <c r="A52" s="240" t="s">
        <v>194</v>
      </c>
      <c r="B52" s="320"/>
      <c r="C52" s="320"/>
      <c r="D52" s="302"/>
      <c r="E52" s="332"/>
      <c r="F52" s="109"/>
      <c r="G52" s="27"/>
      <c r="H52" s="109"/>
      <c r="I52" s="109"/>
      <c r="J52" s="27"/>
      <c r="K52" s="27"/>
      <c r="L52" s="118"/>
      <c r="M52" s="118"/>
    </row>
    <row r="53" spans="1:13" ht="15.75" x14ac:dyDescent="0.2">
      <c r="A53" s="10" t="s">
        <v>195</v>
      </c>
      <c r="B53" s="295">
        <v>977</v>
      </c>
      <c r="C53" s="296">
        <v>1015</v>
      </c>
      <c r="D53" s="302">
        <f t="shared" si="6"/>
        <v>3.9</v>
      </c>
      <c r="E53" s="331">
        <f>IFERROR(100/'Skjema total MA'!C53*C53,0)</f>
        <v>0.85732432995816987</v>
      </c>
      <c r="F53" s="109"/>
      <c r="G53" s="27"/>
      <c r="H53" s="109"/>
      <c r="I53" s="109"/>
      <c r="J53" s="27"/>
      <c r="K53" s="27"/>
      <c r="L53" s="118"/>
      <c r="M53" s="118"/>
    </row>
    <row r="54" spans="1:13" ht="15.75" x14ac:dyDescent="0.2">
      <c r="A54" s="18" t="s">
        <v>190</v>
      </c>
      <c r="B54" s="293">
        <v>977</v>
      </c>
      <c r="C54" s="294">
        <v>1015</v>
      </c>
      <c r="D54" s="302">
        <f t="shared" si="6"/>
        <v>3.9</v>
      </c>
      <c r="E54" s="331">
        <f>IFERROR(100/'Skjema total MA'!C54*C54,0)</f>
        <v>0.85907143806171959</v>
      </c>
      <c r="F54" s="109"/>
      <c r="G54" s="27"/>
      <c r="H54" s="109"/>
      <c r="I54" s="109"/>
      <c r="J54" s="27"/>
      <c r="K54" s="27"/>
      <c r="L54" s="118"/>
      <c r="M54" s="118"/>
    </row>
    <row r="55" spans="1:13" ht="15.75" x14ac:dyDescent="0.2">
      <c r="A55" s="18" t="s">
        <v>191</v>
      </c>
      <c r="B55" s="293"/>
      <c r="C55" s="294"/>
      <c r="D55" s="302"/>
      <c r="E55" s="331"/>
      <c r="F55" s="109"/>
      <c r="G55" s="27"/>
      <c r="H55" s="109"/>
      <c r="I55" s="109"/>
      <c r="J55" s="27"/>
      <c r="K55" s="27"/>
      <c r="L55" s="118"/>
      <c r="M55" s="118"/>
    </row>
    <row r="56" spans="1:13" ht="15.75" x14ac:dyDescent="0.2">
      <c r="A56" s="10" t="s">
        <v>196</v>
      </c>
      <c r="B56" s="295">
        <v>595</v>
      </c>
      <c r="C56" s="296">
        <v>471</v>
      </c>
      <c r="D56" s="302">
        <f t="shared" si="6"/>
        <v>-20.8</v>
      </c>
      <c r="E56" s="331">
        <f>IFERROR(100/'Skjema total MA'!C56*C56,0)</f>
        <v>0.42742794796715405</v>
      </c>
      <c r="F56" s="109"/>
      <c r="G56" s="27"/>
      <c r="H56" s="109"/>
      <c r="I56" s="109"/>
      <c r="J56" s="27"/>
      <c r="K56" s="27"/>
      <c r="L56" s="118"/>
      <c r="M56" s="118"/>
    </row>
    <row r="57" spans="1:13" ht="15.75" x14ac:dyDescent="0.2">
      <c r="A57" s="18" t="s">
        <v>190</v>
      </c>
      <c r="B57" s="293">
        <v>595</v>
      </c>
      <c r="C57" s="294">
        <v>471</v>
      </c>
      <c r="D57" s="302">
        <f t="shared" si="6"/>
        <v>-20.8</v>
      </c>
      <c r="E57" s="331">
        <f>IFERROR(100/'Skjema total MA'!C57*C57,0)</f>
        <v>0.46354612728321193</v>
      </c>
      <c r="F57" s="109"/>
      <c r="G57" s="27"/>
      <c r="H57" s="109"/>
      <c r="I57" s="109"/>
      <c r="J57" s="27"/>
      <c r="K57" s="27"/>
      <c r="L57" s="118"/>
      <c r="M57" s="118"/>
    </row>
    <row r="58" spans="1:13" ht="15.75" x14ac:dyDescent="0.2">
      <c r="A58" s="7" t="s">
        <v>191</v>
      </c>
      <c r="B58" s="314"/>
      <c r="C58" s="315"/>
      <c r="D58" s="306"/>
      <c r="E58" s="333"/>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245"/>
      <c r="C62" s="245"/>
      <c r="D62" s="245"/>
      <c r="E62" s="242"/>
      <c r="F62" s="245"/>
      <c r="G62" s="245"/>
      <c r="H62" s="245"/>
      <c r="I62" s="242"/>
      <c r="J62" s="245"/>
      <c r="K62" s="245"/>
      <c r="L62" s="245"/>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316"/>
      <c r="C66" s="316"/>
      <c r="D66" s="299"/>
      <c r="E66" s="299"/>
      <c r="F66" s="562"/>
      <c r="G66" s="316"/>
      <c r="H66" s="299"/>
      <c r="I66" s="299"/>
      <c r="J66" s="290"/>
      <c r="K66" s="290"/>
      <c r="L66" s="302"/>
      <c r="M66" s="300"/>
    </row>
    <row r="67" spans="1:13" x14ac:dyDescent="0.2">
      <c r="A67" s="18" t="s">
        <v>198</v>
      </c>
      <c r="B67" s="293"/>
      <c r="C67" s="317"/>
      <c r="D67" s="302"/>
      <c r="E67" s="302"/>
      <c r="F67" s="293"/>
      <c r="G67" s="317"/>
      <c r="H67" s="302"/>
      <c r="I67" s="302"/>
      <c r="J67" s="293"/>
      <c r="K67" s="293"/>
      <c r="L67" s="302"/>
      <c r="M67" s="300"/>
    </row>
    <row r="68" spans="1:13" x14ac:dyDescent="0.2">
      <c r="A68" s="18" t="s">
        <v>199</v>
      </c>
      <c r="B68" s="318"/>
      <c r="C68" s="319"/>
      <c r="D68" s="302"/>
      <c r="E68" s="302"/>
      <c r="F68" s="563"/>
      <c r="G68" s="319"/>
      <c r="H68" s="302"/>
      <c r="I68" s="302"/>
      <c r="J68" s="293"/>
      <c r="K68" s="293"/>
      <c r="L68" s="302"/>
      <c r="M68" s="300"/>
    </row>
    <row r="69" spans="1:13" ht="15.75" x14ac:dyDescent="0.2">
      <c r="A69" s="240" t="s">
        <v>200</v>
      </c>
      <c r="B69" s="320"/>
      <c r="C69" s="320"/>
      <c r="D69" s="302"/>
      <c r="E69" s="302"/>
      <c r="F69" s="564"/>
      <c r="G69" s="320"/>
      <c r="H69" s="302"/>
      <c r="I69" s="302"/>
      <c r="J69" s="564"/>
      <c r="K69" s="320"/>
      <c r="L69" s="302"/>
      <c r="M69" s="300"/>
    </row>
    <row r="70" spans="1:13" x14ac:dyDescent="0.2">
      <c r="A70" s="240" t="s">
        <v>201</v>
      </c>
      <c r="B70" s="320"/>
      <c r="C70" s="320"/>
      <c r="D70" s="302"/>
      <c r="E70" s="302"/>
      <c r="F70" s="564"/>
      <c r="G70" s="320"/>
      <c r="H70" s="302"/>
      <c r="I70" s="302"/>
      <c r="J70" s="564"/>
      <c r="K70" s="320"/>
      <c r="L70" s="302"/>
      <c r="M70" s="300"/>
    </row>
    <row r="71" spans="1:13" x14ac:dyDescent="0.2">
      <c r="A71" s="240" t="s">
        <v>202</v>
      </c>
      <c r="B71" s="320"/>
      <c r="C71" s="320"/>
      <c r="D71" s="302"/>
      <c r="E71" s="302"/>
      <c r="F71" s="564"/>
      <c r="G71" s="320"/>
      <c r="H71" s="302"/>
      <c r="I71" s="302"/>
      <c r="J71" s="564"/>
      <c r="K71" s="320"/>
      <c r="L71" s="302"/>
      <c r="M71" s="300"/>
    </row>
    <row r="72" spans="1:13" ht="15.75" x14ac:dyDescent="0.2">
      <c r="A72" s="240" t="s">
        <v>203</v>
      </c>
      <c r="B72" s="320"/>
      <c r="C72" s="320"/>
      <c r="D72" s="302"/>
      <c r="E72" s="302"/>
      <c r="F72" s="564"/>
      <c r="G72" s="320"/>
      <c r="H72" s="302"/>
      <c r="I72" s="302"/>
      <c r="J72" s="564"/>
      <c r="K72" s="320"/>
      <c r="L72" s="302"/>
      <c r="M72" s="300"/>
    </row>
    <row r="73" spans="1:13" x14ac:dyDescent="0.2">
      <c r="A73" s="240" t="s">
        <v>201</v>
      </c>
      <c r="B73" s="321"/>
      <c r="C73" s="322"/>
      <c r="D73" s="302"/>
      <c r="E73" s="302"/>
      <c r="F73" s="564"/>
      <c r="G73" s="320"/>
      <c r="H73" s="302"/>
      <c r="I73" s="302"/>
      <c r="J73" s="564"/>
      <c r="K73" s="320"/>
      <c r="L73" s="302"/>
      <c r="M73" s="300"/>
    </row>
    <row r="74" spans="1:13" x14ac:dyDescent="0.2">
      <c r="A74" s="240" t="s">
        <v>202</v>
      </c>
      <c r="B74" s="321"/>
      <c r="C74" s="322"/>
      <c r="D74" s="302"/>
      <c r="E74" s="302"/>
      <c r="F74" s="564"/>
      <c r="G74" s="320"/>
      <c r="H74" s="302"/>
      <c r="I74" s="302"/>
      <c r="J74" s="564"/>
      <c r="K74" s="320"/>
      <c r="L74" s="302"/>
      <c r="M74" s="300"/>
    </row>
    <row r="75" spans="1:13" x14ac:dyDescent="0.2">
      <c r="A75" s="18" t="s">
        <v>204</v>
      </c>
      <c r="B75" s="305"/>
      <c r="C75" s="317"/>
      <c r="D75" s="302"/>
      <c r="E75" s="302"/>
      <c r="F75" s="293"/>
      <c r="G75" s="317"/>
      <c r="H75" s="302"/>
      <c r="I75" s="302"/>
      <c r="J75" s="293"/>
      <c r="K75" s="293"/>
      <c r="L75" s="302"/>
      <c r="M75" s="300"/>
    </row>
    <row r="76" spans="1:13" ht="15.75" x14ac:dyDescent="0.2">
      <c r="A76" s="18" t="s">
        <v>410</v>
      </c>
      <c r="B76" s="305"/>
      <c r="C76" s="317"/>
      <c r="D76" s="302"/>
      <c r="E76" s="302"/>
      <c r="F76" s="293"/>
      <c r="G76" s="317"/>
      <c r="H76" s="302"/>
      <c r="I76" s="302"/>
      <c r="J76" s="293"/>
      <c r="K76" s="293"/>
      <c r="L76" s="302"/>
      <c r="M76" s="300"/>
    </row>
    <row r="77" spans="1:13" ht="15.75" x14ac:dyDescent="0.2">
      <c r="A77" s="18" t="s">
        <v>206</v>
      </c>
      <c r="B77" s="305"/>
      <c r="C77" s="305"/>
      <c r="D77" s="302"/>
      <c r="E77" s="302"/>
      <c r="F77" s="293"/>
      <c r="G77" s="317"/>
      <c r="H77" s="302"/>
      <c r="I77" s="302"/>
      <c r="J77" s="293"/>
      <c r="K77" s="293"/>
      <c r="L77" s="302"/>
      <c r="M77" s="300"/>
    </row>
    <row r="78" spans="1:13" x14ac:dyDescent="0.2">
      <c r="A78" s="18" t="s">
        <v>198</v>
      </c>
      <c r="B78" s="305"/>
      <c r="C78" s="317"/>
      <c r="D78" s="302"/>
      <c r="E78" s="302"/>
      <c r="F78" s="293"/>
      <c r="G78" s="317"/>
      <c r="H78" s="302"/>
      <c r="I78" s="302"/>
      <c r="J78" s="293"/>
      <c r="K78" s="293"/>
      <c r="L78" s="302"/>
      <c r="M78" s="300"/>
    </row>
    <row r="79" spans="1:13" x14ac:dyDescent="0.2">
      <c r="A79" s="18" t="s">
        <v>207</v>
      </c>
      <c r="B79" s="318"/>
      <c r="C79" s="319"/>
      <c r="D79" s="302"/>
      <c r="E79" s="302"/>
      <c r="F79" s="563"/>
      <c r="G79" s="319"/>
      <c r="H79" s="302"/>
      <c r="I79" s="302"/>
      <c r="J79" s="293"/>
      <c r="K79" s="293"/>
      <c r="L79" s="302"/>
      <c r="M79" s="300"/>
    </row>
    <row r="80" spans="1:13" ht="15.75" x14ac:dyDescent="0.2">
      <c r="A80" s="240" t="s">
        <v>200</v>
      </c>
      <c r="B80" s="320"/>
      <c r="C80" s="320"/>
      <c r="D80" s="302"/>
      <c r="E80" s="302"/>
      <c r="F80" s="564"/>
      <c r="G80" s="320"/>
      <c r="H80" s="302"/>
      <c r="I80" s="302"/>
      <c r="J80" s="564"/>
      <c r="K80" s="320"/>
      <c r="L80" s="302"/>
      <c r="M80" s="300"/>
    </row>
    <row r="81" spans="1:13" x14ac:dyDescent="0.2">
      <c r="A81" s="240" t="s">
        <v>201</v>
      </c>
      <c r="B81" s="320"/>
      <c r="C81" s="320"/>
      <c r="D81" s="302"/>
      <c r="E81" s="302"/>
      <c r="F81" s="564"/>
      <c r="G81" s="320"/>
      <c r="H81" s="302"/>
      <c r="I81" s="302"/>
      <c r="J81" s="564"/>
      <c r="K81" s="320"/>
      <c r="L81" s="302"/>
      <c r="M81" s="300"/>
    </row>
    <row r="82" spans="1:13" x14ac:dyDescent="0.2">
      <c r="A82" s="240" t="s">
        <v>202</v>
      </c>
      <c r="B82" s="320"/>
      <c r="C82" s="320"/>
      <c r="D82" s="302"/>
      <c r="E82" s="302"/>
      <c r="F82" s="564"/>
      <c r="G82" s="320"/>
      <c r="H82" s="302"/>
      <c r="I82" s="302"/>
      <c r="J82" s="564"/>
      <c r="K82" s="320"/>
      <c r="L82" s="302"/>
      <c r="M82" s="300"/>
    </row>
    <row r="83" spans="1:13" ht="15.75" x14ac:dyDescent="0.2">
      <c r="A83" s="240" t="s">
        <v>203</v>
      </c>
      <c r="B83" s="320"/>
      <c r="C83" s="320"/>
      <c r="D83" s="302"/>
      <c r="E83" s="302"/>
      <c r="F83" s="564"/>
      <c r="G83" s="320"/>
      <c r="H83" s="302"/>
      <c r="I83" s="302"/>
      <c r="J83" s="564"/>
      <c r="K83" s="320"/>
      <c r="L83" s="302"/>
      <c r="M83" s="300"/>
    </row>
    <row r="84" spans="1:13" x14ac:dyDescent="0.2">
      <c r="A84" s="240" t="s">
        <v>201</v>
      </c>
      <c r="B84" s="321"/>
      <c r="C84" s="322"/>
      <c r="D84" s="302"/>
      <c r="E84" s="302"/>
      <c r="F84" s="564"/>
      <c r="G84" s="320"/>
      <c r="H84" s="302"/>
      <c r="I84" s="302"/>
      <c r="J84" s="564"/>
      <c r="K84" s="320"/>
      <c r="L84" s="302"/>
      <c r="M84" s="300"/>
    </row>
    <row r="85" spans="1:13" x14ac:dyDescent="0.2">
      <c r="A85" s="240" t="s">
        <v>202</v>
      </c>
      <c r="B85" s="321"/>
      <c r="C85" s="322"/>
      <c r="D85" s="302"/>
      <c r="E85" s="302"/>
      <c r="F85" s="564"/>
      <c r="G85" s="320"/>
      <c r="H85" s="302"/>
      <c r="I85" s="302"/>
      <c r="J85" s="564"/>
      <c r="K85" s="320"/>
      <c r="L85" s="302"/>
      <c r="M85" s="300"/>
    </row>
    <row r="86" spans="1:13" ht="15.75" x14ac:dyDescent="0.2">
      <c r="A86" s="18" t="s">
        <v>208</v>
      </c>
      <c r="B86" s="305"/>
      <c r="C86" s="317"/>
      <c r="D86" s="302"/>
      <c r="E86" s="302"/>
      <c r="F86" s="293"/>
      <c r="G86" s="317"/>
      <c r="H86" s="302"/>
      <c r="I86" s="302"/>
      <c r="J86" s="293"/>
      <c r="K86" s="293"/>
      <c r="L86" s="302"/>
      <c r="M86" s="300"/>
    </row>
    <row r="87" spans="1:13" ht="15.75" x14ac:dyDescent="0.2">
      <c r="A87" s="10" t="s">
        <v>172</v>
      </c>
      <c r="B87" s="316"/>
      <c r="C87" s="316"/>
      <c r="D87" s="302"/>
      <c r="E87" s="302"/>
      <c r="F87" s="565"/>
      <c r="G87" s="316"/>
      <c r="H87" s="302"/>
      <c r="I87" s="302"/>
      <c r="J87" s="295"/>
      <c r="K87" s="295"/>
      <c r="L87" s="302"/>
      <c r="M87" s="300"/>
    </row>
    <row r="88" spans="1:13" x14ac:dyDescent="0.2">
      <c r="A88" s="18" t="s">
        <v>198</v>
      </c>
      <c r="B88" s="305"/>
      <c r="C88" s="317"/>
      <c r="D88" s="302"/>
      <c r="E88" s="302"/>
      <c r="F88" s="293"/>
      <c r="G88" s="317"/>
      <c r="H88" s="302"/>
      <c r="I88" s="302"/>
      <c r="J88" s="293"/>
      <c r="K88" s="293"/>
      <c r="L88" s="302"/>
      <c r="M88" s="300"/>
    </row>
    <row r="89" spans="1:13" x14ac:dyDescent="0.2">
      <c r="A89" s="18" t="s">
        <v>199</v>
      </c>
      <c r="B89" s="305"/>
      <c r="C89" s="317"/>
      <c r="D89" s="302"/>
      <c r="E89" s="302"/>
      <c r="F89" s="293"/>
      <c r="G89" s="317"/>
      <c r="H89" s="302"/>
      <c r="I89" s="302"/>
      <c r="J89" s="293"/>
      <c r="K89" s="293"/>
      <c r="L89" s="302"/>
      <c r="M89" s="300"/>
    </row>
    <row r="90" spans="1:13" ht="15.75" x14ac:dyDescent="0.2">
      <c r="A90" s="240" t="s">
        <v>200</v>
      </c>
      <c r="B90" s="320"/>
      <c r="C90" s="320"/>
      <c r="D90" s="302"/>
      <c r="E90" s="302"/>
      <c r="F90" s="564"/>
      <c r="G90" s="320"/>
      <c r="H90" s="302"/>
      <c r="I90" s="302"/>
      <c r="J90" s="564"/>
      <c r="K90" s="320"/>
      <c r="L90" s="302"/>
      <c r="M90" s="300"/>
    </row>
    <row r="91" spans="1:13" x14ac:dyDescent="0.2">
      <c r="A91" s="240" t="s">
        <v>201</v>
      </c>
      <c r="B91" s="320"/>
      <c r="C91" s="320"/>
      <c r="D91" s="302"/>
      <c r="E91" s="302"/>
      <c r="F91" s="564"/>
      <c r="G91" s="320"/>
      <c r="H91" s="302"/>
      <c r="I91" s="302"/>
      <c r="J91" s="564"/>
      <c r="K91" s="320"/>
      <c r="L91" s="302"/>
      <c r="M91" s="300"/>
    </row>
    <row r="92" spans="1:13" x14ac:dyDescent="0.2">
      <c r="A92" s="240" t="s">
        <v>202</v>
      </c>
      <c r="B92" s="320"/>
      <c r="C92" s="320"/>
      <c r="D92" s="302"/>
      <c r="E92" s="302"/>
      <c r="F92" s="564"/>
      <c r="G92" s="320"/>
      <c r="H92" s="302"/>
      <c r="I92" s="302"/>
      <c r="J92" s="564"/>
      <c r="K92" s="320"/>
      <c r="L92" s="302"/>
      <c r="M92" s="300"/>
    </row>
    <row r="93" spans="1:13" ht="15.75" x14ac:dyDescent="0.2">
      <c r="A93" s="240" t="s">
        <v>203</v>
      </c>
      <c r="B93" s="320"/>
      <c r="C93" s="320"/>
      <c r="D93" s="302"/>
      <c r="E93" s="302"/>
      <c r="F93" s="564"/>
      <c r="G93" s="320"/>
      <c r="H93" s="302"/>
      <c r="I93" s="302"/>
      <c r="J93" s="564"/>
      <c r="K93" s="320"/>
      <c r="L93" s="302"/>
      <c r="M93" s="300"/>
    </row>
    <row r="94" spans="1:13" x14ac:dyDescent="0.2">
      <c r="A94" s="240" t="s">
        <v>201</v>
      </c>
      <c r="B94" s="320"/>
      <c r="C94" s="320"/>
      <c r="D94" s="302"/>
      <c r="E94" s="302"/>
      <c r="F94" s="564"/>
      <c r="G94" s="320"/>
      <c r="H94" s="302"/>
      <c r="I94" s="302"/>
      <c r="J94" s="564"/>
      <c r="K94" s="320"/>
      <c r="L94" s="302"/>
      <c r="M94" s="300"/>
    </row>
    <row r="95" spans="1:13" x14ac:dyDescent="0.2">
      <c r="A95" s="240" t="s">
        <v>202</v>
      </c>
      <c r="B95" s="320"/>
      <c r="C95" s="320"/>
      <c r="D95" s="302"/>
      <c r="E95" s="302"/>
      <c r="F95" s="564"/>
      <c r="G95" s="320"/>
      <c r="H95" s="302"/>
      <c r="I95" s="302"/>
      <c r="J95" s="564"/>
      <c r="K95" s="320"/>
      <c r="L95" s="302"/>
      <c r="M95" s="300"/>
    </row>
    <row r="96" spans="1:13" x14ac:dyDescent="0.2">
      <c r="A96" s="18" t="s">
        <v>222</v>
      </c>
      <c r="B96" s="305"/>
      <c r="C96" s="317"/>
      <c r="D96" s="302"/>
      <c r="E96" s="302"/>
      <c r="F96" s="293"/>
      <c r="G96" s="317"/>
      <c r="H96" s="302"/>
      <c r="I96" s="302"/>
      <c r="J96" s="293"/>
      <c r="K96" s="293"/>
      <c r="L96" s="302"/>
      <c r="M96" s="300"/>
    </row>
    <row r="97" spans="1:13" x14ac:dyDescent="0.2">
      <c r="A97" s="18" t="s">
        <v>223</v>
      </c>
      <c r="B97" s="305"/>
      <c r="C97" s="317"/>
      <c r="D97" s="302"/>
      <c r="E97" s="302"/>
      <c r="F97" s="293"/>
      <c r="G97" s="317"/>
      <c r="H97" s="302"/>
      <c r="I97" s="302"/>
      <c r="J97" s="293"/>
      <c r="K97" s="293"/>
      <c r="L97" s="302"/>
      <c r="M97" s="300"/>
    </row>
    <row r="98" spans="1:13" ht="15.75" x14ac:dyDescent="0.2">
      <c r="A98" s="18" t="s">
        <v>206</v>
      </c>
      <c r="B98" s="305"/>
      <c r="C98" s="305"/>
      <c r="D98" s="302"/>
      <c r="E98" s="302"/>
      <c r="F98" s="563"/>
      <c r="G98" s="318"/>
      <c r="H98" s="302"/>
      <c r="I98" s="302"/>
      <c r="J98" s="293"/>
      <c r="K98" s="293"/>
      <c r="L98" s="302"/>
      <c r="M98" s="300"/>
    </row>
    <row r="99" spans="1:13" x14ac:dyDescent="0.2">
      <c r="A99" s="18" t="s">
        <v>198</v>
      </c>
      <c r="B99" s="318"/>
      <c r="C99" s="319"/>
      <c r="D99" s="302"/>
      <c r="E99" s="302"/>
      <c r="F99" s="293"/>
      <c r="G99" s="317"/>
      <c r="H99" s="302"/>
      <c r="I99" s="302"/>
      <c r="J99" s="293"/>
      <c r="K99" s="293"/>
      <c r="L99" s="302"/>
      <c r="M99" s="300"/>
    </row>
    <row r="100" spans="1:13" x14ac:dyDescent="0.2">
      <c r="A100" s="18" t="s">
        <v>207</v>
      </c>
      <c r="B100" s="318"/>
      <c r="C100" s="319"/>
      <c r="D100" s="302"/>
      <c r="E100" s="302"/>
      <c r="F100" s="293"/>
      <c r="G100" s="305"/>
      <c r="H100" s="302"/>
      <c r="I100" s="302"/>
      <c r="J100" s="293"/>
      <c r="K100" s="293"/>
      <c r="L100" s="302"/>
      <c r="M100" s="300"/>
    </row>
    <row r="101" spans="1:13" ht="15.75" x14ac:dyDescent="0.2">
      <c r="A101" s="240" t="s">
        <v>200</v>
      </c>
      <c r="B101" s="320"/>
      <c r="C101" s="320"/>
      <c r="D101" s="302"/>
      <c r="E101" s="302"/>
      <c r="F101" s="564"/>
      <c r="G101" s="320"/>
      <c r="H101" s="302"/>
      <c r="I101" s="302"/>
      <c r="J101" s="564"/>
      <c r="K101" s="320"/>
      <c r="L101" s="302"/>
      <c r="M101" s="300"/>
    </row>
    <row r="102" spans="1:13" x14ac:dyDescent="0.2">
      <c r="A102" s="240" t="s">
        <v>201</v>
      </c>
      <c r="B102" s="320"/>
      <c r="C102" s="320"/>
      <c r="D102" s="302"/>
      <c r="E102" s="302"/>
      <c r="F102" s="564"/>
      <c r="G102" s="320"/>
      <c r="H102" s="302"/>
      <c r="I102" s="302"/>
      <c r="J102" s="564"/>
      <c r="K102" s="320"/>
      <c r="L102" s="302"/>
      <c r="M102" s="300"/>
    </row>
    <row r="103" spans="1:13" x14ac:dyDescent="0.2">
      <c r="A103" s="240" t="s">
        <v>202</v>
      </c>
      <c r="B103" s="320"/>
      <c r="C103" s="320"/>
      <c r="D103" s="302"/>
      <c r="E103" s="302"/>
      <c r="F103" s="564"/>
      <c r="G103" s="320"/>
      <c r="H103" s="302"/>
      <c r="I103" s="302"/>
      <c r="J103" s="564"/>
      <c r="K103" s="320"/>
      <c r="L103" s="302"/>
      <c r="M103" s="300"/>
    </row>
    <row r="104" spans="1:13" ht="15.75" x14ac:dyDescent="0.2">
      <c r="A104" s="240" t="s">
        <v>203</v>
      </c>
      <c r="B104" s="320"/>
      <c r="C104" s="320"/>
      <c r="D104" s="302"/>
      <c r="E104" s="302"/>
      <c r="F104" s="564"/>
      <c r="G104" s="320"/>
      <c r="H104" s="302"/>
      <c r="I104" s="302"/>
      <c r="J104" s="564"/>
      <c r="K104" s="320"/>
      <c r="L104" s="302"/>
      <c r="M104" s="300"/>
    </row>
    <row r="105" spans="1:13" x14ac:dyDescent="0.2">
      <c r="A105" s="240" t="s">
        <v>201</v>
      </c>
      <c r="B105" s="321"/>
      <c r="C105" s="322"/>
      <c r="D105" s="302"/>
      <c r="E105" s="302"/>
      <c r="F105" s="564"/>
      <c r="G105" s="320"/>
      <c r="H105" s="302"/>
      <c r="I105" s="302"/>
      <c r="J105" s="564"/>
      <c r="K105" s="320"/>
      <c r="L105" s="302"/>
      <c r="M105" s="300"/>
    </row>
    <row r="106" spans="1:13" x14ac:dyDescent="0.2">
      <c r="A106" s="240" t="s">
        <v>202</v>
      </c>
      <c r="B106" s="321"/>
      <c r="C106" s="322"/>
      <c r="D106" s="302"/>
      <c r="E106" s="302"/>
      <c r="F106" s="564"/>
      <c r="G106" s="320"/>
      <c r="H106" s="302"/>
      <c r="I106" s="302"/>
      <c r="J106" s="564"/>
      <c r="K106" s="320"/>
      <c r="L106" s="302"/>
      <c r="M106" s="300"/>
    </row>
    <row r="107" spans="1:13" ht="15.75" x14ac:dyDescent="0.2">
      <c r="A107" s="18" t="s">
        <v>208</v>
      </c>
      <c r="B107" s="305"/>
      <c r="C107" s="317"/>
      <c r="D107" s="302"/>
      <c r="E107" s="302"/>
      <c r="F107" s="293"/>
      <c r="G107" s="317"/>
      <c r="H107" s="302"/>
      <c r="I107" s="302"/>
      <c r="J107" s="293"/>
      <c r="K107" s="293"/>
      <c r="L107" s="302"/>
      <c r="M107" s="300"/>
    </row>
    <row r="108" spans="1:13" ht="15.75" x14ac:dyDescent="0.2">
      <c r="A108" s="18" t="s">
        <v>209</v>
      </c>
      <c r="B108" s="305"/>
      <c r="C108" s="305"/>
      <c r="D108" s="302"/>
      <c r="E108" s="302"/>
      <c r="F108" s="293"/>
      <c r="G108" s="305"/>
      <c r="H108" s="302"/>
      <c r="I108" s="302"/>
      <c r="J108" s="293"/>
      <c r="K108" s="293"/>
      <c r="L108" s="302"/>
      <c r="M108" s="300"/>
    </row>
    <row r="109" spans="1:13" ht="15.75" x14ac:dyDescent="0.2">
      <c r="A109" s="18" t="s">
        <v>210</v>
      </c>
      <c r="B109" s="305"/>
      <c r="C109" s="305"/>
      <c r="D109" s="302"/>
      <c r="E109" s="302"/>
      <c r="F109" s="293"/>
      <c r="G109" s="305"/>
      <c r="H109" s="302"/>
      <c r="I109" s="302"/>
      <c r="J109" s="293"/>
      <c r="K109" s="293"/>
      <c r="L109" s="302"/>
      <c r="M109" s="300"/>
    </row>
    <row r="110" spans="1:13" ht="15.75" x14ac:dyDescent="0.2">
      <c r="A110" s="18" t="s">
        <v>211</v>
      </c>
      <c r="B110" s="305"/>
      <c r="C110" s="305"/>
      <c r="D110" s="302"/>
      <c r="E110" s="302"/>
      <c r="F110" s="293"/>
      <c r="G110" s="305"/>
      <c r="H110" s="302"/>
      <c r="I110" s="302"/>
      <c r="J110" s="293"/>
      <c r="K110" s="293"/>
      <c r="L110" s="302"/>
      <c r="M110" s="300"/>
    </row>
    <row r="111" spans="1:13" ht="15.75" x14ac:dyDescent="0.2">
      <c r="A111" s="10" t="s">
        <v>173</v>
      </c>
      <c r="B111" s="301"/>
      <c r="C111" s="323"/>
      <c r="D111" s="302"/>
      <c r="E111" s="302"/>
      <c r="F111" s="295"/>
      <c r="G111" s="323"/>
      <c r="H111" s="302"/>
      <c r="I111" s="302"/>
      <c r="J111" s="295"/>
      <c r="K111" s="295"/>
      <c r="L111" s="302"/>
      <c r="M111" s="300"/>
    </row>
    <row r="112" spans="1:13" x14ac:dyDescent="0.2">
      <c r="A112" s="18" t="s">
        <v>198</v>
      </c>
      <c r="B112" s="305"/>
      <c r="C112" s="317"/>
      <c r="D112" s="302"/>
      <c r="E112" s="302"/>
      <c r="F112" s="293"/>
      <c r="G112" s="317"/>
      <c r="H112" s="302"/>
      <c r="I112" s="302"/>
      <c r="J112" s="293"/>
      <c r="K112" s="293"/>
      <c r="L112" s="302"/>
      <c r="M112" s="300"/>
    </row>
    <row r="113" spans="1:13" x14ac:dyDescent="0.2">
      <c r="A113" s="18" t="s">
        <v>199</v>
      </c>
      <c r="B113" s="305"/>
      <c r="C113" s="317"/>
      <c r="D113" s="302"/>
      <c r="E113" s="302"/>
      <c r="F113" s="293"/>
      <c r="G113" s="317"/>
      <c r="H113" s="302"/>
      <c r="I113" s="302"/>
      <c r="J113" s="293"/>
      <c r="K113" s="293"/>
      <c r="L113" s="302"/>
      <c r="M113" s="300"/>
    </row>
    <row r="114" spans="1:13" x14ac:dyDescent="0.2">
      <c r="A114" s="18" t="s">
        <v>212</v>
      </c>
      <c r="B114" s="305"/>
      <c r="C114" s="317"/>
      <c r="D114" s="302"/>
      <c r="E114" s="302"/>
      <c r="F114" s="293"/>
      <c r="G114" s="317"/>
      <c r="H114" s="302"/>
      <c r="I114" s="302"/>
      <c r="J114" s="293"/>
      <c r="K114" s="293"/>
      <c r="L114" s="302"/>
      <c r="M114" s="300"/>
    </row>
    <row r="115" spans="1:13" x14ac:dyDescent="0.2">
      <c r="A115" s="555" t="s">
        <v>213</v>
      </c>
      <c r="B115" s="293"/>
      <c r="C115" s="293"/>
      <c r="D115" s="302"/>
      <c r="E115" s="302"/>
      <c r="F115" s="293"/>
      <c r="G115" s="293"/>
      <c r="H115" s="302"/>
      <c r="I115" s="302"/>
      <c r="J115" s="292"/>
      <c r="K115" s="292"/>
      <c r="L115" s="302"/>
      <c r="M115" s="300"/>
    </row>
    <row r="116" spans="1:13" ht="15.75" x14ac:dyDescent="0.2">
      <c r="A116" s="18" t="s">
        <v>214</v>
      </c>
      <c r="B116" s="305"/>
      <c r="C116" s="305"/>
      <c r="D116" s="302"/>
      <c r="E116" s="302"/>
      <c r="F116" s="293"/>
      <c r="G116" s="305"/>
      <c r="H116" s="302"/>
      <c r="I116" s="302"/>
      <c r="J116" s="293"/>
      <c r="K116" s="293"/>
      <c r="L116" s="302"/>
      <c r="M116" s="300"/>
    </row>
    <row r="117" spans="1:13" ht="15.75" x14ac:dyDescent="0.2">
      <c r="A117" s="18" t="s">
        <v>210</v>
      </c>
      <c r="B117" s="305"/>
      <c r="C117" s="305"/>
      <c r="D117" s="302"/>
      <c r="E117" s="302"/>
      <c r="F117" s="293"/>
      <c r="G117" s="305"/>
      <c r="H117" s="302"/>
      <c r="I117" s="302"/>
      <c r="J117" s="293"/>
      <c r="K117" s="293"/>
      <c r="L117" s="302"/>
      <c r="M117" s="300"/>
    </row>
    <row r="118" spans="1:13" ht="15.75" x14ac:dyDescent="0.2">
      <c r="A118" s="18" t="s">
        <v>211</v>
      </c>
      <c r="B118" s="305"/>
      <c r="C118" s="305"/>
      <c r="D118" s="302"/>
      <c r="E118" s="302"/>
      <c r="F118" s="293"/>
      <c r="G118" s="305"/>
      <c r="H118" s="302"/>
      <c r="I118" s="302"/>
      <c r="J118" s="293"/>
      <c r="K118" s="293"/>
      <c r="L118" s="302"/>
      <c r="M118" s="300"/>
    </row>
    <row r="119" spans="1:13" ht="15.75" x14ac:dyDescent="0.2">
      <c r="A119" s="10" t="s">
        <v>174</v>
      </c>
      <c r="B119" s="301"/>
      <c r="C119" s="323"/>
      <c r="D119" s="302"/>
      <c r="E119" s="302"/>
      <c r="F119" s="295"/>
      <c r="G119" s="323"/>
      <c r="H119" s="302"/>
      <c r="I119" s="302"/>
      <c r="J119" s="295"/>
      <c r="K119" s="295"/>
      <c r="L119" s="302"/>
      <c r="M119" s="300"/>
    </row>
    <row r="120" spans="1:13" x14ac:dyDescent="0.2">
      <c r="A120" s="18" t="s">
        <v>198</v>
      </c>
      <c r="B120" s="305"/>
      <c r="C120" s="317"/>
      <c r="D120" s="302"/>
      <c r="E120" s="302"/>
      <c r="F120" s="293"/>
      <c r="G120" s="317"/>
      <c r="H120" s="302"/>
      <c r="I120" s="302"/>
      <c r="J120" s="293"/>
      <c r="K120" s="293"/>
      <c r="L120" s="302"/>
      <c r="M120" s="300"/>
    </row>
    <row r="121" spans="1:13" x14ac:dyDescent="0.2">
      <c r="A121" s="18" t="s">
        <v>199</v>
      </c>
      <c r="B121" s="305"/>
      <c r="C121" s="317"/>
      <c r="D121" s="302"/>
      <c r="E121" s="302"/>
      <c r="F121" s="293"/>
      <c r="G121" s="317"/>
      <c r="H121" s="302"/>
      <c r="I121" s="302"/>
      <c r="J121" s="293"/>
      <c r="K121" s="293"/>
      <c r="L121" s="302"/>
      <c r="M121" s="300"/>
    </row>
    <row r="122" spans="1:13" x14ac:dyDescent="0.2">
      <c r="A122" s="18" t="s">
        <v>212</v>
      </c>
      <c r="B122" s="305"/>
      <c r="C122" s="317"/>
      <c r="D122" s="302"/>
      <c r="E122" s="302"/>
      <c r="F122" s="293"/>
      <c r="G122" s="317"/>
      <c r="H122" s="302"/>
      <c r="I122" s="302"/>
      <c r="J122" s="293"/>
      <c r="K122" s="293"/>
      <c r="L122" s="302"/>
      <c r="M122" s="300"/>
    </row>
    <row r="123" spans="1:13" x14ac:dyDescent="0.2">
      <c r="A123" s="555" t="s">
        <v>215</v>
      </c>
      <c r="B123" s="293"/>
      <c r="C123" s="293"/>
      <c r="D123" s="302"/>
      <c r="E123" s="302"/>
      <c r="F123" s="293"/>
      <c r="G123" s="293"/>
      <c r="H123" s="302"/>
      <c r="I123" s="302"/>
      <c r="J123" s="292"/>
      <c r="K123" s="292"/>
      <c r="L123" s="302"/>
      <c r="M123" s="300"/>
    </row>
    <row r="124" spans="1:13" ht="15.75" x14ac:dyDescent="0.2">
      <c r="A124" s="18" t="s">
        <v>224</v>
      </c>
      <c r="B124" s="305"/>
      <c r="C124" s="305"/>
      <c r="D124" s="302"/>
      <c r="E124" s="302"/>
      <c r="F124" s="293"/>
      <c r="G124" s="305"/>
      <c r="H124" s="302"/>
      <c r="I124" s="302"/>
      <c r="J124" s="293"/>
      <c r="K124" s="293"/>
      <c r="L124" s="302"/>
      <c r="M124" s="300"/>
    </row>
    <row r="125" spans="1:13" ht="15.75" x14ac:dyDescent="0.2">
      <c r="A125" s="18" t="s">
        <v>210</v>
      </c>
      <c r="B125" s="305"/>
      <c r="C125" s="305"/>
      <c r="D125" s="302"/>
      <c r="E125" s="302"/>
      <c r="F125" s="293"/>
      <c r="G125" s="305"/>
      <c r="H125" s="302"/>
      <c r="I125" s="302"/>
      <c r="J125" s="293"/>
      <c r="K125" s="293"/>
      <c r="L125" s="302"/>
      <c r="M125" s="300"/>
    </row>
    <row r="126" spans="1:13" ht="15.75" x14ac:dyDescent="0.2">
      <c r="A126" s="7" t="s">
        <v>211</v>
      </c>
      <c r="B126" s="314"/>
      <c r="C126" s="314"/>
      <c r="D126" s="306"/>
      <c r="E126" s="306"/>
      <c r="F126" s="314"/>
      <c r="G126" s="314"/>
      <c r="H126" s="306"/>
      <c r="I126" s="306"/>
      <c r="J126" s="314"/>
      <c r="K126" s="314"/>
      <c r="L126" s="306"/>
      <c r="M126" s="306"/>
    </row>
    <row r="127" spans="1:13" x14ac:dyDescent="0.2">
      <c r="A127" s="115"/>
    </row>
    <row r="129" spans="1:14" ht="15.75" x14ac:dyDescent="0.25">
      <c r="A129" s="110" t="s">
        <v>216</v>
      </c>
    </row>
    <row r="130" spans="1:14" ht="15.75" x14ac:dyDescent="0.25">
      <c r="B130" s="245"/>
      <c r="C130" s="245"/>
      <c r="D130" s="245"/>
      <c r="E130" s="242"/>
      <c r="F130" s="245"/>
      <c r="G130" s="245"/>
      <c r="H130" s="245"/>
      <c r="I130" s="242"/>
      <c r="J130" s="245"/>
      <c r="K130" s="245"/>
      <c r="L130" s="245"/>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247"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295"/>
      <c r="C134" s="296"/>
      <c r="D134" s="299"/>
      <c r="E134" s="300"/>
      <c r="F134" s="290"/>
      <c r="G134" s="291"/>
      <c r="H134" s="325"/>
      <c r="I134" s="300"/>
      <c r="J134" s="308"/>
      <c r="K134" s="308"/>
      <c r="L134" s="299"/>
      <c r="M134" s="300"/>
    </row>
    <row r="135" spans="1:14" ht="15.75" x14ac:dyDescent="0.2">
      <c r="A135" s="10" t="s">
        <v>225</v>
      </c>
      <c r="B135" s="295"/>
      <c r="C135" s="296"/>
      <c r="D135" s="302"/>
      <c r="E135" s="300"/>
      <c r="F135" s="295"/>
      <c r="G135" s="296"/>
      <c r="H135" s="326"/>
      <c r="I135" s="300"/>
      <c r="J135" s="301"/>
      <c r="K135" s="301"/>
      <c r="L135" s="302"/>
      <c r="M135" s="300"/>
    </row>
    <row r="136" spans="1:14" ht="15.75" x14ac:dyDescent="0.2">
      <c r="A136" s="10" t="s">
        <v>219</v>
      </c>
      <c r="B136" s="295"/>
      <c r="C136" s="296"/>
      <c r="D136" s="302"/>
      <c r="E136" s="300"/>
      <c r="F136" s="295"/>
      <c r="G136" s="296"/>
      <c r="H136" s="326"/>
      <c r="I136" s="300"/>
      <c r="J136" s="301"/>
      <c r="K136" s="301"/>
      <c r="L136" s="302"/>
      <c r="M136" s="300"/>
    </row>
    <row r="137" spans="1:14" ht="15.75" x14ac:dyDescent="0.2">
      <c r="A137" s="33" t="s">
        <v>220</v>
      </c>
      <c r="B137" s="297"/>
      <c r="C137" s="298"/>
      <c r="D137" s="306"/>
      <c r="E137" s="324"/>
      <c r="F137" s="297"/>
      <c r="G137" s="298"/>
      <c r="H137" s="327"/>
      <c r="I137" s="324"/>
      <c r="J137" s="307"/>
      <c r="K137" s="307"/>
      <c r="L137" s="306"/>
      <c r="M137" s="306"/>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13">
    <mergeCell ref="B44:D44"/>
    <mergeCell ref="B63:D63"/>
    <mergeCell ref="F63:H63"/>
    <mergeCell ref="J63:L63"/>
    <mergeCell ref="B131:D131"/>
    <mergeCell ref="F131:H131"/>
    <mergeCell ref="J131:L131"/>
    <mergeCell ref="B4:D4"/>
    <mergeCell ref="F4:H4"/>
    <mergeCell ref="J4:L4"/>
    <mergeCell ref="B19:D19"/>
    <mergeCell ref="F19:H19"/>
    <mergeCell ref="J19:L19"/>
  </mergeCells>
  <conditionalFormatting sqref="A50:A52">
    <cfRule type="expression" dxfId="449" priority="7">
      <formula>kvartal &lt; 4</formula>
    </cfRule>
  </conditionalFormatting>
  <conditionalFormatting sqref="A69:A74">
    <cfRule type="expression" dxfId="448" priority="6">
      <formula>kvartal &lt; 4</formula>
    </cfRule>
  </conditionalFormatting>
  <conditionalFormatting sqref="A80:A85">
    <cfRule type="expression" dxfId="447" priority="5">
      <formula>kvartal &lt; 4</formula>
    </cfRule>
  </conditionalFormatting>
  <conditionalFormatting sqref="A90:A95">
    <cfRule type="expression" dxfId="446" priority="4">
      <formula>kvartal &lt; 4</formula>
    </cfRule>
  </conditionalFormatting>
  <conditionalFormatting sqref="A101:A106">
    <cfRule type="expression" dxfId="445" priority="3">
      <formula>kvartal &lt; 4</formula>
    </cfRule>
  </conditionalFormatting>
  <conditionalFormatting sqref="A115:C115">
    <cfRule type="expression" dxfId="444" priority="2">
      <formula>kvartal &lt; 4</formula>
    </cfRule>
  </conditionalFormatting>
  <conditionalFormatting sqref="A123:C123">
    <cfRule type="expression" dxfId="443" priority="1">
      <formula>kvartal &lt; 4</formula>
    </cfRule>
  </conditionalFormatting>
  <conditionalFormatting sqref="B69:C69">
    <cfRule type="expression" dxfId="442" priority="57">
      <formula>kvartal &lt; 4</formula>
    </cfRule>
  </conditionalFormatting>
  <conditionalFormatting sqref="B72:C72">
    <cfRule type="expression" dxfId="441" priority="55">
      <formula>kvartal &lt; 4</formula>
    </cfRule>
  </conditionalFormatting>
  <conditionalFormatting sqref="F115:G115">
    <cfRule type="expression" dxfId="440" priority="27">
      <formula>kvartal &lt; 4</formula>
    </cfRule>
  </conditionalFormatting>
  <conditionalFormatting sqref="F123:G123">
    <cfRule type="expression" dxfId="439" priority="26">
      <formula>kvartal &lt; 4</formula>
    </cfRule>
  </conditionalFormatting>
  <conditionalFormatting sqref="J115:K115">
    <cfRule type="expression" dxfId="438" priority="9">
      <formula>kvartal &lt; 4</formula>
    </cfRule>
  </conditionalFormatting>
  <conditionalFormatting sqref="J123:K123">
    <cfRule type="expression" dxfId="437" priority="8">
      <formula>kvartal &lt; 4</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4"/>
  <dimension ref="A1:Q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7" x14ac:dyDescent="0.2">
      <c r="A1" s="128" t="s">
        <v>221</v>
      </c>
      <c r="B1" s="558"/>
      <c r="C1" s="197" t="s">
        <v>400</v>
      </c>
    </row>
    <row r="2" spans="1:17" ht="15.75" x14ac:dyDescent="0.25">
      <c r="A2" s="110" t="s">
        <v>166</v>
      </c>
      <c r="B2" s="574"/>
      <c r="C2" s="574"/>
      <c r="D2" s="574"/>
      <c r="E2" s="242"/>
      <c r="F2" s="574"/>
      <c r="G2" s="574"/>
      <c r="H2" s="574"/>
      <c r="I2" s="242"/>
      <c r="J2" s="574"/>
      <c r="K2" s="574"/>
      <c r="L2" s="574"/>
      <c r="M2" s="242"/>
    </row>
    <row r="3" spans="1:17" ht="15.75" x14ac:dyDescent="0.25">
      <c r="A3" s="122"/>
      <c r="B3" s="242"/>
      <c r="C3" s="242"/>
      <c r="D3" s="242"/>
      <c r="E3" s="242"/>
      <c r="F3" s="242"/>
      <c r="G3" s="242"/>
      <c r="H3" s="242"/>
      <c r="I3" s="242"/>
      <c r="J3" s="242"/>
      <c r="K3" s="242"/>
      <c r="L3" s="242"/>
      <c r="M3" s="242"/>
    </row>
    <row r="4" spans="1:17" x14ac:dyDescent="0.2">
      <c r="A4" s="108"/>
      <c r="B4" s="570" t="s">
        <v>46</v>
      </c>
      <c r="C4" s="571"/>
      <c r="D4" s="571"/>
      <c r="E4" s="244"/>
      <c r="F4" s="570" t="s">
        <v>69</v>
      </c>
      <c r="G4" s="571"/>
      <c r="H4" s="571"/>
      <c r="I4" s="246"/>
      <c r="J4" s="570" t="s">
        <v>120</v>
      </c>
      <c r="K4" s="571"/>
      <c r="L4" s="571"/>
      <c r="M4" s="246"/>
    </row>
    <row r="5" spans="1:17"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7" x14ac:dyDescent="0.2">
      <c r="A6" s="556"/>
      <c r="B6" s="116"/>
      <c r="C6" s="116"/>
      <c r="D6" s="195" t="s">
        <v>168</v>
      </c>
      <c r="E6" s="116" t="s">
        <v>88</v>
      </c>
      <c r="F6" s="120"/>
      <c r="G6" s="120"/>
      <c r="H6" s="193" t="s">
        <v>168</v>
      </c>
      <c r="I6" s="116" t="s">
        <v>88</v>
      </c>
      <c r="J6" s="120"/>
      <c r="K6" s="120"/>
      <c r="L6" s="193" t="s">
        <v>168</v>
      </c>
      <c r="M6" s="116" t="s">
        <v>88</v>
      </c>
    </row>
    <row r="7" spans="1:17" ht="15.75" x14ac:dyDescent="0.2">
      <c r="A7" s="11" t="s">
        <v>169</v>
      </c>
      <c r="B7" s="248">
        <v>307454</v>
      </c>
      <c r="C7" s="249">
        <v>313067</v>
      </c>
      <c r="D7" s="285">
        <f>IF(B7=0, "    ---- ", IF(ABS(ROUND(100/B7*C7-100,1))&lt;999,ROUND(100/B7*C7-100,1),IF(ROUND(100/B7*C7-100,1)&gt;999,999,-999)))</f>
        <v>1.8</v>
      </c>
      <c r="E7" s="8">
        <f>IFERROR(100/'Skjema total MA'!C7*C7,0)</f>
        <v>14.914916261562482</v>
      </c>
      <c r="F7" s="248"/>
      <c r="G7" s="249"/>
      <c r="H7" s="285"/>
      <c r="I7" s="119"/>
      <c r="J7" s="250">
        <f t="shared" ref="J7:K10" si="0">SUM(B7,F7)</f>
        <v>307454</v>
      </c>
      <c r="K7" s="251">
        <f t="shared" si="0"/>
        <v>313067</v>
      </c>
      <c r="L7" s="341">
        <f>IF(J7=0, "    ---- ", IF(ABS(ROUND(100/J7*K7-100,1))&lt;999,ROUND(100/J7*K7-100,1),IF(ROUND(100/J7*K7-100,1)&gt;999,999,-999)))</f>
        <v>1.8</v>
      </c>
      <c r="M7" s="8">
        <f>IFERROR(100/'Skjema total MA'!I7*K7,0)</f>
        <v>5.3452687420817622</v>
      </c>
    </row>
    <row r="8" spans="1:17" ht="15.75" x14ac:dyDescent="0.2">
      <c r="A8" s="18" t="s">
        <v>170</v>
      </c>
      <c r="B8" s="228">
        <v>273399</v>
      </c>
      <c r="C8" s="229">
        <v>276568</v>
      </c>
      <c r="D8" s="123">
        <f t="shared" ref="D8:D10" si="1">IF(B8=0, "    ---- ", IF(ABS(ROUND(100/B8*C8-100,1))&lt;999,ROUND(100/B8*C8-100,1),IF(ROUND(100/B8*C8-100,1)&gt;999,999,-999)))</f>
        <v>1.2</v>
      </c>
      <c r="E8" s="23">
        <f>IFERROR(100/'Skjema total MA'!C8*C8,0)</f>
        <v>19.260121530097717</v>
      </c>
      <c r="F8" s="232"/>
      <c r="G8" s="233"/>
      <c r="H8" s="123"/>
      <c r="I8" s="132"/>
      <c r="J8" s="181">
        <f t="shared" si="0"/>
        <v>273399</v>
      </c>
      <c r="K8" s="234">
        <f t="shared" si="0"/>
        <v>276568</v>
      </c>
      <c r="L8" s="123">
        <f t="shared" ref="L8:L9" si="2">IF(J8=0, "    ---- ", IF(ABS(ROUND(100/J8*K8-100,1))&lt;999,ROUND(100/J8*K8-100,1),IF(ROUND(100/J8*K8-100,1)&gt;999,999,-999)))</f>
        <v>1.2</v>
      </c>
      <c r="M8" s="23">
        <f>IFERROR(100/'Skjema total MA'!I8*K8,0)</f>
        <v>19.260121530097717</v>
      </c>
    </row>
    <row r="9" spans="1:17" ht="15.75" x14ac:dyDescent="0.2">
      <c r="A9" s="18" t="s">
        <v>171</v>
      </c>
      <c r="B9" s="228">
        <v>34055</v>
      </c>
      <c r="C9" s="229">
        <v>36499</v>
      </c>
      <c r="D9" s="123">
        <f t="shared" si="1"/>
        <v>7.2</v>
      </c>
      <c r="E9" s="23">
        <f>IFERROR(100/'Skjema total MA'!C9*C9,0)</f>
        <v>8.5416206027632686</v>
      </c>
      <c r="F9" s="232"/>
      <c r="G9" s="233"/>
      <c r="H9" s="123"/>
      <c r="I9" s="132"/>
      <c r="J9" s="181">
        <f t="shared" si="0"/>
        <v>34055</v>
      </c>
      <c r="K9" s="234">
        <f t="shared" si="0"/>
        <v>36499</v>
      </c>
      <c r="L9" s="123">
        <f t="shared" si="2"/>
        <v>7.2</v>
      </c>
      <c r="M9" s="23">
        <f>IFERROR(100/'Skjema total MA'!I9*K9,0)</f>
        <v>8.5416206027632686</v>
      </c>
    </row>
    <row r="10" spans="1:17" ht="15.75" x14ac:dyDescent="0.2">
      <c r="A10" s="10" t="s">
        <v>172</v>
      </c>
      <c r="B10" s="252">
        <v>318557</v>
      </c>
      <c r="C10" s="253">
        <v>324244</v>
      </c>
      <c r="D10" s="127">
        <f t="shared" si="1"/>
        <v>1.8</v>
      </c>
      <c r="E10" s="8">
        <f>IFERROR(100/'Skjema total MA'!C10*C10,0)</f>
        <v>2.5379267835610637</v>
      </c>
      <c r="F10" s="252"/>
      <c r="G10" s="253"/>
      <c r="H10" s="127"/>
      <c r="I10" s="119"/>
      <c r="J10" s="250">
        <f t="shared" si="0"/>
        <v>318557</v>
      </c>
      <c r="K10" s="251">
        <f t="shared" si="0"/>
        <v>324244</v>
      </c>
      <c r="L10" s="342">
        <f t="shared" ref="L10" si="3">IF(J10=0, "    ---- ", IF(ABS(ROUND(100/J10*K10-100,1))&lt;999,ROUND(100/J10*K10-100,1),IF(ROUND(100/J10*K10-100,1)&gt;999,999,-999)))</f>
        <v>1.8</v>
      </c>
      <c r="M10" s="8">
        <f>IFERROR(100/'Skjema total MA'!I10*K10,0)</f>
        <v>0.26918935424272217</v>
      </c>
    </row>
    <row r="11" spans="1:17" s="35" customFormat="1" ht="15.75" x14ac:dyDescent="0.2">
      <c r="A11" s="10" t="s">
        <v>173</v>
      </c>
      <c r="B11" s="252"/>
      <c r="C11" s="253"/>
      <c r="D11" s="127"/>
      <c r="E11" s="8"/>
      <c r="F11" s="252"/>
      <c r="G11" s="253"/>
      <c r="H11" s="127"/>
      <c r="I11" s="119"/>
      <c r="J11" s="250"/>
      <c r="K11" s="251"/>
      <c r="L11" s="342"/>
      <c r="M11" s="8"/>
      <c r="N11" s="107"/>
      <c r="Q11" s="107"/>
    </row>
    <row r="12" spans="1:17" s="35" customFormat="1" ht="15.75" x14ac:dyDescent="0.2">
      <c r="A12" s="33" t="s">
        <v>174</v>
      </c>
      <c r="B12" s="254"/>
      <c r="C12" s="255"/>
      <c r="D12" s="125"/>
      <c r="E12" s="30"/>
      <c r="F12" s="254"/>
      <c r="G12" s="255"/>
      <c r="H12" s="125"/>
      <c r="I12" s="125"/>
      <c r="J12" s="256"/>
      <c r="K12" s="257"/>
      <c r="L12" s="343"/>
      <c r="M12" s="30"/>
      <c r="N12" s="107"/>
    </row>
    <row r="13" spans="1:17" s="35" customFormat="1" x14ac:dyDescent="0.2">
      <c r="A13" s="107"/>
      <c r="B13" s="109"/>
      <c r="C13" s="27"/>
      <c r="D13" s="118"/>
      <c r="E13" s="118"/>
      <c r="F13" s="109"/>
      <c r="G13" s="27"/>
      <c r="H13" s="118"/>
      <c r="I13" s="118"/>
      <c r="J13" s="38"/>
      <c r="K13" s="38"/>
      <c r="L13" s="118"/>
      <c r="M13" s="118"/>
      <c r="N13" s="107"/>
    </row>
    <row r="14" spans="1:17" x14ac:dyDescent="0.2">
      <c r="A14" s="114" t="s">
        <v>175</v>
      </c>
    </row>
    <row r="16" spans="1:17"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v>352812</v>
      </c>
      <c r="C22" s="252">
        <v>415492</v>
      </c>
      <c r="D22" s="285">
        <f t="shared" ref="D22:D30" si="4">IF(B22=0, "    ---- ", IF(ABS(ROUND(100/B22*C22-100,1))&lt;999,ROUND(100/B22*C22-100,1),IF(ROUND(100/B22*C22-100,1)&gt;999,999,-999)))</f>
        <v>17.8</v>
      </c>
      <c r="E22" s="8">
        <f>IFERROR(100/'Skjema total MA'!C22*C22,0)</f>
        <v>38.540914622384079</v>
      </c>
      <c r="F22" s="260"/>
      <c r="G22" s="260"/>
      <c r="H22" s="285"/>
      <c r="I22" s="8"/>
      <c r="J22" s="258">
        <f t="shared" ref="J22:K29" si="5">SUM(B22,F22)</f>
        <v>352812</v>
      </c>
      <c r="K22" s="258">
        <f t="shared" si="5"/>
        <v>415492</v>
      </c>
      <c r="L22" s="341">
        <f t="shared" ref="L22:L30" si="6">IF(J22=0, "    ---- ", IF(ABS(ROUND(100/J22*K22-100,1))&lt;999,ROUND(100/J22*K22-100,1),IF(ROUND(100/J22*K22-100,1)&gt;999,999,-999)))</f>
        <v>17.8</v>
      </c>
      <c r="M22" s="21">
        <f>IFERROR(100/'Skjema total MA'!I22*K22,0)</f>
        <v>27.256104265363579</v>
      </c>
    </row>
    <row r="23" spans="1:13" ht="15.75" x14ac:dyDescent="0.2">
      <c r="A23" s="382" t="s">
        <v>178</v>
      </c>
      <c r="B23" s="228">
        <v>352812</v>
      </c>
      <c r="C23" s="228">
        <v>415492</v>
      </c>
      <c r="D23" s="123">
        <f t="shared" si="4"/>
        <v>17.8</v>
      </c>
      <c r="E23" s="8">
        <f>IFERROR(100/'Skjema total MA'!C23*C23,0)</f>
        <v>52.065767923717736</v>
      </c>
      <c r="F23" s="236"/>
      <c r="G23" s="236"/>
      <c r="H23" s="123"/>
      <c r="I23" s="335"/>
      <c r="J23" s="236">
        <f t="shared" ref="J23" si="7">SUM(B23,F23)</f>
        <v>352812</v>
      </c>
      <c r="K23" s="236">
        <f t="shared" ref="K23" si="8">SUM(C23,G23)</f>
        <v>415492</v>
      </c>
      <c r="L23" s="123">
        <f t="shared" si="6"/>
        <v>17.8</v>
      </c>
      <c r="M23" s="20">
        <f>IFERROR(100/'Skjema total MA'!I23*K23,0)</f>
        <v>51.507297720298816</v>
      </c>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v>352812</v>
      </c>
      <c r="C28" s="234">
        <v>415492</v>
      </c>
      <c r="D28" s="123">
        <f t="shared" si="4"/>
        <v>17.8</v>
      </c>
      <c r="E28" s="8">
        <f>IFERROR(100/'Skjema total MA'!C28*C28,0)</f>
        <v>30.82546441011144</v>
      </c>
      <c r="F28" s="181"/>
      <c r="G28" s="234"/>
      <c r="H28" s="123"/>
      <c r="I28" s="23"/>
      <c r="J28" s="36">
        <f t="shared" si="5"/>
        <v>352812</v>
      </c>
      <c r="K28" s="36">
        <f t="shared" si="5"/>
        <v>415492</v>
      </c>
      <c r="L28" s="206">
        <f t="shared" si="6"/>
        <v>17.8</v>
      </c>
      <c r="M28" s="20">
        <f>IFERROR(100/'Skjema total MA'!I28*K28,0)</f>
        <v>30.82546441011144</v>
      </c>
    </row>
    <row r="29" spans="1:13" ht="15.75" x14ac:dyDescent="0.2">
      <c r="A29" s="10" t="s">
        <v>172</v>
      </c>
      <c r="B29" s="183">
        <v>2118931</v>
      </c>
      <c r="C29" s="183">
        <v>2470065</v>
      </c>
      <c r="D29" s="127">
        <f t="shared" si="4"/>
        <v>16.600000000000001</v>
      </c>
      <c r="E29" s="8">
        <f>IFERROR(100/'Skjema total MA'!C29*C29,0)</f>
        <v>5.5501034810592635</v>
      </c>
      <c r="F29" s="250"/>
      <c r="G29" s="250"/>
      <c r="H29" s="127"/>
      <c r="I29" s="8"/>
      <c r="J29" s="183">
        <f t="shared" si="5"/>
        <v>2118931</v>
      </c>
      <c r="K29" s="183">
        <f t="shared" si="5"/>
        <v>2470065</v>
      </c>
      <c r="L29" s="342">
        <f t="shared" si="6"/>
        <v>16.600000000000001</v>
      </c>
      <c r="M29" s="21">
        <f>IFERROR(100/'Skjema total MA'!I29*K29,0)</f>
        <v>3.2635182921188219</v>
      </c>
    </row>
    <row r="30" spans="1:13" ht="15.75" x14ac:dyDescent="0.2">
      <c r="A30" s="382" t="s">
        <v>178</v>
      </c>
      <c r="B30" s="228">
        <v>2118931</v>
      </c>
      <c r="C30" s="228">
        <v>2470065</v>
      </c>
      <c r="D30" s="123">
        <f t="shared" si="4"/>
        <v>16.600000000000001</v>
      </c>
      <c r="E30" s="8">
        <f>IFERROR(100/'Skjema total MA'!C30*C30,0)</f>
        <v>12.413621406966405</v>
      </c>
      <c r="F30" s="236"/>
      <c r="G30" s="236"/>
      <c r="H30" s="123"/>
      <c r="I30" s="335"/>
      <c r="J30" s="236">
        <f t="shared" ref="J30" si="9">SUM(B30,F30)</f>
        <v>2118931</v>
      </c>
      <c r="K30" s="236">
        <f t="shared" ref="K30" si="10">SUM(C30,G30)</f>
        <v>2470065</v>
      </c>
      <c r="L30" s="123">
        <f t="shared" si="6"/>
        <v>16.600000000000001</v>
      </c>
      <c r="M30" s="20">
        <f>IFERROR(100/'Skjema total MA'!I30*K30,0)</f>
        <v>10.535424253899402</v>
      </c>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53559</v>
      </c>
      <c r="C47" s="253">
        <v>58684</v>
      </c>
      <c r="D47" s="341">
        <f t="shared" ref="D47:D54" si="11">IF(B47=0, "    ---- ", IF(ABS(ROUND(100/B47*C47-100,1))&lt;999,ROUND(100/B47*C47-100,1),IF(ROUND(100/B47*C47-100,1)&gt;999,999,-999)))</f>
        <v>9.6</v>
      </c>
      <c r="E47" s="8">
        <f>IFERROR(100/'Skjema total MA'!C47*C47,0)</f>
        <v>1.1656553381822992</v>
      </c>
      <c r="F47" s="109"/>
      <c r="G47" s="27"/>
      <c r="H47" s="118"/>
      <c r="I47" s="118"/>
      <c r="J47" s="31"/>
      <c r="K47" s="31"/>
      <c r="L47" s="118"/>
      <c r="M47" s="118"/>
    </row>
    <row r="48" spans="1:13" ht="15.75" x14ac:dyDescent="0.2">
      <c r="A48" s="18" t="s">
        <v>190</v>
      </c>
      <c r="B48" s="228">
        <v>53559</v>
      </c>
      <c r="C48" s="229">
        <v>58684</v>
      </c>
      <c r="D48" s="206">
        <f t="shared" si="11"/>
        <v>9.6</v>
      </c>
      <c r="E48" s="23">
        <f>IFERROR(100/'Skjema total MA'!C48*C48,0)</f>
        <v>2.3603574712897641</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v>1063</v>
      </c>
      <c r="C53" s="253">
        <v>0</v>
      </c>
      <c r="D53" s="342">
        <f t="shared" si="11"/>
        <v>-100</v>
      </c>
      <c r="E53" s="8">
        <f>IFERROR(100/'Skjema total MA'!C53*C53,0)</f>
        <v>0</v>
      </c>
      <c r="F53" s="109"/>
      <c r="G53" s="27"/>
      <c r="H53" s="109"/>
      <c r="I53" s="109"/>
      <c r="J53" s="27"/>
      <c r="K53" s="27"/>
      <c r="L53" s="118"/>
      <c r="M53" s="118"/>
    </row>
    <row r="54" spans="1:13" ht="15.75" x14ac:dyDescent="0.2">
      <c r="A54" s="18" t="s">
        <v>190</v>
      </c>
      <c r="B54" s="228">
        <v>1063</v>
      </c>
      <c r="C54" s="229">
        <v>0</v>
      </c>
      <c r="D54" s="206">
        <f t="shared" si="11"/>
        <v>-100</v>
      </c>
      <c r="E54" s="23">
        <f>IFERROR(100/'Skjema total MA'!C54*C54,0)</f>
        <v>0</v>
      </c>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436" priority="12">
      <formula>kvartal &lt; 4</formula>
    </cfRule>
  </conditionalFormatting>
  <conditionalFormatting sqref="A69:A74">
    <cfRule type="expression" dxfId="435" priority="10">
      <formula>kvartal &lt; 4</formula>
    </cfRule>
  </conditionalFormatting>
  <conditionalFormatting sqref="A80:A85">
    <cfRule type="expression" dxfId="434" priority="9">
      <formula>kvartal &lt; 4</formula>
    </cfRule>
  </conditionalFormatting>
  <conditionalFormatting sqref="A90:A95">
    <cfRule type="expression" dxfId="433" priority="6">
      <formula>kvartal &lt; 4</formula>
    </cfRule>
  </conditionalFormatting>
  <conditionalFormatting sqref="A101:A106">
    <cfRule type="expression" dxfId="432" priority="5">
      <formula>kvartal &lt; 4</formula>
    </cfRule>
  </conditionalFormatting>
  <conditionalFormatting sqref="A115:C115">
    <cfRule type="expression" dxfId="431" priority="4">
      <formula>kvartal &lt; 4</formula>
    </cfRule>
  </conditionalFormatting>
  <conditionalFormatting sqref="A123:C123">
    <cfRule type="expression" dxfId="430" priority="3">
      <formula>kvartal &lt; 4</formula>
    </cfRule>
  </conditionalFormatting>
  <conditionalFormatting sqref="B69:C69">
    <cfRule type="expression" dxfId="429" priority="99">
      <formula>kvartal &lt; 4</formula>
    </cfRule>
  </conditionalFormatting>
  <conditionalFormatting sqref="B72:C72">
    <cfRule type="expression" dxfId="428" priority="97">
      <formula>kvartal &lt; 4</formula>
    </cfRule>
  </conditionalFormatting>
  <conditionalFormatting sqref="F115:G115">
    <cfRule type="expression" dxfId="427" priority="57">
      <formula>kvartal &lt; 4</formula>
    </cfRule>
  </conditionalFormatting>
  <conditionalFormatting sqref="F123:G123">
    <cfRule type="expression" dxfId="426" priority="56">
      <formula>kvartal &lt; 4</formula>
    </cfRule>
  </conditionalFormatting>
  <conditionalFormatting sqref="J115:K115">
    <cfRule type="expression" dxfId="425" priority="32">
      <formula>kvartal &lt; 4</formula>
    </cfRule>
  </conditionalFormatting>
  <conditionalFormatting sqref="J123:K123">
    <cfRule type="expression" dxfId="424" priority="31">
      <formula>kvartal &lt; 4</formula>
    </cfRule>
  </conditionalFormatting>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5"/>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401</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c r="G7" s="249"/>
      <c r="H7" s="285"/>
      <c r="I7" s="119"/>
      <c r="J7" s="250"/>
      <c r="K7" s="251"/>
      <c r="L7" s="341"/>
      <c r="M7" s="8"/>
    </row>
    <row r="8" spans="1:14" ht="15.75" x14ac:dyDescent="0.2">
      <c r="A8" s="18" t="s">
        <v>170</v>
      </c>
      <c r="B8" s="228"/>
      <c r="C8" s="229"/>
      <c r="D8" s="123"/>
      <c r="E8" s="23"/>
      <c r="F8" s="232"/>
      <c r="G8" s="233"/>
      <c r="H8" s="123"/>
      <c r="I8" s="132"/>
      <c r="J8" s="181"/>
      <c r="K8" s="234"/>
      <c r="L8" s="123"/>
      <c r="M8" s="23"/>
    </row>
    <row r="9" spans="1:14" ht="15.75" x14ac:dyDescent="0.2">
      <c r="A9" s="18" t="s">
        <v>171</v>
      </c>
      <c r="B9" s="228"/>
      <c r="C9" s="229"/>
      <c r="D9" s="123"/>
      <c r="E9" s="23"/>
      <c r="F9" s="232"/>
      <c r="G9" s="233"/>
      <c r="H9" s="123"/>
      <c r="I9" s="132"/>
      <c r="J9" s="181"/>
      <c r="K9" s="234"/>
      <c r="L9" s="123"/>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287.33699999999999</v>
      </c>
      <c r="C47" s="253">
        <v>25.518999999999998</v>
      </c>
      <c r="D47" s="341">
        <f t="shared" ref="D47:D57" si="0">IF(B47=0, "    ---- ", IF(ABS(ROUND(100/B47*C47-100,1))&lt;999,ROUND(100/B47*C47-100,1),IF(ROUND(100/B47*C47-100,1)&gt;999,999,-999)))</f>
        <v>-91.1</v>
      </c>
      <c r="E47" s="8">
        <f>IFERROR(100/'Skjema total MA'!C47*C47,0)</f>
        <v>5.068904398997017E-4</v>
      </c>
      <c r="F47" s="109"/>
      <c r="G47" s="27"/>
      <c r="H47" s="118"/>
      <c r="I47" s="118"/>
      <c r="J47" s="31"/>
      <c r="K47" s="31"/>
      <c r="L47" s="118"/>
      <c r="M47" s="118"/>
    </row>
    <row r="48" spans="1:13" ht="15.75" x14ac:dyDescent="0.2">
      <c r="A48" s="18" t="s">
        <v>190</v>
      </c>
      <c r="B48" s="228">
        <v>287.33699999999999</v>
      </c>
      <c r="C48" s="229">
        <v>25.518999999999998</v>
      </c>
      <c r="D48" s="206">
        <f t="shared" si="0"/>
        <v>-91.1</v>
      </c>
      <c r="E48" s="23">
        <f>IFERROR(100/'Skjema total MA'!C48*C48,0)</f>
        <v>1.0264120085516236E-3</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v>1063.0060000000001</v>
      </c>
      <c r="C56" s="253"/>
      <c r="D56" s="342">
        <f t="shared" si="0"/>
        <v>-100</v>
      </c>
      <c r="E56" s="8">
        <f>IFERROR(100/'Skjema total MA'!C56*C56,0)</f>
        <v>0</v>
      </c>
      <c r="F56" s="109"/>
      <c r="G56" s="27"/>
      <c r="H56" s="109"/>
      <c r="I56" s="109"/>
      <c r="J56" s="27"/>
      <c r="K56" s="27"/>
      <c r="L56" s="118"/>
      <c r="M56" s="118"/>
    </row>
    <row r="57" spans="1:13" ht="15.75" x14ac:dyDescent="0.2">
      <c r="A57" s="18" t="s">
        <v>190</v>
      </c>
      <c r="B57" s="228">
        <v>1063.0060000000001</v>
      </c>
      <c r="C57" s="229"/>
      <c r="D57" s="206">
        <f t="shared" si="0"/>
        <v>-100</v>
      </c>
      <c r="E57" s="23">
        <f>IFERROR(100/'Skjema total MA'!C57*C57,0)</f>
        <v>0</v>
      </c>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423" priority="12">
      <formula>kvartal &lt; 4</formula>
    </cfRule>
  </conditionalFormatting>
  <conditionalFormatting sqref="A69:A74">
    <cfRule type="expression" dxfId="422" priority="10">
      <formula>kvartal &lt; 4</formula>
    </cfRule>
  </conditionalFormatting>
  <conditionalFormatting sqref="A80:A85">
    <cfRule type="expression" dxfId="421" priority="9">
      <formula>kvartal &lt; 4</formula>
    </cfRule>
  </conditionalFormatting>
  <conditionalFormatting sqref="A90:A95">
    <cfRule type="expression" dxfId="420" priority="6">
      <formula>kvartal &lt; 4</formula>
    </cfRule>
  </conditionalFormatting>
  <conditionalFormatting sqref="A101:A106">
    <cfRule type="expression" dxfId="419" priority="5">
      <formula>kvartal &lt; 4</formula>
    </cfRule>
  </conditionalFormatting>
  <conditionalFormatting sqref="A115:C115">
    <cfRule type="expression" dxfId="418" priority="4">
      <formula>kvartal &lt; 4</formula>
    </cfRule>
  </conditionalFormatting>
  <conditionalFormatting sqref="A123:C123">
    <cfRule type="expression" dxfId="417" priority="3">
      <formula>kvartal &lt; 4</formula>
    </cfRule>
  </conditionalFormatting>
  <conditionalFormatting sqref="B69:C69">
    <cfRule type="expression" dxfId="416" priority="99">
      <formula>kvartal &lt; 4</formula>
    </cfRule>
  </conditionalFormatting>
  <conditionalFormatting sqref="B72:C72">
    <cfRule type="expression" dxfId="415" priority="97">
      <formula>kvartal &lt; 4</formula>
    </cfRule>
  </conditionalFormatting>
  <conditionalFormatting sqref="F115:G115">
    <cfRule type="expression" dxfId="414" priority="57">
      <formula>kvartal &lt; 4</formula>
    </cfRule>
  </conditionalFormatting>
  <conditionalFormatting sqref="F123:G123">
    <cfRule type="expression" dxfId="413" priority="56">
      <formula>kvartal &lt; 4</formula>
    </cfRule>
  </conditionalFormatting>
  <conditionalFormatting sqref="J115:K115">
    <cfRule type="expression" dxfId="412" priority="32">
      <formula>kvartal &lt; 4</formula>
    </cfRule>
  </conditionalFormatting>
  <conditionalFormatting sqref="J123:K123">
    <cfRule type="expression" dxfId="411" priority="31">
      <formula>kvartal &lt; 4</formula>
    </cfRule>
  </conditionalFormatting>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6"/>
  <dimension ref="A1:N144"/>
  <sheetViews>
    <sheetView showGridLines="0" zoomScaleNormal="100" zoomScaleSheetLayoutView="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402</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v>522793.69199999998</v>
      </c>
      <c r="C7" s="249">
        <v>508783.15299999999</v>
      </c>
      <c r="D7" s="285">
        <f>IF(B7=0, "    ---- ", IF(ABS(ROUND(100/B7*C7-100,1))&lt;999,ROUND(100/B7*C7-100,1),IF(ROUND(100/B7*C7-100,1)&gt;999,999,-999)))</f>
        <v>-2.7</v>
      </c>
      <c r="E7" s="8">
        <f>IFERROR(100/'Skjema total MA'!C7*C7,0)</f>
        <v>24.23908659261031</v>
      </c>
      <c r="F7" s="248"/>
      <c r="G7" s="249"/>
      <c r="H7" s="285"/>
      <c r="I7" s="119"/>
      <c r="J7" s="250">
        <f t="shared" ref="J7:K9" si="0">SUM(B7,F7)</f>
        <v>522793.69199999998</v>
      </c>
      <c r="K7" s="251">
        <f t="shared" si="0"/>
        <v>508783.15299999999</v>
      </c>
      <c r="L7" s="341">
        <f>IF(J7=0, "    ---- ", IF(ABS(ROUND(100/J7*K7-100,1))&lt;999,ROUND(100/J7*K7-100,1),IF(ROUND(100/J7*K7-100,1)&gt;999,999,-999)))</f>
        <v>-2.7</v>
      </c>
      <c r="M7" s="8">
        <f>IFERROR(100/'Skjema total MA'!I7*K7,0)</f>
        <v>8.6869030725969285</v>
      </c>
    </row>
    <row r="8" spans="1:14" ht="15.75" x14ac:dyDescent="0.2">
      <c r="A8" s="18" t="s">
        <v>170</v>
      </c>
      <c r="B8" s="228">
        <v>331396.93199999997</v>
      </c>
      <c r="C8" s="229">
        <v>341237.87900000002</v>
      </c>
      <c r="D8" s="123">
        <f t="shared" ref="D8:D9" si="1">IF(B8=0, "    ---- ", IF(ABS(ROUND(100/B8*C8-100,1))&lt;999,ROUND(100/B8*C8-100,1),IF(ROUND(100/B8*C8-100,1)&gt;999,999,-999)))</f>
        <v>3</v>
      </c>
      <c r="E8" s="23">
        <f>IFERROR(100/'Skjema total MA'!C8*C8,0)</f>
        <v>23.763714602603265</v>
      </c>
      <c r="F8" s="232"/>
      <c r="G8" s="233"/>
      <c r="H8" s="123"/>
      <c r="I8" s="132"/>
      <c r="J8" s="181">
        <f t="shared" si="0"/>
        <v>331396.93199999997</v>
      </c>
      <c r="K8" s="234">
        <f t="shared" si="0"/>
        <v>341237.87900000002</v>
      </c>
      <c r="L8" s="123">
        <f t="shared" ref="L8:L9" si="2">IF(J8=0, "    ---- ", IF(ABS(ROUND(100/J8*K8-100,1))&lt;999,ROUND(100/J8*K8-100,1),IF(ROUND(100/J8*K8-100,1)&gt;999,999,-999)))</f>
        <v>3</v>
      </c>
      <c r="M8" s="23">
        <f>IFERROR(100/'Skjema total MA'!I8*K8,0)</f>
        <v>23.763714602603265</v>
      </c>
    </row>
    <row r="9" spans="1:14" ht="15.75" x14ac:dyDescent="0.2">
      <c r="A9" s="18" t="s">
        <v>171</v>
      </c>
      <c r="B9" s="228">
        <v>191396.76</v>
      </c>
      <c r="C9" s="229">
        <v>167545.274</v>
      </c>
      <c r="D9" s="123">
        <f t="shared" si="1"/>
        <v>-12.5</v>
      </c>
      <c r="E9" s="23">
        <f>IFERROR(100/'Skjema total MA'!C9*C9,0)</f>
        <v>39.209517090715288</v>
      </c>
      <c r="F9" s="232"/>
      <c r="G9" s="233"/>
      <c r="H9" s="123"/>
      <c r="I9" s="132"/>
      <c r="J9" s="181">
        <f t="shared" si="0"/>
        <v>191396.76</v>
      </c>
      <c r="K9" s="234">
        <f t="shared" si="0"/>
        <v>167545.274</v>
      </c>
      <c r="L9" s="123">
        <f t="shared" si="2"/>
        <v>-12.5</v>
      </c>
      <c r="M9" s="23">
        <f>IFERROR(100/'Skjema total MA'!I9*K9,0)</f>
        <v>39.209517090715288</v>
      </c>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1088601.5478000001</v>
      </c>
      <c r="C47" s="253">
        <v>1053431.3694200001</v>
      </c>
      <c r="D47" s="341">
        <f t="shared" ref="D47:D57" si="3">IF(B47=0, "    ---- ", IF(ABS(ROUND(100/B47*C47-100,1))&lt;999,ROUND(100/B47*C47-100,1),IF(ROUND(100/B47*C47-100,1)&gt;999,999,-999)))</f>
        <v>-3.2</v>
      </c>
      <c r="E47" s="8">
        <f>IFERROR(100/'Skjema total MA'!C47*C47,0)</f>
        <v>20.924577383496572</v>
      </c>
      <c r="F47" s="109"/>
      <c r="G47" s="27"/>
      <c r="H47" s="118"/>
      <c r="I47" s="118"/>
      <c r="J47" s="31"/>
      <c r="K47" s="31"/>
      <c r="L47" s="118"/>
      <c r="M47" s="118"/>
    </row>
    <row r="48" spans="1:13" ht="15.75" x14ac:dyDescent="0.2">
      <c r="A48" s="18" t="s">
        <v>190</v>
      </c>
      <c r="B48" s="228">
        <v>664879.13580000005</v>
      </c>
      <c r="C48" s="229">
        <v>578297.23042000004</v>
      </c>
      <c r="D48" s="206">
        <f t="shared" si="3"/>
        <v>-13</v>
      </c>
      <c r="E48" s="23">
        <f>IFERROR(100/'Skjema total MA'!C48*C48,0)</f>
        <v>23.259971856860904</v>
      </c>
      <c r="F48" s="109"/>
      <c r="G48" s="27"/>
      <c r="H48" s="109"/>
      <c r="I48" s="109"/>
      <c r="J48" s="27"/>
      <c r="K48" s="27"/>
      <c r="L48" s="118"/>
      <c r="M48" s="118"/>
    </row>
    <row r="49" spans="1:13" ht="15.75" x14ac:dyDescent="0.2">
      <c r="A49" s="18" t="s">
        <v>191</v>
      </c>
      <c r="B49" s="36">
        <v>423722.41200000001</v>
      </c>
      <c r="C49" s="234">
        <v>475134.13900000002</v>
      </c>
      <c r="D49" s="206">
        <f>IF(B49=0, "    ---- ", IF(ABS(ROUND(100/B49*C49-100,1))&lt;999,ROUND(100/B49*C49-100,1),IF(ROUND(100/B49*C49-100,1)&gt;999,999,-999)))</f>
        <v>12.1</v>
      </c>
      <c r="E49" s="23">
        <f>IFERROR(100/'Skjema total MA'!C49*C49,0)</f>
        <v>18.645963359800255</v>
      </c>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v>14021</v>
      </c>
      <c r="C53" s="253">
        <v>21389</v>
      </c>
      <c r="D53" s="342">
        <f t="shared" si="3"/>
        <v>52.5</v>
      </c>
      <c r="E53" s="8">
        <f>IFERROR(100/'Skjema total MA'!C53*C53,0)</f>
        <v>18.066315363029847</v>
      </c>
      <c r="F53" s="109"/>
      <c r="G53" s="27"/>
      <c r="H53" s="109"/>
      <c r="I53" s="109"/>
      <c r="J53" s="27"/>
      <c r="K53" s="27"/>
      <c r="L53" s="118"/>
      <c r="M53" s="118"/>
    </row>
    <row r="54" spans="1:13" ht="15.75" x14ac:dyDescent="0.2">
      <c r="A54" s="18" t="s">
        <v>190</v>
      </c>
      <c r="B54" s="228">
        <v>14021</v>
      </c>
      <c r="C54" s="229">
        <v>21389</v>
      </c>
      <c r="D54" s="206">
        <f t="shared" si="3"/>
        <v>52.5</v>
      </c>
      <c r="E54" s="23">
        <f>IFERROR(100/'Skjema total MA'!C54*C54,0)</f>
        <v>18.103132008573517</v>
      </c>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v>7862</v>
      </c>
      <c r="C56" s="253">
        <v>58839</v>
      </c>
      <c r="D56" s="342">
        <f t="shared" si="3"/>
        <v>648.4</v>
      </c>
      <c r="E56" s="8">
        <f>IFERROR(100/'Skjema total MA'!C56*C56,0)</f>
        <v>53.395823843820331</v>
      </c>
      <c r="F56" s="109"/>
      <c r="G56" s="27"/>
      <c r="H56" s="109"/>
      <c r="I56" s="109"/>
      <c r="J56" s="27"/>
      <c r="K56" s="27"/>
      <c r="L56" s="118"/>
      <c r="M56" s="118"/>
    </row>
    <row r="57" spans="1:13" ht="15.75" x14ac:dyDescent="0.2">
      <c r="A57" s="18" t="s">
        <v>190</v>
      </c>
      <c r="B57" s="228">
        <v>7862</v>
      </c>
      <c r="C57" s="229">
        <v>58839</v>
      </c>
      <c r="D57" s="206">
        <f t="shared" si="3"/>
        <v>648.4</v>
      </c>
      <c r="E57" s="23">
        <f>IFERROR(100/'Skjema total MA'!C57*C57,0)</f>
        <v>57.907835633156914</v>
      </c>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410" priority="12">
      <formula>kvartal &lt; 4</formula>
    </cfRule>
  </conditionalFormatting>
  <conditionalFormatting sqref="A69:A74">
    <cfRule type="expression" dxfId="409" priority="10">
      <formula>kvartal &lt; 4</formula>
    </cfRule>
  </conditionalFormatting>
  <conditionalFormatting sqref="A80:A85">
    <cfRule type="expression" dxfId="408" priority="9">
      <formula>kvartal &lt; 4</formula>
    </cfRule>
  </conditionalFormatting>
  <conditionalFormatting sqref="A90:A95">
    <cfRule type="expression" dxfId="407" priority="6">
      <formula>kvartal &lt; 4</formula>
    </cfRule>
  </conditionalFormatting>
  <conditionalFormatting sqref="A101:A106">
    <cfRule type="expression" dxfId="406" priority="5">
      <formula>kvartal &lt; 4</formula>
    </cfRule>
  </conditionalFormatting>
  <conditionalFormatting sqref="A115:C115">
    <cfRule type="expression" dxfId="405" priority="4">
      <formula>kvartal &lt; 4</formula>
    </cfRule>
  </conditionalFormatting>
  <conditionalFormatting sqref="A123:C123">
    <cfRule type="expression" dxfId="404" priority="3">
      <formula>kvartal &lt; 4</formula>
    </cfRule>
  </conditionalFormatting>
  <conditionalFormatting sqref="B69:C69">
    <cfRule type="expression" dxfId="403" priority="99">
      <formula>kvartal &lt; 4</formula>
    </cfRule>
  </conditionalFormatting>
  <conditionalFormatting sqref="B72:C72">
    <cfRule type="expression" dxfId="402" priority="97">
      <formula>kvartal &lt; 4</formula>
    </cfRule>
  </conditionalFormatting>
  <conditionalFormatting sqref="F115:G115">
    <cfRule type="expression" dxfId="401" priority="57">
      <formula>kvartal &lt; 4</formula>
    </cfRule>
  </conditionalFormatting>
  <conditionalFormatting sqref="F123:G123">
    <cfRule type="expression" dxfId="400" priority="56">
      <formula>kvartal &lt; 4</formula>
    </cfRule>
  </conditionalFormatting>
  <conditionalFormatting sqref="J115:K115">
    <cfRule type="expression" dxfId="399" priority="32">
      <formula>kvartal &lt; 4</formula>
    </cfRule>
  </conditionalFormatting>
  <conditionalFormatting sqref="J123:K123">
    <cfRule type="expression" dxfId="398" priority="31">
      <formula>kvartal &lt; 4</formula>
    </cfRule>
  </conditionalFormatting>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7"/>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101</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v>76996</v>
      </c>
      <c r="G7" s="249">
        <v>79379</v>
      </c>
      <c r="H7" s="285">
        <f>IF(F7=0, "    ---- ", IF(ABS(ROUND(100/F7*G7-100,1))&lt;999,ROUND(100/F7*G7-100,1),IF(ROUND(100/F7*G7-100,1)&gt;999,999,-999)))</f>
        <v>3.1</v>
      </c>
      <c r="I7" s="119">
        <f>IFERROR(100/'Skjema total MA'!F7*G7,0)</f>
        <v>2.1123348031050369</v>
      </c>
      <c r="J7" s="250">
        <f t="shared" ref="J7:K12" si="0">SUM(B7,F7)</f>
        <v>76996</v>
      </c>
      <c r="K7" s="251">
        <f t="shared" si="0"/>
        <v>79379</v>
      </c>
      <c r="L7" s="341">
        <f>IF(J7=0, "    ---- ", IF(ABS(ROUND(100/J7*K7-100,1))&lt;999,ROUND(100/J7*K7-100,1),IF(ROUND(100/J7*K7-100,1)&gt;999,999,-999)))</f>
        <v>3.1</v>
      </c>
      <c r="M7" s="8">
        <f>IFERROR(100/'Skjema total MA'!I7*K7,0)</f>
        <v>1.3553076098014425</v>
      </c>
    </row>
    <row r="8" spans="1:14" ht="15.75" x14ac:dyDescent="0.2">
      <c r="A8" s="18" t="s">
        <v>170</v>
      </c>
      <c r="B8" s="228"/>
      <c r="C8" s="229"/>
      <c r="D8" s="123"/>
      <c r="E8" s="23"/>
      <c r="F8" s="232"/>
      <c r="G8" s="233"/>
      <c r="H8" s="123"/>
      <c r="I8" s="132"/>
      <c r="J8" s="181"/>
      <c r="K8" s="234"/>
      <c r="L8" s="123"/>
      <c r="M8" s="23"/>
    </row>
    <row r="9" spans="1:14" ht="15.75" x14ac:dyDescent="0.2">
      <c r="A9" s="18" t="s">
        <v>171</v>
      </c>
      <c r="B9" s="228"/>
      <c r="C9" s="229"/>
      <c r="D9" s="123"/>
      <c r="E9" s="23"/>
      <c r="F9" s="232"/>
      <c r="G9" s="233"/>
      <c r="H9" s="123"/>
      <c r="I9" s="132"/>
      <c r="J9" s="181"/>
      <c r="K9" s="234"/>
      <c r="L9" s="123"/>
      <c r="M9" s="23"/>
    </row>
    <row r="10" spans="1:14" ht="15.75" x14ac:dyDescent="0.2">
      <c r="A10" s="10" t="s">
        <v>172</v>
      </c>
      <c r="B10" s="252"/>
      <c r="C10" s="253"/>
      <c r="D10" s="127"/>
      <c r="E10" s="8"/>
      <c r="F10" s="252">
        <v>2759213</v>
      </c>
      <c r="G10" s="253">
        <v>3114562</v>
      </c>
      <c r="H10" s="127">
        <f t="shared" ref="H10:H12" si="1">IF(F10=0, "    ---- ", IF(ABS(ROUND(100/F10*G10-100,1))&lt;999,ROUND(100/F10*G10-100,1),IF(ROUND(100/F10*G10-100,1)&gt;999,999,-999)))</f>
        <v>12.9</v>
      </c>
      <c r="I10" s="119">
        <f>IFERROR(100/'Skjema total MA'!F10*G10,0)</f>
        <v>2.8925292930382525</v>
      </c>
      <c r="J10" s="250">
        <f t="shared" si="0"/>
        <v>2759213</v>
      </c>
      <c r="K10" s="251">
        <f t="shared" si="0"/>
        <v>3114562</v>
      </c>
      <c r="L10" s="342">
        <f t="shared" ref="L10:L12" si="2">IF(J10=0, "    ---- ", IF(ABS(ROUND(100/J10*K10-100,1))&lt;999,ROUND(100/J10*K10-100,1),IF(ROUND(100/J10*K10-100,1)&gt;999,999,-999)))</f>
        <v>12.9</v>
      </c>
      <c r="M10" s="8">
        <f>IFERROR(100/'Skjema total MA'!I10*K10,0)</f>
        <v>2.5857284437920862</v>
      </c>
    </row>
    <row r="11" spans="1:14" s="35" customFormat="1" ht="15.75" x14ac:dyDescent="0.2">
      <c r="A11" s="10" t="s">
        <v>173</v>
      </c>
      <c r="B11" s="252"/>
      <c r="C11" s="253"/>
      <c r="D11" s="127"/>
      <c r="E11" s="8"/>
      <c r="F11" s="252">
        <v>17906</v>
      </c>
      <c r="G11" s="253">
        <v>19148</v>
      </c>
      <c r="H11" s="127">
        <f t="shared" si="1"/>
        <v>6.9</v>
      </c>
      <c r="I11" s="119">
        <f>IFERROR(100/'Skjema total MA'!F11*G11,0)</f>
        <v>17.902321842781383</v>
      </c>
      <c r="J11" s="250">
        <f t="shared" si="0"/>
        <v>17906</v>
      </c>
      <c r="K11" s="251">
        <f t="shared" si="0"/>
        <v>19148</v>
      </c>
      <c r="L11" s="342">
        <f t="shared" si="2"/>
        <v>6.9</v>
      </c>
      <c r="M11" s="8">
        <f>IFERROR(100/'Skjema total MA'!I11*K11,0)</f>
        <v>17.902321842781383</v>
      </c>
      <c r="N11" s="107"/>
    </row>
    <row r="12" spans="1:14" s="35" customFormat="1" ht="15.75" x14ac:dyDescent="0.2">
      <c r="A12" s="33" t="s">
        <v>174</v>
      </c>
      <c r="B12" s="254"/>
      <c r="C12" s="255"/>
      <c r="D12" s="125"/>
      <c r="E12" s="30"/>
      <c r="F12" s="254">
        <v>5987</v>
      </c>
      <c r="G12" s="255">
        <v>10690</v>
      </c>
      <c r="H12" s="125">
        <f t="shared" si="1"/>
        <v>78.599999999999994</v>
      </c>
      <c r="I12" s="125">
        <f>IFERROR(100/'Skjema total MA'!F12*G12,0)</f>
        <v>8.5258713262181871</v>
      </c>
      <c r="J12" s="256">
        <f t="shared" si="0"/>
        <v>5987</v>
      </c>
      <c r="K12" s="257">
        <f t="shared" si="0"/>
        <v>10690</v>
      </c>
      <c r="L12" s="343">
        <f t="shared" si="2"/>
        <v>78.599999999999994</v>
      </c>
      <c r="M12" s="30">
        <f>IFERROR(100/'Skjema total MA'!I12*K12,0)</f>
        <v>8.5258713262181871</v>
      </c>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v>242935</v>
      </c>
      <c r="C22" s="252">
        <v>251383</v>
      </c>
      <c r="D22" s="285">
        <f t="shared" ref="D22:D30" si="3">IF(B22=0, "    ---- ", IF(ABS(ROUND(100/B22*C22-100,1))&lt;999,ROUND(100/B22*C22-100,1),IF(ROUND(100/B22*C22-100,1)&gt;999,999,-999)))</f>
        <v>3.5</v>
      </c>
      <c r="E22" s="8">
        <f>IFERROR(100/'Skjema total MA'!C22*C22,0)</f>
        <v>23.318212481873964</v>
      </c>
      <c r="F22" s="260">
        <v>21135</v>
      </c>
      <c r="G22" s="260">
        <v>29701</v>
      </c>
      <c r="H22" s="285">
        <f t="shared" ref="H22:H35" si="4">IF(F22=0, "    ---- ", IF(ABS(ROUND(100/F22*G22-100,1))&lt;999,ROUND(100/F22*G22-100,1),IF(ROUND(100/F22*G22-100,1)&gt;999,999,-999)))</f>
        <v>40.5</v>
      </c>
      <c r="I22" s="8">
        <f>IFERROR(100/'Skjema total MA'!F22*G22,0)</f>
        <v>6.6542626549217871</v>
      </c>
      <c r="J22" s="258">
        <f t="shared" ref="J22:K35" si="5">SUM(B22,F22)</f>
        <v>264070</v>
      </c>
      <c r="K22" s="258">
        <f t="shared" si="5"/>
        <v>281084</v>
      </c>
      <c r="L22" s="341">
        <f t="shared" ref="L22:L35" si="6">IF(J22=0, "    ---- ", IF(ABS(ROUND(100/J22*K22-100,1))&lt;999,ROUND(100/J22*K22-100,1),IF(ROUND(100/J22*K22-100,1)&gt;999,999,-999)))</f>
        <v>6.4</v>
      </c>
      <c r="M22" s="21">
        <f>IFERROR(100/'Skjema total MA'!I22*K22,0)</f>
        <v>18.438994761211902</v>
      </c>
    </row>
    <row r="23" spans="1:13" ht="15.75" x14ac:dyDescent="0.2">
      <c r="A23" s="382" t="s">
        <v>178</v>
      </c>
      <c r="B23" s="228">
        <v>242935</v>
      </c>
      <c r="C23" s="228">
        <v>251383</v>
      </c>
      <c r="D23" s="123">
        <f t="shared" si="3"/>
        <v>3.5</v>
      </c>
      <c r="E23" s="8">
        <f>IFERROR(100/'Skjema total MA'!C23*C23,0)</f>
        <v>31.501085310831343</v>
      </c>
      <c r="F23" s="236">
        <v>20</v>
      </c>
      <c r="G23" s="236">
        <v>0</v>
      </c>
      <c r="H23" s="123">
        <f t="shared" si="4"/>
        <v>-100</v>
      </c>
      <c r="I23" s="335">
        <f>IFERROR(100/'Skjema total MA'!F23*G23,0)</f>
        <v>0</v>
      </c>
      <c r="J23" s="236">
        <f t="shared" ref="J23:J26" si="7">SUM(B23,F23)</f>
        <v>242955</v>
      </c>
      <c r="K23" s="236">
        <f t="shared" ref="K23:K26" si="8">SUM(C23,G23)</f>
        <v>251383</v>
      </c>
      <c r="L23" s="123">
        <f t="shared" si="6"/>
        <v>3.5</v>
      </c>
      <c r="M23" s="20">
        <f>IFERROR(100/'Skjema total MA'!I23*K23,0)</f>
        <v>31.163196939584584</v>
      </c>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v>21115</v>
      </c>
      <c r="G26" s="236">
        <v>29701</v>
      </c>
      <c r="H26" s="123">
        <f t="shared" si="4"/>
        <v>40.700000000000003</v>
      </c>
      <c r="I26" s="335">
        <f>IFERROR(100/'Skjema total MA'!F26*G26,0)</f>
        <v>6.8980872717174622</v>
      </c>
      <c r="J26" s="236">
        <f t="shared" si="7"/>
        <v>21115</v>
      </c>
      <c r="K26" s="236">
        <f t="shared" si="8"/>
        <v>29701</v>
      </c>
      <c r="L26" s="123">
        <f t="shared" si="6"/>
        <v>40.700000000000003</v>
      </c>
      <c r="M26" s="20">
        <f>IFERROR(100/'Skjema total MA'!I26*K26,0)</f>
        <v>6.8980872717174622</v>
      </c>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v>242935</v>
      </c>
      <c r="C28" s="234">
        <v>251383</v>
      </c>
      <c r="D28" s="123">
        <f t="shared" si="3"/>
        <v>3.5</v>
      </c>
      <c r="E28" s="8">
        <f>IFERROR(100/'Skjema total MA'!C28*C28,0)</f>
        <v>18.650173095527819</v>
      </c>
      <c r="F28" s="181"/>
      <c r="G28" s="234"/>
      <c r="H28" s="123"/>
      <c r="I28" s="23"/>
      <c r="J28" s="36">
        <f t="shared" si="5"/>
        <v>242935</v>
      </c>
      <c r="K28" s="36">
        <f t="shared" si="5"/>
        <v>251383</v>
      </c>
      <c r="L28" s="206">
        <f t="shared" si="6"/>
        <v>3.5</v>
      </c>
      <c r="M28" s="20">
        <f>IFERROR(100/'Skjema total MA'!I28*K28,0)</f>
        <v>18.650173095527819</v>
      </c>
    </row>
    <row r="29" spans="1:13" ht="15.75" x14ac:dyDescent="0.2">
      <c r="A29" s="10" t="s">
        <v>172</v>
      </c>
      <c r="B29" s="183">
        <v>4697635</v>
      </c>
      <c r="C29" s="183">
        <v>5295198</v>
      </c>
      <c r="D29" s="127">
        <f t="shared" si="3"/>
        <v>12.7</v>
      </c>
      <c r="E29" s="8">
        <f>IFERROR(100/'Skjema total MA'!C29*C29,0)</f>
        <v>11.898025700820847</v>
      </c>
      <c r="F29" s="250">
        <v>2462386</v>
      </c>
      <c r="G29" s="250">
        <v>2588939</v>
      </c>
      <c r="H29" s="127">
        <f t="shared" si="4"/>
        <v>5.0999999999999996</v>
      </c>
      <c r="I29" s="8">
        <f>IFERROR(100/'Skjema total MA'!F29*G29,0)</f>
        <v>8.3025821544973937</v>
      </c>
      <c r="J29" s="183">
        <f t="shared" si="5"/>
        <v>7160021</v>
      </c>
      <c r="K29" s="183">
        <f t="shared" si="5"/>
        <v>7884137</v>
      </c>
      <c r="L29" s="342">
        <f t="shared" si="6"/>
        <v>10.1</v>
      </c>
      <c r="M29" s="21">
        <f>IFERROR(100/'Skjema total MA'!I29*K29,0)</f>
        <v>10.416740173667822</v>
      </c>
    </row>
    <row r="30" spans="1:13" ht="15.75" x14ac:dyDescent="0.2">
      <c r="A30" s="382" t="s">
        <v>178</v>
      </c>
      <c r="B30" s="228">
        <v>4697635</v>
      </c>
      <c r="C30" s="228">
        <v>5295198</v>
      </c>
      <c r="D30" s="123">
        <f t="shared" si="3"/>
        <v>12.7</v>
      </c>
      <c r="E30" s="8">
        <f>IFERROR(100/'Skjema total MA'!C30*C30,0)</f>
        <v>26.611681573936593</v>
      </c>
      <c r="F30" s="236">
        <v>16913</v>
      </c>
      <c r="G30" s="236">
        <v>16039</v>
      </c>
      <c r="H30" s="123">
        <f t="shared" si="4"/>
        <v>-5.2</v>
      </c>
      <c r="I30" s="335">
        <f>IFERROR(100/'Skjema total MA'!F30*G30,0)</f>
        <v>0.45214554140725799</v>
      </c>
      <c r="J30" s="236">
        <f t="shared" ref="J30:J33" si="9">SUM(B30,F30)</f>
        <v>4714548</v>
      </c>
      <c r="K30" s="236">
        <f t="shared" ref="K30:K33" si="10">SUM(C30,G30)</f>
        <v>5311237</v>
      </c>
      <c r="L30" s="123">
        <f t="shared" si="6"/>
        <v>12.7</v>
      </c>
      <c r="M30" s="20">
        <f>IFERROR(100/'Skjema total MA'!I30*K30,0)</f>
        <v>22.65370956149247</v>
      </c>
    </row>
    <row r="31" spans="1:13" ht="15.75" x14ac:dyDescent="0.2">
      <c r="A31" s="382" t="s">
        <v>179</v>
      </c>
      <c r="B31" s="228"/>
      <c r="C31" s="228"/>
      <c r="D31" s="123"/>
      <c r="E31" s="8"/>
      <c r="F31" s="236">
        <v>1068203</v>
      </c>
      <c r="G31" s="236">
        <v>1009044</v>
      </c>
      <c r="H31" s="123">
        <f t="shared" si="4"/>
        <v>-5.5</v>
      </c>
      <c r="I31" s="335">
        <f>IFERROR(100/'Skjema total MA'!F31*G31,0)</f>
        <v>14.408358040654978</v>
      </c>
      <c r="J31" s="236">
        <f t="shared" si="9"/>
        <v>1068203</v>
      </c>
      <c r="K31" s="236">
        <f t="shared" si="10"/>
        <v>1009044</v>
      </c>
      <c r="L31" s="123">
        <f t="shared" si="6"/>
        <v>-5.5</v>
      </c>
      <c r="M31" s="20">
        <f>IFERROR(100/'Skjema total MA'!I31*K31,0)</f>
        <v>3.5301800157269705</v>
      </c>
    </row>
    <row r="32" spans="1:13" ht="15.75" x14ac:dyDescent="0.2">
      <c r="A32" s="382" t="s">
        <v>180</v>
      </c>
      <c r="B32" s="228"/>
      <c r="C32" s="228"/>
      <c r="D32" s="123"/>
      <c r="E32" s="8"/>
      <c r="F32" s="236">
        <v>118665</v>
      </c>
      <c r="G32" s="236">
        <v>120140</v>
      </c>
      <c r="H32" s="123">
        <f t="shared" si="4"/>
        <v>1.2</v>
      </c>
      <c r="I32" s="335">
        <f>IFERROR(100/'Skjema total MA'!F32*G32,0)</f>
        <v>1.6521486125120746</v>
      </c>
      <c r="J32" s="236">
        <f t="shared" si="9"/>
        <v>118665</v>
      </c>
      <c r="K32" s="236">
        <f t="shared" si="10"/>
        <v>120140</v>
      </c>
      <c r="L32" s="123">
        <f t="shared" si="6"/>
        <v>1.2</v>
      </c>
      <c r="M32" s="20">
        <f>IFERROR(100/'Skjema total MA'!I32*K32,0)</f>
        <v>1.1933609503927256</v>
      </c>
    </row>
    <row r="33" spans="1:13" ht="15.75" x14ac:dyDescent="0.2">
      <c r="A33" s="382" t="s">
        <v>181</v>
      </c>
      <c r="B33" s="228"/>
      <c r="C33" s="228"/>
      <c r="D33" s="123"/>
      <c r="E33" s="8"/>
      <c r="F33" s="236">
        <v>1258605</v>
      </c>
      <c r="G33" s="236">
        <v>1443716</v>
      </c>
      <c r="H33" s="123">
        <f t="shared" si="4"/>
        <v>14.7</v>
      </c>
      <c r="I33" s="335">
        <f>IFERROR(100/'Skjema total MA'!F33*G33,0)</f>
        <v>10.806178246977641</v>
      </c>
      <c r="J33" s="236">
        <f t="shared" si="9"/>
        <v>1258605</v>
      </c>
      <c r="K33" s="236">
        <f t="shared" si="10"/>
        <v>1443716</v>
      </c>
      <c r="L33" s="123">
        <f t="shared" si="6"/>
        <v>14.7</v>
      </c>
      <c r="M33" s="20">
        <f>IFERROR(100/'Skjema total MA'!I33*K33,0)</f>
        <v>10.806178246977641</v>
      </c>
    </row>
    <row r="34" spans="1:13" ht="15.75" x14ac:dyDescent="0.2">
      <c r="A34" s="10" t="s">
        <v>173</v>
      </c>
      <c r="B34" s="183"/>
      <c r="C34" s="251"/>
      <c r="D34" s="127"/>
      <c r="E34" s="8"/>
      <c r="F34" s="250">
        <v>10685</v>
      </c>
      <c r="G34" s="251">
        <v>13455</v>
      </c>
      <c r="H34" s="127">
        <f t="shared" si="4"/>
        <v>25.9</v>
      </c>
      <c r="I34" s="8">
        <f>IFERROR(100/'Skjema total MA'!F34*G34,0)</f>
        <v>17.177503849137423</v>
      </c>
      <c r="J34" s="183">
        <f t="shared" si="5"/>
        <v>10685</v>
      </c>
      <c r="K34" s="183">
        <f t="shared" si="5"/>
        <v>13455</v>
      </c>
      <c r="L34" s="342">
        <f t="shared" si="6"/>
        <v>25.9</v>
      </c>
      <c r="M34" s="21">
        <f>IFERROR(100/'Skjema total MA'!I34*K34,0)</f>
        <v>16.278316373146659</v>
      </c>
    </row>
    <row r="35" spans="1:13" ht="15.75" x14ac:dyDescent="0.2">
      <c r="A35" s="10" t="s">
        <v>174</v>
      </c>
      <c r="B35" s="183"/>
      <c r="C35" s="251"/>
      <c r="D35" s="127"/>
      <c r="E35" s="8"/>
      <c r="F35" s="250">
        <v>11308</v>
      </c>
      <c r="G35" s="251">
        <v>13792</v>
      </c>
      <c r="H35" s="127">
        <f t="shared" si="4"/>
        <v>22</v>
      </c>
      <c r="I35" s="8">
        <f>IFERROR(100/'Skjema total MA'!F35*G35,0)</f>
        <v>12.57272882297792</v>
      </c>
      <c r="J35" s="183">
        <f t="shared" si="5"/>
        <v>11308</v>
      </c>
      <c r="K35" s="183">
        <f t="shared" si="5"/>
        <v>13792</v>
      </c>
      <c r="L35" s="342">
        <f t="shared" si="6"/>
        <v>22</v>
      </c>
      <c r="M35" s="21">
        <f>IFERROR(100/'Skjema total MA'!I35*K35,0)</f>
        <v>11.731651294355299</v>
      </c>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c r="C47" s="253"/>
      <c r="D47" s="341"/>
      <c r="E47" s="8"/>
      <c r="F47" s="109"/>
      <c r="G47" s="27"/>
      <c r="H47" s="118"/>
      <c r="I47" s="118"/>
      <c r="J47" s="31"/>
      <c r="K47" s="31"/>
      <c r="L47" s="118"/>
      <c r="M47" s="118"/>
    </row>
    <row r="48" spans="1:13" ht="15.75" x14ac:dyDescent="0.2">
      <c r="A48" s="18" t="s">
        <v>190</v>
      </c>
      <c r="B48" s="228"/>
      <c r="C48" s="229"/>
      <c r="D48" s="206"/>
      <c r="E48" s="23"/>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v>118419</v>
      </c>
      <c r="C66" s="288">
        <v>134564</v>
      </c>
      <c r="D66" s="285">
        <f t="shared" ref="D66:D111" si="11">IF(B66=0, "    ---- ", IF(ABS(ROUND(100/B66*C66-100,1))&lt;999,ROUND(100/B66*C66-100,1),IF(ROUND(100/B66*C66-100,1)&gt;999,999,-999)))</f>
        <v>13.6</v>
      </c>
      <c r="E66" s="559">
        <f>IFERROR(100/'Skjema total MA'!C66*C66,0)</f>
        <v>4.4267071079360729</v>
      </c>
      <c r="F66" s="560">
        <v>1643178</v>
      </c>
      <c r="G66" s="287">
        <v>1803422</v>
      </c>
      <c r="H66" s="285">
        <f t="shared" ref="H66:H111" si="12">IF(F66=0, "    ---- ", IF(ABS(ROUND(100/F66*G66-100,1))&lt;999,ROUND(100/F66*G66-100,1),IF(ROUND(100/F66*G66-100,1)&gt;999,999,-999)))</f>
        <v>9.8000000000000007</v>
      </c>
      <c r="I66" s="559">
        <f>IFERROR(100/'Skjema total MA'!F66*G66,0)</f>
        <v>11.848560880004797</v>
      </c>
      <c r="J66" s="258">
        <f t="shared" ref="J66:K86" si="13">SUM(B66,F66)</f>
        <v>1761597</v>
      </c>
      <c r="K66" s="258">
        <f t="shared" si="13"/>
        <v>1937986</v>
      </c>
      <c r="L66" s="342">
        <f t="shared" ref="L66:L111" si="14">IF(J66=0, "    ---- ", IF(ABS(ROUND(100/J66*K66-100,1))&lt;999,ROUND(100/J66*K66-100,1),IF(ROUND(100/J66*K66-100,1)&gt;999,999,-999)))</f>
        <v>10</v>
      </c>
      <c r="M66" s="8">
        <f>IFERROR(100/'Skjema total MA'!I66*K66,0)</f>
        <v>10.613041095039996</v>
      </c>
    </row>
    <row r="67" spans="1:13" x14ac:dyDescent="0.2">
      <c r="A67" s="39" t="s">
        <v>198</v>
      </c>
      <c r="B67" s="36">
        <v>118419</v>
      </c>
      <c r="C67" s="109">
        <v>134564</v>
      </c>
      <c r="D67" s="123">
        <f t="shared" si="11"/>
        <v>13.6</v>
      </c>
      <c r="E67" s="20">
        <f>IFERROR(100/'Skjema total MA'!C67*C67,0)</f>
        <v>7.8865529309063795</v>
      </c>
      <c r="F67" s="36"/>
      <c r="G67" s="109"/>
      <c r="H67" s="123"/>
      <c r="I67" s="20"/>
      <c r="J67" s="36">
        <f t="shared" si="13"/>
        <v>118419</v>
      </c>
      <c r="K67" s="36">
        <f t="shared" si="13"/>
        <v>134564</v>
      </c>
      <c r="L67" s="206">
        <f t="shared" si="14"/>
        <v>13.6</v>
      </c>
      <c r="M67" s="23">
        <f>IFERROR(100/'Skjema total MA'!I67*K67,0)</f>
        <v>7.8865529309063795</v>
      </c>
    </row>
    <row r="68" spans="1:13" x14ac:dyDescent="0.2">
      <c r="A68" s="18" t="s">
        <v>199</v>
      </c>
      <c r="B68" s="237"/>
      <c r="C68" s="238"/>
      <c r="D68" s="123"/>
      <c r="E68" s="20"/>
      <c r="F68" s="142">
        <v>1643178</v>
      </c>
      <c r="G68" s="237">
        <v>1803422</v>
      </c>
      <c r="H68" s="123">
        <f t="shared" si="12"/>
        <v>9.8000000000000007</v>
      </c>
      <c r="I68" s="20">
        <f>IFERROR(100/'Skjema total MA'!F68*G68,0)</f>
        <v>12.296856824876739</v>
      </c>
      <c r="J68" s="36">
        <f t="shared" si="13"/>
        <v>1643178</v>
      </c>
      <c r="K68" s="36">
        <f t="shared" si="13"/>
        <v>1803422</v>
      </c>
      <c r="L68" s="206">
        <f t="shared" si="14"/>
        <v>9.8000000000000007</v>
      </c>
      <c r="M68" s="23">
        <f>IFERROR(100/'Skjema total MA'!I68*K68,0)</f>
        <v>12.293055112842998</v>
      </c>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v>118019</v>
      </c>
      <c r="C77" s="181">
        <v>134179</v>
      </c>
      <c r="D77" s="123">
        <f t="shared" si="11"/>
        <v>13.7</v>
      </c>
      <c r="E77" s="20">
        <f>IFERROR(100/'Skjema total MA'!C77*C77,0)</f>
        <v>8.2033356576460292</v>
      </c>
      <c r="F77" s="36">
        <v>1643148</v>
      </c>
      <c r="G77" s="109">
        <v>1803422</v>
      </c>
      <c r="H77" s="123">
        <f t="shared" si="12"/>
        <v>9.8000000000000007</v>
      </c>
      <c r="I77" s="20">
        <f>IFERROR(100/'Skjema total MA'!F77*G77,0)</f>
        <v>12.300648447164196</v>
      </c>
      <c r="J77" s="36">
        <f t="shared" si="13"/>
        <v>1761167</v>
      </c>
      <c r="K77" s="36">
        <f t="shared" si="13"/>
        <v>1937601</v>
      </c>
      <c r="L77" s="206">
        <f t="shared" si="14"/>
        <v>10</v>
      </c>
      <c r="M77" s="23">
        <f>IFERROR(100/'Skjema total MA'!I77*K77,0)</f>
        <v>11.889414181438125</v>
      </c>
    </row>
    <row r="78" spans="1:13" x14ac:dyDescent="0.2">
      <c r="A78" s="18" t="s">
        <v>198</v>
      </c>
      <c r="B78" s="181">
        <v>118019</v>
      </c>
      <c r="C78" s="109">
        <v>134179</v>
      </c>
      <c r="D78" s="123">
        <f t="shared" si="11"/>
        <v>13.7</v>
      </c>
      <c r="E78" s="20">
        <f>IFERROR(100/'Skjema total MA'!C78*C78,0)</f>
        <v>8.2261456406200502</v>
      </c>
      <c r="F78" s="36"/>
      <c r="G78" s="109"/>
      <c r="H78" s="123"/>
      <c r="I78" s="20"/>
      <c r="J78" s="36">
        <f t="shared" si="13"/>
        <v>118019</v>
      </c>
      <c r="K78" s="36">
        <f t="shared" si="13"/>
        <v>134179</v>
      </c>
      <c r="L78" s="206">
        <f t="shared" si="14"/>
        <v>13.7</v>
      </c>
      <c r="M78" s="23">
        <f>IFERROR(100/'Skjema total MA'!I78*K78,0)</f>
        <v>8.2261456406200502</v>
      </c>
    </row>
    <row r="79" spans="1:13" x14ac:dyDescent="0.2">
      <c r="A79" s="18" t="s">
        <v>207</v>
      </c>
      <c r="B79" s="237"/>
      <c r="C79" s="238"/>
      <c r="D79" s="123"/>
      <c r="E79" s="20"/>
      <c r="F79" s="142">
        <v>1643148</v>
      </c>
      <c r="G79" s="238">
        <v>1803422</v>
      </c>
      <c r="H79" s="123">
        <f t="shared" si="12"/>
        <v>9.8000000000000007</v>
      </c>
      <c r="I79" s="20">
        <f>IFERROR(100/'Skjema total MA'!F79*G79,0)</f>
        <v>12.300648447164196</v>
      </c>
      <c r="J79" s="36">
        <f t="shared" si="13"/>
        <v>1643148</v>
      </c>
      <c r="K79" s="36">
        <f t="shared" si="13"/>
        <v>1803422</v>
      </c>
      <c r="L79" s="206">
        <f t="shared" si="14"/>
        <v>9.8000000000000007</v>
      </c>
      <c r="M79" s="23">
        <f>IFERROR(100/'Skjema total MA'!I79*K79,0)</f>
        <v>12.296844390686017</v>
      </c>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v>400</v>
      </c>
      <c r="C86" s="109">
        <v>385</v>
      </c>
      <c r="D86" s="123">
        <f t="shared" si="11"/>
        <v>-3.8</v>
      </c>
      <c r="E86" s="20">
        <f>IFERROR(100/'Skjema total MA'!C86*C86,0)</f>
        <v>0.51253259341199386</v>
      </c>
      <c r="F86" s="36">
        <v>30</v>
      </c>
      <c r="G86" s="109">
        <v>0</v>
      </c>
      <c r="H86" s="123">
        <f t="shared" si="12"/>
        <v>-100</v>
      </c>
      <c r="I86" s="20">
        <f>IFERROR(100/'Skjema total MA'!F86*G86,0)</f>
        <v>0</v>
      </c>
      <c r="J86" s="36">
        <f t="shared" si="13"/>
        <v>430</v>
      </c>
      <c r="K86" s="36">
        <f t="shared" si="13"/>
        <v>385</v>
      </c>
      <c r="L86" s="206">
        <f t="shared" si="14"/>
        <v>-10.5</v>
      </c>
      <c r="M86" s="23">
        <f>IFERROR(100/'Skjema total MA'!I86*K86,0)</f>
        <v>0.48343865975835748</v>
      </c>
    </row>
    <row r="87" spans="1:13" ht="15.75" x14ac:dyDescent="0.2">
      <c r="A87" s="10" t="s">
        <v>172</v>
      </c>
      <c r="B87" s="288">
        <v>6581394</v>
      </c>
      <c r="C87" s="288">
        <v>6791077</v>
      </c>
      <c r="D87" s="127">
        <f t="shared" si="11"/>
        <v>3.2</v>
      </c>
      <c r="E87" s="21">
        <f>IFERROR(100/'Skjema total MA'!C87*C87,0)</f>
        <v>1.6379830701157165</v>
      </c>
      <c r="F87" s="225">
        <v>71747392</v>
      </c>
      <c r="G87" s="287">
        <v>85297307</v>
      </c>
      <c r="H87" s="127">
        <f t="shared" si="12"/>
        <v>18.899999999999999</v>
      </c>
      <c r="I87" s="21">
        <f>IFERROR(100/'Skjema total MA'!F87*G87,0)</f>
        <v>10.732523584493777</v>
      </c>
      <c r="J87" s="183">
        <f t="shared" ref="J87:K111" si="15">SUM(B87,F87)</f>
        <v>78328786</v>
      </c>
      <c r="K87" s="183">
        <f t="shared" si="15"/>
        <v>92088384</v>
      </c>
      <c r="L87" s="342">
        <f t="shared" si="14"/>
        <v>17.600000000000001</v>
      </c>
      <c r="M87" s="8">
        <f>IFERROR(100/'Skjema total MA'!I87*K87,0)</f>
        <v>7.6146673191242007</v>
      </c>
    </row>
    <row r="88" spans="1:13" x14ac:dyDescent="0.2">
      <c r="A88" s="18" t="s">
        <v>198</v>
      </c>
      <c r="B88" s="181">
        <v>6581394</v>
      </c>
      <c r="C88" s="109">
        <v>6791077</v>
      </c>
      <c r="D88" s="123">
        <f t="shared" si="11"/>
        <v>3.2</v>
      </c>
      <c r="E88" s="20">
        <f>IFERROR(100/'Skjema total MA'!C88*C88,0)</f>
        <v>1.755983757692668</v>
      </c>
      <c r="F88" s="36"/>
      <c r="G88" s="109"/>
      <c r="H88" s="123"/>
      <c r="I88" s="20"/>
      <c r="J88" s="36">
        <f t="shared" si="15"/>
        <v>6581394</v>
      </c>
      <c r="K88" s="36">
        <f t="shared" si="15"/>
        <v>6791077</v>
      </c>
      <c r="L88" s="206">
        <f t="shared" si="14"/>
        <v>3.2</v>
      </c>
      <c r="M88" s="23">
        <f>IFERROR(100/'Skjema total MA'!I88*K88,0)</f>
        <v>1.755983757692668</v>
      </c>
    </row>
    <row r="89" spans="1:13" x14ac:dyDescent="0.2">
      <c r="A89" s="18" t="s">
        <v>199</v>
      </c>
      <c r="B89" s="181"/>
      <c r="C89" s="109"/>
      <c r="D89" s="123"/>
      <c r="E89" s="20"/>
      <c r="F89" s="36">
        <v>71747392</v>
      </c>
      <c r="G89" s="109">
        <v>85297307</v>
      </c>
      <c r="H89" s="123">
        <f t="shared" si="12"/>
        <v>18.899999999999999</v>
      </c>
      <c r="I89" s="20">
        <f>IFERROR(100/'Skjema total MA'!F89*G89,0)</f>
        <v>10.908975263130008</v>
      </c>
      <c r="J89" s="36">
        <f t="shared" si="15"/>
        <v>71747392</v>
      </c>
      <c r="K89" s="36">
        <f t="shared" si="15"/>
        <v>85297307</v>
      </c>
      <c r="L89" s="206">
        <f t="shared" si="14"/>
        <v>18.899999999999999</v>
      </c>
      <c r="M89" s="23">
        <f>IFERROR(100/'Skjema total MA'!I89*K89,0)</f>
        <v>10.850195406309323</v>
      </c>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v>6575675</v>
      </c>
      <c r="C98" s="181">
        <v>6783850</v>
      </c>
      <c r="D98" s="123">
        <f t="shared" si="11"/>
        <v>3.2</v>
      </c>
      <c r="E98" s="20">
        <f>IFERROR(100/'Skjema total MA'!C98*C98,0)</f>
        <v>1.7545402554868963</v>
      </c>
      <c r="F98" s="142">
        <v>71747290</v>
      </c>
      <c r="G98" s="237">
        <v>85297203</v>
      </c>
      <c r="H98" s="123">
        <f t="shared" si="12"/>
        <v>18.899999999999999</v>
      </c>
      <c r="I98" s="20">
        <f>IFERROR(100/'Skjema total MA'!F98*G98,0)</f>
        <v>10.914671119358804</v>
      </c>
      <c r="J98" s="36">
        <f t="shared" si="15"/>
        <v>78322965</v>
      </c>
      <c r="K98" s="36">
        <f t="shared" si="15"/>
        <v>92081053</v>
      </c>
      <c r="L98" s="206">
        <f t="shared" si="14"/>
        <v>17.600000000000001</v>
      </c>
      <c r="M98" s="23">
        <f>IFERROR(100/'Skjema total MA'!I98*K98,0)</f>
        <v>7.8827290470923819</v>
      </c>
    </row>
    <row r="99" spans="1:13" x14ac:dyDescent="0.2">
      <c r="A99" s="18" t="s">
        <v>198</v>
      </c>
      <c r="B99" s="237">
        <v>6575675</v>
      </c>
      <c r="C99" s="238">
        <v>6783850</v>
      </c>
      <c r="D99" s="123">
        <f t="shared" si="11"/>
        <v>3.2</v>
      </c>
      <c r="E99" s="20">
        <f>IFERROR(100/'Skjema total MA'!C99*C99,0)</f>
        <v>1.7739749134397531</v>
      </c>
      <c r="F99" s="36"/>
      <c r="G99" s="109"/>
      <c r="H99" s="123"/>
      <c r="I99" s="20"/>
      <c r="J99" s="36">
        <f t="shared" si="15"/>
        <v>6575675</v>
      </c>
      <c r="K99" s="36">
        <f t="shared" si="15"/>
        <v>6783850</v>
      </c>
      <c r="L99" s="206">
        <f t="shared" si="14"/>
        <v>3.2</v>
      </c>
      <c r="M99" s="23">
        <f>IFERROR(100/'Skjema total MA'!I99*K99,0)</f>
        <v>1.7739749134397531</v>
      </c>
    </row>
    <row r="100" spans="1:13" x14ac:dyDescent="0.2">
      <c r="A100" s="18" t="s">
        <v>207</v>
      </c>
      <c r="B100" s="237"/>
      <c r="C100" s="238"/>
      <c r="D100" s="123"/>
      <c r="E100" s="20"/>
      <c r="F100" s="36">
        <v>71747290</v>
      </c>
      <c r="G100" s="181">
        <v>85297203</v>
      </c>
      <c r="H100" s="123">
        <f t="shared" si="12"/>
        <v>18.899999999999999</v>
      </c>
      <c r="I100" s="20">
        <f>IFERROR(100/'Skjema total MA'!F100*G100,0)</f>
        <v>10.914671119358804</v>
      </c>
      <c r="J100" s="36">
        <f t="shared" si="15"/>
        <v>71747290</v>
      </c>
      <c r="K100" s="36">
        <f t="shared" si="15"/>
        <v>85297203</v>
      </c>
      <c r="L100" s="206">
        <f t="shared" si="14"/>
        <v>18.899999999999999</v>
      </c>
      <c r="M100" s="23">
        <f>IFERROR(100/'Skjema total MA'!I100*K100,0)</f>
        <v>10.85582995975013</v>
      </c>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v>5719</v>
      </c>
      <c r="C107" s="109">
        <v>7227</v>
      </c>
      <c r="D107" s="123">
        <f t="shared" si="11"/>
        <v>26.4</v>
      </c>
      <c r="E107" s="20">
        <f>IFERROR(100/'Skjema total MA'!C107*C107,0)</f>
        <v>0.16692110451937378</v>
      </c>
      <c r="F107" s="36">
        <v>102</v>
      </c>
      <c r="G107" s="109">
        <v>104</v>
      </c>
      <c r="H107" s="123">
        <f t="shared" si="12"/>
        <v>2</v>
      </c>
      <c r="I107" s="20">
        <f>IFERROR(100/'Skjema total MA'!F107*G107,0)</f>
        <v>2.5428493557978351E-2</v>
      </c>
      <c r="J107" s="36">
        <f t="shared" si="15"/>
        <v>5821</v>
      </c>
      <c r="K107" s="36">
        <f t="shared" si="15"/>
        <v>7331</v>
      </c>
      <c r="L107" s="206">
        <f t="shared" si="14"/>
        <v>25.9</v>
      </c>
      <c r="M107" s="23">
        <f>IFERROR(100/'Skjema total MA'!I107*K107,0)</f>
        <v>0.15470878330480439</v>
      </c>
    </row>
    <row r="108" spans="1:13" ht="15.75" x14ac:dyDescent="0.2">
      <c r="A108" s="18" t="s">
        <v>209</v>
      </c>
      <c r="B108" s="181">
        <v>3958367</v>
      </c>
      <c r="C108" s="181">
        <v>3901223</v>
      </c>
      <c r="D108" s="123">
        <f t="shared" si="11"/>
        <v>-1.4</v>
      </c>
      <c r="E108" s="20">
        <f>IFERROR(100/'Skjema total MA'!C108*C108,0)</f>
        <v>1.182806453975368</v>
      </c>
      <c r="F108" s="36"/>
      <c r="G108" s="181"/>
      <c r="H108" s="123"/>
      <c r="I108" s="20"/>
      <c r="J108" s="36">
        <f t="shared" si="15"/>
        <v>3958367</v>
      </c>
      <c r="K108" s="36">
        <f t="shared" si="15"/>
        <v>3901223</v>
      </c>
      <c r="L108" s="206">
        <f t="shared" si="14"/>
        <v>-1.4</v>
      </c>
      <c r="M108" s="23">
        <f>IFERROR(100/'Skjema total MA'!I108*K108,0)</f>
        <v>1.0966409128225574</v>
      </c>
    </row>
    <row r="109" spans="1:13" ht="15.75" x14ac:dyDescent="0.2">
      <c r="A109" s="18" t="s">
        <v>210</v>
      </c>
      <c r="B109" s="181"/>
      <c r="C109" s="181"/>
      <c r="D109" s="123"/>
      <c r="E109" s="20"/>
      <c r="F109" s="36">
        <v>31353595</v>
      </c>
      <c r="G109" s="181">
        <v>38229701</v>
      </c>
      <c r="H109" s="123">
        <f t="shared" si="12"/>
        <v>21.9</v>
      </c>
      <c r="I109" s="20">
        <f>IFERROR(100/'Skjema total MA'!F109*G109,0)</f>
        <v>12.10542610354346</v>
      </c>
      <c r="J109" s="36">
        <f t="shared" si="15"/>
        <v>31353595</v>
      </c>
      <c r="K109" s="36">
        <f t="shared" si="15"/>
        <v>38229701</v>
      </c>
      <c r="L109" s="206">
        <f t="shared" si="14"/>
        <v>21.9</v>
      </c>
      <c r="M109" s="23">
        <f>IFERROR(100/'Skjema total MA'!I109*K109,0)</f>
        <v>11.982230119478501</v>
      </c>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v>111541</v>
      </c>
      <c r="C111" s="118">
        <v>35500</v>
      </c>
      <c r="D111" s="127">
        <f t="shared" si="11"/>
        <v>-68.2</v>
      </c>
      <c r="E111" s="21">
        <f>IFERROR(100/'Skjema total MA'!C111*C111,0)</f>
        <v>11.850130680270263</v>
      </c>
      <c r="F111" s="183">
        <v>4008788</v>
      </c>
      <c r="G111" s="118">
        <v>3146887</v>
      </c>
      <c r="H111" s="127">
        <f t="shared" si="12"/>
        <v>-21.5</v>
      </c>
      <c r="I111" s="21">
        <f>IFERROR(100/'Skjema total MA'!F111*G111,0)</f>
        <v>13.047214955276273</v>
      </c>
      <c r="J111" s="183">
        <f t="shared" si="15"/>
        <v>4120329</v>
      </c>
      <c r="K111" s="183">
        <f t="shared" si="15"/>
        <v>3182387</v>
      </c>
      <c r="L111" s="342">
        <f t="shared" si="14"/>
        <v>-22.8</v>
      </c>
      <c r="M111" s="8">
        <f>IFERROR(100/'Skjema total MA'!I111*K111,0)</f>
        <v>13.032528883591786</v>
      </c>
    </row>
    <row r="112" spans="1:13" x14ac:dyDescent="0.2">
      <c r="A112" s="18" t="s">
        <v>198</v>
      </c>
      <c r="B112" s="181">
        <v>111541</v>
      </c>
      <c r="C112" s="109">
        <v>35500</v>
      </c>
      <c r="D112" s="123">
        <f t="shared" ref="D112:D120" si="16">IF(B112=0, "    ---- ", IF(ABS(ROUND(100/B112*C112-100,1))&lt;999,ROUND(100/B112*C112-100,1),IF(ROUND(100/B112*C112-100,1)&gt;999,999,-999)))</f>
        <v>-68.2</v>
      </c>
      <c r="E112" s="20">
        <f>IFERROR(100/'Skjema total MA'!C112*C112,0)</f>
        <v>16.155903723114506</v>
      </c>
      <c r="F112" s="36"/>
      <c r="G112" s="109"/>
      <c r="H112" s="123"/>
      <c r="I112" s="20"/>
      <c r="J112" s="36">
        <f t="shared" ref="J112:K125" si="17">SUM(B112,F112)</f>
        <v>111541</v>
      </c>
      <c r="K112" s="36">
        <f t="shared" si="17"/>
        <v>35500</v>
      </c>
      <c r="L112" s="206">
        <f t="shared" ref="L112:L125" si="18">IF(J112=0, "    ---- ", IF(ABS(ROUND(100/J112*K112-100,1))&lt;999,ROUND(100/J112*K112-100,1),IF(ROUND(100/J112*K112-100,1)&gt;999,999,-999)))</f>
        <v>-68.2</v>
      </c>
      <c r="M112" s="23">
        <f>IFERROR(100/'Skjema total MA'!I112*K112,0)</f>
        <v>15.97474312868645</v>
      </c>
    </row>
    <row r="113" spans="1:13" x14ac:dyDescent="0.2">
      <c r="A113" s="18" t="s">
        <v>199</v>
      </c>
      <c r="B113" s="181"/>
      <c r="C113" s="109"/>
      <c r="D113" s="123"/>
      <c r="E113" s="20"/>
      <c r="F113" s="36">
        <v>4008788</v>
      </c>
      <c r="G113" s="109">
        <v>3146887</v>
      </c>
      <c r="H113" s="123">
        <f t="shared" ref="H113:H125" si="19">IF(F113=0, "    ---- ", IF(ABS(ROUND(100/F113*G113-100,1))&lt;999,ROUND(100/F113*G113-100,1),IF(ROUND(100/F113*G113-100,1)&gt;999,999,-999)))</f>
        <v>-21.5</v>
      </c>
      <c r="I113" s="20">
        <f>IFERROR(100/'Skjema total MA'!F113*G113,0)</f>
        <v>13.050320263443652</v>
      </c>
      <c r="J113" s="36">
        <f t="shared" si="17"/>
        <v>4008788</v>
      </c>
      <c r="K113" s="36">
        <f t="shared" si="17"/>
        <v>3146887</v>
      </c>
      <c r="L113" s="206">
        <f t="shared" si="18"/>
        <v>-21.5</v>
      </c>
      <c r="M113" s="23">
        <f>IFERROR(100/'Skjema total MA'!I113*K113,0)</f>
        <v>13.044541281578752</v>
      </c>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v>1509812</v>
      </c>
      <c r="G117" s="181">
        <v>1180958</v>
      </c>
      <c r="H117" s="123">
        <f t="shared" si="19"/>
        <v>-21.8</v>
      </c>
      <c r="I117" s="20">
        <f>IFERROR(100/'Skjema total MA'!F117*G117,0)</f>
        <v>8.7274121200613042</v>
      </c>
      <c r="J117" s="36">
        <f t="shared" si="17"/>
        <v>1509812</v>
      </c>
      <c r="K117" s="36">
        <f t="shared" si="17"/>
        <v>1180958</v>
      </c>
      <c r="L117" s="206">
        <f t="shared" si="18"/>
        <v>-21.8</v>
      </c>
      <c r="M117" s="23">
        <f>IFERROR(100/'Skjema total MA'!I117*K117,0)</f>
        <v>8.7274121200613042</v>
      </c>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v>10487</v>
      </c>
      <c r="C119" s="118">
        <v>36979</v>
      </c>
      <c r="D119" s="127">
        <f t="shared" si="16"/>
        <v>252.6</v>
      </c>
      <c r="E119" s="21">
        <f>IFERROR(100/'Skjema total MA'!C119*C119,0)</f>
        <v>10.771058194698107</v>
      </c>
      <c r="F119" s="183">
        <v>2808637</v>
      </c>
      <c r="G119" s="118">
        <v>3078862</v>
      </c>
      <c r="H119" s="127">
        <f t="shared" si="19"/>
        <v>9.6</v>
      </c>
      <c r="I119" s="21">
        <f>IFERROR(100/'Skjema total MA'!F119*G119,0)</f>
        <v>12.335283225167723</v>
      </c>
      <c r="J119" s="183">
        <f t="shared" si="17"/>
        <v>2819124</v>
      </c>
      <c r="K119" s="183">
        <f t="shared" si="17"/>
        <v>3115841</v>
      </c>
      <c r="L119" s="342">
        <f t="shared" si="18"/>
        <v>10.5</v>
      </c>
      <c r="M119" s="8">
        <f>IFERROR(100/'Skjema total MA'!I119*K119,0)</f>
        <v>12.314059482036635</v>
      </c>
    </row>
    <row r="120" spans="1:13" x14ac:dyDescent="0.2">
      <c r="A120" s="18" t="s">
        <v>198</v>
      </c>
      <c r="B120" s="181">
        <v>10487</v>
      </c>
      <c r="C120" s="109">
        <v>36979</v>
      </c>
      <c r="D120" s="123">
        <f t="shared" si="16"/>
        <v>252.6</v>
      </c>
      <c r="E120" s="20">
        <f>IFERROR(100/'Skjema total MA'!C120*C120,0)</f>
        <v>63.047130726828229</v>
      </c>
      <c r="F120" s="36"/>
      <c r="G120" s="109"/>
      <c r="H120" s="123"/>
      <c r="I120" s="20"/>
      <c r="J120" s="36">
        <f t="shared" si="17"/>
        <v>10487</v>
      </c>
      <c r="K120" s="36">
        <f t="shared" si="17"/>
        <v>36979</v>
      </c>
      <c r="L120" s="206">
        <f t="shared" si="18"/>
        <v>252.6</v>
      </c>
      <c r="M120" s="23">
        <f>IFERROR(100/'Skjema total MA'!I120*K120,0)</f>
        <v>63.047130726828229</v>
      </c>
    </row>
    <row r="121" spans="1:13" x14ac:dyDescent="0.2">
      <c r="A121" s="18" t="s">
        <v>199</v>
      </c>
      <c r="B121" s="181"/>
      <c r="C121" s="109"/>
      <c r="D121" s="123"/>
      <c r="E121" s="20"/>
      <c r="F121" s="36">
        <v>2808637</v>
      </c>
      <c r="G121" s="109">
        <v>3078862</v>
      </c>
      <c r="H121" s="123">
        <f t="shared" si="19"/>
        <v>9.6</v>
      </c>
      <c r="I121" s="20">
        <f>IFERROR(100/'Skjema total MA'!F121*G121,0)</f>
        <v>12.335283225167723</v>
      </c>
      <c r="J121" s="36">
        <f t="shared" si="17"/>
        <v>2808637</v>
      </c>
      <c r="K121" s="36">
        <f t="shared" si="17"/>
        <v>3078862</v>
      </c>
      <c r="L121" s="206">
        <f t="shared" si="18"/>
        <v>9.6</v>
      </c>
      <c r="M121" s="23">
        <f>IFERROR(100/'Skjema total MA'!I121*K121,0)</f>
        <v>12.316858117396018</v>
      </c>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v>1150944</v>
      </c>
      <c r="G125" s="181">
        <v>868927</v>
      </c>
      <c r="H125" s="123">
        <f t="shared" si="19"/>
        <v>-24.5</v>
      </c>
      <c r="I125" s="20">
        <f>IFERROR(100/'Skjema total MA'!F125*G125,0)</f>
        <v>7.2212832242550364</v>
      </c>
      <c r="J125" s="36">
        <f t="shared" si="17"/>
        <v>1150944</v>
      </c>
      <c r="K125" s="36">
        <f t="shared" si="17"/>
        <v>868927</v>
      </c>
      <c r="L125" s="206">
        <f t="shared" si="18"/>
        <v>-24.5</v>
      </c>
      <c r="M125" s="23">
        <f>IFERROR(100/'Skjema total MA'!I125*K125,0)</f>
        <v>7.2210831664530142</v>
      </c>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97" priority="13">
      <formula>kvartal &lt; 4</formula>
    </cfRule>
  </conditionalFormatting>
  <conditionalFormatting sqref="A69:A74">
    <cfRule type="expression" dxfId="396" priority="11">
      <formula>kvartal &lt; 4</formula>
    </cfRule>
  </conditionalFormatting>
  <conditionalFormatting sqref="A80:A85">
    <cfRule type="expression" dxfId="395" priority="10">
      <formula>kvartal &lt; 4</formula>
    </cfRule>
  </conditionalFormatting>
  <conditionalFormatting sqref="A90:A95">
    <cfRule type="expression" dxfId="394" priority="7">
      <formula>kvartal &lt; 4</formula>
    </cfRule>
  </conditionalFormatting>
  <conditionalFormatting sqref="A101:A106">
    <cfRule type="expression" dxfId="393" priority="6">
      <formula>kvartal &lt; 4</formula>
    </cfRule>
  </conditionalFormatting>
  <conditionalFormatting sqref="A115:C115">
    <cfRule type="expression" dxfId="392" priority="5">
      <formula>kvartal &lt; 4</formula>
    </cfRule>
  </conditionalFormatting>
  <conditionalFormatting sqref="A123:C123">
    <cfRule type="expression" dxfId="391" priority="4">
      <formula>kvartal &lt; 4</formula>
    </cfRule>
  </conditionalFormatting>
  <conditionalFormatting sqref="B69:C69">
    <cfRule type="expression" dxfId="390" priority="100">
      <formula>kvartal &lt; 4</formula>
    </cfRule>
  </conditionalFormatting>
  <conditionalFormatting sqref="B72:C72">
    <cfRule type="expression" dxfId="389" priority="98">
      <formula>kvartal &lt; 4</formula>
    </cfRule>
  </conditionalFormatting>
  <conditionalFormatting sqref="F115:G115">
    <cfRule type="expression" dxfId="388" priority="58">
      <formula>kvartal &lt; 4</formula>
    </cfRule>
  </conditionalFormatting>
  <conditionalFormatting sqref="F123:G123">
    <cfRule type="expression" dxfId="387" priority="57">
      <formula>kvartal &lt; 4</formula>
    </cfRule>
  </conditionalFormatting>
  <conditionalFormatting sqref="J115:K115">
    <cfRule type="expression" dxfId="386" priority="33">
      <formula>kvartal &lt; 4</formula>
    </cfRule>
  </conditionalFormatting>
  <conditionalFormatting sqref="J123:K123">
    <cfRule type="expression" dxfId="385" priority="32">
      <formula>kvartal &lt; 4</formula>
    </cfRule>
  </conditionalFormatting>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19"/>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403</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v>150963.54931210299</v>
      </c>
      <c r="C7" s="249">
        <v>163923.01800000001</v>
      </c>
      <c r="D7" s="285">
        <f>IF(B7=0, "    ---- ", IF(ABS(ROUND(100/B7*C7-100,1))&lt;999,ROUND(100/B7*C7-100,1),IF(ROUND(100/B7*C7-100,1)&gt;999,999,-999)))</f>
        <v>8.6</v>
      </c>
      <c r="E7" s="8">
        <f>IFERROR(100/'Skjema total MA'!C7*C7,0)</f>
        <v>7.8095043131744948</v>
      </c>
      <c r="F7" s="248"/>
      <c r="G7" s="249"/>
      <c r="H7" s="285"/>
      <c r="I7" s="119"/>
      <c r="J7" s="250">
        <f t="shared" ref="J7:K9" si="0">SUM(B7,F7)</f>
        <v>150963.54931210299</v>
      </c>
      <c r="K7" s="251">
        <f t="shared" si="0"/>
        <v>163923.01800000001</v>
      </c>
      <c r="L7" s="341">
        <f>IF(J7=0, "    ---- ", IF(ABS(ROUND(100/J7*K7-100,1))&lt;999,ROUND(100/J7*K7-100,1),IF(ROUND(100/J7*K7-100,1)&gt;999,999,-999)))</f>
        <v>8.6</v>
      </c>
      <c r="M7" s="8">
        <f>IFERROR(100/'Skjema total MA'!I7*K7,0)</f>
        <v>2.7988021229420736</v>
      </c>
    </row>
    <row r="8" spans="1:14" ht="15.75" x14ac:dyDescent="0.2">
      <c r="A8" s="18" t="s">
        <v>170</v>
      </c>
      <c r="B8" s="228">
        <v>118859.857137567</v>
      </c>
      <c r="C8" s="229">
        <v>131902.98199999999</v>
      </c>
      <c r="D8" s="123">
        <f t="shared" ref="D8:D9" si="1">IF(B8=0, "    ---- ", IF(ABS(ROUND(100/B8*C8-100,1))&lt;999,ROUND(100/B8*C8-100,1),IF(ROUND(100/B8*C8-100,1)&gt;999,999,-999)))</f>
        <v>11</v>
      </c>
      <c r="E8" s="23">
        <f>IFERROR(100/'Skjema total MA'!C8*C8,0)</f>
        <v>9.1856883786348789</v>
      </c>
      <c r="F8" s="232"/>
      <c r="G8" s="233"/>
      <c r="H8" s="123"/>
      <c r="I8" s="132"/>
      <c r="J8" s="181">
        <f t="shared" si="0"/>
        <v>118859.857137567</v>
      </c>
      <c r="K8" s="234">
        <f t="shared" si="0"/>
        <v>131902.98199999999</v>
      </c>
      <c r="L8" s="123">
        <f t="shared" ref="L8:L9" si="2">IF(J8=0, "    ---- ", IF(ABS(ROUND(100/J8*K8-100,1))&lt;999,ROUND(100/J8*K8-100,1),IF(ROUND(100/J8*K8-100,1)&gt;999,999,-999)))</f>
        <v>11</v>
      </c>
      <c r="M8" s="23">
        <f>IFERROR(100/'Skjema total MA'!I8*K8,0)</f>
        <v>9.1856883786348789</v>
      </c>
    </row>
    <row r="9" spans="1:14" ht="15.75" x14ac:dyDescent="0.2">
      <c r="A9" s="18" t="s">
        <v>171</v>
      </c>
      <c r="B9" s="228">
        <v>32103.692174536402</v>
      </c>
      <c r="C9" s="229">
        <v>32020.036</v>
      </c>
      <c r="D9" s="123">
        <f t="shared" si="1"/>
        <v>-0.3</v>
      </c>
      <c r="E9" s="23">
        <f>IFERROR(100/'Skjema total MA'!C9*C9,0)</f>
        <v>7.4934381544376993</v>
      </c>
      <c r="F9" s="232"/>
      <c r="G9" s="233"/>
      <c r="H9" s="123"/>
      <c r="I9" s="132"/>
      <c r="J9" s="181">
        <f t="shared" si="0"/>
        <v>32103.692174536402</v>
      </c>
      <c r="K9" s="234">
        <f t="shared" si="0"/>
        <v>32020.036</v>
      </c>
      <c r="L9" s="123">
        <f t="shared" si="2"/>
        <v>-0.3</v>
      </c>
      <c r="M9" s="23">
        <f>IFERROR(100/'Skjema total MA'!I9*K9,0)</f>
        <v>7.4934381544376993</v>
      </c>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v>109226.525563376</v>
      </c>
      <c r="C28" s="234">
        <v>140694.64199999999</v>
      </c>
      <c r="D28" s="123">
        <f t="shared" ref="D28" si="3">IF(B28=0, "    ---- ", IF(ABS(ROUND(100/B28*C28-100,1))&lt;999,ROUND(100/B28*C28-100,1),IF(ROUND(100/B28*C28-100,1)&gt;999,999,-999)))</f>
        <v>28.8</v>
      </c>
      <c r="E28" s="8">
        <f>IFERROR(100/'Skjema total MA'!C28*C28,0)</f>
        <v>10.438173730575727</v>
      </c>
      <c r="F28" s="181"/>
      <c r="G28" s="234"/>
      <c r="H28" s="123"/>
      <c r="I28" s="23"/>
      <c r="J28" s="36">
        <f t="shared" ref="J28:K28" si="4">SUM(B28,F28)</f>
        <v>109226.525563376</v>
      </c>
      <c r="K28" s="36">
        <f t="shared" si="4"/>
        <v>140694.64199999999</v>
      </c>
      <c r="L28" s="206">
        <f t="shared" ref="L28" si="5">IF(J28=0, "    ---- ", IF(ABS(ROUND(100/J28*K28-100,1))&lt;999,ROUND(100/J28*K28-100,1),IF(ROUND(100/J28*K28-100,1)&gt;999,999,-999)))</f>
        <v>28.8</v>
      </c>
      <c r="M28" s="20">
        <f>IFERROR(100/'Skjema total MA'!I28*K28,0)</f>
        <v>10.438173730575727</v>
      </c>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155133</v>
      </c>
      <c r="C47" s="253">
        <v>180378</v>
      </c>
      <c r="D47" s="341">
        <f t="shared" ref="D47:D57" si="6">IF(B47=0, "    ---- ", IF(ABS(ROUND(100/B47*C47-100,1))&lt;999,ROUND(100/B47*C47-100,1),IF(ROUND(100/B47*C47-100,1)&gt;999,999,-999)))</f>
        <v>16.3</v>
      </c>
      <c r="E47" s="8">
        <f>IFERROR(100/'Skjema total MA'!C47*C47,0)</f>
        <v>3.5828944617041572</v>
      </c>
      <c r="F47" s="109"/>
      <c r="G47" s="27"/>
      <c r="H47" s="118"/>
      <c r="I47" s="118"/>
      <c r="J47" s="31"/>
      <c r="K47" s="31"/>
      <c r="L47" s="118"/>
      <c r="M47" s="118"/>
    </row>
    <row r="48" spans="1:13" ht="15.75" x14ac:dyDescent="0.2">
      <c r="A48" s="18" t="s">
        <v>190</v>
      </c>
      <c r="B48" s="228">
        <v>155133</v>
      </c>
      <c r="C48" s="229">
        <v>180378</v>
      </c>
      <c r="D48" s="206">
        <f t="shared" si="6"/>
        <v>16.3</v>
      </c>
      <c r="E48" s="23">
        <f>IFERROR(100/'Skjema total MA'!C48*C48,0)</f>
        <v>7.2550705465937062</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v>374.56700000000001</v>
      </c>
      <c r="C53" s="253">
        <v>446</v>
      </c>
      <c r="D53" s="342">
        <f t="shared" si="6"/>
        <v>19.100000000000001</v>
      </c>
      <c r="E53" s="8">
        <f>IFERROR(100/'Skjema total MA'!C53*C53,0)</f>
        <v>0.37671591247423031</v>
      </c>
      <c r="F53" s="109"/>
      <c r="G53" s="27"/>
      <c r="H53" s="109"/>
      <c r="I53" s="109"/>
      <c r="J53" s="27"/>
      <c r="K53" s="27"/>
      <c r="L53" s="118"/>
      <c r="M53" s="118"/>
    </row>
    <row r="54" spans="1:13" ht="15.75" x14ac:dyDescent="0.2">
      <c r="A54" s="18" t="s">
        <v>190</v>
      </c>
      <c r="B54" s="228">
        <v>374.56700000000001</v>
      </c>
      <c r="C54" s="229">
        <v>446</v>
      </c>
      <c r="D54" s="206">
        <f t="shared" si="6"/>
        <v>19.100000000000001</v>
      </c>
      <c r="E54" s="23">
        <f>IFERROR(100/'Skjema total MA'!C54*C54,0)</f>
        <v>0.37748360726652896</v>
      </c>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v>363.12400000000002</v>
      </c>
      <c r="C56" s="253">
        <v>116</v>
      </c>
      <c r="D56" s="342">
        <f t="shared" si="6"/>
        <v>-68.099999999999994</v>
      </c>
      <c r="E56" s="8">
        <f>IFERROR(100/'Skjema total MA'!C56*C56,0)</f>
        <v>0.10526887890486172</v>
      </c>
      <c r="F56" s="109"/>
      <c r="G56" s="27"/>
      <c r="H56" s="109"/>
      <c r="I56" s="109"/>
      <c r="J56" s="27"/>
      <c r="K56" s="27"/>
      <c r="L56" s="118"/>
      <c r="M56" s="118"/>
    </row>
    <row r="57" spans="1:13" ht="15.75" x14ac:dyDescent="0.2">
      <c r="A57" s="18" t="s">
        <v>190</v>
      </c>
      <c r="B57" s="228">
        <v>363.12400000000002</v>
      </c>
      <c r="C57" s="229">
        <v>116</v>
      </c>
      <c r="D57" s="206">
        <f t="shared" si="6"/>
        <v>-68.099999999999994</v>
      </c>
      <c r="E57" s="23">
        <f>IFERROR(100/'Skjema total MA'!C57*C57,0)</f>
        <v>0.11416422667696939</v>
      </c>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84" priority="12">
      <formula>kvartal &lt; 4</formula>
    </cfRule>
  </conditionalFormatting>
  <conditionalFormatting sqref="A69:A74">
    <cfRule type="expression" dxfId="383" priority="10">
      <formula>kvartal &lt; 4</formula>
    </cfRule>
  </conditionalFormatting>
  <conditionalFormatting sqref="A80:A85">
    <cfRule type="expression" dxfId="382" priority="9">
      <formula>kvartal &lt; 4</formula>
    </cfRule>
  </conditionalFormatting>
  <conditionalFormatting sqref="A90:A95">
    <cfRule type="expression" dxfId="381" priority="6">
      <formula>kvartal &lt; 4</formula>
    </cfRule>
  </conditionalFormatting>
  <conditionalFormatting sqref="A101:A106">
    <cfRule type="expression" dxfId="380" priority="5">
      <formula>kvartal &lt; 4</formula>
    </cfRule>
  </conditionalFormatting>
  <conditionalFormatting sqref="A115:C115">
    <cfRule type="expression" dxfId="379" priority="4">
      <formula>kvartal &lt; 4</formula>
    </cfRule>
  </conditionalFormatting>
  <conditionalFormatting sqref="A123:C123">
    <cfRule type="expression" dxfId="378" priority="3">
      <formula>kvartal &lt; 4</formula>
    </cfRule>
  </conditionalFormatting>
  <conditionalFormatting sqref="B69:C69">
    <cfRule type="expression" dxfId="377" priority="99">
      <formula>kvartal &lt; 4</formula>
    </cfRule>
  </conditionalFormatting>
  <conditionalFormatting sqref="B72:C72">
    <cfRule type="expression" dxfId="376" priority="97">
      <formula>kvartal &lt; 4</formula>
    </cfRule>
  </conditionalFormatting>
  <conditionalFormatting sqref="F115:G115">
    <cfRule type="expression" dxfId="375" priority="57">
      <formula>kvartal &lt; 4</formula>
    </cfRule>
  </conditionalFormatting>
  <conditionalFormatting sqref="F123:G123">
    <cfRule type="expression" dxfId="374" priority="56">
      <formula>kvartal &lt; 4</formula>
    </cfRule>
  </conditionalFormatting>
  <conditionalFormatting sqref="J115:K115">
    <cfRule type="expression" dxfId="373" priority="32">
      <formula>kvartal &lt; 4</formula>
    </cfRule>
  </conditionalFormatting>
  <conditionalFormatting sqref="J123:K123">
    <cfRule type="expression" dxfId="372" priority="31">
      <formula>kvartal &lt; 4</formula>
    </cfRule>
  </conditionalFormatting>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20"/>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54</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c r="G7" s="249"/>
      <c r="H7" s="285"/>
      <c r="I7" s="119"/>
      <c r="J7" s="250"/>
      <c r="K7" s="251"/>
      <c r="L7" s="341"/>
      <c r="M7" s="8"/>
    </row>
    <row r="8" spans="1:14" ht="15.75" x14ac:dyDescent="0.2">
      <c r="A8" s="18" t="s">
        <v>170</v>
      </c>
      <c r="B8" s="228"/>
      <c r="C8" s="229"/>
      <c r="D8" s="123"/>
      <c r="E8" s="23"/>
      <c r="F8" s="232"/>
      <c r="G8" s="233"/>
      <c r="H8" s="123"/>
      <c r="I8" s="132"/>
      <c r="J8" s="181"/>
      <c r="K8" s="234"/>
      <c r="L8" s="123"/>
      <c r="M8" s="23"/>
    </row>
    <row r="9" spans="1:14" ht="15.75" x14ac:dyDescent="0.2">
      <c r="A9" s="18" t="s">
        <v>171</v>
      </c>
      <c r="B9" s="228"/>
      <c r="C9" s="229"/>
      <c r="D9" s="123"/>
      <c r="E9" s="23"/>
      <c r="F9" s="232"/>
      <c r="G9" s="233"/>
      <c r="H9" s="123"/>
      <c r="I9" s="132"/>
      <c r="J9" s="181"/>
      <c r="K9" s="234"/>
      <c r="L9" s="123"/>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517"/>
      <c r="H45" s="130"/>
      <c r="I45" s="130"/>
      <c r="J45" s="131"/>
      <c r="K45" s="131"/>
      <c r="L45" s="130"/>
      <c r="M45" s="130"/>
    </row>
    <row r="46" spans="1:13" x14ac:dyDescent="0.2">
      <c r="A46" s="557"/>
      <c r="B46" s="192"/>
      <c r="C46" s="192"/>
      <c r="D46" s="193" t="s">
        <v>168</v>
      </c>
      <c r="E46" s="116" t="s">
        <v>88</v>
      </c>
      <c r="F46" s="130"/>
      <c r="G46" s="518"/>
      <c r="H46" s="130"/>
      <c r="I46" s="130"/>
      <c r="J46" s="130"/>
      <c r="K46" s="130"/>
      <c r="L46" s="130"/>
      <c r="M46" s="130"/>
    </row>
    <row r="47" spans="1:13" ht="15.75" x14ac:dyDescent="0.2">
      <c r="A47" s="11" t="s">
        <v>169</v>
      </c>
      <c r="B47" s="252">
        <v>-76.77655</v>
      </c>
      <c r="C47" s="253">
        <v>-91.777479999999699</v>
      </c>
      <c r="D47" s="341">
        <f t="shared" ref="D47" si="0">IF(B47=0, "    ---- ", IF(ABS(ROUND(100/B47*C47-100,1))&lt;999,ROUND(100/B47*C47-100,1),IF(ROUND(100/B47*C47-100,1)&gt;999,999,-999)))</f>
        <v>19.5</v>
      </c>
      <c r="E47" s="8">
        <f>IFERROR(100/'Skjema total MA'!C47*C47,0)</f>
        <v>-1.8229996163676445E-3</v>
      </c>
      <c r="F47" s="109"/>
      <c r="G47" s="115"/>
      <c r="H47" s="118"/>
      <c r="I47" s="118"/>
      <c r="J47" s="31"/>
      <c r="K47" s="31"/>
      <c r="L47" s="118"/>
      <c r="M47" s="118"/>
    </row>
    <row r="48" spans="1:13" ht="15.75" x14ac:dyDescent="0.2">
      <c r="A48" s="18" t="s">
        <v>190</v>
      </c>
      <c r="B48" s="229"/>
      <c r="C48" s="229"/>
      <c r="D48" s="206"/>
      <c r="E48" s="23"/>
      <c r="F48" s="109"/>
      <c r="G48" s="519"/>
      <c r="H48" s="109"/>
      <c r="I48" s="109"/>
      <c r="J48" s="27"/>
      <c r="K48" s="27"/>
      <c r="L48" s="118"/>
      <c r="M48" s="118"/>
    </row>
    <row r="49" spans="1:13" ht="15.75" x14ac:dyDescent="0.2">
      <c r="A49" s="18" t="s">
        <v>191</v>
      </c>
      <c r="B49" s="36">
        <v>-76.77655</v>
      </c>
      <c r="C49" s="234">
        <v>-91.777479999999699</v>
      </c>
      <c r="D49" s="206">
        <f>IF(B49=0, "    ---- ", IF(ABS(ROUND(100/B49*C49-100,1))&lt;999,ROUND(100/B49*C49-100,1),IF(ROUND(100/B49*C49-100,1)&gt;999,999,-999)))</f>
        <v>19.5</v>
      </c>
      <c r="E49" s="23">
        <f>IFERROR(100/'Skjema total MA'!C49*C49,0)</f>
        <v>-3.6016766400673115E-3</v>
      </c>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v>8049456.5729599996</v>
      </c>
      <c r="C134" s="251">
        <v>8744715.6826399993</v>
      </c>
      <c r="D134" s="285">
        <f t="shared" ref="D134:D137" si="1">IF(B134=0, "    ---- ", IF(ABS(ROUND(100/B134*C134-100,1))&lt;999,ROUND(100/B134*C134-100,1),IF(ROUND(100/B134*C134-100,1)&gt;999,999,-999)))</f>
        <v>8.6</v>
      </c>
      <c r="E134" s="8">
        <f>IFERROR(100/'Skjema total MA'!C134*C134,0)</f>
        <v>88.377483675110213</v>
      </c>
      <c r="F134" s="258">
        <v>20929.275000000001</v>
      </c>
      <c r="G134" s="259">
        <v>30212.771000000001</v>
      </c>
      <c r="H134" s="345">
        <f t="shared" ref="H134:H136" si="2">IF(F134=0, "    ---- ", IF(ABS(ROUND(100/F134*G134-100,1))&lt;999,ROUND(100/F134*G134-100,1),IF(ROUND(100/F134*G134-100,1)&gt;999,999,-999)))</f>
        <v>44.4</v>
      </c>
      <c r="I134" s="21">
        <f>IFERROR(100/'Skjema total MA'!F134*G134,0)</f>
        <v>100</v>
      </c>
      <c r="J134" s="260">
        <f t="shared" ref="J134:K137" si="3">SUM(B134,F134)</f>
        <v>8070385.8479599999</v>
      </c>
      <c r="K134" s="260">
        <f t="shared" si="3"/>
        <v>8774928.453639999</v>
      </c>
      <c r="L134" s="341">
        <f t="shared" ref="L134:L137" si="4">IF(J134=0, "    ---- ", IF(ABS(ROUND(100/J134*K134-100,1))&lt;999,ROUND(100/J134*K134-100,1),IF(ROUND(100/J134*K134-100,1)&gt;999,999,-999)))</f>
        <v>8.6999999999999993</v>
      </c>
      <c r="M134" s="8">
        <f>IFERROR(100/'Skjema total MA'!I134*K134,0)</f>
        <v>88.412864063743754</v>
      </c>
    </row>
    <row r="135" spans="1:14" ht="15.75" x14ac:dyDescent="0.2">
      <c r="A135" s="10" t="s">
        <v>225</v>
      </c>
      <c r="B135" s="183">
        <v>794812677.44805002</v>
      </c>
      <c r="C135" s="251">
        <v>876265272.58194005</v>
      </c>
      <c r="D135" s="127">
        <f t="shared" si="1"/>
        <v>10.199999999999999</v>
      </c>
      <c r="E135" s="8">
        <f>IFERROR(100/'Skjema total MA'!C135*C135,0)</f>
        <v>86.658732684388823</v>
      </c>
      <c r="F135" s="183">
        <v>2888738.0707899998</v>
      </c>
      <c r="G135" s="251">
        <v>2410575.5415099999</v>
      </c>
      <c r="H135" s="346">
        <f t="shared" si="2"/>
        <v>-16.600000000000001</v>
      </c>
      <c r="I135" s="21">
        <f>IFERROR(100/'Skjema total MA'!F135*G135,0)</f>
        <v>100</v>
      </c>
      <c r="J135" s="250">
        <f t="shared" si="3"/>
        <v>797701415.51884007</v>
      </c>
      <c r="K135" s="250">
        <f t="shared" si="3"/>
        <v>878675848.12345004</v>
      </c>
      <c r="L135" s="342">
        <f t="shared" si="4"/>
        <v>10.199999999999999</v>
      </c>
      <c r="M135" s="8">
        <f>IFERROR(100/'Skjema total MA'!I135*K135,0)</f>
        <v>86.690461982123765</v>
      </c>
    </row>
    <row r="136" spans="1:14" ht="15.75" x14ac:dyDescent="0.2">
      <c r="A136" s="10" t="s">
        <v>219</v>
      </c>
      <c r="B136" s="183">
        <v>39561.440999999999</v>
      </c>
      <c r="C136" s="251">
        <v>3286404.3163800002</v>
      </c>
      <c r="D136" s="127">
        <f t="shared" si="1"/>
        <v>999</v>
      </c>
      <c r="E136" s="8">
        <f>IFERROR(100/'Skjema total MA'!C136*C136,0)</f>
        <v>96.30303992148464</v>
      </c>
      <c r="F136" s="183"/>
      <c r="G136" s="251">
        <v>-516456.22738</v>
      </c>
      <c r="H136" s="346" t="str">
        <f t="shared" si="2"/>
        <v xml:space="preserve">    ---- </v>
      </c>
      <c r="I136" s="21">
        <f>IFERROR(100/'Skjema total MA'!F136*G136,0)</f>
        <v>100</v>
      </c>
      <c r="J136" s="250">
        <f t="shared" si="3"/>
        <v>39561.440999999999</v>
      </c>
      <c r="K136" s="250">
        <f t="shared" si="3"/>
        <v>2769948.0890000002</v>
      </c>
      <c r="L136" s="342">
        <f t="shared" si="4"/>
        <v>999</v>
      </c>
      <c r="M136" s="8">
        <f>IFERROR(100/'Skjema total MA'!I136*K136,0)</f>
        <v>95.643769888897708</v>
      </c>
    </row>
    <row r="137" spans="1:14" ht="15.75" x14ac:dyDescent="0.2">
      <c r="A137" s="33" t="s">
        <v>220</v>
      </c>
      <c r="B137" s="223">
        <v>4289073.5640000002</v>
      </c>
      <c r="C137" s="257">
        <v>890230.09900000005</v>
      </c>
      <c r="D137" s="125">
        <f t="shared" si="1"/>
        <v>-79.2</v>
      </c>
      <c r="E137" s="6">
        <f>IFERROR(100/'Skjema total MA'!C137*C137,0)</f>
        <v>99.912154686278512</v>
      </c>
      <c r="F137" s="223"/>
      <c r="G137" s="257"/>
      <c r="H137" s="347"/>
      <c r="I137" s="30"/>
      <c r="J137" s="256">
        <f t="shared" si="3"/>
        <v>4289073.5640000002</v>
      </c>
      <c r="K137" s="256">
        <f t="shared" si="3"/>
        <v>890230.09900000005</v>
      </c>
      <c r="L137" s="343">
        <f t="shared" si="4"/>
        <v>-79.2</v>
      </c>
      <c r="M137" s="30">
        <f>IFERROR(100/'Skjema total MA'!I137*K137,0)</f>
        <v>99.912154686278512</v>
      </c>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71" priority="12">
      <formula>kvartal &lt; 4</formula>
    </cfRule>
  </conditionalFormatting>
  <conditionalFormatting sqref="A69:A74">
    <cfRule type="expression" dxfId="370" priority="10">
      <formula>kvartal &lt; 4</formula>
    </cfRule>
  </conditionalFormatting>
  <conditionalFormatting sqref="A80:A85">
    <cfRule type="expression" dxfId="369" priority="9">
      <formula>kvartal &lt; 4</formula>
    </cfRule>
  </conditionalFormatting>
  <conditionalFormatting sqref="A90:A95">
    <cfRule type="expression" dxfId="368" priority="6">
      <formula>kvartal &lt; 4</formula>
    </cfRule>
  </conditionalFormatting>
  <conditionalFormatting sqref="A101:A106">
    <cfRule type="expression" dxfId="367" priority="5">
      <formula>kvartal &lt; 4</formula>
    </cfRule>
  </conditionalFormatting>
  <conditionalFormatting sqref="A115:C115">
    <cfRule type="expression" dxfId="366" priority="4">
      <formula>kvartal &lt; 4</formula>
    </cfRule>
  </conditionalFormatting>
  <conditionalFormatting sqref="A123:C123">
    <cfRule type="expression" dxfId="365" priority="3">
      <formula>kvartal &lt; 4</formula>
    </cfRule>
  </conditionalFormatting>
  <conditionalFormatting sqref="B69:C69">
    <cfRule type="expression" dxfId="364" priority="99">
      <formula>kvartal &lt; 4</formula>
    </cfRule>
  </conditionalFormatting>
  <conditionalFormatting sqref="B72:C72">
    <cfRule type="expression" dxfId="363" priority="97">
      <formula>kvartal &lt; 4</formula>
    </cfRule>
  </conditionalFormatting>
  <conditionalFormatting sqref="F115:G115">
    <cfRule type="expression" dxfId="362" priority="57">
      <formula>kvartal &lt; 4</formula>
    </cfRule>
  </conditionalFormatting>
  <conditionalFormatting sqref="F123:G123">
    <cfRule type="expression" dxfId="361" priority="56">
      <formula>kvartal &lt; 4</formula>
    </cfRule>
  </conditionalFormatting>
  <conditionalFormatting sqref="J115:K115">
    <cfRule type="expression" dxfId="360" priority="32">
      <formula>kvartal &lt; 4</formula>
    </cfRule>
  </conditionalFormatting>
  <conditionalFormatting sqref="J123:K123">
    <cfRule type="expression" dxfId="359" priority="31">
      <formula>kvartal &lt; 4</formula>
    </cfRule>
  </conditionalFormatting>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22"/>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407</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v>11608.009</v>
      </c>
      <c r="C7" s="249">
        <v>14296.754000000001</v>
      </c>
      <c r="D7" s="285">
        <f>IF(B7=0, "    ---- ", IF(ABS(ROUND(100/B7*C7-100,1))&lt;999,ROUND(100/B7*C7-100,1),IF(ROUND(100/B7*C7-100,1)&gt;999,999,-999)))</f>
        <v>23.2</v>
      </c>
      <c r="E7" s="8">
        <f>IFERROR(100/'Skjema total MA'!C7*C7,0)</f>
        <v>0.68111582735375642</v>
      </c>
      <c r="F7" s="248"/>
      <c r="G7" s="249"/>
      <c r="H7" s="285"/>
      <c r="I7" s="119"/>
      <c r="J7" s="250">
        <f t="shared" ref="J7:K10" si="0">SUM(B7,F7)</f>
        <v>11608.009</v>
      </c>
      <c r="K7" s="251">
        <f t="shared" si="0"/>
        <v>14296.754000000001</v>
      </c>
      <c r="L7" s="341">
        <f>IF(J7=0, "    ---- ", IF(ABS(ROUND(100/J7*K7-100,1))&lt;999,ROUND(100/J7*K7-100,1),IF(ROUND(100/J7*K7-100,1)&gt;999,999,-999)))</f>
        <v>23.2</v>
      </c>
      <c r="M7" s="8">
        <f>IFERROR(100/'Skjema total MA'!I7*K7,0)</f>
        <v>0.24410107826577829</v>
      </c>
    </row>
    <row r="8" spans="1:14" ht="15.75" x14ac:dyDescent="0.2">
      <c r="A8" s="18" t="s">
        <v>170</v>
      </c>
      <c r="B8" s="228">
        <v>11189.424999999999</v>
      </c>
      <c r="C8" s="229">
        <v>12830.907999999999</v>
      </c>
      <c r="D8" s="123">
        <f t="shared" ref="D8:D10" si="1">IF(B8=0, "    ---- ", IF(ABS(ROUND(100/B8*C8-100,1))&lt;999,ROUND(100/B8*C8-100,1),IF(ROUND(100/B8*C8-100,1)&gt;999,999,-999)))</f>
        <v>14.7</v>
      </c>
      <c r="E8" s="23">
        <f>IFERROR(100/'Skjema total MA'!C8*C8,0)</f>
        <v>0.89354100048271323</v>
      </c>
      <c r="F8" s="232"/>
      <c r="G8" s="233"/>
      <c r="H8" s="123"/>
      <c r="I8" s="132"/>
      <c r="J8" s="181">
        <f t="shared" si="0"/>
        <v>11189.424999999999</v>
      </c>
      <c r="K8" s="234">
        <f t="shared" si="0"/>
        <v>12830.907999999999</v>
      </c>
      <c r="L8" s="123">
        <f t="shared" ref="L8:L9" si="2">IF(J8=0, "    ---- ", IF(ABS(ROUND(100/J8*K8-100,1))&lt;999,ROUND(100/J8*K8-100,1),IF(ROUND(100/J8*K8-100,1)&gt;999,999,-999)))</f>
        <v>14.7</v>
      </c>
      <c r="M8" s="23">
        <f>IFERROR(100/'Skjema total MA'!I8*K8,0)</f>
        <v>0.89354100048271323</v>
      </c>
    </row>
    <row r="9" spans="1:14" ht="15.75" x14ac:dyDescent="0.2">
      <c r="A9" s="18" t="s">
        <v>171</v>
      </c>
      <c r="B9" s="228">
        <v>418.584</v>
      </c>
      <c r="C9" s="229">
        <v>1465.84600000002</v>
      </c>
      <c r="D9" s="123">
        <f t="shared" si="1"/>
        <v>250.2</v>
      </c>
      <c r="E9" s="23">
        <f>IFERROR(100/'Skjema total MA'!C9*C9,0)</f>
        <v>0.34304228592778702</v>
      </c>
      <c r="F9" s="232"/>
      <c r="G9" s="233"/>
      <c r="H9" s="123"/>
      <c r="I9" s="132"/>
      <c r="J9" s="181">
        <f t="shared" si="0"/>
        <v>418.584</v>
      </c>
      <c r="K9" s="234">
        <f t="shared" si="0"/>
        <v>1465.84600000002</v>
      </c>
      <c r="L9" s="123">
        <f t="shared" si="2"/>
        <v>250.2</v>
      </c>
      <c r="M9" s="23">
        <f>IFERROR(100/'Skjema total MA'!I9*K9,0)</f>
        <v>0.34304228592778702</v>
      </c>
    </row>
    <row r="10" spans="1:14" ht="15.75" x14ac:dyDescent="0.2">
      <c r="A10" s="10" t="s">
        <v>172</v>
      </c>
      <c r="B10" s="252">
        <v>27164.18</v>
      </c>
      <c r="C10" s="253">
        <v>53664.461000000003</v>
      </c>
      <c r="D10" s="127">
        <f t="shared" si="1"/>
        <v>97.6</v>
      </c>
      <c r="E10" s="8">
        <f>IFERROR(100/'Skjema total MA'!C10*C10,0)</f>
        <v>0.42004315545474447</v>
      </c>
      <c r="F10" s="252"/>
      <c r="G10" s="253"/>
      <c r="H10" s="127"/>
      <c r="I10" s="119"/>
      <c r="J10" s="250">
        <f t="shared" si="0"/>
        <v>27164.18</v>
      </c>
      <c r="K10" s="251">
        <f t="shared" si="0"/>
        <v>53664.461000000003</v>
      </c>
      <c r="L10" s="342">
        <f t="shared" ref="L10" si="3">IF(J10=0, "    ---- ", IF(ABS(ROUND(100/J10*K10-100,1))&lt;999,ROUND(100/J10*K10-100,1),IF(ROUND(100/J10*K10-100,1)&gt;999,999,-999)))</f>
        <v>97.6</v>
      </c>
      <c r="M10" s="8">
        <f>IFERROR(100/'Skjema total MA'!I10*K10,0)</f>
        <v>4.4552564125700862E-2</v>
      </c>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v>11275.386</v>
      </c>
      <c r="C22" s="252">
        <v>13308.222</v>
      </c>
      <c r="D22" s="285">
        <f t="shared" ref="D22:D29" si="4">IF(B22=0, "    ---- ", IF(ABS(ROUND(100/B22*C22-100,1))&lt;999,ROUND(100/B22*C22-100,1),IF(ROUND(100/B22*C22-100,1)&gt;999,999,-999)))</f>
        <v>18</v>
      </c>
      <c r="E22" s="8">
        <f>IFERROR(100/'Skjema total MA'!C22*C22,0)</f>
        <v>1.234466723493433</v>
      </c>
      <c r="F22" s="260"/>
      <c r="G22" s="260"/>
      <c r="H22" s="285"/>
      <c r="I22" s="8"/>
      <c r="J22" s="258">
        <f t="shared" ref="J22:K29" si="5">SUM(B22,F22)</f>
        <v>11275.386</v>
      </c>
      <c r="K22" s="258">
        <f t="shared" si="5"/>
        <v>13308.222</v>
      </c>
      <c r="L22" s="341">
        <f t="shared" ref="L22:L29" si="6">IF(J22=0, "    ---- ", IF(ABS(ROUND(100/J22*K22-100,1))&lt;999,ROUND(100/J22*K22-100,1),IF(ROUND(100/J22*K22-100,1)&gt;999,999,-999)))</f>
        <v>18</v>
      </c>
      <c r="M22" s="21">
        <f>IFERROR(100/'Skjema total MA'!I22*K22,0)</f>
        <v>0.8730138881581484</v>
      </c>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v>11275.386</v>
      </c>
      <c r="C28" s="234">
        <v>13308.222</v>
      </c>
      <c r="D28" s="123">
        <f t="shared" si="4"/>
        <v>18</v>
      </c>
      <c r="E28" s="8">
        <f>IFERROR(100/'Skjema total MA'!C28*C28,0)</f>
        <v>0.98734060733506801</v>
      </c>
      <c r="F28" s="181"/>
      <c r="G28" s="234"/>
      <c r="H28" s="123"/>
      <c r="I28" s="23"/>
      <c r="J28" s="36">
        <f t="shared" si="5"/>
        <v>11275.386</v>
      </c>
      <c r="K28" s="36">
        <f t="shared" si="5"/>
        <v>13308.222</v>
      </c>
      <c r="L28" s="206">
        <f t="shared" si="6"/>
        <v>18</v>
      </c>
      <c r="M28" s="20">
        <f>IFERROR(100/'Skjema total MA'!I28*K28,0)</f>
        <v>0.98734060733506801</v>
      </c>
    </row>
    <row r="29" spans="1:13" ht="15.75" x14ac:dyDescent="0.2">
      <c r="A29" s="10" t="s">
        <v>172</v>
      </c>
      <c r="B29" s="183">
        <v>146439.67300000001</v>
      </c>
      <c r="C29" s="183">
        <v>231029.97</v>
      </c>
      <c r="D29" s="127">
        <f t="shared" si="4"/>
        <v>57.8</v>
      </c>
      <c r="E29" s="8">
        <f>IFERROR(100/'Skjema total MA'!C29*C29,0)</f>
        <v>0.51911194269220329</v>
      </c>
      <c r="F29" s="250"/>
      <c r="G29" s="250"/>
      <c r="H29" s="127"/>
      <c r="I29" s="8"/>
      <c r="J29" s="183">
        <f t="shared" si="5"/>
        <v>146439.67300000001</v>
      </c>
      <c r="K29" s="183">
        <f t="shared" si="5"/>
        <v>231029.97</v>
      </c>
      <c r="L29" s="342">
        <f t="shared" si="6"/>
        <v>57.8</v>
      </c>
      <c r="M29" s="21">
        <f>IFERROR(100/'Skjema total MA'!I29*K29,0)</f>
        <v>0.30524319526921867</v>
      </c>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211817.16</v>
      </c>
      <c r="C47" s="253">
        <v>668743.88599999994</v>
      </c>
      <c r="D47" s="341">
        <f t="shared" ref="D47:D48" si="7">IF(B47=0, "    ---- ", IF(ABS(ROUND(100/B47*C47-100,1))&lt;999,ROUND(100/B47*C47-100,1),IF(ROUND(100/B47*C47-100,1)&gt;999,999,-999)))</f>
        <v>215.7</v>
      </c>
      <c r="E47" s="8">
        <f>IFERROR(100/'Skjema total MA'!C47*C47,0)</f>
        <v>13.28343126904565</v>
      </c>
      <c r="F47" s="109"/>
      <c r="G47" s="27"/>
      <c r="H47" s="118"/>
      <c r="I47" s="118"/>
      <c r="J47" s="31"/>
      <c r="K47" s="31"/>
      <c r="L47" s="118"/>
      <c r="M47" s="118"/>
    </row>
    <row r="48" spans="1:13" ht="15.75" x14ac:dyDescent="0.2">
      <c r="A48" s="18" t="s">
        <v>190</v>
      </c>
      <c r="B48" s="228">
        <v>211817.16</v>
      </c>
      <c r="C48" s="229">
        <v>218594.62599999999</v>
      </c>
      <c r="D48" s="206">
        <f t="shared" si="7"/>
        <v>3.2</v>
      </c>
      <c r="E48" s="23">
        <f>IFERROR(100/'Skjema total MA'!C48*C48,0)</f>
        <v>8.7921998954210974</v>
      </c>
      <c r="F48" s="109"/>
      <c r="G48" s="27"/>
      <c r="H48" s="109"/>
      <c r="I48" s="109"/>
      <c r="J48" s="27"/>
      <c r="K48" s="27"/>
      <c r="L48" s="118"/>
      <c r="M48" s="118"/>
    </row>
    <row r="49" spans="1:13" ht="15.75" x14ac:dyDescent="0.2">
      <c r="A49" s="18" t="s">
        <v>191</v>
      </c>
      <c r="B49" s="36"/>
      <c r="C49" s="234">
        <v>450149.26</v>
      </c>
      <c r="D49" s="206" t="str">
        <f>IF(B49=0, "    ---- ", IF(ABS(ROUND(100/B49*C49-100,1))&lt;999,ROUND(100/B49*C49-100,1),IF(ROUND(100/B49*C49-100,1)&gt;999,999,-999)))</f>
        <v xml:space="preserve">    ---- </v>
      </c>
      <c r="E49" s="23">
        <f>IFERROR(100/'Skjema total MA'!C49*C49,0)</f>
        <v>17.665467326904075</v>
      </c>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58" priority="12">
      <formula>kvartal &lt; 4</formula>
    </cfRule>
  </conditionalFormatting>
  <conditionalFormatting sqref="A69:A74">
    <cfRule type="expression" dxfId="357" priority="10">
      <formula>kvartal &lt; 4</formula>
    </cfRule>
  </conditionalFormatting>
  <conditionalFormatting sqref="A80:A85">
    <cfRule type="expression" dxfId="356" priority="9">
      <formula>kvartal &lt; 4</formula>
    </cfRule>
  </conditionalFormatting>
  <conditionalFormatting sqref="A90:A95">
    <cfRule type="expression" dxfId="355" priority="6">
      <formula>kvartal &lt; 4</formula>
    </cfRule>
  </conditionalFormatting>
  <conditionalFormatting sqref="A101:A106">
    <cfRule type="expression" dxfId="354" priority="5">
      <formula>kvartal &lt; 4</formula>
    </cfRule>
  </conditionalFormatting>
  <conditionalFormatting sqref="A115:C115">
    <cfRule type="expression" dxfId="353" priority="4">
      <formula>kvartal &lt; 4</formula>
    </cfRule>
  </conditionalFormatting>
  <conditionalFormatting sqref="A123:C123">
    <cfRule type="expression" dxfId="352" priority="3">
      <formula>kvartal &lt; 4</formula>
    </cfRule>
  </conditionalFormatting>
  <conditionalFormatting sqref="B69:C69">
    <cfRule type="expression" dxfId="351" priority="99">
      <formula>kvartal &lt; 4</formula>
    </cfRule>
  </conditionalFormatting>
  <conditionalFormatting sqref="B72:C72">
    <cfRule type="expression" dxfId="350" priority="97">
      <formula>kvartal &lt; 4</formula>
    </cfRule>
  </conditionalFormatting>
  <conditionalFormatting sqref="F115:G115">
    <cfRule type="expression" dxfId="349" priority="57">
      <formula>kvartal &lt; 4</formula>
    </cfRule>
  </conditionalFormatting>
  <conditionalFormatting sqref="F123:G123">
    <cfRule type="expression" dxfId="348" priority="56">
      <formula>kvartal &lt; 4</formula>
    </cfRule>
  </conditionalFormatting>
  <conditionalFormatting sqref="J115:K115">
    <cfRule type="expression" dxfId="347" priority="32">
      <formula>kvartal &lt; 4</formula>
    </cfRule>
  </conditionalFormatting>
  <conditionalFormatting sqref="J123:K123">
    <cfRule type="expression" dxfId="346" priority="31">
      <formula>kvartal &lt; 4</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2C72C-4223-43EB-9734-94FDC1E0B514}">
  <sheetPr codeName="Ark18"/>
  <dimension ref="A1:N144"/>
  <sheetViews>
    <sheetView showGridLines="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104</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v>17164</v>
      </c>
      <c r="D7" s="285" t="str">
        <f>IF(B7=0, "    ---- ", IF(ABS(ROUND(100/B7*C7-100,1))&lt;999,ROUND(100/B7*C7-100,1),IF(ROUND(100/B7*C7-100,1)&gt;999,999,-999)))</f>
        <v xml:space="preserve">    ---- </v>
      </c>
      <c r="E7" s="8">
        <f>IFERROR(100/'Skjema total MA'!C7*C7,0)</f>
        <v>0.81771513035055898</v>
      </c>
      <c r="F7" s="248"/>
      <c r="G7" s="249"/>
      <c r="H7" s="285"/>
      <c r="I7" s="119"/>
      <c r="J7" s="250"/>
      <c r="K7" s="251">
        <f t="shared" ref="K7:K10" si="0">SUM(C7,G7)</f>
        <v>17164</v>
      </c>
      <c r="L7" s="341" t="str">
        <f>IF(J7=0, "    ---- ", IF(ABS(ROUND(100/J7*K7-100,1))&lt;999,ROUND(100/J7*K7-100,1),IF(ROUND(100/J7*K7-100,1)&gt;999,999,-999)))</f>
        <v xml:space="preserve">    ---- </v>
      </c>
      <c r="M7" s="8">
        <f>IFERROR(100/'Skjema total MA'!I7*K7,0)</f>
        <v>0.29305609562519003</v>
      </c>
    </row>
    <row r="8" spans="1:14" ht="15.75" x14ac:dyDescent="0.2">
      <c r="A8" s="18" t="s">
        <v>170</v>
      </c>
      <c r="B8" s="228"/>
      <c r="C8" s="229"/>
      <c r="D8" s="123"/>
      <c r="E8" s="23"/>
      <c r="F8" s="232"/>
      <c r="G8" s="233"/>
      <c r="H8" s="123"/>
      <c r="I8" s="132"/>
      <c r="J8" s="181"/>
      <c r="K8" s="234"/>
      <c r="L8" s="123"/>
      <c r="M8" s="23"/>
    </row>
    <row r="9" spans="1:14" ht="15.75" x14ac:dyDescent="0.2">
      <c r="A9" s="18" t="s">
        <v>171</v>
      </c>
      <c r="B9" s="228"/>
      <c r="C9" s="229">
        <v>17164</v>
      </c>
      <c r="D9" s="123" t="str">
        <f t="shared" ref="D9:D10" si="1">IF(B9=0, "    ---- ", IF(ABS(ROUND(100/B9*C9-100,1))&lt;999,ROUND(100/B9*C9-100,1),IF(ROUND(100/B9*C9-100,1)&gt;999,999,-999)))</f>
        <v xml:space="preserve">    ---- </v>
      </c>
      <c r="E9" s="23">
        <f>IFERROR(100/'Skjema total MA'!C9*C9,0)</f>
        <v>4.0167778850332541</v>
      </c>
      <c r="F9" s="232"/>
      <c r="G9" s="233"/>
      <c r="H9" s="123"/>
      <c r="I9" s="132"/>
      <c r="J9" s="181"/>
      <c r="K9" s="234">
        <f t="shared" si="0"/>
        <v>17164</v>
      </c>
      <c r="L9" s="123" t="str">
        <f t="shared" ref="L9:L10" si="2">IF(J9=0, "    ---- ", IF(ABS(ROUND(100/J9*K9-100,1))&lt;999,ROUND(100/J9*K9-100,1),IF(ROUND(100/J9*K9-100,1)&gt;999,999,-999)))</f>
        <v xml:space="preserve">    ---- </v>
      </c>
      <c r="M9" s="23">
        <f>IFERROR(100/'Skjema total MA'!I9*K9,0)</f>
        <v>4.0167778850332541</v>
      </c>
    </row>
    <row r="10" spans="1:14" ht="15.75" x14ac:dyDescent="0.2">
      <c r="A10" s="10" t="s">
        <v>172</v>
      </c>
      <c r="B10" s="252"/>
      <c r="C10" s="253">
        <v>3595</v>
      </c>
      <c r="D10" s="127" t="str">
        <f t="shared" si="1"/>
        <v xml:space="preserve">    ---- </v>
      </c>
      <c r="E10" s="8">
        <f>IFERROR(100/'Skjema total MA'!C10*C10,0)</f>
        <v>2.8138829976505422E-2</v>
      </c>
      <c r="F10" s="252"/>
      <c r="G10" s="253"/>
      <c r="H10" s="127"/>
      <c r="I10" s="119"/>
      <c r="J10" s="250"/>
      <c r="K10" s="251">
        <f t="shared" si="0"/>
        <v>3595</v>
      </c>
      <c r="L10" s="342" t="str">
        <f t="shared" si="2"/>
        <v xml:space="preserve">    ---- </v>
      </c>
      <c r="M10" s="8">
        <f>IFERROR(100/'Skjema total MA'!I10*K10,0)</f>
        <v>2.9845910132572577E-3</v>
      </c>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c r="C47" s="253">
        <v>35927</v>
      </c>
      <c r="D47" s="341" t="str">
        <f t="shared" ref="D47:D57" si="3">IF(B47=0, "    ---- ", IF(ABS(ROUND(100/B47*C47-100,1))&lt;999,ROUND(100/B47*C47-100,1),IF(ROUND(100/B47*C47-100,1)&gt;999,999,-999)))</f>
        <v xml:space="preserve">    ---- </v>
      </c>
      <c r="E47" s="8">
        <f>IFERROR(100/'Skjema total MA'!C47*C47,0)</f>
        <v>0.71362721244079241</v>
      </c>
      <c r="F47" s="109"/>
      <c r="G47" s="27"/>
      <c r="H47" s="118"/>
      <c r="I47" s="118"/>
      <c r="J47" s="31"/>
      <c r="K47" s="31"/>
      <c r="L47" s="118"/>
      <c r="M47" s="118"/>
    </row>
    <row r="48" spans="1:13" ht="15.75" x14ac:dyDescent="0.2">
      <c r="A48" s="18" t="s">
        <v>190</v>
      </c>
      <c r="B48" s="228"/>
      <c r="C48" s="229">
        <v>35927</v>
      </c>
      <c r="D48" s="206" t="str">
        <f t="shared" si="3"/>
        <v xml:space="preserve">    ---- </v>
      </c>
      <c r="E48" s="23">
        <f>IFERROR(100/'Skjema total MA'!C48*C48,0)</f>
        <v>1.4450371970388411</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v>3171</v>
      </c>
      <c r="D53" s="342" t="str">
        <f t="shared" si="3"/>
        <v xml:space="preserve">    ---- </v>
      </c>
      <c r="E53" s="8">
        <f>IFERROR(100/'Skjema total MA'!C53*C53,0)</f>
        <v>2.6783994584210413</v>
      </c>
      <c r="F53" s="109"/>
      <c r="G53" s="27"/>
      <c r="H53" s="109"/>
      <c r="I53" s="109"/>
      <c r="J53" s="27"/>
      <c r="K53" s="27"/>
      <c r="L53" s="118"/>
      <c r="M53" s="118"/>
    </row>
    <row r="54" spans="1:13" ht="15.75" x14ac:dyDescent="0.2">
      <c r="A54" s="18" t="s">
        <v>190</v>
      </c>
      <c r="B54" s="228"/>
      <c r="C54" s="229">
        <v>3171</v>
      </c>
      <c r="D54" s="206" t="str">
        <f t="shared" si="3"/>
        <v xml:space="preserve">    ---- </v>
      </c>
      <c r="E54" s="23">
        <f>IFERROR(100/'Skjema total MA'!C54*C54,0)</f>
        <v>2.6838576651169581</v>
      </c>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v>110</v>
      </c>
      <c r="D56" s="342" t="str">
        <f t="shared" si="3"/>
        <v xml:space="preserve">    ---- </v>
      </c>
      <c r="E56" s="8">
        <f>IFERROR(100/'Skjema total MA'!C56*C56,0)</f>
        <v>9.9823936892541279E-2</v>
      </c>
      <c r="F56" s="109"/>
      <c r="G56" s="27"/>
      <c r="H56" s="109"/>
      <c r="I56" s="109"/>
      <c r="J56" s="27"/>
      <c r="K56" s="27"/>
      <c r="L56" s="118"/>
      <c r="M56" s="118"/>
    </row>
    <row r="57" spans="1:13" ht="15.75" x14ac:dyDescent="0.2">
      <c r="A57" s="18" t="s">
        <v>190</v>
      </c>
      <c r="B57" s="228"/>
      <c r="C57" s="229">
        <v>110</v>
      </c>
      <c r="D57" s="206" t="str">
        <f t="shared" si="3"/>
        <v xml:space="preserve">    ---- </v>
      </c>
      <c r="E57" s="23">
        <f>IFERROR(100/'Skjema total MA'!C57*C57,0)</f>
        <v>0.10825918046953995</v>
      </c>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2:D2"/>
    <mergeCell ref="F2:H2"/>
    <mergeCell ref="J2:L2"/>
    <mergeCell ref="B4:D4"/>
    <mergeCell ref="F4:H4"/>
    <mergeCell ref="J4:L4"/>
    <mergeCell ref="B18:D18"/>
    <mergeCell ref="F18:H18"/>
    <mergeCell ref="J18:L18"/>
    <mergeCell ref="B19:D19"/>
    <mergeCell ref="F19:H19"/>
    <mergeCell ref="J19:L19"/>
    <mergeCell ref="D40:F40"/>
    <mergeCell ref="G40:I40"/>
    <mergeCell ref="J40:L40"/>
    <mergeCell ref="B42:D42"/>
    <mergeCell ref="F42:H42"/>
    <mergeCell ref="J42:L42"/>
    <mergeCell ref="B44:D44"/>
    <mergeCell ref="B62:D62"/>
    <mergeCell ref="F62:H62"/>
    <mergeCell ref="J62:L62"/>
    <mergeCell ref="B63:D63"/>
    <mergeCell ref="F63:H63"/>
    <mergeCell ref="J63:L63"/>
    <mergeCell ref="B130:D130"/>
    <mergeCell ref="F130:H130"/>
    <mergeCell ref="J130:L130"/>
    <mergeCell ref="B131:D131"/>
    <mergeCell ref="F131:H131"/>
    <mergeCell ref="J131:L131"/>
  </mergeCells>
  <conditionalFormatting sqref="A50:A52">
    <cfRule type="expression" dxfId="345" priority="7">
      <formula>kvartal &lt; 4</formula>
    </cfRule>
  </conditionalFormatting>
  <conditionalFormatting sqref="A69:A74">
    <cfRule type="expression" dxfId="344" priority="6">
      <formula>kvartal &lt; 4</formula>
    </cfRule>
  </conditionalFormatting>
  <conditionalFormatting sqref="A80:A85">
    <cfRule type="expression" dxfId="343" priority="5">
      <formula>kvartal &lt; 4</formula>
    </cfRule>
  </conditionalFormatting>
  <conditionalFormatting sqref="A90:A95">
    <cfRule type="expression" dxfId="342" priority="4">
      <formula>kvartal &lt; 4</formula>
    </cfRule>
  </conditionalFormatting>
  <conditionalFormatting sqref="A101:A106">
    <cfRule type="expression" dxfId="341" priority="3">
      <formula>kvartal &lt; 4</formula>
    </cfRule>
  </conditionalFormatting>
  <conditionalFormatting sqref="A115:C115">
    <cfRule type="expression" dxfId="340" priority="2">
      <formula>kvartal &lt; 4</formula>
    </cfRule>
  </conditionalFormatting>
  <conditionalFormatting sqref="A123:C123">
    <cfRule type="expression" dxfId="339" priority="1">
      <formula>kvartal &lt; 4</formula>
    </cfRule>
  </conditionalFormatting>
  <conditionalFormatting sqref="B69:C69">
    <cfRule type="expression" dxfId="338" priority="57">
      <formula>kvartal &lt; 4</formula>
    </cfRule>
  </conditionalFormatting>
  <conditionalFormatting sqref="B72:C72">
    <cfRule type="expression" dxfId="337" priority="55">
      <formula>kvartal &lt; 4</formula>
    </cfRule>
  </conditionalFormatting>
  <conditionalFormatting sqref="F115:G115">
    <cfRule type="expression" dxfId="336" priority="27">
      <formula>kvartal &lt; 4</formula>
    </cfRule>
  </conditionalFormatting>
  <conditionalFormatting sqref="F123:G123">
    <cfRule type="expression" dxfId="335" priority="26">
      <formula>kvartal &lt; 4</formula>
    </cfRule>
  </conditionalFormatting>
  <conditionalFormatting sqref="J115:K115">
    <cfRule type="expression" dxfId="334" priority="9">
      <formula>kvartal &lt; 4</formula>
    </cfRule>
  </conditionalFormatting>
  <conditionalFormatting sqref="J123:K123">
    <cfRule type="expression" dxfId="333" priority="8">
      <formula>kvartal &lt; 4</formula>
    </cfRule>
  </conditionalFormatting>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23"/>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105</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c r="G7" s="249"/>
      <c r="H7" s="285"/>
      <c r="I7" s="119"/>
      <c r="J7" s="250"/>
      <c r="K7" s="251"/>
      <c r="L7" s="341"/>
      <c r="M7" s="8"/>
    </row>
    <row r="8" spans="1:14" ht="15.75" x14ac:dyDescent="0.2">
      <c r="A8" s="18" t="s">
        <v>170</v>
      </c>
      <c r="B8" s="228"/>
      <c r="C8" s="229"/>
      <c r="D8" s="123"/>
      <c r="E8" s="23"/>
      <c r="F8" s="232"/>
      <c r="G8" s="233"/>
      <c r="H8" s="123"/>
      <c r="I8" s="132"/>
      <c r="J8" s="181"/>
      <c r="K8" s="234"/>
      <c r="L8" s="123"/>
      <c r="M8" s="23"/>
    </row>
    <row r="9" spans="1:14" ht="15.75" x14ac:dyDescent="0.2">
      <c r="A9" s="18" t="s">
        <v>171</v>
      </c>
      <c r="B9" s="228"/>
      <c r="C9" s="229"/>
      <c r="D9" s="123"/>
      <c r="E9" s="23"/>
      <c r="F9" s="232"/>
      <c r="G9" s="233"/>
      <c r="H9" s="123"/>
      <c r="I9" s="132"/>
      <c r="J9" s="181"/>
      <c r="K9" s="234"/>
      <c r="L9" s="123"/>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82536</v>
      </c>
      <c r="C47" s="253">
        <v>71658</v>
      </c>
      <c r="D47" s="341">
        <f t="shared" ref="D47:D57" si="0">IF(B47=0, "    ---- ", IF(ABS(ROUND(100/B47*C47-100,1))&lt;999,ROUND(100/B47*C47-100,1),IF(ROUND(100/B47*C47-100,1)&gt;999,999,-999)))</f>
        <v>-13.2</v>
      </c>
      <c r="E47" s="8">
        <f>IFERROR(100/'Skjema total MA'!C47*C47,0)</f>
        <v>1.4233612266285052</v>
      </c>
      <c r="F47" s="109"/>
      <c r="G47" s="27"/>
      <c r="H47" s="118"/>
      <c r="I47" s="118"/>
      <c r="J47" s="31"/>
      <c r="K47" s="31"/>
      <c r="L47" s="118"/>
      <c r="M47" s="118"/>
    </row>
    <row r="48" spans="1:13" ht="15.75" x14ac:dyDescent="0.2">
      <c r="A48" s="18" t="s">
        <v>190</v>
      </c>
      <c r="B48" s="228">
        <v>82536</v>
      </c>
      <c r="C48" s="229">
        <v>71658</v>
      </c>
      <c r="D48" s="206">
        <f t="shared" si="0"/>
        <v>-13.2</v>
      </c>
      <c r="E48" s="23">
        <f>IFERROR(100/'Skjema total MA'!C48*C48,0)</f>
        <v>2.8821909835335342</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v>56480</v>
      </c>
      <c r="C53" s="253">
        <v>1211</v>
      </c>
      <c r="D53" s="342">
        <f t="shared" si="0"/>
        <v>-97.9</v>
      </c>
      <c r="E53" s="8">
        <f>IFERROR(100/'Skjema total MA'!C53*C53,0)</f>
        <v>1.0228766143638854</v>
      </c>
      <c r="F53" s="109"/>
      <c r="G53" s="27"/>
      <c r="H53" s="109"/>
      <c r="I53" s="109"/>
      <c r="J53" s="27"/>
      <c r="K53" s="27"/>
      <c r="L53" s="118"/>
      <c r="M53" s="118"/>
    </row>
    <row r="54" spans="1:13" ht="15.75" x14ac:dyDescent="0.2">
      <c r="A54" s="18" t="s">
        <v>190</v>
      </c>
      <c r="B54" s="228">
        <v>56480</v>
      </c>
      <c r="C54" s="229">
        <v>1211</v>
      </c>
      <c r="D54" s="206">
        <f t="shared" si="0"/>
        <v>-97.9</v>
      </c>
      <c r="E54" s="23">
        <f>IFERROR(100/'Skjema total MA'!C54*C54,0)</f>
        <v>1.0249610950667412</v>
      </c>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v>270</v>
      </c>
      <c r="C56" s="253">
        <v>2664</v>
      </c>
      <c r="D56" s="342">
        <f t="shared" si="0"/>
        <v>886.7</v>
      </c>
      <c r="E56" s="8">
        <f>IFERROR(100/'Skjema total MA'!C56*C56,0)</f>
        <v>2.4175542534702728</v>
      </c>
      <c r="F56" s="109"/>
      <c r="G56" s="27"/>
      <c r="H56" s="109"/>
      <c r="I56" s="109"/>
      <c r="J56" s="27"/>
      <c r="K56" s="27"/>
      <c r="L56" s="118"/>
      <c r="M56" s="118"/>
    </row>
    <row r="57" spans="1:13" ht="15.75" x14ac:dyDescent="0.2">
      <c r="A57" s="18" t="s">
        <v>190</v>
      </c>
      <c r="B57" s="228">
        <v>270</v>
      </c>
      <c r="C57" s="229">
        <v>2664</v>
      </c>
      <c r="D57" s="206">
        <f t="shared" si="0"/>
        <v>886.7</v>
      </c>
      <c r="E57" s="23">
        <f>IFERROR(100/'Skjema total MA'!C57*C57,0)</f>
        <v>2.6218405160986764</v>
      </c>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32" priority="12">
      <formula>kvartal &lt; 4</formula>
    </cfRule>
  </conditionalFormatting>
  <conditionalFormatting sqref="A69:A74">
    <cfRule type="expression" dxfId="331" priority="10">
      <formula>kvartal &lt; 4</formula>
    </cfRule>
  </conditionalFormatting>
  <conditionalFormatting sqref="A80:A85">
    <cfRule type="expression" dxfId="330" priority="9">
      <formula>kvartal &lt; 4</formula>
    </cfRule>
  </conditionalFormatting>
  <conditionalFormatting sqref="A90:A95">
    <cfRule type="expression" dxfId="329" priority="6">
      <formula>kvartal &lt; 4</formula>
    </cfRule>
  </conditionalFormatting>
  <conditionalFormatting sqref="A101:A106">
    <cfRule type="expression" dxfId="328" priority="5">
      <formula>kvartal &lt; 4</formula>
    </cfRule>
  </conditionalFormatting>
  <conditionalFormatting sqref="A115:C115">
    <cfRule type="expression" dxfId="327" priority="4">
      <formula>kvartal &lt; 4</formula>
    </cfRule>
  </conditionalFormatting>
  <conditionalFormatting sqref="A123:C123">
    <cfRule type="expression" dxfId="326" priority="3">
      <formula>kvartal &lt; 4</formula>
    </cfRule>
  </conditionalFormatting>
  <conditionalFormatting sqref="B69:C69">
    <cfRule type="expression" dxfId="325" priority="99">
      <formula>kvartal &lt; 4</formula>
    </cfRule>
  </conditionalFormatting>
  <conditionalFormatting sqref="B72:C72">
    <cfRule type="expression" dxfId="324" priority="97">
      <formula>kvartal &lt; 4</formula>
    </cfRule>
  </conditionalFormatting>
  <conditionalFormatting sqref="F115:G115">
    <cfRule type="expression" dxfId="323" priority="57">
      <formula>kvartal &lt; 4</formula>
    </cfRule>
  </conditionalFormatting>
  <conditionalFormatting sqref="F123:G123">
    <cfRule type="expression" dxfId="322" priority="56">
      <formula>kvartal &lt; 4</formula>
    </cfRule>
  </conditionalFormatting>
  <conditionalFormatting sqref="J115:K115">
    <cfRule type="expression" dxfId="321" priority="32">
      <formula>kvartal &lt; 4</formula>
    </cfRule>
  </conditionalFormatting>
  <conditionalFormatting sqref="J123:K123">
    <cfRule type="expression" dxfId="320" priority="31">
      <formula>kvartal &lt; 4</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7D853-0DF0-4C61-8584-51A962037551}">
  <sheetPr codeName="Ark21"/>
  <dimension ref="A1:N144"/>
  <sheetViews>
    <sheetView showGridLines="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58</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c r="G7" s="249"/>
      <c r="H7" s="285"/>
      <c r="I7" s="119"/>
      <c r="J7" s="250"/>
      <c r="K7" s="251"/>
      <c r="L7" s="341"/>
      <c r="M7" s="8"/>
    </row>
    <row r="8" spans="1:14" ht="15.75" x14ac:dyDescent="0.2">
      <c r="A8" s="18" t="s">
        <v>170</v>
      </c>
      <c r="B8" s="228"/>
      <c r="C8" s="229"/>
      <c r="D8" s="123"/>
      <c r="E8" s="23"/>
      <c r="F8" s="232"/>
      <c r="G8" s="233"/>
      <c r="H8" s="123"/>
      <c r="I8" s="132"/>
      <c r="J8" s="181"/>
      <c r="K8" s="234"/>
      <c r="L8" s="123"/>
      <c r="M8" s="23"/>
    </row>
    <row r="9" spans="1:14" ht="15.75" x14ac:dyDescent="0.2">
      <c r="A9" s="18" t="s">
        <v>171</v>
      </c>
      <c r="B9" s="228"/>
      <c r="C9" s="229"/>
      <c r="D9" s="123"/>
      <c r="E9" s="23"/>
      <c r="F9" s="232"/>
      <c r="G9" s="233"/>
      <c r="H9" s="123"/>
      <c r="I9" s="132"/>
      <c r="J9" s="181"/>
      <c r="K9" s="234"/>
      <c r="L9" s="123"/>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15177</v>
      </c>
      <c r="C47" s="253">
        <v>16314</v>
      </c>
      <c r="D47" s="341">
        <f t="shared" ref="D47:D48" si="0">IF(B47=0, "    ---- ", IF(ABS(ROUND(100/B47*C47-100,1))&lt;999,ROUND(100/B47*C47-100,1),IF(ROUND(100/B47*C47-100,1)&gt;999,999,-999)))</f>
        <v>7.5</v>
      </c>
      <c r="E47" s="8">
        <f>IFERROR(100/'Skjema total MA'!C47*C47,0)</f>
        <v>0.32404916479970741</v>
      </c>
      <c r="F47" s="109"/>
      <c r="G47" s="27"/>
      <c r="H47" s="118"/>
      <c r="I47" s="118"/>
      <c r="J47" s="31"/>
      <c r="K47" s="31"/>
      <c r="L47" s="118"/>
      <c r="M47" s="118"/>
    </row>
    <row r="48" spans="1:13" ht="15.75" x14ac:dyDescent="0.2">
      <c r="A48" s="18" t="s">
        <v>190</v>
      </c>
      <c r="B48" s="228">
        <v>15177</v>
      </c>
      <c r="C48" s="229">
        <v>16314</v>
      </c>
      <c r="D48" s="206">
        <f t="shared" si="0"/>
        <v>7.5</v>
      </c>
      <c r="E48" s="23">
        <f>IFERROR(100/'Skjema total MA'!C48*C48,0)</f>
        <v>0.65617326335323445</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30:D130"/>
    <mergeCell ref="F130:H130"/>
    <mergeCell ref="J130:L130"/>
    <mergeCell ref="B131:D131"/>
    <mergeCell ref="F131:H131"/>
    <mergeCell ref="J131:L131"/>
    <mergeCell ref="B44:D44"/>
    <mergeCell ref="B62:D62"/>
    <mergeCell ref="F62:H62"/>
    <mergeCell ref="J62:L62"/>
    <mergeCell ref="B63:D63"/>
    <mergeCell ref="F63:H63"/>
    <mergeCell ref="J63:L63"/>
    <mergeCell ref="D40:F40"/>
    <mergeCell ref="G40:I40"/>
    <mergeCell ref="J40:L40"/>
    <mergeCell ref="B42:D42"/>
    <mergeCell ref="F42:H42"/>
    <mergeCell ref="J42:L42"/>
    <mergeCell ref="B18:D18"/>
    <mergeCell ref="F18:H18"/>
    <mergeCell ref="J18:L18"/>
    <mergeCell ref="B19:D19"/>
    <mergeCell ref="F19:H19"/>
    <mergeCell ref="J19:L19"/>
    <mergeCell ref="B2:D2"/>
    <mergeCell ref="F2:H2"/>
    <mergeCell ref="J2:L2"/>
    <mergeCell ref="B4:D4"/>
    <mergeCell ref="F4:H4"/>
    <mergeCell ref="J4:L4"/>
  </mergeCells>
  <conditionalFormatting sqref="A50:A52">
    <cfRule type="expression" dxfId="319" priority="7">
      <formula>kvartal &lt; 4</formula>
    </cfRule>
  </conditionalFormatting>
  <conditionalFormatting sqref="A69:A74">
    <cfRule type="expression" dxfId="318" priority="6">
      <formula>kvartal &lt; 4</formula>
    </cfRule>
  </conditionalFormatting>
  <conditionalFormatting sqref="A80:A85">
    <cfRule type="expression" dxfId="317" priority="5">
      <formula>kvartal &lt; 4</formula>
    </cfRule>
  </conditionalFormatting>
  <conditionalFormatting sqref="A90:A95">
    <cfRule type="expression" dxfId="316" priority="4">
      <formula>kvartal &lt; 4</formula>
    </cfRule>
  </conditionalFormatting>
  <conditionalFormatting sqref="A101:A106">
    <cfRule type="expression" dxfId="315" priority="3">
      <formula>kvartal &lt; 4</formula>
    </cfRule>
  </conditionalFormatting>
  <conditionalFormatting sqref="A115:C115">
    <cfRule type="expression" dxfId="314" priority="2">
      <formula>kvartal &lt; 4</formula>
    </cfRule>
  </conditionalFormatting>
  <conditionalFormatting sqref="A123:C123">
    <cfRule type="expression" dxfId="313" priority="1">
      <formula>kvartal &lt; 4</formula>
    </cfRule>
  </conditionalFormatting>
  <conditionalFormatting sqref="B69:C69">
    <cfRule type="expression" dxfId="312" priority="57">
      <formula>kvartal &lt; 4</formula>
    </cfRule>
  </conditionalFormatting>
  <conditionalFormatting sqref="B72:C72">
    <cfRule type="expression" dxfId="311" priority="55">
      <formula>kvartal &lt; 4</formula>
    </cfRule>
  </conditionalFormatting>
  <conditionalFormatting sqref="F115:G115">
    <cfRule type="expression" dxfId="310" priority="27">
      <formula>kvartal &lt; 4</formula>
    </cfRule>
  </conditionalFormatting>
  <conditionalFormatting sqref="F123:G123">
    <cfRule type="expression" dxfId="309" priority="26">
      <formula>kvartal &lt; 4</formula>
    </cfRule>
  </conditionalFormatting>
  <conditionalFormatting sqref="J115:K115">
    <cfRule type="expression" dxfId="308" priority="9">
      <formula>kvartal &lt; 4</formula>
    </cfRule>
  </conditionalFormatting>
  <conditionalFormatting sqref="J123:K123">
    <cfRule type="expression" dxfId="307" priority="8">
      <formula>kvartal &lt; 4</formula>
    </cfRule>
  </conditionalFormatting>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25"/>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404</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v>144697.81383615299</v>
      </c>
      <c r="C7" s="249">
        <v>152338.02843611699</v>
      </c>
      <c r="D7" s="285">
        <f>IF(B7=0, "    ---- ", IF(ABS(ROUND(100/B7*C7-100,1))&lt;999,ROUND(100/B7*C7-100,1),IF(ROUND(100/B7*C7-100,1)&gt;999,999,-999)))</f>
        <v>5.3</v>
      </c>
      <c r="E7" s="8">
        <f>IFERROR(100/'Skjema total MA'!C7*C7,0)</f>
        <v>7.2575804462821347</v>
      </c>
      <c r="F7" s="248">
        <v>2333704.6928300001</v>
      </c>
      <c r="G7" s="249">
        <v>3104153.3135700002</v>
      </c>
      <c r="H7" s="285">
        <f>IF(F7=0, "    ---- ", IF(ABS(ROUND(100/F7*G7-100,1))&lt;999,ROUND(100/F7*G7-100,1),IF(ROUND(100/F7*G7-100,1)&gt;999,999,-999)))</f>
        <v>33</v>
      </c>
      <c r="I7" s="119">
        <f>IFERROR(100/'Skjema total MA'!F7*G7,0)</f>
        <v>82.603850872746378</v>
      </c>
      <c r="J7" s="250">
        <f t="shared" ref="J7:K12" si="0">SUM(B7,F7)</f>
        <v>2478402.5066661532</v>
      </c>
      <c r="K7" s="251">
        <f t="shared" si="0"/>
        <v>3256491.3420061171</v>
      </c>
      <c r="L7" s="341">
        <f>IF(J7=0, "    ---- ", IF(ABS(ROUND(100/J7*K7-100,1))&lt;999,ROUND(100/J7*K7-100,1),IF(ROUND(100/J7*K7-100,1)&gt;999,999,-999)))</f>
        <v>31.4</v>
      </c>
      <c r="M7" s="8">
        <f>IFERROR(100/'Skjema total MA'!I7*K7,0)</f>
        <v>55.600946057186441</v>
      </c>
    </row>
    <row r="8" spans="1:14" ht="15.75" x14ac:dyDescent="0.2">
      <c r="A8" s="18" t="s">
        <v>170</v>
      </c>
      <c r="B8" s="228">
        <v>127697.625118914</v>
      </c>
      <c r="C8" s="229">
        <v>135783.172920201</v>
      </c>
      <c r="D8" s="123">
        <f t="shared" ref="D8:D10" si="1">IF(B8=0, "    ---- ", IF(ABS(ROUND(100/B8*C8-100,1))&lt;999,ROUND(100/B8*C8-100,1),IF(ROUND(100/B8*C8-100,1)&gt;999,999,-999)))</f>
        <v>6.3</v>
      </c>
      <c r="E8" s="23">
        <f>IFERROR(100/'Skjema total MA'!C8*C8,0)</f>
        <v>9.4559038362548975</v>
      </c>
      <c r="F8" s="232"/>
      <c r="G8" s="233"/>
      <c r="H8" s="123"/>
      <c r="I8" s="132"/>
      <c r="J8" s="181">
        <f t="shared" si="0"/>
        <v>127697.625118914</v>
      </c>
      <c r="K8" s="234">
        <f t="shared" si="0"/>
        <v>135783.172920201</v>
      </c>
      <c r="L8" s="123">
        <f t="shared" ref="L8:L9" si="2">IF(J8=0, "    ---- ", IF(ABS(ROUND(100/J8*K8-100,1))&lt;999,ROUND(100/J8*K8-100,1),IF(ROUND(100/J8*K8-100,1)&gt;999,999,-999)))</f>
        <v>6.3</v>
      </c>
      <c r="M8" s="23">
        <f>IFERROR(100/'Skjema total MA'!I8*K8,0)</f>
        <v>9.4559038362548975</v>
      </c>
    </row>
    <row r="9" spans="1:14" ht="15.75" x14ac:dyDescent="0.2">
      <c r="A9" s="18" t="s">
        <v>171</v>
      </c>
      <c r="B9" s="228">
        <v>15811.367581008401</v>
      </c>
      <c r="C9" s="229">
        <v>15462.353701053</v>
      </c>
      <c r="D9" s="123">
        <f t="shared" si="1"/>
        <v>-2.2000000000000002</v>
      </c>
      <c r="E9" s="23">
        <f>IFERROR(100/'Skjema total MA'!C9*C9,0)</f>
        <v>3.6185528080256226</v>
      </c>
      <c r="F9" s="232"/>
      <c r="G9" s="233"/>
      <c r="H9" s="123"/>
      <c r="I9" s="132"/>
      <c r="J9" s="181">
        <f t="shared" si="0"/>
        <v>15811.367581008401</v>
      </c>
      <c r="K9" s="234">
        <f t="shared" si="0"/>
        <v>15462.353701053</v>
      </c>
      <c r="L9" s="123">
        <f t="shared" si="2"/>
        <v>-2.2000000000000002</v>
      </c>
      <c r="M9" s="23">
        <f>IFERROR(100/'Skjema total MA'!I9*K9,0)</f>
        <v>3.6185528080256226</v>
      </c>
    </row>
    <row r="10" spans="1:14" ht="15.75" x14ac:dyDescent="0.2">
      <c r="A10" s="10" t="s">
        <v>172</v>
      </c>
      <c r="B10" s="252">
        <v>532491.32548198197</v>
      </c>
      <c r="C10" s="253">
        <v>493328.42843060102</v>
      </c>
      <c r="D10" s="127">
        <f t="shared" si="1"/>
        <v>-7.4</v>
      </c>
      <c r="E10" s="8">
        <f>IFERROR(100/'Skjema total MA'!C10*C10,0)</f>
        <v>3.861386584196191</v>
      </c>
      <c r="F10" s="252">
        <v>60719071.941565</v>
      </c>
      <c r="G10" s="253">
        <v>69911684.634550005</v>
      </c>
      <c r="H10" s="127">
        <f t="shared" ref="H10:H12" si="3">IF(F10=0, "    ---- ", IF(ABS(ROUND(100/F10*G10-100,1))&lt;999,ROUND(100/F10*G10-100,1),IF(ROUND(100/F10*G10-100,1)&gt;999,999,-999)))</f>
        <v>15.1</v>
      </c>
      <c r="I10" s="119">
        <f>IFERROR(100/'Skjema total MA'!F10*G10,0)</f>
        <v>64.927779806948195</v>
      </c>
      <c r="J10" s="250">
        <f t="shared" si="0"/>
        <v>61251563.267046981</v>
      </c>
      <c r="K10" s="251">
        <f t="shared" si="0"/>
        <v>70405013.062980607</v>
      </c>
      <c r="L10" s="342">
        <f t="shared" ref="L10:L12" si="4">IF(J10=0, "    ---- ", IF(ABS(ROUND(100/J10*K10-100,1))&lt;999,ROUND(100/J10*K10-100,1),IF(ROUND(100/J10*K10-100,1)&gt;999,999,-999)))</f>
        <v>14.9</v>
      </c>
      <c r="M10" s="8">
        <f>IFERROR(100/'Skjema total MA'!I10*K10,0)</f>
        <v>58.450672955780739</v>
      </c>
    </row>
    <row r="11" spans="1:14" s="35" customFormat="1" ht="15.75" x14ac:dyDescent="0.2">
      <c r="A11" s="10" t="s">
        <v>173</v>
      </c>
      <c r="B11" s="252"/>
      <c r="C11" s="253"/>
      <c r="D11" s="127"/>
      <c r="E11" s="8"/>
      <c r="F11" s="252">
        <v>112624.36655000001</v>
      </c>
      <c r="G11" s="253">
        <v>55619.200270000001</v>
      </c>
      <c r="H11" s="127">
        <f t="shared" si="3"/>
        <v>-50.6</v>
      </c>
      <c r="I11" s="119">
        <f>IFERROR(100/'Skjema total MA'!F11*G11,0)</f>
        <v>52.000878622919018</v>
      </c>
      <c r="J11" s="250">
        <f t="shared" si="0"/>
        <v>112624.36655000001</v>
      </c>
      <c r="K11" s="251">
        <f t="shared" si="0"/>
        <v>55619.200270000001</v>
      </c>
      <c r="L11" s="342">
        <f t="shared" si="4"/>
        <v>-50.6</v>
      </c>
      <c r="M11" s="8">
        <f>IFERROR(100/'Skjema total MA'!I11*K11,0)</f>
        <v>52.000878622919018</v>
      </c>
      <c r="N11" s="107"/>
    </row>
    <row r="12" spans="1:14" s="35" customFormat="1" ht="15.75" x14ac:dyDescent="0.2">
      <c r="A12" s="33" t="s">
        <v>174</v>
      </c>
      <c r="B12" s="254"/>
      <c r="C12" s="255"/>
      <c r="D12" s="125"/>
      <c r="E12" s="30"/>
      <c r="F12" s="254">
        <v>17492.829269999998</v>
      </c>
      <c r="G12" s="255">
        <v>26103.98862</v>
      </c>
      <c r="H12" s="125">
        <f t="shared" si="3"/>
        <v>49.2</v>
      </c>
      <c r="I12" s="125">
        <f>IFERROR(100/'Skjema total MA'!F12*G12,0)</f>
        <v>20.819387097772108</v>
      </c>
      <c r="J12" s="256">
        <f t="shared" si="0"/>
        <v>17492.829269999998</v>
      </c>
      <c r="K12" s="257">
        <f t="shared" si="0"/>
        <v>26103.98862</v>
      </c>
      <c r="L12" s="343">
        <f t="shared" si="4"/>
        <v>49.2</v>
      </c>
      <c r="M12" s="30">
        <f>IFERROR(100/'Skjema total MA'!I12*K12,0)</f>
        <v>20.819387097772108</v>
      </c>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v>66869.210272487893</v>
      </c>
      <c r="C22" s="252">
        <v>78905.507392795698</v>
      </c>
      <c r="D22" s="285">
        <f t="shared" ref="D22:D34" si="5">IF(B22=0, "    ---- ", IF(ABS(ROUND(100/B22*C22-100,1))&lt;999,ROUND(100/B22*C22-100,1),IF(ROUND(100/B22*C22-100,1)&gt;999,999,-999)))</f>
        <v>18</v>
      </c>
      <c r="E22" s="8">
        <f>IFERROR(100/'Skjema total MA'!C22*C22,0)</f>
        <v>7.3192514504771085</v>
      </c>
      <c r="F22" s="260">
        <v>78012.202350000007</v>
      </c>
      <c r="G22" s="260">
        <v>123146.79386000001</v>
      </c>
      <c r="H22" s="285">
        <f t="shared" ref="H22:H35" si="6">IF(F22=0, "    ---- ", IF(ABS(ROUND(100/F22*G22-100,1))&lt;999,ROUND(100/F22*G22-100,1),IF(ROUND(100/F22*G22-100,1)&gt;999,999,-999)))</f>
        <v>57.9</v>
      </c>
      <c r="I22" s="8">
        <f>IFERROR(100/'Skjema total MA'!F22*G22,0)</f>
        <v>27.590017556848242</v>
      </c>
      <c r="J22" s="258">
        <f t="shared" ref="J22:K35" si="7">SUM(B22,F22)</f>
        <v>144881.4126224879</v>
      </c>
      <c r="K22" s="258">
        <f t="shared" si="7"/>
        <v>202052.3012527957</v>
      </c>
      <c r="L22" s="341">
        <f t="shared" ref="L22:L35" si="8">IF(J22=0, "    ---- ", IF(ABS(ROUND(100/J22*K22-100,1))&lt;999,ROUND(100/J22*K22-100,1),IF(ROUND(100/J22*K22-100,1)&gt;999,999,-999)))</f>
        <v>39.5</v>
      </c>
      <c r="M22" s="21">
        <f>IFERROR(100/'Skjema total MA'!I22*K22,0)</f>
        <v>13.254547837269675</v>
      </c>
    </row>
    <row r="23" spans="1:13" ht="15.75" x14ac:dyDescent="0.2">
      <c r="A23" s="382" t="s">
        <v>178</v>
      </c>
      <c r="B23" s="228">
        <v>66829.044272487896</v>
      </c>
      <c r="C23" s="228">
        <v>78872.980392795696</v>
      </c>
      <c r="D23" s="123">
        <f t="shared" si="5"/>
        <v>18</v>
      </c>
      <c r="E23" s="8">
        <f>IFERROR(100/'Skjema total MA'!C23*C23,0)</f>
        <v>9.8836615207590999</v>
      </c>
      <c r="F23" s="236">
        <v>416.02499999999998</v>
      </c>
      <c r="G23" s="236">
        <v>316.26</v>
      </c>
      <c r="H23" s="123">
        <f t="shared" si="6"/>
        <v>-24</v>
      </c>
      <c r="I23" s="335">
        <f>IFERROR(100/'Skjema total MA'!F23*G23,0)</f>
        <v>3.6551283981330336</v>
      </c>
      <c r="J23" s="236">
        <f t="shared" ref="J23:J26" si="9">SUM(B23,F23)</f>
        <v>67245.06927248789</v>
      </c>
      <c r="K23" s="236">
        <f t="shared" ref="K23:K26" si="10">SUM(C23,G23)</f>
        <v>79189.240392795691</v>
      </c>
      <c r="L23" s="123">
        <f t="shared" si="8"/>
        <v>17.8</v>
      </c>
      <c r="M23" s="20">
        <f>IFERROR(100/'Skjema total MA'!I23*K23,0)</f>
        <v>9.8168527460361226</v>
      </c>
    </row>
    <row r="24" spans="1:13" ht="15.75" x14ac:dyDescent="0.2">
      <c r="A24" s="382" t="s">
        <v>179</v>
      </c>
      <c r="B24" s="228">
        <v>40.165999999999997</v>
      </c>
      <c r="C24" s="228">
        <v>32.527000000000001</v>
      </c>
      <c r="D24" s="123">
        <f t="shared" si="5"/>
        <v>-19</v>
      </c>
      <c r="E24" s="8">
        <f>IFERROR(100/'Skjema total MA'!C24*C24,0)</f>
        <v>0.96239704920108671</v>
      </c>
      <c r="F24" s="236"/>
      <c r="G24" s="236"/>
      <c r="H24" s="123"/>
      <c r="I24" s="335"/>
      <c r="J24" s="236">
        <f t="shared" si="9"/>
        <v>40.165999999999997</v>
      </c>
      <c r="K24" s="236">
        <f t="shared" si="10"/>
        <v>32.527000000000001</v>
      </c>
      <c r="L24" s="123">
        <f t="shared" si="8"/>
        <v>-19</v>
      </c>
      <c r="M24" s="20">
        <f>IFERROR(100/'Skjema total MA'!I24*K24,0)</f>
        <v>0.94416802701601488</v>
      </c>
    </row>
    <row r="25" spans="1:13" ht="15.75" x14ac:dyDescent="0.2">
      <c r="A25" s="382" t="s">
        <v>180</v>
      </c>
      <c r="B25" s="228"/>
      <c r="C25" s="228"/>
      <c r="D25" s="123"/>
      <c r="E25" s="8"/>
      <c r="F25" s="236">
        <v>192.26499999999999</v>
      </c>
      <c r="G25" s="236">
        <v>171.803</v>
      </c>
      <c r="H25" s="123">
        <f t="shared" si="6"/>
        <v>-10.6</v>
      </c>
      <c r="I25" s="335">
        <f>IFERROR(100/'Skjema total MA'!F25*G25,0)</f>
        <v>2.4337855956619876</v>
      </c>
      <c r="J25" s="236">
        <f t="shared" si="9"/>
        <v>192.26499999999999</v>
      </c>
      <c r="K25" s="236">
        <f t="shared" si="10"/>
        <v>171.803</v>
      </c>
      <c r="L25" s="123">
        <f t="shared" si="8"/>
        <v>-10.6</v>
      </c>
      <c r="M25" s="20">
        <f>IFERROR(100/'Skjema total MA'!I25*K25,0)</f>
        <v>1.5077460861598928</v>
      </c>
    </row>
    <row r="26" spans="1:13" ht="15.75" x14ac:dyDescent="0.2">
      <c r="A26" s="382" t="s">
        <v>181</v>
      </c>
      <c r="B26" s="228"/>
      <c r="C26" s="228"/>
      <c r="D26" s="123"/>
      <c r="E26" s="8"/>
      <c r="F26" s="236">
        <v>77403.912349999999</v>
      </c>
      <c r="G26" s="236">
        <v>122658.73086</v>
      </c>
      <c r="H26" s="123">
        <f t="shared" si="6"/>
        <v>58.5</v>
      </c>
      <c r="I26" s="335">
        <f>IFERROR(100/'Skjema total MA'!F26*G26,0)</f>
        <v>28.487614225459879</v>
      </c>
      <c r="J26" s="236">
        <f t="shared" si="9"/>
        <v>77403.912349999999</v>
      </c>
      <c r="K26" s="236">
        <f t="shared" si="10"/>
        <v>122658.73086</v>
      </c>
      <c r="L26" s="123">
        <f t="shared" si="8"/>
        <v>58.5</v>
      </c>
      <c r="M26" s="20">
        <f>IFERROR(100/'Skjema total MA'!I26*K26,0)</f>
        <v>28.487614225459879</v>
      </c>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v>69210.684177278701</v>
      </c>
      <c r="C28" s="234">
        <v>81395.159404875099</v>
      </c>
      <c r="D28" s="123">
        <f t="shared" si="5"/>
        <v>17.600000000000001</v>
      </c>
      <c r="E28" s="8">
        <f>IFERROR(100/'Skjema total MA'!C28*C28,0)</f>
        <v>6.0387289993316955</v>
      </c>
      <c r="F28" s="181"/>
      <c r="G28" s="234"/>
      <c r="H28" s="123"/>
      <c r="I28" s="23"/>
      <c r="J28" s="36">
        <f t="shared" si="7"/>
        <v>69210.684177278701</v>
      </c>
      <c r="K28" s="36">
        <f t="shared" si="7"/>
        <v>81395.159404875099</v>
      </c>
      <c r="L28" s="206">
        <f t="shared" si="8"/>
        <v>17.600000000000001</v>
      </c>
      <c r="M28" s="20">
        <f>IFERROR(100/'Skjema total MA'!I28*K28,0)</f>
        <v>6.0387289993316955</v>
      </c>
    </row>
    <row r="29" spans="1:13" ht="15.75" x14ac:dyDescent="0.2">
      <c r="A29" s="10" t="s">
        <v>172</v>
      </c>
      <c r="B29" s="183">
        <v>4167589.2331875102</v>
      </c>
      <c r="C29" s="183">
        <v>4414426.9700778499</v>
      </c>
      <c r="D29" s="127">
        <f t="shared" si="5"/>
        <v>5.9</v>
      </c>
      <c r="E29" s="8">
        <f>IFERROR(100/'Skjema total MA'!C29*C29,0)</f>
        <v>9.9189804695467405</v>
      </c>
      <c r="F29" s="250">
        <v>6716333.7000000002</v>
      </c>
      <c r="G29" s="250">
        <v>7432027.3700000001</v>
      </c>
      <c r="H29" s="127">
        <f t="shared" si="6"/>
        <v>10.7</v>
      </c>
      <c r="I29" s="8">
        <f>IFERROR(100/'Skjema total MA'!F29*G29,0)</f>
        <v>23.834094899067995</v>
      </c>
      <c r="J29" s="183">
        <f t="shared" si="7"/>
        <v>10883922.933187511</v>
      </c>
      <c r="K29" s="183">
        <f t="shared" si="7"/>
        <v>11846454.340077851</v>
      </c>
      <c r="L29" s="342">
        <f t="shared" si="8"/>
        <v>8.8000000000000007</v>
      </c>
      <c r="M29" s="21">
        <f>IFERROR(100/'Skjema total MA'!I29*K29,0)</f>
        <v>15.651863588850686</v>
      </c>
    </row>
    <row r="30" spans="1:13" ht="15.75" x14ac:dyDescent="0.2">
      <c r="A30" s="382" t="s">
        <v>178</v>
      </c>
      <c r="B30" s="228">
        <v>442616.81837501097</v>
      </c>
      <c r="C30" s="228">
        <v>432410.22674981499</v>
      </c>
      <c r="D30" s="123">
        <f t="shared" si="5"/>
        <v>-2.2999999999999998</v>
      </c>
      <c r="E30" s="8">
        <f>IFERROR(100/'Skjema total MA'!C30*C30,0)</f>
        <v>2.1731318193540252</v>
      </c>
      <c r="F30" s="236">
        <v>356937.45812312502</v>
      </c>
      <c r="G30" s="236">
        <v>336788.02782358503</v>
      </c>
      <c r="H30" s="123">
        <f t="shared" si="6"/>
        <v>-5.6</v>
      </c>
      <c r="I30" s="335">
        <f>IFERROR(100/'Skjema total MA'!F30*G30,0)</f>
        <v>9.4941832520592015</v>
      </c>
      <c r="J30" s="236">
        <f t="shared" ref="J30:J33" si="11">SUM(B30,F30)</f>
        <v>799554.27649813599</v>
      </c>
      <c r="K30" s="236">
        <f t="shared" ref="K30:K33" si="12">SUM(C30,G30)</f>
        <v>769198.25457340002</v>
      </c>
      <c r="L30" s="123">
        <f t="shared" si="8"/>
        <v>-3.8</v>
      </c>
      <c r="M30" s="20">
        <f>IFERROR(100/'Skjema total MA'!I30*K30,0)</f>
        <v>3.28081647539222</v>
      </c>
    </row>
    <row r="31" spans="1:13" ht="15.75" x14ac:dyDescent="0.2">
      <c r="A31" s="382" t="s">
        <v>179</v>
      </c>
      <c r="B31" s="228">
        <v>2726188.97060264</v>
      </c>
      <c r="C31" s="228">
        <v>2768587.8252483699</v>
      </c>
      <c r="D31" s="123">
        <f t="shared" si="5"/>
        <v>1.6</v>
      </c>
      <c r="E31" s="8">
        <f>IFERROR(100/'Skjema total MA'!C31*C31,0)</f>
        <v>12.829312459702626</v>
      </c>
      <c r="F31" s="236">
        <v>630999.74736001005</v>
      </c>
      <c r="G31" s="236">
        <v>594703.13555406197</v>
      </c>
      <c r="H31" s="123">
        <f t="shared" si="6"/>
        <v>-5.8</v>
      </c>
      <c r="I31" s="335">
        <f>IFERROR(100/'Skjema total MA'!F31*G31,0)</f>
        <v>8.491895006524091</v>
      </c>
      <c r="J31" s="236">
        <f t="shared" si="11"/>
        <v>3357188.7179626501</v>
      </c>
      <c r="K31" s="236">
        <f t="shared" si="12"/>
        <v>3363290.9608024321</v>
      </c>
      <c r="L31" s="123">
        <f t="shared" si="8"/>
        <v>0.2</v>
      </c>
      <c r="M31" s="20">
        <f>IFERROR(100/'Skjema total MA'!I31*K31,0)</f>
        <v>11.766605358041778</v>
      </c>
    </row>
    <row r="32" spans="1:13" ht="15.75" x14ac:dyDescent="0.2">
      <c r="A32" s="382" t="s">
        <v>180</v>
      </c>
      <c r="B32" s="228">
        <v>998783.44420986006</v>
      </c>
      <c r="C32" s="228">
        <v>1213428.91807966</v>
      </c>
      <c r="D32" s="123">
        <f t="shared" si="5"/>
        <v>21.5</v>
      </c>
      <c r="E32" s="8">
        <f>IFERROR(100/'Skjema total MA'!C32*C32,0)</f>
        <v>43.404615711875678</v>
      </c>
      <c r="F32" s="236">
        <v>2675393.95386818</v>
      </c>
      <c r="G32" s="236">
        <v>2785996.5809084</v>
      </c>
      <c r="H32" s="123">
        <f t="shared" si="6"/>
        <v>4.0999999999999996</v>
      </c>
      <c r="I32" s="335">
        <f>IFERROR(100/'Skjema total MA'!F32*G32,0)</f>
        <v>38.312638468546666</v>
      </c>
      <c r="J32" s="236">
        <f t="shared" si="11"/>
        <v>3674177.3980780402</v>
      </c>
      <c r="K32" s="236">
        <f t="shared" si="12"/>
        <v>3999425.4989880603</v>
      </c>
      <c r="L32" s="123">
        <f t="shared" si="8"/>
        <v>8.9</v>
      </c>
      <c r="M32" s="20">
        <f>IFERROR(100/'Skjema total MA'!I32*K32,0)</f>
        <v>39.726637377204035</v>
      </c>
    </row>
    <row r="33" spans="1:13" ht="15.75" x14ac:dyDescent="0.2">
      <c r="A33" s="382" t="s">
        <v>181</v>
      </c>
      <c r="B33" s="228"/>
      <c r="C33" s="228"/>
      <c r="D33" s="123"/>
      <c r="E33" s="8"/>
      <c r="F33" s="236">
        <v>3053002.5406486802</v>
      </c>
      <c r="G33" s="236">
        <v>3714539.62571395</v>
      </c>
      <c r="H33" s="123">
        <f t="shared" si="6"/>
        <v>21.7</v>
      </c>
      <c r="I33" s="335">
        <f>IFERROR(100/'Skjema total MA'!F33*G33,0)</f>
        <v>27.803236440495606</v>
      </c>
      <c r="J33" s="236">
        <f t="shared" si="11"/>
        <v>3053002.5406486802</v>
      </c>
      <c r="K33" s="236">
        <f t="shared" si="12"/>
        <v>3714539.62571395</v>
      </c>
      <c r="L33" s="123">
        <f t="shared" si="8"/>
        <v>21.7</v>
      </c>
      <c r="M33" s="20">
        <f>IFERROR(100/'Skjema total MA'!I33*K33,0)</f>
        <v>27.803236440495606</v>
      </c>
    </row>
    <row r="34" spans="1:13" ht="15.75" x14ac:dyDescent="0.2">
      <c r="A34" s="10" t="s">
        <v>173</v>
      </c>
      <c r="B34" s="183">
        <v>2215</v>
      </c>
      <c r="C34" s="251">
        <v>0</v>
      </c>
      <c r="D34" s="127">
        <f t="shared" si="5"/>
        <v>-100</v>
      </c>
      <c r="E34" s="8">
        <f>IFERROR(100/'Skjema total MA'!C34*C34,0)</f>
        <v>0</v>
      </c>
      <c r="F34" s="250">
        <v>17000.669440000001</v>
      </c>
      <c r="G34" s="251">
        <v>28892.134959999999</v>
      </c>
      <c r="H34" s="127">
        <f t="shared" si="6"/>
        <v>69.900000000000006</v>
      </c>
      <c r="I34" s="8">
        <f>IFERROR(100/'Skjema total MA'!F34*G34,0)</f>
        <v>36.885526531787278</v>
      </c>
      <c r="J34" s="183">
        <f t="shared" si="7"/>
        <v>19215.669440000001</v>
      </c>
      <c r="K34" s="183">
        <f t="shared" si="7"/>
        <v>28892.134959999999</v>
      </c>
      <c r="L34" s="342">
        <f t="shared" si="8"/>
        <v>50.4</v>
      </c>
      <c r="M34" s="21">
        <f>IFERROR(100/'Skjema total MA'!I34*K34,0)</f>
        <v>34.95468699922192</v>
      </c>
    </row>
    <row r="35" spans="1:13" ht="15.75" x14ac:dyDescent="0.2">
      <c r="A35" s="10" t="s">
        <v>174</v>
      </c>
      <c r="B35" s="183"/>
      <c r="C35" s="251"/>
      <c r="D35" s="127"/>
      <c r="E35" s="8"/>
      <c r="F35" s="250">
        <v>15494.852059999999</v>
      </c>
      <c r="G35" s="251">
        <v>22928.983349999999</v>
      </c>
      <c r="H35" s="127">
        <f t="shared" si="6"/>
        <v>48</v>
      </c>
      <c r="I35" s="8">
        <f>IFERROR(100/'Skjema total MA'!F35*G35,0)</f>
        <v>20.901964170977799</v>
      </c>
      <c r="J35" s="183">
        <f t="shared" si="7"/>
        <v>15494.852059999999</v>
      </c>
      <c r="K35" s="183">
        <f t="shared" si="7"/>
        <v>22928.983349999999</v>
      </c>
      <c r="L35" s="342">
        <f t="shared" si="8"/>
        <v>48</v>
      </c>
      <c r="M35" s="21">
        <f>IFERROR(100/'Skjema total MA'!I35*K35,0)</f>
        <v>19.503685991609526</v>
      </c>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c r="C47" s="253"/>
      <c r="D47" s="341"/>
      <c r="E47" s="8"/>
      <c r="F47" s="109"/>
      <c r="G47" s="27"/>
      <c r="H47" s="118"/>
      <c r="I47" s="118"/>
      <c r="J47" s="31"/>
      <c r="K47" s="31"/>
      <c r="L47" s="118"/>
      <c r="M47" s="118"/>
    </row>
    <row r="48" spans="1:13" ht="15.75" x14ac:dyDescent="0.2">
      <c r="A48" s="18" t="s">
        <v>190</v>
      </c>
      <c r="B48" s="228"/>
      <c r="C48" s="229"/>
      <c r="D48" s="206"/>
      <c r="E48" s="23"/>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v>600171</v>
      </c>
      <c r="C66" s="288">
        <v>624323</v>
      </c>
      <c r="D66" s="285">
        <f t="shared" ref="D66:D109" si="13">IF(B66=0, "    ---- ", IF(ABS(ROUND(100/B66*C66-100,1))&lt;999,ROUND(100/B66*C66-100,1),IF(ROUND(100/B66*C66-100,1)&gt;999,999,-999)))</f>
        <v>4</v>
      </c>
      <c r="E66" s="559">
        <f>IFERROR(100/'Skjema total MA'!C66*C66,0)</f>
        <v>20.53814587666815</v>
      </c>
      <c r="F66" s="560">
        <v>2369950.2519999999</v>
      </c>
      <c r="G66" s="287">
        <v>2642456.7689999999</v>
      </c>
      <c r="H66" s="285">
        <f t="shared" ref="H66:H111" si="14">IF(F66=0, "    ---- ", IF(ABS(ROUND(100/F66*G66-100,1))&lt;999,ROUND(100/F66*G66-100,1),IF(ROUND(100/F66*G66-100,1)&gt;999,999,-999)))</f>
        <v>11.5</v>
      </c>
      <c r="I66" s="559">
        <f>IFERROR(100/'Skjema total MA'!F66*G66,0)</f>
        <v>17.3610557597042</v>
      </c>
      <c r="J66" s="258">
        <f t="shared" ref="J66:K86" si="15">SUM(B66,F66)</f>
        <v>2970121.2519999999</v>
      </c>
      <c r="K66" s="258">
        <f t="shared" si="15"/>
        <v>3266779.7689999999</v>
      </c>
      <c r="L66" s="342">
        <f t="shared" ref="L66:L111" si="16">IF(J66=0, "    ---- ", IF(ABS(ROUND(100/J66*K66-100,1))&lt;999,ROUND(100/J66*K66-100,1),IF(ROUND(100/J66*K66-100,1)&gt;999,999,-999)))</f>
        <v>10</v>
      </c>
      <c r="M66" s="8">
        <f>IFERROR(100/'Skjema total MA'!I66*K66,0)</f>
        <v>17.889947572811291</v>
      </c>
    </row>
    <row r="67" spans="1:13" x14ac:dyDescent="0.2">
      <c r="A67" s="39" t="s">
        <v>198</v>
      </c>
      <c r="B67" s="36">
        <v>468512.72461736202</v>
      </c>
      <c r="C67" s="109">
        <v>474992.30355457502</v>
      </c>
      <c r="D67" s="123">
        <f t="shared" si="13"/>
        <v>1.4</v>
      </c>
      <c r="E67" s="20">
        <f>IFERROR(100/'Skjema total MA'!C67*C67,0)</f>
        <v>27.83844076986643</v>
      </c>
      <c r="F67" s="36"/>
      <c r="G67" s="109"/>
      <c r="H67" s="123"/>
      <c r="I67" s="20"/>
      <c r="J67" s="36">
        <f t="shared" si="15"/>
        <v>468512.72461736202</v>
      </c>
      <c r="K67" s="36">
        <f t="shared" si="15"/>
        <v>474992.30355457502</v>
      </c>
      <c r="L67" s="206">
        <f t="shared" si="16"/>
        <v>1.4</v>
      </c>
      <c r="M67" s="23">
        <f>IFERROR(100/'Skjema total MA'!I67*K67,0)</f>
        <v>27.83844076986643</v>
      </c>
    </row>
    <row r="68" spans="1:13" x14ac:dyDescent="0.2">
      <c r="A68" s="18" t="s">
        <v>199</v>
      </c>
      <c r="B68" s="237">
        <v>1511</v>
      </c>
      <c r="C68" s="238">
        <v>16</v>
      </c>
      <c r="D68" s="123">
        <f t="shared" si="13"/>
        <v>-98.9</v>
      </c>
      <c r="E68" s="20">
        <f>IFERROR(100/'Skjema total MA'!C68*C68,0)</f>
        <v>0.35277463156702549</v>
      </c>
      <c r="F68" s="142">
        <v>2369950.2519999999</v>
      </c>
      <c r="G68" s="238">
        <v>2642456.7689999999</v>
      </c>
      <c r="H68" s="123">
        <f t="shared" si="14"/>
        <v>11.5</v>
      </c>
      <c r="I68" s="20">
        <f>IFERROR(100/'Skjema total MA'!F68*G68,0)</f>
        <v>18.017919574186955</v>
      </c>
      <c r="J68" s="36">
        <f t="shared" si="15"/>
        <v>2371461.2519999999</v>
      </c>
      <c r="K68" s="36">
        <f t="shared" si="15"/>
        <v>2642472.7689999999</v>
      </c>
      <c r="L68" s="206">
        <f t="shared" si="16"/>
        <v>11.4</v>
      </c>
      <c r="M68" s="23">
        <f>IFERROR(100/'Skjema total MA'!I68*K68,0)</f>
        <v>18.012458195310828</v>
      </c>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v>130147.27538263801</v>
      </c>
      <c r="C76" s="109">
        <v>149314.69644542501</v>
      </c>
      <c r="D76" s="123">
        <f t="shared" ref="D76" si="17">IF(B76=0, "    ---- ", IF(ABS(ROUND(100/B76*C76-100,1))&lt;999,ROUND(100/B76*C76-100,1),IF(ROUND(100/B76*C76-100,1)&gt;999,999,-999)))</f>
        <v>14.7</v>
      </c>
      <c r="E76" s="20">
        <f>IFERROR(100/'Skjema total MA'!C76*C76,0)</f>
        <v>13.251787885964188</v>
      </c>
      <c r="F76" s="36"/>
      <c r="G76" s="109"/>
      <c r="H76" s="123"/>
      <c r="I76" s="20"/>
      <c r="J76" s="36">
        <f t="shared" ref="J76" si="18">SUM(B76,F76)</f>
        <v>130147.27538263801</v>
      </c>
      <c r="K76" s="36">
        <f t="shared" ref="K76" si="19">SUM(C76,G76)</f>
        <v>149314.69644542501</v>
      </c>
      <c r="L76" s="206">
        <f t="shared" ref="L76" si="20">IF(J76=0, "    ---- ", IF(ABS(ROUND(100/J76*K76-100,1))&lt;999,ROUND(100/J76*K76-100,1),IF(ROUND(100/J76*K76-100,1)&gt;999,999,-999)))</f>
        <v>14.7</v>
      </c>
      <c r="M76" s="23">
        <f>IFERROR(100/'Skjema total MA'!I76*K76,0)</f>
        <v>13.251787885964188</v>
      </c>
    </row>
    <row r="77" spans="1:13" ht="15.75" x14ac:dyDescent="0.2">
      <c r="A77" s="18" t="s">
        <v>206</v>
      </c>
      <c r="B77" s="181">
        <v>465093.31861736201</v>
      </c>
      <c r="C77" s="181">
        <v>469949.70855457499</v>
      </c>
      <c r="D77" s="123">
        <f t="shared" si="13"/>
        <v>1</v>
      </c>
      <c r="E77" s="20">
        <f>IFERROR(100/'Skjema total MA'!C77*C77,0)</f>
        <v>28.731434885385227</v>
      </c>
      <c r="F77" s="36">
        <v>2368942.852</v>
      </c>
      <c r="G77" s="109">
        <v>2641021.9130000002</v>
      </c>
      <c r="H77" s="123">
        <f t="shared" si="14"/>
        <v>11.5</v>
      </c>
      <c r="I77" s="20">
        <f>IFERROR(100/'Skjema total MA'!F77*G77,0)</f>
        <v>18.013688472842222</v>
      </c>
      <c r="J77" s="36">
        <f t="shared" si="15"/>
        <v>2834036.170617362</v>
      </c>
      <c r="K77" s="36">
        <f t="shared" si="15"/>
        <v>3110971.6215545749</v>
      </c>
      <c r="L77" s="206">
        <f t="shared" si="16"/>
        <v>9.8000000000000007</v>
      </c>
      <c r="M77" s="23">
        <f>IFERROR(100/'Skjema total MA'!I77*K77,0)</f>
        <v>19.089394625293092</v>
      </c>
    </row>
    <row r="78" spans="1:13" x14ac:dyDescent="0.2">
      <c r="A78" s="18" t="s">
        <v>198</v>
      </c>
      <c r="B78" s="181">
        <v>463582.31861736201</v>
      </c>
      <c r="C78" s="109">
        <v>469933.70855457499</v>
      </c>
      <c r="D78" s="123">
        <f t="shared" si="13"/>
        <v>1.4</v>
      </c>
      <c r="E78" s="20">
        <f>IFERROR(100/'Skjema total MA'!C78*C78,0)</f>
        <v>28.810343854154748</v>
      </c>
      <c r="F78" s="36"/>
      <c r="G78" s="109"/>
      <c r="H78" s="123"/>
      <c r="I78" s="20"/>
      <c r="J78" s="36">
        <f t="shared" si="15"/>
        <v>463582.31861736201</v>
      </c>
      <c r="K78" s="36">
        <f t="shared" si="15"/>
        <v>469933.70855457499</v>
      </c>
      <c r="L78" s="206">
        <f t="shared" si="16"/>
        <v>1.4</v>
      </c>
      <c r="M78" s="23">
        <f>IFERROR(100/'Skjema total MA'!I78*K78,0)</f>
        <v>28.810343854154748</v>
      </c>
    </row>
    <row r="79" spans="1:13" x14ac:dyDescent="0.2">
      <c r="A79" s="18" t="s">
        <v>207</v>
      </c>
      <c r="B79" s="237">
        <v>1511</v>
      </c>
      <c r="C79" s="238">
        <v>16</v>
      </c>
      <c r="D79" s="123">
        <f t="shared" si="13"/>
        <v>-98.9</v>
      </c>
      <c r="E79" s="20">
        <f>IFERROR(100/'Skjema total MA'!C79*C79,0)</f>
        <v>0.35277463156702549</v>
      </c>
      <c r="F79" s="142">
        <v>2368942.852</v>
      </c>
      <c r="G79" s="238">
        <v>2641021.9130000002</v>
      </c>
      <c r="H79" s="123">
        <f t="shared" si="14"/>
        <v>11.5</v>
      </c>
      <c r="I79" s="20">
        <f>IFERROR(100/'Skjema total MA'!F79*G79,0)</f>
        <v>18.013688472842222</v>
      </c>
      <c r="J79" s="36">
        <f t="shared" si="15"/>
        <v>2370453.852</v>
      </c>
      <c r="K79" s="36">
        <f t="shared" si="15"/>
        <v>2641037.9130000002</v>
      </c>
      <c r="L79" s="206">
        <f t="shared" si="16"/>
        <v>11.4</v>
      </c>
      <c r="M79" s="23">
        <f>IFERROR(100/'Skjema total MA'!I79*K79,0)</f>
        <v>18.008226719017046</v>
      </c>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v>4930.4059999999999</v>
      </c>
      <c r="C86" s="109">
        <v>5058.5950000000003</v>
      </c>
      <c r="D86" s="123">
        <f t="shared" si="13"/>
        <v>2.6</v>
      </c>
      <c r="E86" s="20">
        <f>IFERROR(100/'Skjema total MA'!C86*C86,0)</f>
        <v>6.7342722451193389</v>
      </c>
      <c r="F86" s="36">
        <v>1007.4</v>
      </c>
      <c r="G86" s="109">
        <v>1434.856</v>
      </c>
      <c r="H86" s="123">
        <f t="shared" si="14"/>
        <v>42.4</v>
      </c>
      <c r="I86" s="20">
        <f>IFERROR(100/'Skjema total MA'!F86*G86,0)</f>
        <v>31.740079510795361</v>
      </c>
      <c r="J86" s="36">
        <f t="shared" si="15"/>
        <v>5937.8059999999996</v>
      </c>
      <c r="K86" s="36">
        <f t="shared" si="15"/>
        <v>6493.451</v>
      </c>
      <c r="L86" s="206">
        <f t="shared" si="16"/>
        <v>9.4</v>
      </c>
      <c r="M86" s="23">
        <f>IFERROR(100/'Skjema total MA'!I86*K86,0)</f>
        <v>8.1537279185625096</v>
      </c>
    </row>
    <row r="87" spans="1:13" ht="15.75" x14ac:dyDescent="0.2">
      <c r="A87" s="10" t="s">
        <v>172</v>
      </c>
      <c r="B87" s="288">
        <v>50264559.441332296</v>
      </c>
      <c r="C87" s="288">
        <v>51526394.601492301</v>
      </c>
      <c r="D87" s="127">
        <f t="shared" si="13"/>
        <v>2.5</v>
      </c>
      <c r="E87" s="21">
        <f>IFERROR(100/'Skjema total MA'!C87*C87,0)</f>
        <v>12.427978952579428</v>
      </c>
      <c r="F87" s="225">
        <v>110015624.358435</v>
      </c>
      <c r="G87" s="287">
        <v>140107377.99544999</v>
      </c>
      <c r="H87" s="127">
        <f t="shared" si="14"/>
        <v>27.4</v>
      </c>
      <c r="I87" s="21">
        <f>IFERROR(100/'Skjema total MA'!F87*G87,0)</f>
        <v>17.628994297531001</v>
      </c>
      <c r="J87" s="183">
        <f t="shared" ref="J87:K111" si="21">SUM(B87,F87)</f>
        <v>160280183.79976732</v>
      </c>
      <c r="K87" s="183">
        <f t="shared" si="21"/>
        <v>191633772.59694231</v>
      </c>
      <c r="L87" s="342">
        <f t="shared" si="16"/>
        <v>19.600000000000001</v>
      </c>
      <c r="M87" s="8">
        <f>IFERROR(100/'Skjema total MA'!I87*K87,0)</f>
        <v>15.845944537743385</v>
      </c>
    </row>
    <row r="88" spans="1:13" x14ac:dyDescent="0.2">
      <c r="A88" s="18" t="s">
        <v>198</v>
      </c>
      <c r="B88" s="181">
        <v>48285762.813332297</v>
      </c>
      <c r="C88" s="109">
        <v>49393377.071492299</v>
      </c>
      <c r="D88" s="123">
        <f t="shared" si="13"/>
        <v>2.2999999999999998</v>
      </c>
      <c r="E88" s="20">
        <f>IFERROR(100/'Skjema total MA'!C88*C88,0)</f>
        <v>12.77175444706781</v>
      </c>
      <c r="F88" s="36"/>
      <c r="G88" s="109"/>
      <c r="H88" s="123"/>
      <c r="I88" s="20"/>
      <c r="J88" s="36">
        <f t="shared" si="21"/>
        <v>48285762.813332297</v>
      </c>
      <c r="K88" s="36">
        <f t="shared" si="21"/>
        <v>49393377.071492299</v>
      </c>
      <c r="L88" s="206">
        <f t="shared" si="16"/>
        <v>2.2999999999999998</v>
      </c>
      <c r="M88" s="23">
        <f>IFERROR(100/'Skjema total MA'!I88*K88,0)</f>
        <v>12.77175444706781</v>
      </c>
    </row>
    <row r="89" spans="1:13" x14ac:dyDescent="0.2">
      <c r="A89" s="18" t="s">
        <v>199</v>
      </c>
      <c r="B89" s="181">
        <v>1603098.2279999999</v>
      </c>
      <c r="C89" s="109">
        <v>1742460.7860000001</v>
      </c>
      <c r="D89" s="123">
        <f t="shared" si="13"/>
        <v>8.6999999999999993</v>
      </c>
      <c r="E89" s="20">
        <f>IFERROR(100/'Skjema total MA'!C89*C89,0)</f>
        <v>41.135869922841515</v>
      </c>
      <c r="F89" s="36">
        <v>110015624.358435</v>
      </c>
      <c r="G89" s="109">
        <v>140107377.99544999</v>
      </c>
      <c r="H89" s="123">
        <f t="shared" si="14"/>
        <v>27.4</v>
      </c>
      <c r="I89" s="20">
        <f>IFERROR(100/'Skjema total MA'!F89*G89,0)</f>
        <v>17.91882973203796</v>
      </c>
      <c r="J89" s="36">
        <f t="shared" si="21"/>
        <v>111618722.58643501</v>
      </c>
      <c r="K89" s="36">
        <f t="shared" si="21"/>
        <v>141849838.78145</v>
      </c>
      <c r="L89" s="206">
        <f t="shared" si="16"/>
        <v>27.1</v>
      </c>
      <c r="M89" s="23">
        <f>IFERROR(100/'Skjema total MA'!I89*K89,0)</f>
        <v>18.043928035526456</v>
      </c>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v>375698.4</v>
      </c>
      <c r="C97" s="109">
        <v>390556.74400000001</v>
      </c>
      <c r="D97" s="123">
        <f t="shared" ref="D97" si="22">IF(B97=0, "    ---- ", IF(ABS(ROUND(100/B97*C97-100,1))&lt;999,ROUND(100/B97*C97-100,1),IF(ROUND(100/B97*C97-100,1)&gt;999,999,-999)))</f>
        <v>4</v>
      </c>
      <c r="E97" s="20">
        <f>IFERROR(100/'Skjema total MA'!C98*C97,0)</f>
        <v>0.10101159804534157</v>
      </c>
      <c r="F97" s="36"/>
      <c r="G97" s="109"/>
      <c r="H97" s="123"/>
      <c r="I97" s="20"/>
      <c r="J97" s="36">
        <f t="shared" ref="J97" si="23">SUM(B97,F97)</f>
        <v>375698.4</v>
      </c>
      <c r="K97" s="36">
        <f t="shared" ref="K97" si="24">SUM(C97,G97)</f>
        <v>390556.74400000001</v>
      </c>
      <c r="L97" s="206">
        <f t="shared" ref="L97" si="25">IF(J97=0, "    ---- ", IF(ABS(ROUND(100/J97*K97-100,1))&lt;999,ROUND(100/J97*K97-100,1),IF(ROUND(100/J97*K97-100,1)&gt;999,999,-999)))</f>
        <v>4</v>
      </c>
      <c r="M97" s="23">
        <f>IFERROR(100/'Skjema total MA'!I98*K97,0)</f>
        <v>3.3434163600047272E-2</v>
      </c>
    </row>
    <row r="98" spans="1:13" ht="15.75" x14ac:dyDescent="0.2">
      <c r="A98" s="18" t="s">
        <v>206</v>
      </c>
      <c r="B98" s="181">
        <v>49874619.772332303</v>
      </c>
      <c r="C98" s="181">
        <v>51118957.279492296</v>
      </c>
      <c r="D98" s="123">
        <f t="shared" si="13"/>
        <v>2.5</v>
      </c>
      <c r="E98" s="20">
        <f>IFERROR(100/'Skjema total MA'!C98*C98,0)</f>
        <v>13.221145568575979</v>
      </c>
      <c r="F98" s="142">
        <v>109998931.061435</v>
      </c>
      <c r="G98" s="237">
        <v>140084296.62544999</v>
      </c>
      <c r="H98" s="123">
        <f t="shared" si="14"/>
        <v>27.4</v>
      </c>
      <c r="I98" s="20">
        <f>IFERROR(100/'Skjema total MA'!F98*G98,0)</f>
        <v>17.92525396938855</v>
      </c>
      <c r="J98" s="36">
        <f t="shared" si="21"/>
        <v>159873550.83376729</v>
      </c>
      <c r="K98" s="36">
        <f t="shared" si="21"/>
        <v>191203253.90494227</v>
      </c>
      <c r="L98" s="206">
        <f t="shared" si="16"/>
        <v>19.600000000000001</v>
      </c>
      <c r="M98" s="23">
        <f>IFERROR(100/'Skjema total MA'!I98*K98,0)</f>
        <v>16.368225539895469</v>
      </c>
    </row>
    <row r="99" spans="1:13" x14ac:dyDescent="0.2">
      <c r="A99" s="18" t="s">
        <v>198</v>
      </c>
      <c r="B99" s="237">
        <v>48271521.544332303</v>
      </c>
      <c r="C99" s="238">
        <v>49376496.493492298</v>
      </c>
      <c r="D99" s="123">
        <f t="shared" si="13"/>
        <v>2.2999999999999998</v>
      </c>
      <c r="E99" s="20">
        <f>IFERROR(100/'Skjema total MA'!C99*C99,0)</f>
        <v>12.91194028361495</v>
      </c>
      <c r="F99" s="36"/>
      <c r="G99" s="109"/>
      <c r="H99" s="123"/>
      <c r="I99" s="20"/>
      <c r="J99" s="36">
        <f t="shared" si="21"/>
        <v>48271521.544332303</v>
      </c>
      <c r="K99" s="36">
        <f t="shared" si="21"/>
        <v>49376496.493492298</v>
      </c>
      <c r="L99" s="206">
        <f t="shared" si="16"/>
        <v>2.2999999999999998</v>
      </c>
      <c r="M99" s="23">
        <f>IFERROR(100/'Skjema total MA'!I99*K99,0)</f>
        <v>12.91194028361495</v>
      </c>
    </row>
    <row r="100" spans="1:13" x14ac:dyDescent="0.2">
      <c r="A100" s="18" t="s">
        <v>207</v>
      </c>
      <c r="B100" s="237">
        <v>1603098.2279999999</v>
      </c>
      <c r="C100" s="238">
        <v>1742460.7860000001</v>
      </c>
      <c r="D100" s="123">
        <f t="shared" si="13"/>
        <v>8.6999999999999993</v>
      </c>
      <c r="E100" s="20">
        <f>IFERROR(100/'Skjema total MA'!C100*C100,0)</f>
        <v>41.135869922841515</v>
      </c>
      <c r="F100" s="36">
        <v>109998931.061435</v>
      </c>
      <c r="G100" s="181">
        <v>140084296.62544999</v>
      </c>
      <c r="H100" s="123">
        <f t="shared" si="14"/>
        <v>27.4</v>
      </c>
      <c r="I100" s="20">
        <f>IFERROR(100/'Skjema total MA'!F100*G100,0)</f>
        <v>17.92525396938855</v>
      </c>
      <c r="J100" s="36">
        <f t="shared" si="21"/>
        <v>111602029.289435</v>
      </c>
      <c r="K100" s="36">
        <f t="shared" si="21"/>
        <v>141826757.41145</v>
      </c>
      <c r="L100" s="206">
        <f t="shared" si="16"/>
        <v>27.1</v>
      </c>
      <c r="M100" s="23">
        <f>IFERROR(100/'Skjema total MA'!I100*K100,0)</f>
        <v>18.050382756412692</v>
      </c>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v>14241.269</v>
      </c>
      <c r="C107" s="109">
        <v>16880.578000000001</v>
      </c>
      <c r="D107" s="123">
        <f t="shared" si="13"/>
        <v>18.5</v>
      </c>
      <c r="E107" s="20">
        <f>IFERROR(100/'Skjema total MA'!C107*C107,0)</f>
        <v>0.38988857405361033</v>
      </c>
      <c r="F107" s="36">
        <v>16693.296999999999</v>
      </c>
      <c r="G107" s="109">
        <v>23081.37</v>
      </c>
      <c r="H107" s="123">
        <f t="shared" si="14"/>
        <v>38.299999999999997</v>
      </c>
      <c r="I107" s="20">
        <f>IFERROR(100/'Skjema total MA'!F107*G107,0)</f>
        <v>5.6435045034068718</v>
      </c>
      <c r="J107" s="36">
        <f t="shared" si="21"/>
        <v>30934.565999999999</v>
      </c>
      <c r="K107" s="36">
        <f t="shared" si="21"/>
        <v>39961.948000000004</v>
      </c>
      <c r="L107" s="206">
        <f t="shared" si="16"/>
        <v>29.2</v>
      </c>
      <c r="M107" s="23">
        <f>IFERROR(100/'Skjema total MA'!I107*K107,0)</f>
        <v>0.8433316537402622</v>
      </c>
    </row>
    <row r="108" spans="1:13" ht="15.75" x14ac:dyDescent="0.2">
      <c r="A108" s="18" t="s">
        <v>209</v>
      </c>
      <c r="B108" s="181">
        <v>39618150.358095199</v>
      </c>
      <c r="C108" s="181">
        <v>39416168.349409901</v>
      </c>
      <c r="D108" s="123">
        <f t="shared" si="13"/>
        <v>-0.5</v>
      </c>
      <c r="E108" s="20">
        <f>IFERROR(100/'Skjema total MA'!C108*C108,0)</f>
        <v>11.950534054234186</v>
      </c>
      <c r="F108" s="36"/>
      <c r="G108" s="181"/>
      <c r="H108" s="123"/>
      <c r="I108" s="20"/>
      <c r="J108" s="36">
        <f t="shared" si="21"/>
        <v>39618150.358095199</v>
      </c>
      <c r="K108" s="36">
        <f t="shared" si="21"/>
        <v>39416168.349409901</v>
      </c>
      <c r="L108" s="206">
        <f t="shared" si="16"/>
        <v>-0.5</v>
      </c>
      <c r="M108" s="23">
        <f>IFERROR(100/'Skjema total MA'!I108*K108,0)</f>
        <v>11.079956936238833</v>
      </c>
    </row>
    <row r="109" spans="1:13" ht="15.75" x14ac:dyDescent="0.2">
      <c r="A109" s="18" t="s">
        <v>210</v>
      </c>
      <c r="B109" s="181">
        <v>1302783.89494733</v>
      </c>
      <c r="C109" s="181">
        <v>1804098.58757197</v>
      </c>
      <c r="D109" s="123">
        <f t="shared" si="13"/>
        <v>38.5</v>
      </c>
      <c r="E109" s="20">
        <f>IFERROR(100/'Skjema total MA'!C109*C109,0)</f>
        <v>55.56234299727042</v>
      </c>
      <c r="F109" s="36">
        <v>49442336.051789999</v>
      </c>
      <c r="G109" s="181">
        <v>63266026.262780003</v>
      </c>
      <c r="H109" s="123">
        <f t="shared" si="14"/>
        <v>28</v>
      </c>
      <c r="I109" s="20">
        <f>IFERROR(100/'Skjema total MA'!F109*G109,0)</f>
        <v>20.033172788584537</v>
      </c>
      <c r="J109" s="36">
        <f t="shared" si="21"/>
        <v>50745119.946737327</v>
      </c>
      <c r="K109" s="36">
        <f t="shared" si="21"/>
        <v>65070124.850351974</v>
      </c>
      <c r="L109" s="206">
        <f t="shared" si="16"/>
        <v>28.2</v>
      </c>
      <c r="M109" s="23">
        <f>IFERROR(100/'Skjema total MA'!I109*K109,0)</f>
        <v>20.394750402576101</v>
      </c>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v>3471851.5320000001</v>
      </c>
      <c r="G111" s="118">
        <v>8007590.176</v>
      </c>
      <c r="H111" s="127">
        <f t="shared" si="14"/>
        <v>130.6</v>
      </c>
      <c r="I111" s="21">
        <f>IFERROR(100/'Skjema total MA'!F111*G111,0)</f>
        <v>33.200032381216914</v>
      </c>
      <c r="J111" s="183">
        <f t="shared" si="21"/>
        <v>3471851.5320000001</v>
      </c>
      <c r="K111" s="183">
        <f t="shared" si="21"/>
        <v>8007590.176</v>
      </c>
      <c r="L111" s="342">
        <f t="shared" si="16"/>
        <v>130.6</v>
      </c>
      <c r="M111" s="8">
        <f>IFERROR(100/'Skjema total MA'!I111*K111,0)</f>
        <v>32.792727677898959</v>
      </c>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v>3471851.5320000001</v>
      </c>
      <c r="G113" s="109">
        <v>8007590.176</v>
      </c>
      <c r="H113" s="123">
        <f t="shared" ref="H113:H125" si="26">IF(F113=0, "    ---- ", IF(ABS(ROUND(100/F113*G113-100,1))&lt;999,ROUND(100/F113*G113-100,1),IF(ROUND(100/F113*G113-100,1)&gt;999,999,-999)))</f>
        <v>130.6</v>
      </c>
      <c r="I113" s="20">
        <f>IFERROR(100/'Skjema total MA'!F113*G113,0)</f>
        <v>33.20793416961115</v>
      </c>
      <c r="J113" s="36">
        <f t="shared" ref="J113:K125" si="27">SUM(B113,F113)</f>
        <v>3471851.5320000001</v>
      </c>
      <c r="K113" s="36">
        <f t="shared" si="27"/>
        <v>8007590.176</v>
      </c>
      <c r="L113" s="206">
        <f t="shared" ref="L113:L125" si="28">IF(J113=0, "    ---- ", IF(ABS(ROUND(100/J113*K113-100,1))&lt;999,ROUND(100/J113*K113-100,1),IF(ROUND(100/J113*K113-100,1)&gt;999,999,-999)))</f>
        <v>130.6</v>
      </c>
      <c r="M113" s="23">
        <f>IFERROR(100/'Skjema total MA'!I113*K113,0)</f>
        <v>33.193228932845848</v>
      </c>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v>2173686.1919999998</v>
      </c>
      <c r="G117" s="181">
        <v>3386655.557</v>
      </c>
      <c r="H117" s="123">
        <f t="shared" si="26"/>
        <v>55.8</v>
      </c>
      <c r="I117" s="20">
        <f>IFERROR(100/'Skjema total MA'!F117*G117,0)</f>
        <v>25.027764539157843</v>
      </c>
      <c r="J117" s="36">
        <f t="shared" si="27"/>
        <v>2173686.1919999998</v>
      </c>
      <c r="K117" s="36">
        <f t="shared" si="27"/>
        <v>3386655.557</v>
      </c>
      <c r="L117" s="206">
        <f t="shared" si="28"/>
        <v>55.8</v>
      </c>
      <c r="M117" s="23">
        <f>IFERROR(100/'Skjema total MA'!I117*K117,0)</f>
        <v>25.027764539157843</v>
      </c>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v>3832</v>
      </c>
      <c r="C119" s="118">
        <v>4218.1660299999603</v>
      </c>
      <c r="D119" s="127">
        <f t="shared" ref="D119:D120" si="29">IF(B119=0, "    ---- ", IF(ABS(ROUND(100/B119*C119-100,1))&lt;999,ROUND(100/B119*C119-100,1),IF(ROUND(100/B119*C119-100,1)&gt;999,999,-999)))</f>
        <v>10.1</v>
      </c>
      <c r="E119" s="21">
        <f>IFERROR(100/'Skjema total MA'!C119*C119,0)</f>
        <v>1.2286463069317248</v>
      </c>
      <c r="F119" s="183">
        <v>4319180.26</v>
      </c>
      <c r="G119" s="118">
        <v>3634748.8620000002</v>
      </c>
      <c r="H119" s="127">
        <f t="shared" si="26"/>
        <v>-15.8</v>
      </c>
      <c r="I119" s="21">
        <f>IFERROR(100/'Skjema total MA'!F119*G119,0)</f>
        <v>14.562411912299437</v>
      </c>
      <c r="J119" s="183">
        <f t="shared" si="27"/>
        <v>4323012.26</v>
      </c>
      <c r="K119" s="183">
        <f t="shared" si="27"/>
        <v>3638967.0280300002</v>
      </c>
      <c r="L119" s="342">
        <f t="shared" si="28"/>
        <v>-15.8</v>
      </c>
      <c r="M119" s="8">
        <f>IFERROR(100/'Skjema total MA'!I119*K119,0)</f>
        <v>14.381496500088257</v>
      </c>
    </row>
    <row r="120" spans="1:13" x14ac:dyDescent="0.2">
      <c r="A120" s="18" t="s">
        <v>198</v>
      </c>
      <c r="B120" s="181">
        <v>3832</v>
      </c>
      <c r="C120" s="109">
        <v>4218.1660299999603</v>
      </c>
      <c r="D120" s="123">
        <f t="shared" si="29"/>
        <v>10.1</v>
      </c>
      <c r="E120" s="20">
        <f>IFERROR(100/'Skjema total MA'!C120*C120,0)</f>
        <v>7.1917376111001792</v>
      </c>
      <c r="F120" s="36"/>
      <c r="G120" s="109"/>
      <c r="H120" s="123"/>
      <c r="I120" s="20"/>
      <c r="J120" s="36">
        <f t="shared" si="27"/>
        <v>3832</v>
      </c>
      <c r="K120" s="36">
        <f t="shared" si="27"/>
        <v>4218.1660299999603</v>
      </c>
      <c r="L120" s="206">
        <f t="shared" si="28"/>
        <v>10.1</v>
      </c>
      <c r="M120" s="23">
        <f>IFERROR(100/'Skjema total MA'!I120*K120,0)</f>
        <v>7.1917376111001792</v>
      </c>
    </row>
    <row r="121" spans="1:13" x14ac:dyDescent="0.2">
      <c r="A121" s="18" t="s">
        <v>199</v>
      </c>
      <c r="B121" s="181"/>
      <c r="C121" s="109"/>
      <c r="D121" s="123"/>
      <c r="E121" s="20"/>
      <c r="F121" s="36">
        <v>4319180.26</v>
      </c>
      <c r="G121" s="109">
        <v>3634748.8620000002</v>
      </c>
      <c r="H121" s="123">
        <f t="shared" si="26"/>
        <v>-15.8</v>
      </c>
      <c r="I121" s="20">
        <f>IFERROR(100/'Skjema total MA'!F121*G121,0)</f>
        <v>14.562411912299437</v>
      </c>
      <c r="J121" s="36">
        <f t="shared" si="27"/>
        <v>4319180.26</v>
      </c>
      <c r="K121" s="36">
        <f t="shared" si="27"/>
        <v>3634748.8620000002</v>
      </c>
      <c r="L121" s="206">
        <f t="shared" si="28"/>
        <v>-15.8</v>
      </c>
      <c r="M121" s="23">
        <f>IFERROR(100/'Skjema total MA'!I121*K121,0)</f>
        <v>14.54066016132605</v>
      </c>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v>2113593.6889999998</v>
      </c>
      <c r="G125" s="181">
        <v>2258614.912</v>
      </c>
      <c r="H125" s="123">
        <f t="shared" si="26"/>
        <v>6.9</v>
      </c>
      <c r="I125" s="20">
        <f>IFERROR(100/'Skjema total MA'!F125*G125,0)</f>
        <v>18.770389197340933</v>
      </c>
      <c r="J125" s="36">
        <f t="shared" si="27"/>
        <v>2113593.6889999998</v>
      </c>
      <c r="K125" s="36">
        <f t="shared" si="27"/>
        <v>2258614.912</v>
      </c>
      <c r="L125" s="206">
        <f t="shared" si="28"/>
        <v>6.9</v>
      </c>
      <c r="M125" s="23">
        <f>IFERROR(100/'Skjema total MA'!I125*K125,0)</f>
        <v>18.769869184112078</v>
      </c>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306" priority="12">
      <formula>kvartal &lt; 4</formula>
    </cfRule>
  </conditionalFormatting>
  <conditionalFormatting sqref="A69:A74">
    <cfRule type="expression" dxfId="305" priority="10">
      <formula>kvartal &lt; 4</formula>
    </cfRule>
  </conditionalFormatting>
  <conditionalFormatting sqref="A80:A85">
    <cfRule type="expression" dxfId="304" priority="9">
      <formula>kvartal &lt; 4</formula>
    </cfRule>
  </conditionalFormatting>
  <conditionalFormatting sqref="A90:A95">
    <cfRule type="expression" dxfId="303" priority="6">
      <formula>kvartal &lt; 4</formula>
    </cfRule>
  </conditionalFormatting>
  <conditionalFormatting sqref="A101:A106">
    <cfRule type="expression" dxfId="302" priority="5">
      <formula>kvartal &lt; 4</formula>
    </cfRule>
  </conditionalFormatting>
  <conditionalFormatting sqref="A115:C115">
    <cfRule type="expression" dxfId="301" priority="4">
      <formula>kvartal &lt; 4</formula>
    </cfRule>
  </conditionalFormatting>
  <conditionalFormatting sqref="A123:C123">
    <cfRule type="expression" dxfId="300" priority="3">
      <formula>kvartal &lt; 4</formula>
    </cfRule>
  </conditionalFormatting>
  <conditionalFormatting sqref="B69:C69">
    <cfRule type="expression" dxfId="299" priority="99">
      <formula>kvartal &lt; 4</formula>
    </cfRule>
  </conditionalFormatting>
  <conditionalFormatting sqref="B72:C72">
    <cfRule type="expression" dxfId="298" priority="97">
      <formula>kvartal &lt; 4</formula>
    </cfRule>
  </conditionalFormatting>
  <conditionalFormatting sqref="F115:G115">
    <cfRule type="expression" dxfId="297" priority="57">
      <formula>kvartal &lt; 4</formula>
    </cfRule>
  </conditionalFormatting>
  <conditionalFormatting sqref="F123:G123">
    <cfRule type="expression" dxfId="296" priority="56">
      <formula>kvartal &lt; 4</formula>
    </cfRule>
  </conditionalFormatting>
  <conditionalFormatting sqref="J115:K115">
    <cfRule type="expression" dxfId="295" priority="32">
      <formula>kvartal &lt; 4</formula>
    </cfRule>
  </conditionalFormatting>
  <conditionalFormatting sqref="J123:K123">
    <cfRule type="expression" dxfId="294" priority="31">
      <formula>kvartal &lt; 4</formula>
    </cfRule>
  </conditionalFormatting>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FCAE9-D5F2-4A61-80DB-C3B7691ABF8D}">
  <sheetPr codeName="Ark24"/>
  <dimension ref="A1:N144"/>
  <sheetViews>
    <sheetView showGridLines="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60</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c r="G7" s="249"/>
      <c r="H7" s="285"/>
      <c r="I7" s="119"/>
      <c r="J7" s="250"/>
      <c r="K7" s="251"/>
      <c r="L7" s="341"/>
      <c r="M7" s="8"/>
    </row>
    <row r="8" spans="1:14" ht="15.75" x14ac:dyDescent="0.2">
      <c r="A8" s="18" t="s">
        <v>170</v>
      </c>
      <c r="B8" s="228"/>
      <c r="C8" s="229"/>
      <c r="D8" s="123"/>
      <c r="E8" s="23"/>
      <c r="F8" s="232"/>
      <c r="G8" s="233"/>
      <c r="H8" s="123"/>
      <c r="I8" s="132"/>
      <c r="J8" s="181"/>
      <c r="K8" s="234"/>
      <c r="L8" s="123"/>
      <c r="M8" s="23"/>
    </row>
    <row r="9" spans="1:14" ht="15.75" x14ac:dyDescent="0.2">
      <c r="A9" s="18" t="s">
        <v>171</v>
      </c>
      <c r="B9" s="228"/>
      <c r="C9" s="229"/>
      <c r="D9" s="123"/>
      <c r="E9" s="23"/>
      <c r="F9" s="232"/>
      <c r="G9" s="233"/>
      <c r="H9" s="123"/>
      <c r="I9" s="132"/>
      <c r="J9" s="181"/>
      <c r="K9" s="234"/>
      <c r="L9" s="123"/>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8970</v>
      </c>
      <c r="C47" s="253">
        <v>9386</v>
      </c>
      <c r="D47" s="341">
        <f t="shared" ref="D47:D48" si="0">IF(B47=0, "    ---- ", IF(ABS(ROUND(100/B47*C47-100,1))&lt;999,ROUND(100/B47*C47-100,1),IF(ROUND(100/B47*C47-100,1)&gt;999,999,-999)))</f>
        <v>4.5999999999999996</v>
      </c>
      <c r="E47" s="8">
        <f>IFERROR(100/'Skjema total MA'!C47*C47,0)</f>
        <v>0.18643652450717504</v>
      </c>
      <c r="F47" s="109"/>
      <c r="G47" s="27"/>
      <c r="H47" s="118"/>
      <c r="I47" s="118"/>
      <c r="J47" s="31"/>
      <c r="K47" s="31"/>
      <c r="L47" s="118"/>
      <c r="M47" s="118"/>
    </row>
    <row r="48" spans="1:13" ht="15.75" x14ac:dyDescent="0.2">
      <c r="A48" s="18" t="s">
        <v>190</v>
      </c>
      <c r="B48" s="228">
        <v>8970</v>
      </c>
      <c r="C48" s="229">
        <v>9386</v>
      </c>
      <c r="D48" s="206">
        <f t="shared" si="0"/>
        <v>4.5999999999999996</v>
      </c>
      <c r="E48" s="23">
        <f>IFERROR(100/'Skjema total MA'!C48*C48,0)</f>
        <v>0.37751883350701598</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2:D2"/>
    <mergeCell ref="F2:H2"/>
    <mergeCell ref="J2:L2"/>
    <mergeCell ref="B4:D4"/>
    <mergeCell ref="F4:H4"/>
    <mergeCell ref="J4:L4"/>
    <mergeCell ref="B18:D18"/>
    <mergeCell ref="F18:H18"/>
    <mergeCell ref="J18:L18"/>
    <mergeCell ref="B19:D19"/>
    <mergeCell ref="F19:H19"/>
    <mergeCell ref="J19:L19"/>
    <mergeCell ref="D40:F40"/>
    <mergeCell ref="G40:I40"/>
    <mergeCell ref="J40:L40"/>
    <mergeCell ref="B42:D42"/>
    <mergeCell ref="F42:H42"/>
    <mergeCell ref="J42:L42"/>
    <mergeCell ref="B44:D44"/>
    <mergeCell ref="B62:D62"/>
    <mergeCell ref="F62:H62"/>
    <mergeCell ref="J62:L62"/>
    <mergeCell ref="B63:D63"/>
    <mergeCell ref="F63:H63"/>
    <mergeCell ref="J63:L63"/>
    <mergeCell ref="B130:D130"/>
    <mergeCell ref="F130:H130"/>
    <mergeCell ref="J130:L130"/>
    <mergeCell ref="B131:D131"/>
    <mergeCell ref="F131:H131"/>
    <mergeCell ref="J131:L131"/>
  </mergeCells>
  <conditionalFormatting sqref="A50:A52">
    <cfRule type="expression" dxfId="293" priority="7">
      <formula>kvartal &lt; 4</formula>
    </cfRule>
  </conditionalFormatting>
  <conditionalFormatting sqref="A69:A74">
    <cfRule type="expression" dxfId="292" priority="6">
      <formula>kvartal &lt; 4</formula>
    </cfRule>
  </conditionalFormatting>
  <conditionalFormatting sqref="A80:A85">
    <cfRule type="expression" dxfId="291" priority="5">
      <formula>kvartal &lt; 4</formula>
    </cfRule>
  </conditionalFormatting>
  <conditionalFormatting sqref="A90:A95">
    <cfRule type="expression" dxfId="290" priority="4">
      <formula>kvartal &lt; 4</formula>
    </cfRule>
  </conditionalFormatting>
  <conditionalFormatting sqref="A101:A106">
    <cfRule type="expression" dxfId="289" priority="3">
      <formula>kvartal &lt; 4</formula>
    </cfRule>
  </conditionalFormatting>
  <conditionalFormatting sqref="A115:C115">
    <cfRule type="expression" dxfId="288" priority="2">
      <formula>kvartal &lt; 4</formula>
    </cfRule>
  </conditionalFormatting>
  <conditionalFormatting sqref="A123:C123">
    <cfRule type="expression" dxfId="287" priority="1">
      <formula>kvartal &lt; 4</formula>
    </cfRule>
  </conditionalFormatting>
  <conditionalFormatting sqref="B69:C69">
    <cfRule type="expression" dxfId="286" priority="57">
      <formula>kvartal &lt; 4</formula>
    </cfRule>
  </conditionalFormatting>
  <conditionalFormatting sqref="B72:C72">
    <cfRule type="expression" dxfId="285" priority="55">
      <formula>kvartal &lt; 4</formula>
    </cfRule>
  </conditionalFormatting>
  <conditionalFormatting sqref="F115:G115">
    <cfRule type="expression" dxfId="284" priority="27">
      <formula>kvartal &lt; 4</formula>
    </cfRule>
  </conditionalFormatting>
  <conditionalFormatting sqref="F123:G123">
    <cfRule type="expression" dxfId="283" priority="26">
      <formula>kvartal &lt; 4</formula>
    </cfRule>
  </conditionalFormatting>
  <conditionalFormatting sqref="J115:K115">
    <cfRule type="expression" dxfId="282" priority="9">
      <formula>kvartal &lt; 4</formula>
    </cfRule>
  </conditionalFormatting>
  <conditionalFormatting sqref="J123:K123">
    <cfRule type="expression" dxfId="281" priority="8">
      <formula>kvartal &lt; 4</formula>
    </cfRule>
  </conditionalFormatting>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26"/>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107</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c r="G7" s="249"/>
      <c r="H7" s="285"/>
      <c r="I7" s="119"/>
      <c r="J7" s="250"/>
      <c r="K7" s="251"/>
      <c r="L7" s="341"/>
      <c r="M7" s="8"/>
    </row>
    <row r="8" spans="1:14" ht="15.75" x14ac:dyDescent="0.2">
      <c r="A8" s="18" t="s">
        <v>170</v>
      </c>
      <c r="B8" s="228"/>
      <c r="C8" s="229"/>
      <c r="D8" s="123"/>
      <c r="E8" s="23"/>
      <c r="F8" s="232"/>
      <c r="G8" s="233"/>
      <c r="H8" s="123"/>
      <c r="I8" s="132"/>
      <c r="J8" s="181"/>
      <c r="K8" s="234"/>
      <c r="L8" s="123"/>
      <c r="M8" s="23"/>
    </row>
    <row r="9" spans="1:14" ht="15.75" x14ac:dyDescent="0.2">
      <c r="A9" s="18" t="s">
        <v>171</v>
      </c>
      <c r="B9" s="228"/>
      <c r="C9" s="229"/>
      <c r="D9" s="123"/>
      <c r="E9" s="23"/>
      <c r="F9" s="232"/>
      <c r="G9" s="233"/>
      <c r="H9" s="123"/>
      <c r="I9" s="132"/>
      <c r="J9" s="181"/>
      <c r="K9" s="234"/>
      <c r="L9" s="123"/>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c r="C47" s="253"/>
      <c r="D47" s="341"/>
      <c r="E47" s="8"/>
      <c r="F47" s="109"/>
      <c r="G47" s="27"/>
      <c r="H47" s="118"/>
      <c r="I47" s="118"/>
      <c r="J47" s="31"/>
      <c r="K47" s="31"/>
      <c r="L47" s="118"/>
      <c r="M47" s="118"/>
    </row>
    <row r="48" spans="1:13" ht="15.75" x14ac:dyDescent="0.2">
      <c r="A48" s="18" t="s">
        <v>190</v>
      </c>
      <c r="B48" s="228"/>
      <c r="C48" s="229"/>
      <c r="D48" s="206"/>
      <c r="E48" s="23"/>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x14ac:dyDescent="0.2">
      <c r="A66" s="11"/>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v>908116</v>
      </c>
      <c r="C134" s="251">
        <v>694944</v>
      </c>
      <c r="D134" s="285">
        <f t="shared" ref="D134:D135" si="0">IF(B134=0, "    ---- ", IF(ABS(ROUND(100/B134*C134-100,1))&lt;999,ROUND(100/B134*C134-100,1),IF(ROUND(100/B134*C134-100,1)&gt;999,999,-999)))</f>
        <v>-23.5</v>
      </c>
      <c r="E134" s="8">
        <f>IFERROR(100/'Skjema total MA'!C134*C134,0)</f>
        <v>7.0233732283648234</v>
      </c>
      <c r="F134" s="258"/>
      <c r="G134" s="259"/>
      <c r="H134" s="345"/>
      <c r="I134" s="21"/>
      <c r="J134" s="260">
        <f t="shared" ref="J134:K135" si="1">SUM(B134,F134)</f>
        <v>908116</v>
      </c>
      <c r="K134" s="260">
        <f t="shared" si="1"/>
        <v>694944</v>
      </c>
      <c r="L134" s="341">
        <f t="shared" ref="L134:L135" si="2">IF(J134=0, "    ---- ", IF(ABS(ROUND(100/J134*K134-100,1))&lt;999,ROUND(100/J134*K134-100,1),IF(ROUND(100/J134*K134-100,1)&gt;999,999,-999)))</f>
        <v>-23.5</v>
      </c>
      <c r="M134" s="8">
        <f>IFERROR(100/'Skjema total MA'!I134*K134,0)</f>
        <v>7.0019932046770244</v>
      </c>
    </row>
    <row r="135" spans="1:14" ht="15.75" x14ac:dyDescent="0.2">
      <c r="A135" s="10" t="s">
        <v>225</v>
      </c>
      <c r="B135" s="183">
        <v>97889000</v>
      </c>
      <c r="C135" s="251">
        <v>104208000</v>
      </c>
      <c r="D135" s="127">
        <f t="shared" si="0"/>
        <v>6.5</v>
      </c>
      <c r="E135" s="8">
        <f>IFERROR(100/'Skjema total MA'!C135*C135,0)</f>
        <v>10.305707070834922</v>
      </c>
      <c r="F135" s="183"/>
      <c r="G135" s="251"/>
      <c r="H135" s="346"/>
      <c r="I135" s="21"/>
      <c r="J135" s="250">
        <f t="shared" si="1"/>
        <v>97889000</v>
      </c>
      <c r="K135" s="250">
        <f t="shared" si="1"/>
        <v>104208000</v>
      </c>
      <c r="L135" s="342">
        <f t="shared" si="2"/>
        <v>6.5</v>
      </c>
      <c r="M135" s="8">
        <f>IFERROR(100/'Skjema total MA'!I135*K135,0)</f>
        <v>10.281197191804388</v>
      </c>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80" priority="12">
      <formula>kvartal &lt; 4</formula>
    </cfRule>
  </conditionalFormatting>
  <conditionalFormatting sqref="A69:A74">
    <cfRule type="expression" dxfId="279" priority="10">
      <formula>kvartal &lt; 4</formula>
    </cfRule>
  </conditionalFormatting>
  <conditionalFormatting sqref="A80:A85">
    <cfRule type="expression" dxfId="278" priority="9">
      <formula>kvartal &lt; 4</formula>
    </cfRule>
  </conditionalFormatting>
  <conditionalFormatting sqref="A90:A95">
    <cfRule type="expression" dxfId="277" priority="6">
      <formula>kvartal &lt; 4</formula>
    </cfRule>
  </conditionalFormatting>
  <conditionalFormatting sqref="A101:A106">
    <cfRule type="expression" dxfId="276" priority="5">
      <formula>kvartal &lt; 4</formula>
    </cfRule>
  </conditionalFormatting>
  <conditionalFormatting sqref="A115:C115">
    <cfRule type="expression" dxfId="275" priority="4">
      <formula>kvartal &lt; 4</formula>
    </cfRule>
  </conditionalFormatting>
  <conditionalFormatting sqref="A123:C123">
    <cfRule type="expression" dxfId="274" priority="3">
      <formula>kvartal &lt; 4</formula>
    </cfRule>
  </conditionalFormatting>
  <conditionalFormatting sqref="B69:C69">
    <cfRule type="expression" dxfId="273" priority="99">
      <formula>kvartal &lt; 4</formula>
    </cfRule>
  </conditionalFormatting>
  <conditionalFormatting sqref="B72:C72">
    <cfRule type="expression" dxfId="272" priority="97">
      <formula>kvartal &lt; 4</formula>
    </cfRule>
  </conditionalFormatting>
  <conditionalFormatting sqref="F115:G115">
    <cfRule type="expression" dxfId="271" priority="57">
      <formula>kvartal &lt; 4</formula>
    </cfRule>
  </conditionalFormatting>
  <conditionalFormatting sqref="F123:G123">
    <cfRule type="expression" dxfId="270" priority="56">
      <formula>kvartal &lt; 4</formula>
    </cfRule>
  </conditionalFormatting>
  <conditionalFormatting sqref="J115:K115">
    <cfRule type="expression" dxfId="269" priority="32">
      <formula>kvartal &lt; 4</formula>
    </cfRule>
  </conditionalFormatting>
  <conditionalFormatting sqref="J123:K123">
    <cfRule type="expression" dxfId="268" priority="31">
      <formula>kvartal &lt; 4</formula>
    </cfRule>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27"/>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108</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v>1213</v>
      </c>
      <c r="C7" s="249">
        <v>1187</v>
      </c>
      <c r="D7" s="285">
        <f>IF(B7=0, "    ---- ", IF(ABS(ROUND(100/B7*C7-100,1))&lt;999,ROUND(100/B7*C7-100,1),IF(ROUND(100/B7*C7-100,1)&gt;999,999,-999)))</f>
        <v>-2.1</v>
      </c>
      <c r="E7" s="8">
        <f>IFERROR(100/'Skjema total MA'!C7*C7,0)</f>
        <v>5.6550213221050659E-2</v>
      </c>
      <c r="F7" s="248"/>
      <c r="G7" s="249"/>
      <c r="H7" s="285"/>
      <c r="I7" s="119"/>
      <c r="J7" s="250">
        <f t="shared" ref="J7:K9" si="0">SUM(B7,F7)</f>
        <v>1213</v>
      </c>
      <c r="K7" s="251">
        <f t="shared" si="0"/>
        <v>1187</v>
      </c>
      <c r="L7" s="341">
        <f>IF(J7=0, "    ---- ", IF(ABS(ROUND(100/J7*K7-100,1))&lt;999,ROUND(100/J7*K7-100,1),IF(ROUND(100/J7*K7-100,1)&gt;999,999,-999)))</f>
        <v>-2.1</v>
      </c>
      <c r="M7" s="8">
        <f>IFERROR(100/'Skjema total MA'!I7*K7,0)</f>
        <v>2.026669689507694E-2</v>
      </c>
    </row>
    <row r="8" spans="1:14" ht="15.75" x14ac:dyDescent="0.2">
      <c r="A8" s="18" t="s">
        <v>170</v>
      </c>
      <c r="B8" s="228">
        <v>1091.7</v>
      </c>
      <c r="C8" s="229">
        <v>1068.3</v>
      </c>
      <c r="D8" s="123">
        <f t="shared" ref="D8:D9" si="1">IF(B8=0, "    ---- ", IF(ABS(ROUND(100/B8*C8-100,1))&lt;999,ROUND(100/B8*C8-100,1),IF(ROUND(100/B8*C8-100,1)&gt;999,999,-999)))</f>
        <v>-2.1</v>
      </c>
      <c r="E8" s="23">
        <f>IFERROR(100/'Skjema total MA'!C8*C8,0)</f>
        <v>7.4396126198994064E-2</v>
      </c>
      <c r="F8" s="232"/>
      <c r="G8" s="233"/>
      <c r="H8" s="123"/>
      <c r="I8" s="132"/>
      <c r="J8" s="181">
        <f t="shared" si="0"/>
        <v>1091.7</v>
      </c>
      <c r="K8" s="234">
        <f t="shared" si="0"/>
        <v>1068.3</v>
      </c>
      <c r="L8" s="123">
        <f t="shared" ref="L8:L9" si="2">IF(J8=0, "    ---- ", IF(ABS(ROUND(100/J8*K8-100,1))&lt;999,ROUND(100/J8*K8-100,1),IF(ROUND(100/J8*K8-100,1)&gt;999,999,-999)))</f>
        <v>-2.1</v>
      </c>
      <c r="M8" s="23">
        <f>IFERROR(100/'Skjema total MA'!I8*K8,0)</f>
        <v>7.4396126198994064E-2</v>
      </c>
    </row>
    <row r="9" spans="1:14" ht="15.75" x14ac:dyDescent="0.2">
      <c r="A9" s="18" t="s">
        <v>171</v>
      </c>
      <c r="B9" s="228">
        <v>121.3</v>
      </c>
      <c r="C9" s="229">
        <v>118.7</v>
      </c>
      <c r="D9" s="123">
        <f t="shared" si="1"/>
        <v>-2.1</v>
      </c>
      <c r="E9" s="23">
        <f>IFERROR(100/'Skjema total MA'!C9*C9,0)</f>
        <v>2.7778579291158664E-2</v>
      </c>
      <c r="F9" s="232"/>
      <c r="G9" s="233"/>
      <c r="H9" s="123"/>
      <c r="I9" s="132"/>
      <c r="J9" s="181">
        <f t="shared" si="0"/>
        <v>121.3</v>
      </c>
      <c r="K9" s="234">
        <f t="shared" si="0"/>
        <v>118.7</v>
      </c>
      <c r="L9" s="123">
        <f t="shared" si="2"/>
        <v>-2.1</v>
      </c>
      <c r="M9" s="23">
        <f>IFERROR(100/'Skjema total MA'!I9*K9,0)</f>
        <v>2.7778579291158664E-2</v>
      </c>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317316</v>
      </c>
      <c r="C47" s="253">
        <v>386283</v>
      </c>
      <c r="D47" s="341">
        <f t="shared" ref="D47:D48" si="3">IF(B47=0, "    ---- ", IF(ABS(ROUND(100/B47*C47-100,1))&lt;999,ROUND(100/B47*C47-100,1),IF(ROUND(100/B47*C47-100,1)&gt;999,999,-999)))</f>
        <v>21.7</v>
      </c>
      <c r="E47" s="8">
        <f>IFERROR(100/'Skjema total MA'!C47*C47,0)</f>
        <v>7.6728382693591621</v>
      </c>
      <c r="F47" s="109"/>
      <c r="G47" s="27"/>
      <c r="H47" s="118"/>
      <c r="I47" s="118"/>
      <c r="J47" s="31"/>
      <c r="K47" s="31"/>
      <c r="L47" s="118"/>
      <c r="M47" s="118"/>
    </row>
    <row r="48" spans="1:13" ht="15.75" x14ac:dyDescent="0.2">
      <c r="A48" s="18" t="s">
        <v>190</v>
      </c>
      <c r="B48" s="228">
        <v>317316</v>
      </c>
      <c r="C48" s="229">
        <v>386283</v>
      </c>
      <c r="D48" s="206">
        <f t="shared" si="3"/>
        <v>21.7</v>
      </c>
      <c r="E48" s="23">
        <f>IFERROR(100/'Skjema total MA'!C48*C48,0)</f>
        <v>15.536874873597981</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2:D2"/>
    <mergeCell ref="F2:H2"/>
    <mergeCell ref="J2:L2"/>
    <mergeCell ref="B4:D4"/>
    <mergeCell ref="F4:H4"/>
    <mergeCell ref="J4:L4"/>
    <mergeCell ref="B18:D18"/>
    <mergeCell ref="F18:H18"/>
    <mergeCell ref="J18:L18"/>
    <mergeCell ref="B19:D19"/>
    <mergeCell ref="F19:H19"/>
    <mergeCell ref="J19:L19"/>
    <mergeCell ref="D40:F40"/>
    <mergeCell ref="G40:I40"/>
    <mergeCell ref="J40:L40"/>
    <mergeCell ref="B42:D42"/>
    <mergeCell ref="F42:H42"/>
    <mergeCell ref="J42:L42"/>
    <mergeCell ref="B44:D44"/>
    <mergeCell ref="B62:D62"/>
    <mergeCell ref="F62:H62"/>
    <mergeCell ref="J62:L62"/>
    <mergeCell ref="B63:D63"/>
    <mergeCell ref="F63:H63"/>
    <mergeCell ref="J63:L63"/>
    <mergeCell ref="B130:D130"/>
    <mergeCell ref="F130:H130"/>
    <mergeCell ref="J130:L130"/>
    <mergeCell ref="B131:D131"/>
    <mergeCell ref="F131:H131"/>
    <mergeCell ref="J131:L131"/>
  </mergeCells>
  <conditionalFormatting sqref="A50:A52">
    <cfRule type="expression" dxfId="267" priority="8">
      <formula>kvartal &lt; 4</formula>
    </cfRule>
  </conditionalFormatting>
  <conditionalFormatting sqref="A69:A74">
    <cfRule type="expression" dxfId="266" priority="7">
      <formula>kvartal &lt; 4</formula>
    </cfRule>
  </conditionalFormatting>
  <conditionalFormatting sqref="A80:A85">
    <cfRule type="expression" dxfId="265" priority="6">
      <formula>kvartal &lt; 4</formula>
    </cfRule>
  </conditionalFormatting>
  <conditionalFormatting sqref="A90:A95">
    <cfRule type="expression" dxfId="264" priority="5">
      <formula>kvartal &lt; 4</formula>
    </cfRule>
  </conditionalFormatting>
  <conditionalFormatting sqref="A101:A106">
    <cfRule type="expression" dxfId="263" priority="4">
      <formula>kvartal &lt; 4</formula>
    </cfRule>
  </conditionalFormatting>
  <conditionalFormatting sqref="A115:C115">
    <cfRule type="expression" dxfId="262" priority="3">
      <formula>kvartal &lt; 4</formula>
    </cfRule>
  </conditionalFormatting>
  <conditionalFormatting sqref="A123:C123">
    <cfRule type="expression" dxfId="261" priority="2">
      <formula>kvartal &lt; 4</formula>
    </cfRule>
  </conditionalFormatting>
  <conditionalFormatting sqref="B69:C69">
    <cfRule type="expression" dxfId="260" priority="60">
      <formula>kvartal &lt; 4</formula>
    </cfRule>
  </conditionalFormatting>
  <conditionalFormatting sqref="B72:C72">
    <cfRule type="expression" dxfId="259" priority="58">
      <formula>kvartal &lt; 4</formula>
    </cfRule>
  </conditionalFormatting>
  <conditionalFormatting sqref="F115:G115">
    <cfRule type="expression" dxfId="258" priority="30">
      <formula>kvartal &lt; 4</formula>
    </cfRule>
  </conditionalFormatting>
  <conditionalFormatting sqref="F123:G123">
    <cfRule type="expression" dxfId="257" priority="29">
      <formula>kvartal &lt; 4</formula>
    </cfRule>
  </conditionalFormatting>
  <conditionalFormatting sqref="J115:K115">
    <cfRule type="expression" dxfId="256" priority="12">
      <formula>kvartal &lt; 4</formula>
    </cfRule>
  </conditionalFormatting>
  <conditionalFormatting sqref="J123:K123">
    <cfRule type="expression" dxfId="255" priority="11">
      <formula>kvartal &lt; 4</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29"/>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406</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v>821.04242999999997</v>
      </c>
      <c r="C7" s="249">
        <v>665.37672999999995</v>
      </c>
      <c r="D7" s="285">
        <f>IF(B7=0, "    ---- ", IF(ABS(ROUND(100/B7*C7-100,1))&lt;999,ROUND(100/B7*C7-100,1),IF(ROUND(100/B7*C7-100,1)&gt;999,999,-999)))</f>
        <v>-19</v>
      </c>
      <c r="E7" s="8">
        <f>IFERROR(100/'Skjema total MA'!C7*C7,0)</f>
        <v>3.1699406869271654E-2</v>
      </c>
      <c r="F7" s="248">
        <v>193308.59813</v>
      </c>
      <c r="G7" s="249">
        <v>198123.61786</v>
      </c>
      <c r="H7" s="285">
        <f>IF(F7=0, "    ---- ", IF(ABS(ROUND(100/F7*G7-100,1))&lt;999,ROUND(100/F7*G7-100,1),IF(ROUND(100/F7*G7-100,1)&gt;999,999,-999)))</f>
        <v>2.5</v>
      </c>
      <c r="I7" s="119">
        <f>IFERROR(100/'Skjema total MA'!F7*G7,0)</f>
        <v>5.272218260783843</v>
      </c>
      <c r="J7" s="250">
        <f t="shared" ref="J7:K12" si="0">SUM(B7,F7)</f>
        <v>194129.64056</v>
      </c>
      <c r="K7" s="251">
        <f t="shared" si="0"/>
        <v>198788.99458999999</v>
      </c>
      <c r="L7" s="341">
        <f>IF(J7=0, "    ---- ", IF(ABS(ROUND(100/J7*K7-100,1))&lt;999,ROUND(100/J7*K7-100,1),IF(ROUND(100/J7*K7-100,1)&gt;999,999,-999)))</f>
        <v>2.4</v>
      </c>
      <c r="M7" s="8">
        <f>IFERROR(100/'Skjema total MA'!I7*K7,0)</f>
        <v>3.3940996625380113</v>
      </c>
    </row>
    <row r="8" spans="1:14" ht="15.75" x14ac:dyDescent="0.2">
      <c r="A8" s="18" t="s">
        <v>170</v>
      </c>
      <c r="B8" s="228">
        <v>966.24309000000005</v>
      </c>
      <c r="C8" s="229">
        <v>898.01937999999996</v>
      </c>
      <c r="D8" s="123">
        <f t="shared" ref="D8:D10" si="1">IF(B8=0, "    ---- ", IF(ABS(ROUND(100/B8*C8-100,1))&lt;999,ROUND(100/B8*C8-100,1),IF(ROUND(100/B8*C8-100,1)&gt;999,999,-999)))</f>
        <v>-7.1</v>
      </c>
      <c r="E8" s="23">
        <f>IFERROR(100/'Skjema total MA'!C8*C8,0)</f>
        <v>6.2537829377162221E-2</v>
      </c>
      <c r="F8" s="232"/>
      <c r="G8" s="233"/>
      <c r="H8" s="123"/>
      <c r="I8" s="132"/>
      <c r="J8" s="181">
        <f t="shared" si="0"/>
        <v>966.24309000000005</v>
      </c>
      <c r="K8" s="234">
        <f t="shared" si="0"/>
        <v>898.01937999999996</v>
      </c>
      <c r="L8" s="123">
        <f t="shared" ref="L8:L9" si="2">IF(J8=0, "    ---- ", IF(ABS(ROUND(100/J8*K8-100,1))&lt;999,ROUND(100/J8*K8-100,1),IF(ROUND(100/J8*K8-100,1)&gt;999,999,-999)))</f>
        <v>-7.1</v>
      </c>
      <c r="M8" s="23">
        <f>IFERROR(100/'Skjema total MA'!I8*K8,0)</f>
        <v>6.2537829377162221E-2</v>
      </c>
    </row>
    <row r="9" spans="1:14" ht="15.75" x14ac:dyDescent="0.2">
      <c r="A9" s="18" t="s">
        <v>171</v>
      </c>
      <c r="B9" s="228">
        <v>333.40417000000002</v>
      </c>
      <c r="C9" s="229">
        <v>291.55936000000003</v>
      </c>
      <c r="D9" s="123">
        <f t="shared" si="1"/>
        <v>-12.6</v>
      </c>
      <c r="E9" s="23">
        <f>IFERROR(100/'Skjema total MA'!C9*C9,0)</f>
        <v>6.8231716932093303E-2</v>
      </c>
      <c r="F9" s="232"/>
      <c r="G9" s="233"/>
      <c r="H9" s="123"/>
      <c r="I9" s="132"/>
      <c r="J9" s="181">
        <f t="shared" si="0"/>
        <v>333.40417000000002</v>
      </c>
      <c r="K9" s="234">
        <f t="shared" si="0"/>
        <v>291.55936000000003</v>
      </c>
      <c r="L9" s="123">
        <f t="shared" si="2"/>
        <v>-12.6</v>
      </c>
      <c r="M9" s="23">
        <f>IFERROR(100/'Skjema total MA'!I9*K9,0)</f>
        <v>6.8231716932093303E-2</v>
      </c>
    </row>
    <row r="10" spans="1:14" ht="15.75" x14ac:dyDescent="0.2">
      <c r="A10" s="10" t="s">
        <v>172</v>
      </c>
      <c r="B10" s="252">
        <v>273097.32526000001</v>
      </c>
      <c r="C10" s="253">
        <v>240188.95110000001</v>
      </c>
      <c r="D10" s="127">
        <f t="shared" si="1"/>
        <v>-12.1</v>
      </c>
      <c r="E10" s="8">
        <f>IFERROR(100/'Skjema total MA'!C10*C10,0)</f>
        <v>1.8800100298297846</v>
      </c>
      <c r="F10" s="252">
        <v>6407110.0963599999</v>
      </c>
      <c r="G10" s="253">
        <v>7236200.9632200003</v>
      </c>
      <c r="H10" s="127">
        <f t="shared" ref="H10:H12" si="3">IF(F10=0, "    ---- ", IF(ABS(ROUND(100/F10*G10-100,1))&lt;999,ROUND(100/F10*G10-100,1),IF(ROUND(100/F10*G10-100,1)&gt;999,999,-999)))</f>
        <v>12.9</v>
      </c>
      <c r="I10" s="119">
        <f>IFERROR(100/'Skjema total MA'!F10*G10,0)</f>
        <v>6.7203424611311222</v>
      </c>
      <c r="J10" s="250">
        <f t="shared" si="0"/>
        <v>6680207.4216200002</v>
      </c>
      <c r="K10" s="251">
        <f t="shared" si="0"/>
        <v>7476389.9143200004</v>
      </c>
      <c r="L10" s="342">
        <f t="shared" ref="L10:L12" si="4">IF(J10=0, "    ---- ", IF(ABS(ROUND(100/J10*K10-100,1))&lt;999,ROUND(100/J10*K10-100,1),IF(ROUND(100/J10*K10-100,1)&gt;999,999,-999)))</f>
        <v>11.9</v>
      </c>
      <c r="M10" s="8">
        <f>IFERROR(100/'Skjema total MA'!I10*K10,0)</f>
        <v>6.2069446870338449</v>
      </c>
    </row>
    <row r="11" spans="1:14" s="35" customFormat="1" ht="15.75" x14ac:dyDescent="0.2">
      <c r="A11" s="10" t="s">
        <v>173</v>
      </c>
      <c r="B11" s="252"/>
      <c r="C11" s="253"/>
      <c r="D11" s="127"/>
      <c r="E11" s="8"/>
      <c r="F11" s="252">
        <v>13721.81581</v>
      </c>
      <c r="G11" s="253">
        <v>20801.6806</v>
      </c>
      <c r="H11" s="127">
        <f t="shared" si="3"/>
        <v>51.6</v>
      </c>
      <c r="I11" s="119">
        <f>IFERROR(100/'Skjema total MA'!F11*G11,0)</f>
        <v>19.448421818045841</v>
      </c>
      <c r="J11" s="250">
        <f t="shared" si="0"/>
        <v>13721.81581</v>
      </c>
      <c r="K11" s="251">
        <f t="shared" si="0"/>
        <v>20801.6806</v>
      </c>
      <c r="L11" s="342">
        <f t="shared" si="4"/>
        <v>51.6</v>
      </c>
      <c r="M11" s="8">
        <f>IFERROR(100/'Skjema total MA'!I11*K11,0)</f>
        <v>19.448421818045841</v>
      </c>
      <c r="N11" s="107"/>
    </row>
    <row r="12" spans="1:14" s="35" customFormat="1" ht="15.75" x14ac:dyDescent="0.2">
      <c r="A12" s="33" t="s">
        <v>174</v>
      </c>
      <c r="B12" s="254"/>
      <c r="C12" s="255"/>
      <c r="D12" s="125"/>
      <c r="E12" s="30"/>
      <c r="F12" s="254">
        <v>7123.0036399999999</v>
      </c>
      <c r="G12" s="255">
        <v>7455.86193</v>
      </c>
      <c r="H12" s="125">
        <f t="shared" si="3"/>
        <v>4.7</v>
      </c>
      <c r="I12" s="125">
        <f>IFERROR(100/'Skjema total MA'!F12*G12,0)</f>
        <v>5.9464658036696711</v>
      </c>
      <c r="J12" s="256">
        <f t="shared" si="0"/>
        <v>7123.0036399999999</v>
      </c>
      <c r="K12" s="257">
        <f t="shared" si="0"/>
        <v>7455.86193</v>
      </c>
      <c r="L12" s="343">
        <f t="shared" si="4"/>
        <v>4.7</v>
      </c>
      <c r="M12" s="30">
        <f>IFERROR(100/'Skjema total MA'!I12*K12,0)</f>
        <v>5.9464658036696711</v>
      </c>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v>1480.2568799999999</v>
      </c>
      <c r="C22" s="252">
        <v>2654.2762699999998</v>
      </c>
      <c r="D22" s="285">
        <f t="shared" ref="D22:D35" si="5">IF(B22=0, "    ---- ", IF(ABS(ROUND(100/B22*C22-100,1))&lt;999,ROUND(100/B22*C22-100,1),IF(ROUND(100/B22*C22-100,1)&gt;999,999,-999)))</f>
        <v>79.3</v>
      </c>
      <c r="E22" s="8">
        <f>IFERROR(100/'Skjema total MA'!C22*C22,0)</f>
        <v>0.24620987914638562</v>
      </c>
      <c r="F22" s="260">
        <v>116382.21334</v>
      </c>
      <c r="G22" s="260">
        <v>182365.17043999999</v>
      </c>
      <c r="H22" s="285">
        <f t="shared" ref="H22:H35" si="6">IF(F22=0, "    ---- ", IF(ABS(ROUND(100/F22*G22-100,1))&lt;999,ROUND(100/F22*G22-100,1),IF(ROUND(100/F22*G22-100,1)&gt;999,999,-999)))</f>
        <v>56.7</v>
      </c>
      <c r="I22" s="8">
        <f>IFERROR(100/'Skjema total MA'!F22*G22,0)</f>
        <v>40.85740356275339</v>
      </c>
      <c r="J22" s="258">
        <f t="shared" ref="J22:K35" si="7">SUM(B22,F22)</f>
        <v>117862.47022</v>
      </c>
      <c r="K22" s="258">
        <f t="shared" si="7"/>
        <v>185019.44670999999</v>
      </c>
      <c r="L22" s="341">
        <f t="shared" ref="L22:L35" si="8">IF(J22=0, "    ---- ", IF(ABS(ROUND(100/J22*K22-100,1))&lt;999,ROUND(100/J22*K22-100,1),IF(ROUND(100/J22*K22-100,1)&gt;999,999,-999)))</f>
        <v>57</v>
      </c>
      <c r="M22" s="21">
        <f>IFERROR(100/'Skjema total MA'!I22*K22,0)</f>
        <v>12.137199586628959</v>
      </c>
    </row>
    <row r="23" spans="1:13" ht="15.75" x14ac:dyDescent="0.2">
      <c r="A23" s="382" t="s">
        <v>178</v>
      </c>
      <c r="B23" s="228">
        <v>1479.30907</v>
      </c>
      <c r="C23" s="228">
        <v>2653.3284600000002</v>
      </c>
      <c r="D23" s="123">
        <f t="shared" si="5"/>
        <v>79.400000000000006</v>
      </c>
      <c r="E23" s="8">
        <f>IFERROR(100/'Skjema total MA'!C23*C23,0)</f>
        <v>0.3324915613868748</v>
      </c>
      <c r="F23" s="236">
        <v>1637.3214599999999</v>
      </c>
      <c r="G23" s="236">
        <v>-126.63164999999999</v>
      </c>
      <c r="H23" s="123">
        <f t="shared" si="6"/>
        <v>-107.7</v>
      </c>
      <c r="I23" s="335">
        <f>IFERROR(100/'Skjema total MA'!F23*G23,0)</f>
        <v>-1.4635266553387811</v>
      </c>
      <c r="J23" s="236">
        <f t="shared" ref="J23:J26" si="9">SUM(B23,F23)</f>
        <v>3116.6305299999999</v>
      </c>
      <c r="K23" s="236">
        <f t="shared" ref="K23:K26" si="10">SUM(C23,G23)</f>
        <v>2526.6968100000004</v>
      </c>
      <c r="L23" s="123">
        <f t="shared" si="8"/>
        <v>-18.899999999999999</v>
      </c>
      <c r="M23" s="20">
        <f>IFERROR(100/'Skjema total MA'!I23*K23,0)</f>
        <v>0.31322702926073021</v>
      </c>
    </row>
    <row r="24" spans="1:13" ht="15.75" x14ac:dyDescent="0.2">
      <c r="A24" s="382" t="s">
        <v>179</v>
      </c>
      <c r="B24" s="228">
        <v>0.94781000000000004</v>
      </c>
      <c r="C24" s="228">
        <v>0.94781000000000004</v>
      </c>
      <c r="D24" s="123">
        <f t="shared" si="5"/>
        <v>0</v>
      </c>
      <c r="E24" s="8">
        <f>IFERROR(100/'Skjema total MA'!C24*C24,0)</f>
        <v>2.8043457656816859E-2</v>
      </c>
      <c r="F24" s="236">
        <v>3.6549700000000001</v>
      </c>
      <c r="G24" s="236">
        <v>0</v>
      </c>
      <c r="H24" s="123">
        <f t="shared" si="6"/>
        <v>-100</v>
      </c>
      <c r="I24" s="335">
        <f>IFERROR(100/'Skjema total MA'!F24*G24,0)</f>
        <v>0</v>
      </c>
      <c r="J24" s="236">
        <f t="shared" si="9"/>
        <v>4.6027800000000001</v>
      </c>
      <c r="K24" s="236">
        <f t="shared" si="10"/>
        <v>0.94781000000000004</v>
      </c>
      <c r="L24" s="123">
        <f t="shared" si="8"/>
        <v>-79.400000000000006</v>
      </c>
      <c r="M24" s="20">
        <f>IFERROR(100/'Skjema total MA'!I24*K24,0)</f>
        <v>2.7512278958589757E-2</v>
      </c>
    </row>
    <row r="25" spans="1:13" ht="15.75" x14ac:dyDescent="0.2">
      <c r="A25" s="382" t="s">
        <v>180</v>
      </c>
      <c r="B25" s="228"/>
      <c r="C25" s="228"/>
      <c r="D25" s="123"/>
      <c r="E25" s="8"/>
      <c r="F25" s="236">
        <v>1461.1452899999999</v>
      </c>
      <c r="G25" s="236">
        <v>1686.46695</v>
      </c>
      <c r="H25" s="123">
        <f t="shared" si="6"/>
        <v>15.4</v>
      </c>
      <c r="I25" s="335">
        <f>IFERROR(100/'Skjema total MA'!F25*G25,0)</f>
        <v>23.890729326437871</v>
      </c>
      <c r="J25" s="236">
        <f t="shared" si="9"/>
        <v>1461.1452899999999</v>
      </c>
      <c r="K25" s="236">
        <f t="shared" si="10"/>
        <v>1686.46695</v>
      </c>
      <c r="L25" s="123">
        <f t="shared" si="8"/>
        <v>15.4</v>
      </c>
      <c r="M25" s="20">
        <f>IFERROR(100/'Skjema total MA'!I25*K25,0)</f>
        <v>14.800462991336074</v>
      </c>
    </row>
    <row r="26" spans="1:13" ht="15.75" x14ac:dyDescent="0.2">
      <c r="A26" s="382" t="s">
        <v>181</v>
      </c>
      <c r="B26" s="228"/>
      <c r="C26" s="228"/>
      <c r="D26" s="123"/>
      <c r="E26" s="8"/>
      <c r="F26" s="236">
        <v>113280.09162000001</v>
      </c>
      <c r="G26" s="236">
        <v>180805.33514000001</v>
      </c>
      <c r="H26" s="123">
        <f t="shared" si="6"/>
        <v>59.6</v>
      </c>
      <c r="I26" s="335">
        <f>IFERROR(100/'Skjema total MA'!F26*G26,0)</f>
        <v>41.99222184397307</v>
      </c>
      <c r="J26" s="236">
        <f t="shared" si="9"/>
        <v>113280.09162000001</v>
      </c>
      <c r="K26" s="236">
        <f t="shared" si="10"/>
        <v>180805.33514000001</v>
      </c>
      <c r="L26" s="123">
        <f t="shared" si="8"/>
        <v>59.6</v>
      </c>
      <c r="M26" s="20">
        <f>IFERROR(100/'Skjema total MA'!I26*K26,0)</f>
        <v>41.99222184397307</v>
      </c>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v>2450024.4079499999</v>
      </c>
      <c r="C29" s="183">
        <v>2351247.37304</v>
      </c>
      <c r="D29" s="127">
        <f t="shared" si="5"/>
        <v>-4</v>
      </c>
      <c r="E29" s="8">
        <f>IFERROR(100/'Skjema total MA'!C29*C29,0)</f>
        <v>5.2831266504892591</v>
      </c>
      <c r="F29" s="250">
        <v>5202302.3294200003</v>
      </c>
      <c r="G29" s="250">
        <v>5989197.6529599996</v>
      </c>
      <c r="H29" s="127">
        <f t="shared" si="6"/>
        <v>15.1</v>
      </c>
      <c r="I29" s="8">
        <f>IFERROR(100/'Skjema total MA'!F29*G29,0)</f>
        <v>19.207020927578196</v>
      </c>
      <c r="J29" s="183">
        <f t="shared" si="7"/>
        <v>7652326.7373700002</v>
      </c>
      <c r="K29" s="183">
        <f t="shared" si="7"/>
        <v>8340445.0259999996</v>
      </c>
      <c r="L29" s="342">
        <f t="shared" si="8"/>
        <v>9</v>
      </c>
      <c r="M29" s="21">
        <f>IFERROR(100/'Skjema total MA'!I29*K29,0)</f>
        <v>11.019626976117001</v>
      </c>
    </row>
    <row r="30" spans="1:13" ht="15.75" x14ac:dyDescent="0.2">
      <c r="A30" s="382" t="s">
        <v>178</v>
      </c>
      <c r="B30" s="228">
        <v>1405559.47211198</v>
      </c>
      <c r="C30" s="228">
        <v>1348891.8745997399</v>
      </c>
      <c r="D30" s="123">
        <f t="shared" si="5"/>
        <v>-4</v>
      </c>
      <c r="E30" s="8">
        <f>IFERROR(100/'Skjema total MA'!C30*C30,0)</f>
        <v>6.7790252686525951</v>
      </c>
      <c r="F30" s="236">
        <v>614912.37034999905</v>
      </c>
      <c r="G30" s="236">
        <v>604653.33363000001</v>
      </c>
      <c r="H30" s="123">
        <f t="shared" si="6"/>
        <v>-1.7</v>
      </c>
      <c r="I30" s="335">
        <f>IFERROR(100/'Skjema total MA'!F30*G30,0)</f>
        <v>17.045408622597403</v>
      </c>
      <c r="J30" s="236">
        <f t="shared" ref="J30:J33" si="11">SUM(B30,F30)</f>
        <v>2020471.842461979</v>
      </c>
      <c r="K30" s="236">
        <f t="shared" ref="K30:K33" si="12">SUM(C30,G30)</f>
        <v>1953545.2082297399</v>
      </c>
      <c r="L30" s="123">
        <f t="shared" si="8"/>
        <v>-3.3</v>
      </c>
      <c r="M30" s="20">
        <f>IFERROR(100/'Skjema total MA'!I30*K30,0)</f>
        <v>8.3323424961985033</v>
      </c>
    </row>
    <row r="31" spans="1:13" ht="15.75" x14ac:dyDescent="0.2">
      <c r="A31" s="382" t="s">
        <v>179</v>
      </c>
      <c r="B31" s="228">
        <v>1044464.9358380201</v>
      </c>
      <c r="C31" s="228">
        <v>1002355.49844026</v>
      </c>
      <c r="D31" s="123">
        <f t="shared" si="5"/>
        <v>-4</v>
      </c>
      <c r="E31" s="8">
        <f>IFERROR(100/'Skjema total MA'!C31*C31,0)</f>
        <v>4.6447982498216156</v>
      </c>
      <c r="F31" s="236">
        <v>769636.27049999905</v>
      </c>
      <c r="G31" s="236">
        <v>855563.16316999996</v>
      </c>
      <c r="H31" s="123">
        <f t="shared" si="6"/>
        <v>11.2</v>
      </c>
      <c r="I31" s="335">
        <f>IFERROR(100/'Skjema total MA'!F31*G31,0)</f>
        <v>12.216771896318372</v>
      </c>
      <c r="J31" s="236">
        <f t="shared" si="11"/>
        <v>1814101.2063380191</v>
      </c>
      <c r="K31" s="236">
        <f t="shared" si="12"/>
        <v>1857918.6616102599</v>
      </c>
      <c r="L31" s="123">
        <f t="shared" si="8"/>
        <v>2.4</v>
      </c>
      <c r="M31" s="20">
        <f>IFERROR(100/'Skjema total MA'!I31*K31,0)</f>
        <v>6.500001318141468</v>
      </c>
    </row>
    <row r="32" spans="1:13" ht="15.75" x14ac:dyDescent="0.2">
      <c r="A32" s="382" t="s">
        <v>180</v>
      </c>
      <c r="B32" s="228"/>
      <c r="C32" s="228"/>
      <c r="D32" s="123"/>
      <c r="E32" s="8"/>
      <c r="F32" s="236">
        <v>709975.17327999906</v>
      </c>
      <c r="G32" s="236">
        <v>782530.15231000003</v>
      </c>
      <c r="H32" s="123">
        <f t="shared" si="6"/>
        <v>10.199999999999999</v>
      </c>
      <c r="I32" s="335">
        <f>IFERROR(100/'Skjema total MA'!F32*G32,0)</f>
        <v>10.761246091125594</v>
      </c>
      <c r="J32" s="236">
        <f t="shared" si="11"/>
        <v>709975.17327999906</v>
      </c>
      <c r="K32" s="236">
        <f t="shared" si="12"/>
        <v>782530.15231000003</v>
      </c>
      <c r="L32" s="123">
        <f t="shared" si="8"/>
        <v>10.199999999999999</v>
      </c>
      <c r="M32" s="20">
        <f>IFERROR(100/'Skjema total MA'!I32*K32,0)</f>
        <v>7.7729392897588312</v>
      </c>
    </row>
    <row r="33" spans="1:13" ht="15.75" x14ac:dyDescent="0.2">
      <c r="A33" s="382" t="s">
        <v>181</v>
      </c>
      <c r="B33" s="228"/>
      <c r="C33" s="228"/>
      <c r="D33" s="123"/>
      <c r="E33" s="8"/>
      <c r="F33" s="236">
        <v>3107778.51529</v>
      </c>
      <c r="G33" s="236">
        <v>3746451.00385</v>
      </c>
      <c r="H33" s="123">
        <f t="shared" si="6"/>
        <v>20.6</v>
      </c>
      <c r="I33" s="335">
        <f>IFERROR(100/'Skjema total MA'!F33*G33,0)</f>
        <v>28.042092309825076</v>
      </c>
      <c r="J33" s="236">
        <f t="shared" si="11"/>
        <v>3107778.51529</v>
      </c>
      <c r="K33" s="236">
        <f t="shared" si="12"/>
        <v>3746451.00385</v>
      </c>
      <c r="L33" s="123">
        <f t="shared" si="8"/>
        <v>20.6</v>
      </c>
      <c r="M33" s="20">
        <f>IFERROR(100/'Skjema total MA'!I33*K33,0)</f>
        <v>28.042092309825076</v>
      </c>
    </row>
    <row r="34" spans="1:13" ht="15.75" x14ac:dyDescent="0.2">
      <c r="A34" s="10" t="s">
        <v>173</v>
      </c>
      <c r="B34" s="183">
        <v>149.44933</v>
      </c>
      <c r="C34" s="251">
        <v>0</v>
      </c>
      <c r="D34" s="127">
        <f t="shared" si="5"/>
        <v>-100</v>
      </c>
      <c r="E34" s="8">
        <f>IFERROR(100/'Skjema total MA'!C34*C34,0)</f>
        <v>0</v>
      </c>
      <c r="F34" s="250">
        <v>16621.423439999999</v>
      </c>
      <c r="G34" s="251">
        <v>25852.22824</v>
      </c>
      <c r="H34" s="127">
        <f t="shared" si="6"/>
        <v>55.5</v>
      </c>
      <c r="I34" s="8">
        <f>IFERROR(100/'Skjema total MA'!F34*G34,0)</f>
        <v>33.004589379515359</v>
      </c>
      <c r="J34" s="183">
        <f t="shared" si="7"/>
        <v>16770.872769999998</v>
      </c>
      <c r="K34" s="183">
        <f t="shared" si="7"/>
        <v>25852.22824</v>
      </c>
      <c r="L34" s="342">
        <f t="shared" si="8"/>
        <v>54.1</v>
      </c>
      <c r="M34" s="21">
        <f>IFERROR(100/'Skjema total MA'!I34*K34,0)</f>
        <v>31.276904514419652</v>
      </c>
    </row>
    <row r="35" spans="1:13" ht="15.75" x14ac:dyDescent="0.2">
      <c r="A35" s="10" t="s">
        <v>174</v>
      </c>
      <c r="B35" s="183">
        <v>169.25630000000001</v>
      </c>
      <c r="C35" s="251">
        <v>316.50914</v>
      </c>
      <c r="D35" s="127">
        <f t="shared" si="5"/>
        <v>87</v>
      </c>
      <c r="E35" s="8">
        <f>IFERROR(100/'Skjema total MA'!C35*C35,0)</f>
        <v>4.0244975906664484</v>
      </c>
      <c r="F35" s="250">
        <v>9083.1576800000003</v>
      </c>
      <c r="G35" s="251">
        <v>20701.702120000002</v>
      </c>
      <c r="H35" s="127">
        <f t="shared" si="6"/>
        <v>127.9</v>
      </c>
      <c r="I35" s="8">
        <f>IFERROR(100/'Skjema total MA'!F35*G35,0)</f>
        <v>18.871584029062291</v>
      </c>
      <c r="J35" s="183">
        <f t="shared" si="7"/>
        <v>9252.4139800000012</v>
      </c>
      <c r="K35" s="183">
        <f t="shared" si="7"/>
        <v>21018.21126</v>
      </c>
      <c r="L35" s="342">
        <f t="shared" si="8"/>
        <v>127.2</v>
      </c>
      <c r="M35" s="21">
        <f>IFERROR(100/'Skjema total MA'!I35*K35,0)</f>
        <v>17.87835885538081</v>
      </c>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c r="C47" s="253"/>
      <c r="D47" s="341"/>
      <c r="E47" s="8"/>
      <c r="F47" s="109"/>
      <c r="G47" s="27"/>
      <c r="H47" s="118"/>
      <c r="I47" s="118"/>
      <c r="J47" s="31"/>
      <c r="K47" s="31"/>
      <c r="L47" s="118"/>
      <c r="M47" s="118"/>
    </row>
    <row r="48" spans="1:13" ht="15.75" x14ac:dyDescent="0.2">
      <c r="A48" s="18" t="s">
        <v>190</v>
      </c>
      <c r="B48" s="228"/>
      <c r="C48" s="229"/>
      <c r="D48" s="206"/>
      <c r="E48" s="23"/>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v>285513.54829999997</v>
      </c>
      <c r="C66" s="288">
        <v>283773.88029</v>
      </c>
      <c r="D66" s="285">
        <f t="shared" ref="D66:D111" si="13">IF(B66=0, "    ---- ", IF(ABS(ROUND(100/B66*C66-100,1))&lt;999,ROUND(100/B66*C66-100,1),IF(ROUND(100/B66*C66-100,1)&gt;999,999,-999)))</f>
        <v>-0.6</v>
      </c>
      <c r="E66" s="559">
        <f>IFERROR(100/'Skjema total MA'!C66*C66,0)</f>
        <v>9.3352148637551142</v>
      </c>
      <c r="F66" s="560">
        <v>1786404.1542499999</v>
      </c>
      <c r="G66" s="287">
        <v>1823554.4699200001</v>
      </c>
      <c r="H66" s="285">
        <f t="shared" ref="H66:H111" si="14">IF(F66=0, "    ---- ", IF(ABS(ROUND(100/F66*G66-100,1))&lt;999,ROUND(100/F66*G66-100,1),IF(ROUND(100/F66*G66-100,1)&gt;999,999,-999)))</f>
        <v>2.1</v>
      </c>
      <c r="I66" s="559">
        <f>IFERROR(100/'Skjema total MA'!F66*G66,0)</f>
        <v>11.980832081926469</v>
      </c>
      <c r="J66" s="258">
        <f t="shared" ref="J66:K86" si="15">SUM(B66,F66)</f>
        <v>2071917.7025499998</v>
      </c>
      <c r="K66" s="258">
        <f t="shared" si="15"/>
        <v>2107328.3502099998</v>
      </c>
      <c r="L66" s="342">
        <f t="shared" ref="L66:L111" si="16">IF(J66=0, "    ---- ", IF(ABS(ROUND(100/J66*K66-100,1))&lt;999,ROUND(100/J66*K66-100,1),IF(ROUND(100/J66*K66-100,1)&gt;999,999,-999)))</f>
        <v>1.7</v>
      </c>
      <c r="M66" s="8">
        <f>IFERROR(100/'Skjema total MA'!I66*K66,0)</f>
        <v>11.540414833503217</v>
      </c>
    </row>
    <row r="67" spans="1:13" x14ac:dyDescent="0.2">
      <c r="A67" s="39" t="s">
        <v>198</v>
      </c>
      <c r="B67" s="36">
        <v>79999.62</v>
      </c>
      <c r="C67" s="109">
        <v>73267.535000000003</v>
      </c>
      <c r="D67" s="123">
        <f t="shared" si="13"/>
        <v>-8.4</v>
      </c>
      <c r="E67" s="20">
        <f>IFERROR(100/'Skjema total MA'!C67*C67,0)</f>
        <v>4.2940778580789498</v>
      </c>
      <c r="F67" s="36"/>
      <c r="G67" s="109"/>
      <c r="H67" s="123"/>
      <c r="I67" s="20"/>
      <c r="J67" s="36">
        <f t="shared" si="15"/>
        <v>79999.62</v>
      </c>
      <c r="K67" s="36">
        <f t="shared" si="15"/>
        <v>73267.535000000003</v>
      </c>
      <c r="L67" s="206">
        <f t="shared" si="16"/>
        <v>-8.4</v>
      </c>
      <c r="M67" s="23">
        <f>IFERROR(100/'Skjema total MA'!I67*K67,0)</f>
        <v>4.2940778580789498</v>
      </c>
    </row>
    <row r="68" spans="1:13" x14ac:dyDescent="0.2">
      <c r="A68" s="18" t="s">
        <v>199</v>
      </c>
      <c r="B68" s="237">
        <v>6737.00252</v>
      </c>
      <c r="C68" s="238">
        <v>4519.4735199999996</v>
      </c>
      <c r="D68" s="123">
        <f t="shared" si="13"/>
        <v>-32.9</v>
      </c>
      <c r="E68" s="20">
        <f>IFERROR(100/'Skjema total MA'!C68*C68,0)</f>
        <v>99.647225368432984</v>
      </c>
      <c r="F68" s="142">
        <v>1672680.9439999999</v>
      </c>
      <c r="G68" s="238">
        <v>1690920.8895700001</v>
      </c>
      <c r="H68" s="123">
        <f t="shared" si="14"/>
        <v>1.1000000000000001</v>
      </c>
      <c r="I68" s="20">
        <f>IFERROR(100/'Skjema total MA'!F68*G68,0)</f>
        <v>11.529754034959929</v>
      </c>
      <c r="J68" s="36">
        <f t="shared" si="15"/>
        <v>1679417.94652</v>
      </c>
      <c r="K68" s="36">
        <f t="shared" si="15"/>
        <v>1695440.3630900001</v>
      </c>
      <c r="L68" s="206">
        <f t="shared" si="16"/>
        <v>1</v>
      </c>
      <c r="M68" s="23">
        <f>IFERROR(100/'Skjema total MA'!I68*K68,0)</f>
        <v>11.55699654545853</v>
      </c>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v>112834.49178</v>
      </c>
      <c r="C75" s="109">
        <v>109541.40276</v>
      </c>
      <c r="D75" s="123">
        <f t="shared" si="13"/>
        <v>-2.9</v>
      </c>
      <c r="E75" s="20">
        <f>IFERROR(100/'Skjema total MA'!C75*C75,0)</f>
        <v>54.151012287271577</v>
      </c>
      <c r="F75" s="36">
        <v>113723.21025</v>
      </c>
      <c r="G75" s="109">
        <v>132633.58035</v>
      </c>
      <c r="H75" s="123">
        <f t="shared" si="14"/>
        <v>16.600000000000001</v>
      </c>
      <c r="I75" s="20">
        <f>IFERROR(100/'Skjema total MA'!F75*G75,0)</f>
        <v>23.902924535034579</v>
      </c>
      <c r="J75" s="36">
        <f t="shared" si="15"/>
        <v>226557.70202999999</v>
      </c>
      <c r="K75" s="36">
        <f t="shared" si="15"/>
        <v>242174.98311</v>
      </c>
      <c r="L75" s="206">
        <f t="shared" si="16"/>
        <v>6.9</v>
      </c>
      <c r="M75" s="23">
        <f>IFERROR(100/'Skjema total MA'!I75*K75,0)</f>
        <v>31.984099069178853</v>
      </c>
    </row>
    <row r="76" spans="1:13" ht="15.75" x14ac:dyDescent="0.2">
      <c r="A76" s="18" t="s">
        <v>410</v>
      </c>
      <c r="B76" s="181">
        <v>85942.433999999994</v>
      </c>
      <c r="C76" s="109">
        <v>96445.469010000001</v>
      </c>
      <c r="D76" s="123">
        <f t="shared" ref="D76" si="17">IF(B76=0, "    ---- ", IF(ABS(ROUND(100/B76*C76-100,1))&lt;999,ROUND(100/B76*C76-100,1),IF(ROUND(100/B76*C76-100,1)&gt;999,999,-999)))</f>
        <v>12.2</v>
      </c>
      <c r="E76" s="20">
        <f>IFERROR(100/'Skjema total MA'!C76*C76,0)</f>
        <v>8.5596055064143854</v>
      </c>
      <c r="F76" s="36"/>
      <c r="G76" s="109"/>
      <c r="H76" s="123"/>
      <c r="I76" s="20"/>
      <c r="J76" s="36">
        <f t="shared" ref="J76" si="18">SUM(B76,F76)</f>
        <v>85942.433999999994</v>
      </c>
      <c r="K76" s="36">
        <f t="shared" ref="K76" si="19">SUM(C76,G76)</f>
        <v>96445.469010000001</v>
      </c>
      <c r="L76" s="206">
        <f t="shared" ref="L76" si="20">IF(J76=0, "    ---- ", IF(ABS(ROUND(100/J76*K76-100,1))&lt;999,ROUND(100/J76*K76-100,1),IF(ROUND(100/J76*K76-100,1)&gt;999,999,-999)))</f>
        <v>12.2</v>
      </c>
      <c r="M76" s="23">
        <f>IFERROR(100/'Skjema total MA'!I76*K76,0)</f>
        <v>8.5596055064143854</v>
      </c>
    </row>
    <row r="77" spans="1:13" ht="15.75" x14ac:dyDescent="0.2">
      <c r="A77" s="18" t="s">
        <v>206</v>
      </c>
      <c r="B77" s="181">
        <v>86736.62251999999</v>
      </c>
      <c r="C77" s="181">
        <v>77787.008520000003</v>
      </c>
      <c r="D77" s="123">
        <f t="shared" si="13"/>
        <v>-10.3</v>
      </c>
      <c r="E77" s="20">
        <f>IFERROR(100/'Skjema total MA'!C77*C77,0)</f>
        <v>4.7556841286172311</v>
      </c>
      <c r="F77" s="36">
        <v>1670123.6140000001</v>
      </c>
      <c r="G77" s="109">
        <v>1687835.1015699999</v>
      </c>
      <c r="H77" s="123">
        <f t="shared" si="14"/>
        <v>1.1000000000000001</v>
      </c>
      <c r="I77" s="20">
        <f>IFERROR(100/'Skjema total MA'!F77*G77,0)</f>
        <v>11.512261811820109</v>
      </c>
      <c r="J77" s="36">
        <f t="shared" si="15"/>
        <v>1756860.23652</v>
      </c>
      <c r="K77" s="36">
        <f t="shared" si="15"/>
        <v>1765622.1100899999</v>
      </c>
      <c r="L77" s="206">
        <f t="shared" si="16"/>
        <v>0.5</v>
      </c>
      <c r="M77" s="23">
        <f>IFERROR(100/'Skjema total MA'!I77*K77,0)</f>
        <v>10.83412557836456</v>
      </c>
    </row>
    <row r="78" spans="1:13" x14ac:dyDescent="0.2">
      <c r="A78" s="18" t="s">
        <v>198</v>
      </c>
      <c r="B78" s="181">
        <v>79999.62</v>
      </c>
      <c r="C78" s="109">
        <v>73267.535000000003</v>
      </c>
      <c r="D78" s="123">
        <f t="shared" si="13"/>
        <v>-8.4</v>
      </c>
      <c r="E78" s="20">
        <f>IFERROR(100/'Skjema total MA'!C78*C78,0)</f>
        <v>4.4918311631419741</v>
      </c>
      <c r="F78" s="36"/>
      <c r="G78" s="109"/>
      <c r="H78" s="123"/>
      <c r="I78" s="20"/>
      <c r="J78" s="36">
        <f t="shared" si="15"/>
        <v>79999.62</v>
      </c>
      <c r="K78" s="36">
        <f t="shared" si="15"/>
        <v>73267.535000000003</v>
      </c>
      <c r="L78" s="206">
        <f t="shared" si="16"/>
        <v>-8.4</v>
      </c>
      <c r="M78" s="23">
        <f>IFERROR(100/'Skjema total MA'!I78*K78,0)</f>
        <v>4.4918311631419741</v>
      </c>
    </row>
    <row r="79" spans="1:13" x14ac:dyDescent="0.2">
      <c r="A79" s="18" t="s">
        <v>207</v>
      </c>
      <c r="B79" s="237">
        <v>6737.00252</v>
      </c>
      <c r="C79" s="238">
        <v>4519.4735199999996</v>
      </c>
      <c r="D79" s="123">
        <f t="shared" si="13"/>
        <v>-32.9</v>
      </c>
      <c r="E79" s="20">
        <f>IFERROR(100/'Skjema total MA'!C79*C79,0)</f>
        <v>99.647225368432984</v>
      </c>
      <c r="F79" s="142">
        <v>1670123.6140000001</v>
      </c>
      <c r="G79" s="238">
        <v>1687835.1015699999</v>
      </c>
      <c r="H79" s="123">
        <f t="shared" si="14"/>
        <v>1.1000000000000001</v>
      </c>
      <c r="I79" s="20">
        <f>IFERROR(100/'Skjema total MA'!F79*G79,0)</f>
        <v>11.512261811820109</v>
      </c>
      <c r="J79" s="36">
        <f t="shared" si="15"/>
        <v>1676860.6165200002</v>
      </c>
      <c r="K79" s="36">
        <f t="shared" si="15"/>
        <v>1692354.5750899999</v>
      </c>
      <c r="L79" s="206">
        <f t="shared" si="16"/>
        <v>0.9</v>
      </c>
      <c r="M79" s="23">
        <f>IFERROR(100/'Skjema total MA'!I79*K79,0)</f>
        <v>11.53951812928271</v>
      </c>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v>2557.33</v>
      </c>
      <c r="G86" s="109">
        <v>3085.788</v>
      </c>
      <c r="H86" s="123">
        <f t="shared" si="14"/>
        <v>20.7</v>
      </c>
      <c r="I86" s="20">
        <f>IFERROR(100/'Skjema total MA'!F86*G86,0)</f>
        <v>68.259920489204632</v>
      </c>
      <c r="J86" s="36">
        <f t="shared" si="15"/>
        <v>2557.33</v>
      </c>
      <c r="K86" s="36">
        <f t="shared" si="15"/>
        <v>3085.788</v>
      </c>
      <c r="L86" s="206">
        <f t="shared" si="16"/>
        <v>20.7</v>
      </c>
      <c r="M86" s="23">
        <f>IFERROR(100/'Skjema total MA'!I86*K86,0)</f>
        <v>3.8747771818660324</v>
      </c>
    </row>
    <row r="87" spans="1:13" ht="15.75" x14ac:dyDescent="0.2">
      <c r="A87" s="10" t="s">
        <v>172</v>
      </c>
      <c r="B87" s="288">
        <v>20909648.51094</v>
      </c>
      <c r="C87" s="288">
        <v>24038764.974880002</v>
      </c>
      <c r="D87" s="127">
        <f t="shared" si="13"/>
        <v>15</v>
      </c>
      <c r="E87" s="21">
        <f>IFERROR(100/'Skjema total MA'!C87*C87,0)</f>
        <v>5.7980626718477941</v>
      </c>
      <c r="F87" s="225">
        <v>74105217.262160003</v>
      </c>
      <c r="G87" s="287">
        <v>83310274.57649</v>
      </c>
      <c r="H87" s="127">
        <f t="shared" si="14"/>
        <v>12.4</v>
      </c>
      <c r="I87" s="21">
        <f>IFERROR(100/'Skjema total MA'!F87*G87,0)</f>
        <v>10.482505464361626</v>
      </c>
      <c r="J87" s="183">
        <f t="shared" ref="J87:K111" si="21">SUM(B87,F87)</f>
        <v>95014865.773100004</v>
      </c>
      <c r="K87" s="183">
        <f t="shared" si="21"/>
        <v>107349039.55136999</v>
      </c>
      <c r="L87" s="342">
        <f t="shared" si="16"/>
        <v>13</v>
      </c>
      <c r="M87" s="8">
        <f>IFERROR(100/'Skjema total MA'!I87*K87,0)</f>
        <v>8.8765508493578125</v>
      </c>
    </row>
    <row r="88" spans="1:13" x14ac:dyDescent="0.2">
      <c r="A88" s="18" t="s">
        <v>198</v>
      </c>
      <c r="B88" s="181">
        <v>14591348.21091</v>
      </c>
      <c r="C88" s="109">
        <v>14758618.69833</v>
      </c>
      <c r="D88" s="123">
        <f t="shared" si="13"/>
        <v>1.1000000000000001</v>
      </c>
      <c r="E88" s="20">
        <f>IFERROR(100/'Skjema total MA'!C88*C88,0)</f>
        <v>3.8161685871396815</v>
      </c>
      <c r="F88" s="36"/>
      <c r="G88" s="109"/>
      <c r="H88" s="123"/>
      <c r="I88" s="20"/>
      <c r="J88" s="36">
        <f t="shared" si="21"/>
        <v>14591348.21091</v>
      </c>
      <c r="K88" s="36">
        <f t="shared" si="21"/>
        <v>14758618.69833</v>
      </c>
      <c r="L88" s="206">
        <f t="shared" si="16"/>
        <v>1.1000000000000001</v>
      </c>
      <c r="M88" s="23">
        <f>IFERROR(100/'Skjema total MA'!I88*K88,0)</f>
        <v>3.8161685871396815</v>
      </c>
    </row>
    <row r="89" spans="1:13" x14ac:dyDescent="0.2">
      <c r="A89" s="18" t="s">
        <v>199</v>
      </c>
      <c r="B89" s="181">
        <v>634842.47779000003</v>
      </c>
      <c r="C89" s="109">
        <v>2368397.80908</v>
      </c>
      <c r="D89" s="123">
        <f t="shared" si="13"/>
        <v>273.10000000000002</v>
      </c>
      <c r="E89" s="20">
        <f>IFERROR(100/'Skjema total MA'!C89*C89,0)</f>
        <v>55.912939322731887</v>
      </c>
      <c r="F89" s="36">
        <v>71179843.994369999</v>
      </c>
      <c r="G89" s="109">
        <v>79334061.347479999</v>
      </c>
      <c r="H89" s="123">
        <f t="shared" si="14"/>
        <v>11.5</v>
      </c>
      <c r="I89" s="20">
        <f>IFERROR(100/'Skjema total MA'!F89*G89,0)</f>
        <v>10.146314616513015</v>
      </c>
      <c r="J89" s="36">
        <f t="shared" si="21"/>
        <v>71814686.472159997</v>
      </c>
      <c r="K89" s="36">
        <f t="shared" si="21"/>
        <v>81702459.156560004</v>
      </c>
      <c r="L89" s="206">
        <f t="shared" si="16"/>
        <v>13.8</v>
      </c>
      <c r="M89" s="23">
        <f>IFERROR(100/'Skjema total MA'!I89*K89,0)</f>
        <v>10.392914831703685</v>
      </c>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v>3918859.1374400002</v>
      </c>
      <c r="C96" s="109">
        <v>4922527.3853200004</v>
      </c>
      <c r="D96" s="123">
        <f t="shared" si="13"/>
        <v>25.6</v>
      </c>
      <c r="E96" s="20">
        <f>IFERROR(100/'Skjema total MA'!C96*C96,0)</f>
        <v>51.421715303145888</v>
      </c>
      <c r="F96" s="36">
        <v>2925373.26779</v>
      </c>
      <c r="G96" s="109">
        <v>3976213.2290099999</v>
      </c>
      <c r="H96" s="123">
        <f t="shared" si="14"/>
        <v>35.9</v>
      </c>
      <c r="I96" s="20">
        <f>IFERROR(100/'Skjema total MA'!F96*G96,0)</f>
        <v>30.93102843287766</v>
      </c>
      <c r="J96" s="36">
        <f t="shared" si="21"/>
        <v>6844232.4052300006</v>
      </c>
      <c r="K96" s="36">
        <f t="shared" si="21"/>
        <v>8898740.6143300012</v>
      </c>
      <c r="L96" s="206">
        <f t="shared" si="16"/>
        <v>30</v>
      </c>
      <c r="M96" s="23">
        <f>IFERROR(100/'Skjema total MA'!I96*K96,0)</f>
        <v>39.67700817565774</v>
      </c>
    </row>
    <row r="97" spans="1:13" x14ac:dyDescent="0.2">
      <c r="A97" s="18" t="s">
        <v>223</v>
      </c>
      <c r="B97" s="181">
        <v>1764598.6847999999</v>
      </c>
      <c r="C97" s="109">
        <v>1989221.0821499999</v>
      </c>
      <c r="D97" s="123">
        <f t="shared" ref="D97" si="22">IF(B97=0, "    ---- ", IF(ABS(ROUND(100/B97*C97-100,1))&lt;999,ROUND(100/B97*C97-100,1),IF(ROUND(100/B97*C97-100,1)&gt;999,999,-999)))</f>
        <v>12.7</v>
      </c>
      <c r="E97" s="20">
        <f>IFERROR(100/'Skjema total MA'!C98*C97,0)</f>
        <v>0.51448196314708927</v>
      </c>
      <c r="F97" s="36"/>
      <c r="G97" s="109"/>
      <c r="H97" s="123"/>
      <c r="I97" s="20"/>
      <c r="J97" s="36">
        <f t="shared" ref="J97" si="23">SUM(B97,F97)</f>
        <v>1764598.6847999999</v>
      </c>
      <c r="K97" s="36">
        <f t="shared" ref="K97" si="24">SUM(C97,G97)</f>
        <v>1989221.0821499999</v>
      </c>
      <c r="L97" s="206">
        <f t="shared" ref="L97" si="25">IF(J97=0, "    ---- ", IF(ABS(ROUND(100/J97*K97-100,1))&lt;999,ROUND(100/J97*K97-100,1),IF(ROUND(100/J97*K97-100,1)&gt;999,999,-999)))</f>
        <v>12.7</v>
      </c>
      <c r="M97" s="23">
        <f>IFERROR(100/'Skjema total MA'!I98*K97,0)</f>
        <v>0.17029009002918707</v>
      </c>
    </row>
    <row r="98" spans="1:13" ht="15.75" x14ac:dyDescent="0.2">
      <c r="A98" s="18" t="s">
        <v>206</v>
      </c>
      <c r="B98" s="181">
        <v>15226190.6887</v>
      </c>
      <c r="C98" s="181">
        <v>17127016.507410001</v>
      </c>
      <c r="D98" s="123">
        <f t="shared" si="13"/>
        <v>12.5</v>
      </c>
      <c r="E98" s="20">
        <f>IFERROR(100/'Skjema total MA'!C98*C98,0)</f>
        <v>4.4296439217611585</v>
      </c>
      <c r="F98" s="142">
        <v>71094547.372250006</v>
      </c>
      <c r="G98" s="237">
        <v>79245099.077830002</v>
      </c>
      <c r="H98" s="123">
        <f t="shared" si="14"/>
        <v>11.5</v>
      </c>
      <c r="I98" s="20">
        <f>IFERROR(100/'Skjema total MA'!F98*G98,0)</f>
        <v>10.140240990733519</v>
      </c>
      <c r="J98" s="36">
        <f t="shared" si="21"/>
        <v>86320738.060950011</v>
      </c>
      <c r="K98" s="36">
        <f t="shared" si="21"/>
        <v>96372115.585240006</v>
      </c>
      <c r="L98" s="206">
        <f t="shared" si="16"/>
        <v>11.6</v>
      </c>
      <c r="M98" s="23">
        <f>IFERROR(100/'Skjema total MA'!I98*K98,0)</f>
        <v>8.2500715413573289</v>
      </c>
    </row>
    <row r="99" spans="1:13" x14ac:dyDescent="0.2">
      <c r="A99" s="18" t="s">
        <v>198</v>
      </c>
      <c r="B99" s="237">
        <v>14591348.21091</v>
      </c>
      <c r="C99" s="238">
        <v>14758618.69833</v>
      </c>
      <c r="D99" s="123">
        <f t="shared" si="13"/>
        <v>1.1000000000000001</v>
      </c>
      <c r="E99" s="20">
        <f>IFERROR(100/'Skjema total MA'!C99*C99,0)</f>
        <v>3.8593747396921048</v>
      </c>
      <c r="F99" s="36"/>
      <c r="G99" s="109"/>
      <c r="H99" s="123"/>
      <c r="I99" s="20"/>
      <c r="J99" s="36">
        <f t="shared" si="21"/>
        <v>14591348.21091</v>
      </c>
      <c r="K99" s="36">
        <f t="shared" si="21"/>
        <v>14758618.69833</v>
      </c>
      <c r="L99" s="206">
        <f t="shared" si="16"/>
        <v>1.1000000000000001</v>
      </c>
      <c r="M99" s="23">
        <f>IFERROR(100/'Skjema total MA'!I99*K99,0)</f>
        <v>3.8593747396921048</v>
      </c>
    </row>
    <row r="100" spans="1:13" x14ac:dyDescent="0.2">
      <c r="A100" s="18" t="s">
        <v>207</v>
      </c>
      <c r="B100" s="237">
        <v>634842.47779000003</v>
      </c>
      <c r="C100" s="238">
        <v>2368397.80908</v>
      </c>
      <c r="D100" s="123">
        <f t="shared" si="13"/>
        <v>273.10000000000002</v>
      </c>
      <c r="E100" s="20">
        <f>IFERROR(100/'Skjema total MA'!C100*C100,0)</f>
        <v>55.912939322731887</v>
      </c>
      <c r="F100" s="36">
        <v>71094547.372250006</v>
      </c>
      <c r="G100" s="181">
        <v>79245099.077830002</v>
      </c>
      <c r="H100" s="123">
        <f t="shared" si="14"/>
        <v>11.5</v>
      </c>
      <c r="I100" s="20">
        <f>IFERROR(100/'Skjema total MA'!F100*G100,0)</f>
        <v>10.140240990733519</v>
      </c>
      <c r="J100" s="36">
        <f t="shared" si="21"/>
        <v>71729389.850040004</v>
      </c>
      <c r="K100" s="36">
        <f t="shared" si="21"/>
        <v>81613496.886910006</v>
      </c>
      <c r="L100" s="206">
        <f t="shared" si="16"/>
        <v>13.8</v>
      </c>
      <c r="M100" s="23">
        <f>IFERROR(100/'Skjema total MA'!I100*K100,0)</f>
        <v>10.387002310320675</v>
      </c>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v>85296.622119999898</v>
      </c>
      <c r="G107" s="109">
        <v>88962.269650000002</v>
      </c>
      <c r="H107" s="123">
        <f t="shared" si="14"/>
        <v>4.3</v>
      </c>
      <c r="I107" s="20">
        <f>IFERROR(100/'Skjema total MA'!F107*G107,0)</f>
        <v>21.751697122097671</v>
      </c>
      <c r="J107" s="36">
        <f t="shared" si="21"/>
        <v>85296.622119999898</v>
      </c>
      <c r="K107" s="36">
        <f t="shared" si="21"/>
        <v>88962.269650000002</v>
      </c>
      <c r="L107" s="206">
        <f t="shared" si="16"/>
        <v>4.3</v>
      </c>
      <c r="M107" s="23">
        <f>IFERROR(100/'Skjema total MA'!I107*K107,0)</f>
        <v>1.8774034234873043</v>
      </c>
    </row>
    <row r="108" spans="1:13" ht="15.75" x14ac:dyDescent="0.2">
      <c r="A108" s="18" t="s">
        <v>209</v>
      </c>
      <c r="B108" s="181">
        <v>11840350.213230001</v>
      </c>
      <c r="C108" s="181">
        <v>12060900.558180001</v>
      </c>
      <c r="D108" s="123">
        <f t="shared" si="13"/>
        <v>1.9</v>
      </c>
      <c r="E108" s="20">
        <f>IFERROR(100/'Skjema total MA'!C108*C108,0)</f>
        <v>3.6567279083944757</v>
      </c>
      <c r="F108" s="36"/>
      <c r="G108" s="181"/>
      <c r="H108" s="123"/>
      <c r="I108" s="20"/>
      <c r="J108" s="36">
        <f t="shared" si="21"/>
        <v>11840350.213230001</v>
      </c>
      <c r="K108" s="36">
        <f t="shared" si="21"/>
        <v>12060900.558180001</v>
      </c>
      <c r="L108" s="206">
        <f t="shared" si="16"/>
        <v>1.9</v>
      </c>
      <c r="M108" s="23">
        <f>IFERROR(100/'Skjema total MA'!I108*K108,0)</f>
        <v>3.3903411821330409</v>
      </c>
    </row>
    <row r="109" spans="1:13" ht="15.75" x14ac:dyDescent="0.2">
      <c r="A109" s="18" t="s">
        <v>210</v>
      </c>
      <c r="B109" s="181">
        <v>454433.35732000001</v>
      </c>
      <c r="C109" s="181">
        <v>468451.40097999998</v>
      </c>
      <c r="D109" s="123">
        <f t="shared" si="13"/>
        <v>3.1</v>
      </c>
      <c r="E109" s="20">
        <f>IFERROR(100/'Skjema total MA'!C109*C109,0)</f>
        <v>14.427292165797057</v>
      </c>
      <c r="F109" s="36">
        <v>30125629.590039998</v>
      </c>
      <c r="G109" s="181">
        <v>35072304.077629998</v>
      </c>
      <c r="H109" s="123">
        <f t="shared" si="14"/>
        <v>16.399999999999999</v>
      </c>
      <c r="I109" s="20">
        <f>IFERROR(100/'Skjema total MA'!F109*G109,0)</f>
        <v>11.105637088104768</v>
      </c>
      <c r="J109" s="36">
        <f t="shared" si="21"/>
        <v>30580062.947359998</v>
      </c>
      <c r="K109" s="36">
        <f t="shared" si="21"/>
        <v>35540755.478610002</v>
      </c>
      <c r="L109" s="206">
        <f t="shared" si="16"/>
        <v>16.2</v>
      </c>
      <c r="M109" s="23">
        <f>IFERROR(100/'Skjema total MA'!I109*K109,0)</f>
        <v>11.139441314616123</v>
      </c>
    </row>
    <row r="110" spans="1:13" ht="15.75" x14ac:dyDescent="0.2">
      <c r="A110" s="18" t="s">
        <v>211</v>
      </c>
      <c r="B110" s="181">
        <v>1649946.5117599999</v>
      </c>
      <c r="C110" s="181">
        <v>2036387.3035800001</v>
      </c>
      <c r="D110" s="123">
        <f t="shared" si="13"/>
        <v>23.4</v>
      </c>
      <c r="E110" s="20">
        <f>IFERROR(100/'Skjema total MA'!C110*C110,0)</f>
        <v>38.995304877067404</v>
      </c>
      <c r="F110" s="36"/>
      <c r="G110" s="181"/>
      <c r="H110" s="123"/>
      <c r="I110" s="20"/>
      <c r="J110" s="36">
        <f t="shared" si="21"/>
        <v>1649946.5117599999</v>
      </c>
      <c r="K110" s="36">
        <f t="shared" si="21"/>
        <v>2036387.3035800001</v>
      </c>
      <c r="L110" s="206">
        <f t="shared" si="16"/>
        <v>23.4</v>
      </c>
      <c r="M110" s="23">
        <f>IFERROR(100/'Skjema total MA'!I110*K110,0)</f>
        <v>38.995304877067404</v>
      </c>
    </row>
    <row r="111" spans="1:13" ht="15.75" x14ac:dyDescent="0.2">
      <c r="A111" s="10" t="s">
        <v>173</v>
      </c>
      <c r="B111" s="250">
        <v>905536.37223999994</v>
      </c>
      <c r="C111" s="118">
        <v>21642.751609999999</v>
      </c>
      <c r="D111" s="127">
        <f t="shared" si="13"/>
        <v>-97.6</v>
      </c>
      <c r="E111" s="21">
        <f>IFERROR(100/'Skjema total MA'!C111*C111,0)</f>
        <v>7.2244911227923838</v>
      </c>
      <c r="F111" s="183">
        <v>2140127.63283</v>
      </c>
      <c r="G111" s="118">
        <v>2281370.2157700001</v>
      </c>
      <c r="H111" s="127">
        <f t="shared" si="14"/>
        <v>6.6</v>
      </c>
      <c r="I111" s="21">
        <f>IFERROR(100/'Skjema total MA'!F111*G111,0)</f>
        <v>9.458721459561847</v>
      </c>
      <c r="J111" s="183">
        <f t="shared" si="21"/>
        <v>3045664.00507</v>
      </c>
      <c r="K111" s="183">
        <f t="shared" si="21"/>
        <v>2303012.9673800003</v>
      </c>
      <c r="L111" s="342">
        <f t="shared" si="16"/>
        <v>-24.4</v>
      </c>
      <c r="M111" s="8">
        <f>IFERROR(100/'Skjema total MA'!I111*K111,0)</f>
        <v>9.4313114704988052</v>
      </c>
    </row>
    <row r="112" spans="1:13" x14ac:dyDescent="0.2">
      <c r="A112" s="18" t="s">
        <v>198</v>
      </c>
      <c r="B112" s="181">
        <v>900027.79871999996</v>
      </c>
      <c r="C112" s="109">
        <v>204.98173</v>
      </c>
      <c r="D112" s="123">
        <f t="shared" ref="D112:D125" si="26">IF(B112=0, "    ---- ", IF(ABS(ROUND(100/B112*C112-100,1))&lt;999,ROUND(100/B112*C112-100,1),IF(ROUND(100/B112*C112-100,1)&gt;999,999,-999)))</f>
        <v>-100</v>
      </c>
      <c r="E112" s="20">
        <f>IFERROR(100/'Skjema total MA'!C112*C112,0)</f>
        <v>9.3286340700773296E-2</v>
      </c>
      <c r="F112" s="36"/>
      <c r="G112" s="109"/>
      <c r="H112" s="123"/>
      <c r="I112" s="20"/>
      <c r="J112" s="36">
        <f t="shared" ref="J112:K125" si="27">SUM(B112,F112)</f>
        <v>900027.79871999996</v>
      </c>
      <c r="K112" s="36">
        <f t="shared" si="27"/>
        <v>204.98173</v>
      </c>
      <c r="L112" s="206">
        <f t="shared" ref="L112:L125" si="28">IF(J112=0, "    ---- ", IF(ABS(ROUND(100/J112*K112-100,1))&lt;999,ROUND(100/J112*K112-100,1),IF(ROUND(100/J112*K112-100,1)&gt;999,999,-999)))</f>
        <v>-100</v>
      </c>
      <c r="M112" s="23">
        <f>IFERROR(100/'Skjema total MA'!I112*K112,0)</f>
        <v>9.2240295290810168E-2</v>
      </c>
    </row>
    <row r="113" spans="1:13" x14ac:dyDescent="0.2">
      <c r="A113" s="18" t="s">
        <v>199</v>
      </c>
      <c r="B113" s="181">
        <v>0</v>
      </c>
      <c r="C113" s="109">
        <v>10682.736070000001</v>
      </c>
      <c r="D113" s="123" t="str">
        <f t="shared" si="26"/>
        <v xml:space="preserve">    ---- </v>
      </c>
      <c r="E113" s="20">
        <f>IFERROR(100/'Skjema total MA'!C113*C113,0)</f>
        <v>100</v>
      </c>
      <c r="F113" s="36">
        <v>2140127.63283</v>
      </c>
      <c r="G113" s="109">
        <v>2278122.95414</v>
      </c>
      <c r="H113" s="123">
        <f t="shared" ref="H113:H125" si="29">IF(F113=0, "    ---- ", IF(ABS(ROUND(100/F113*G113-100,1))&lt;999,ROUND(100/F113*G113-100,1),IF(ROUND(100/F113*G113-100,1)&gt;999,999,-999)))</f>
        <v>6.4</v>
      </c>
      <c r="I113" s="20">
        <f>IFERROR(100/'Skjema total MA'!F113*G113,0)</f>
        <v>9.447506107155851</v>
      </c>
      <c r="J113" s="36">
        <f t="shared" si="27"/>
        <v>2140127.63283</v>
      </c>
      <c r="K113" s="36">
        <f t="shared" si="27"/>
        <v>2288805.6902100001</v>
      </c>
      <c r="L113" s="206">
        <f t="shared" si="28"/>
        <v>6.9</v>
      </c>
      <c r="M113" s="23">
        <f>IFERROR(100/'Skjema total MA'!I113*K113,0)</f>
        <v>9.4876048334295753</v>
      </c>
    </row>
    <row r="114" spans="1:13" x14ac:dyDescent="0.2">
      <c r="A114" s="18" t="s">
        <v>212</v>
      </c>
      <c r="B114" s="181">
        <v>5508.5735199999999</v>
      </c>
      <c r="C114" s="109">
        <v>10755.033810000001</v>
      </c>
      <c r="D114" s="123">
        <f t="shared" si="26"/>
        <v>95.2</v>
      </c>
      <c r="E114" s="20">
        <f>IFERROR(100/'Skjema total MA'!C114*C114,0)</f>
        <v>15.551371962223437</v>
      </c>
      <c r="F114" s="36">
        <v>0</v>
      </c>
      <c r="G114" s="109">
        <v>3247.26163</v>
      </c>
      <c r="H114" s="123" t="str">
        <f t="shared" si="29"/>
        <v xml:space="preserve">    ---- </v>
      </c>
      <c r="I114" s="20">
        <f>IFERROR(100/'Skjema total MA'!F114*G114,0)</f>
        <v>100</v>
      </c>
      <c r="J114" s="36">
        <f t="shared" si="27"/>
        <v>5508.5735199999999</v>
      </c>
      <c r="K114" s="36">
        <f t="shared" si="27"/>
        <v>14002.295440000002</v>
      </c>
      <c r="L114" s="206">
        <f t="shared" si="28"/>
        <v>154.19999999999999</v>
      </c>
      <c r="M114" s="23">
        <f>IFERROR(100/'Skjema total MA'!I114*K114,0)</f>
        <v>19.338754176982636</v>
      </c>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v>895687.11184000003</v>
      </c>
      <c r="C116" s="181">
        <v>0</v>
      </c>
      <c r="D116" s="123">
        <f t="shared" si="26"/>
        <v>-100</v>
      </c>
      <c r="E116" s="20">
        <f>IFERROR(100/'Skjema total MA'!C116*C116,0)</f>
        <v>0</v>
      </c>
      <c r="F116" s="36"/>
      <c r="G116" s="181"/>
      <c r="H116" s="123"/>
      <c r="I116" s="20"/>
      <c r="J116" s="36">
        <f t="shared" si="27"/>
        <v>895687.11184000003</v>
      </c>
      <c r="K116" s="36">
        <f t="shared" si="27"/>
        <v>0</v>
      </c>
      <c r="L116" s="206">
        <f t="shared" si="28"/>
        <v>-100</v>
      </c>
      <c r="M116" s="23">
        <f>IFERROR(100/'Skjema total MA'!I116*K116,0)</f>
        <v>0</v>
      </c>
    </row>
    <row r="117" spans="1:13" ht="15.75" x14ac:dyDescent="0.2">
      <c r="A117" s="18" t="s">
        <v>210</v>
      </c>
      <c r="B117" s="181"/>
      <c r="C117" s="181"/>
      <c r="D117" s="123"/>
      <c r="E117" s="20"/>
      <c r="F117" s="36">
        <v>975474.10491999995</v>
      </c>
      <c r="G117" s="181">
        <v>1246759.3213599999</v>
      </c>
      <c r="H117" s="123">
        <f t="shared" si="29"/>
        <v>27.8</v>
      </c>
      <c r="I117" s="20">
        <f>IFERROR(100/'Skjema total MA'!F117*G117,0)</f>
        <v>9.2136912676290521</v>
      </c>
      <c r="J117" s="36">
        <f t="shared" si="27"/>
        <v>975474.10491999995</v>
      </c>
      <c r="K117" s="36">
        <f t="shared" si="27"/>
        <v>1246759.3213599999</v>
      </c>
      <c r="L117" s="206">
        <f t="shared" si="28"/>
        <v>27.8</v>
      </c>
      <c r="M117" s="23">
        <f>IFERROR(100/'Skjema total MA'!I117*K117,0)</f>
        <v>9.2136912676290521</v>
      </c>
    </row>
    <row r="118" spans="1:13" ht="15.75" x14ac:dyDescent="0.2">
      <c r="A118" s="18" t="s">
        <v>211</v>
      </c>
      <c r="B118" s="181">
        <v>0</v>
      </c>
      <c r="C118" s="181">
        <v>165.32499999999999</v>
      </c>
      <c r="D118" s="123" t="str">
        <f t="shared" si="26"/>
        <v xml:space="preserve">    ---- </v>
      </c>
      <c r="E118" s="20">
        <f>IFERROR(100/'Skjema total MA'!C118*C118,0)</f>
        <v>100</v>
      </c>
      <c r="F118" s="36"/>
      <c r="G118" s="181"/>
      <c r="H118" s="123"/>
      <c r="I118" s="20"/>
      <c r="J118" s="36">
        <f t="shared" si="27"/>
        <v>0</v>
      </c>
      <c r="K118" s="36">
        <f t="shared" si="27"/>
        <v>165.32499999999999</v>
      </c>
      <c r="L118" s="206" t="str">
        <f t="shared" si="28"/>
        <v xml:space="preserve">    ---- </v>
      </c>
      <c r="M118" s="23">
        <f>IFERROR(100/'Skjema total MA'!I118*K118,0)</f>
        <v>100</v>
      </c>
    </row>
    <row r="119" spans="1:13" ht="15.75" x14ac:dyDescent="0.2">
      <c r="A119" s="10" t="s">
        <v>174</v>
      </c>
      <c r="B119" s="250">
        <v>22181.379659999999</v>
      </c>
      <c r="C119" s="118">
        <v>132263.30505</v>
      </c>
      <c r="D119" s="127">
        <f t="shared" si="26"/>
        <v>496.3</v>
      </c>
      <c r="E119" s="21">
        <f>IFERROR(100/'Skjema total MA'!C119*C119,0)</f>
        <v>38.524994070057545</v>
      </c>
      <c r="F119" s="183">
        <v>2396843.15949</v>
      </c>
      <c r="G119" s="118">
        <v>3511996.8051200002</v>
      </c>
      <c r="H119" s="127">
        <f t="shared" si="29"/>
        <v>46.5</v>
      </c>
      <c r="I119" s="21">
        <f>IFERROR(100/'Skjema total MA'!F119*G119,0)</f>
        <v>14.070612868338813</v>
      </c>
      <c r="J119" s="183">
        <f t="shared" si="27"/>
        <v>2419024.5391500001</v>
      </c>
      <c r="K119" s="183">
        <f t="shared" si="27"/>
        <v>3644260.1101700002</v>
      </c>
      <c r="L119" s="342">
        <f t="shared" si="28"/>
        <v>50.6</v>
      </c>
      <c r="M119" s="8">
        <f>IFERROR(100/'Skjema total MA'!I119*K119,0)</f>
        <v>14.402415195334665</v>
      </c>
    </row>
    <row r="120" spans="1:13" x14ac:dyDescent="0.2">
      <c r="A120" s="18" t="s">
        <v>198</v>
      </c>
      <c r="B120" s="181">
        <v>150.85410999999999</v>
      </c>
      <c r="C120" s="109">
        <v>36149.240700000002</v>
      </c>
      <c r="D120" s="123">
        <f t="shared" si="26"/>
        <v>999</v>
      </c>
      <c r="E120" s="20">
        <f>IFERROR(100/'Skjema total MA'!C120*C120,0)</f>
        <v>61.632437439857206</v>
      </c>
      <c r="F120" s="36"/>
      <c r="G120" s="109"/>
      <c r="H120" s="123"/>
      <c r="I120" s="20"/>
      <c r="J120" s="36">
        <f t="shared" si="27"/>
        <v>150.85410999999999</v>
      </c>
      <c r="K120" s="36">
        <f t="shared" si="27"/>
        <v>36149.240700000002</v>
      </c>
      <c r="L120" s="206">
        <f t="shared" si="28"/>
        <v>999</v>
      </c>
      <c r="M120" s="23">
        <f>IFERROR(100/'Skjema total MA'!I120*K120,0)</f>
        <v>61.632437439857206</v>
      </c>
    </row>
    <row r="121" spans="1:13" x14ac:dyDescent="0.2">
      <c r="A121" s="18" t="s">
        <v>199</v>
      </c>
      <c r="B121" s="181">
        <v>3892.3750700000001</v>
      </c>
      <c r="C121" s="109">
        <v>37338.012439999999</v>
      </c>
      <c r="D121" s="123">
        <f t="shared" si="26"/>
        <v>859.3</v>
      </c>
      <c r="E121" s="20">
        <f>IFERROR(100/'Skjema total MA'!C121*C121,0)</f>
        <v>100</v>
      </c>
      <c r="F121" s="36">
        <v>2396843.15949</v>
      </c>
      <c r="G121" s="109">
        <v>3511996.8051200002</v>
      </c>
      <c r="H121" s="123">
        <f t="shared" si="29"/>
        <v>46.5</v>
      </c>
      <c r="I121" s="20">
        <f>IFERROR(100/'Skjema total MA'!F121*G121,0)</f>
        <v>14.070612868338813</v>
      </c>
      <c r="J121" s="36">
        <f t="shared" si="27"/>
        <v>2400735.5345600001</v>
      </c>
      <c r="K121" s="36">
        <f t="shared" si="27"/>
        <v>3549334.8175600003</v>
      </c>
      <c r="L121" s="206">
        <f t="shared" si="28"/>
        <v>47.8</v>
      </c>
      <c r="M121" s="23">
        <f>IFERROR(100/'Skjema total MA'!I121*K121,0)</f>
        <v>14.198964863972535</v>
      </c>
    </row>
    <row r="122" spans="1:13" x14ac:dyDescent="0.2">
      <c r="A122" s="18" t="s">
        <v>212</v>
      </c>
      <c r="B122" s="181">
        <v>18138.15048</v>
      </c>
      <c r="C122" s="109">
        <v>58776.051910000002</v>
      </c>
      <c r="D122" s="123">
        <f t="shared" si="26"/>
        <v>224</v>
      </c>
      <c r="E122" s="20">
        <f>IFERROR(100/'Skjema total MA'!C122*C122,0)</f>
        <v>23.764490553262711</v>
      </c>
      <c r="F122" s="36"/>
      <c r="G122" s="109"/>
      <c r="H122" s="123"/>
      <c r="I122" s="20"/>
      <c r="J122" s="36">
        <f t="shared" si="27"/>
        <v>18138.15048</v>
      </c>
      <c r="K122" s="36">
        <f t="shared" si="27"/>
        <v>58776.051910000002</v>
      </c>
      <c r="L122" s="206">
        <f t="shared" si="28"/>
        <v>224</v>
      </c>
      <c r="M122" s="23">
        <f>IFERROR(100/'Skjema total MA'!I122*K122,0)</f>
        <v>23.764490553262711</v>
      </c>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v>868.74527</v>
      </c>
      <c r="C125" s="181">
        <v>196.87358</v>
      </c>
      <c r="D125" s="123">
        <f t="shared" si="26"/>
        <v>-77.3</v>
      </c>
      <c r="E125" s="20">
        <f>IFERROR(100/'Skjema total MA'!C125*C125,0)</f>
        <v>59.056183736234146</v>
      </c>
      <c r="F125" s="36">
        <v>865952.01656999998</v>
      </c>
      <c r="G125" s="181">
        <v>942893.63529999997</v>
      </c>
      <c r="H125" s="123">
        <f t="shared" si="29"/>
        <v>8.9</v>
      </c>
      <c r="I125" s="20">
        <f>IFERROR(100/'Skjema total MA'!F125*G125,0)</f>
        <v>7.8359885132453435</v>
      </c>
      <c r="J125" s="36">
        <f t="shared" si="27"/>
        <v>866820.76183999993</v>
      </c>
      <c r="K125" s="36">
        <f t="shared" si="27"/>
        <v>943090.50887999998</v>
      </c>
      <c r="L125" s="206">
        <f t="shared" si="28"/>
        <v>8.8000000000000007</v>
      </c>
      <c r="M125" s="23">
        <f>IFERROR(100/'Skjema total MA'!I125*K125,0)</f>
        <v>7.8374075130764433</v>
      </c>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54" priority="12">
      <formula>kvartal &lt; 4</formula>
    </cfRule>
  </conditionalFormatting>
  <conditionalFormatting sqref="A69:A74">
    <cfRule type="expression" dxfId="253" priority="10">
      <formula>kvartal &lt; 4</formula>
    </cfRule>
  </conditionalFormatting>
  <conditionalFormatting sqref="A80:A85">
    <cfRule type="expression" dxfId="252" priority="9">
      <formula>kvartal &lt; 4</formula>
    </cfRule>
  </conditionalFormatting>
  <conditionalFormatting sqref="A90:A95">
    <cfRule type="expression" dxfId="251" priority="6">
      <formula>kvartal &lt; 4</formula>
    </cfRule>
  </conditionalFormatting>
  <conditionalFormatting sqref="A101:A106">
    <cfRule type="expression" dxfId="250" priority="5">
      <formula>kvartal &lt; 4</formula>
    </cfRule>
  </conditionalFormatting>
  <conditionalFormatting sqref="A115:C115">
    <cfRule type="expression" dxfId="249" priority="4">
      <formula>kvartal &lt; 4</formula>
    </cfRule>
  </conditionalFormatting>
  <conditionalFormatting sqref="A123:C123">
    <cfRule type="expression" dxfId="248" priority="3">
      <formula>kvartal &lt; 4</formula>
    </cfRule>
  </conditionalFormatting>
  <conditionalFormatting sqref="B69:C69">
    <cfRule type="expression" dxfId="247" priority="99">
      <formula>kvartal &lt; 4</formula>
    </cfRule>
  </conditionalFormatting>
  <conditionalFormatting sqref="B72:C72">
    <cfRule type="expression" dxfId="246" priority="97">
      <formula>kvartal &lt; 4</formula>
    </cfRule>
  </conditionalFormatting>
  <conditionalFormatting sqref="F115:G115">
    <cfRule type="expression" dxfId="245" priority="57">
      <formula>kvartal &lt; 4</formula>
    </cfRule>
  </conditionalFormatting>
  <conditionalFormatting sqref="F123:G123">
    <cfRule type="expression" dxfId="244" priority="56">
      <formula>kvartal &lt; 4</formula>
    </cfRule>
  </conditionalFormatting>
  <conditionalFormatting sqref="J115:K115">
    <cfRule type="expression" dxfId="243" priority="32">
      <formula>kvartal &lt; 4</formula>
    </cfRule>
  </conditionalFormatting>
  <conditionalFormatting sqref="J123:K123">
    <cfRule type="expression" dxfId="242" priority="31">
      <formula>kvartal &lt; 4</formula>
    </cfRule>
  </conditionalFormatting>
  <pageMargins left="0.7" right="0.7" top="0.78740157499999996" bottom="0.787401574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30"/>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109</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v>338617.50955999998</v>
      </c>
      <c r="C7" s="249">
        <v>375255.28464999999</v>
      </c>
      <c r="D7" s="285">
        <f>IF(B7=0, "    ---- ", IF(ABS(ROUND(100/B7*C7-100,1))&lt;999,ROUND(100/B7*C7-100,1),IF(ROUND(100/B7*C7-100,1)&gt;999,999,-999)))</f>
        <v>10.8</v>
      </c>
      <c r="E7" s="8">
        <f>IFERROR(100/'Skjema total MA'!C7*C7,0)</f>
        <v>17.877646469489097</v>
      </c>
      <c r="F7" s="248">
        <v>249084.88501</v>
      </c>
      <c r="G7" s="249">
        <v>251614.74901</v>
      </c>
      <c r="H7" s="285">
        <f>IF(F7=0, "    ---- ", IF(ABS(ROUND(100/F7*G7-100,1))&lt;999,ROUND(100/F7*G7-100,1),IF(ROUND(100/F7*G7-100,1)&gt;999,999,-999)))</f>
        <v>1</v>
      </c>
      <c r="I7" s="119">
        <f>IFERROR(100/'Skjema total MA'!F7*G7,0)</f>
        <v>6.6956574321717541</v>
      </c>
      <c r="J7" s="250">
        <f t="shared" ref="J7:K12" si="0">SUM(B7,F7)</f>
        <v>587702.39457</v>
      </c>
      <c r="K7" s="251">
        <f t="shared" si="0"/>
        <v>626870.03365999996</v>
      </c>
      <c r="L7" s="341">
        <f>IF(J7=0, "    ---- ", IF(ABS(ROUND(100/J7*K7-100,1))&lt;999,ROUND(100/J7*K7-100,1),IF(ROUND(100/J7*K7-100,1)&gt;999,999,-999)))</f>
        <v>6.7</v>
      </c>
      <c r="M7" s="8">
        <f>IFERROR(100/'Skjema total MA'!I7*K7,0)</f>
        <v>10.703104435378178</v>
      </c>
    </row>
    <row r="8" spans="1:14" ht="15.75" x14ac:dyDescent="0.2">
      <c r="A8" s="18" t="s">
        <v>170</v>
      </c>
      <c r="B8" s="228">
        <v>107992.94871842601</v>
      </c>
      <c r="C8" s="229">
        <v>114702.082643113</v>
      </c>
      <c r="D8" s="123">
        <f t="shared" ref="D8:D10" si="1">IF(B8=0, "    ---- ", IF(ABS(ROUND(100/B8*C8-100,1))&lt;999,ROUND(100/B8*C8-100,1),IF(ROUND(100/B8*C8-100,1)&gt;999,999,-999)))</f>
        <v>6.2</v>
      </c>
      <c r="E8" s="23">
        <f>IFERROR(100/'Skjema total MA'!C8*C8,0)</f>
        <v>7.9878223491570548</v>
      </c>
      <c r="F8" s="232"/>
      <c r="G8" s="233"/>
      <c r="H8" s="123"/>
      <c r="I8" s="132"/>
      <c r="J8" s="181">
        <f t="shared" si="0"/>
        <v>107992.94871842601</v>
      </c>
      <c r="K8" s="234">
        <f t="shared" si="0"/>
        <v>114702.082643113</v>
      </c>
      <c r="L8" s="123">
        <f t="shared" ref="L8:L9" si="2">IF(J8=0, "    ---- ", IF(ABS(ROUND(100/J8*K8-100,1))&lt;999,ROUND(100/J8*K8-100,1),IF(ROUND(100/J8*K8-100,1)&gt;999,999,-999)))</f>
        <v>6.2</v>
      </c>
      <c r="M8" s="23">
        <f>IFERROR(100/'Skjema total MA'!I8*K8,0)</f>
        <v>7.9878223491570548</v>
      </c>
    </row>
    <row r="9" spans="1:14" ht="15.75" x14ac:dyDescent="0.2">
      <c r="A9" s="18" t="s">
        <v>171</v>
      </c>
      <c r="B9" s="228">
        <v>45450.334194737203</v>
      </c>
      <c r="C9" s="229">
        <v>50192.546337590102</v>
      </c>
      <c r="D9" s="123">
        <f t="shared" si="1"/>
        <v>10.4</v>
      </c>
      <c r="E9" s="23">
        <f>IFERROR(100/'Skjema total MA'!C9*C9,0)</f>
        <v>11.746231072147447</v>
      </c>
      <c r="F9" s="232"/>
      <c r="G9" s="233"/>
      <c r="H9" s="123"/>
      <c r="I9" s="132"/>
      <c r="J9" s="181">
        <f t="shared" si="0"/>
        <v>45450.334194737203</v>
      </c>
      <c r="K9" s="234">
        <f t="shared" si="0"/>
        <v>50192.546337590102</v>
      </c>
      <c r="L9" s="123">
        <f t="shared" si="2"/>
        <v>10.4</v>
      </c>
      <c r="M9" s="23">
        <f>IFERROR(100/'Skjema total MA'!I9*K9,0)</f>
        <v>11.746231072147447</v>
      </c>
    </row>
    <row r="10" spans="1:14" ht="15.75" x14ac:dyDescent="0.2">
      <c r="A10" s="10" t="s">
        <v>172</v>
      </c>
      <c r="B10" s="252">
        <v>5376744.7851900002</v>
      </c>
      <c r="C10" s="253">
        <v>5998878.3180999998</v>
      </c>
      <c r="D10" s="127">
        <f t="shared" si="1"/>
        <v>11.6</v>
      </c>
      <c r="E10" s="8">
        <f>IFERROR(100/'Skjema total MA'!C10*C10,0)</f>
        <v>46.95449709117127</v>
      </c>
      <c r="F10" s="252">
        <v>15699661.338479999</v>
      </c>
      <c r="G10" s="253">
        <v>17372382.286359999</v>
      </c>
      <c r="H10" s="127">
        <f t="shared" ref="H10:H12" si="3">IF(F10=0, "    ---- ", IF(ABS(ROUND(100/F10*G10-100,1))&lt;999,ROUND(100/F10*G10-100,1),IF(ROUND(100/F10*G10-100,1)&gt;999,999,-999)))</f>
        <v>10.7</v>
      </c>
      <c r="I10" s="119">
        <f>IFERROR(100/'Skjema total MA'!F10*G10,0)</f>
        <v>16.133929795956913</v>
      </c>
      <c r="J10" s="250">
        <f t="shared" si="0"/>
        <v>21076406.123670001</v>
      </c>
      <c r="K10" s="251">
        <f t="shared" si="0"/>
        <v>23371260.604460001</v>
      </c>
      <c r="L10" s="342">
        <f t="shared" ref="L10:L12" si="4">IF(J10=0, "    ---- ", IF(ABS(ROUND(100/J10*K10-100,1))&lt;999,ROUND(100/J10*K10-100,1),IF(ROUND(100/J10*K10-100,1)&gt;999,999,-999)))</f>
        <v>10.9</v>
      </c>
      <c r="M10" s="8">
        <f>IFERROR(100/'Skjema total MA'!I10*K10,0)</f>
        <v>19.40296366302217</v>
      </c>
    </row>
    <row r="11" spans="1:14" s="35" customFormat="1" ht="15.75" x14ac:dyDescent="0.2">
      <c r="A11" s="10" t="s">
        <v>173</v>
      </c>
      <c r="B11" s="252"/>
      <c r="C11" s="253"/>
      <c r="D11" s="127"/>
      <c r="E11" s="8"/>
      <c r="F11" s="252">
        <v>2637.5888100000002</v>
      </c>
      <c r="G11" s="253">
        <v>866.62644999999998</v>
      </c>
      <c r="H11" s="127">
        <f t="shared" si="3"/>
        <v>-67.099999999999994</v>
      </c>
      <c r="I11" s="119">
        <f>IFERROR(100/'Skjema total MA'!F11*G11,0)</f>
        <v>0.81024783921908761</v>
      </c>
      <c r="J11" s="250">
        <f t="shared" si="0"/>
        <v>2637.5888100000002</v>
      </c>
      <c r="K11" s="251">
        <f t="shared" si="0"/>
        <v>866.62644999999998</v>
      </c>
      <c r="L11" s="342">
        <f t="shared" si="4"/>
        <v>-67.099999999999994</v>
      </c>
      <c r="M11" s="8">
        <f>IFERROR(100/'Skjema total MA'!I11*K11,0)</f>
        <v>0.81024783921908761</v>
      </c>
      <c r="N11" s="107"/>
    </row>
    <row r="12" spans="1:14" s="35" customFormat="1" ht="15.75" x14ac:dyDescent="0.2">
      <c r="A12" s="33" t="s">
        <v>174</v>
      </c>
      <c r="B12" s="254"/>
      <c r="C12" s="255"/>
      <c r="D12" s="125"/>
      <c r="E12" s="30"/>
      <c r="F12" s="254">
        <v>173065.79573000001</v>
      </c>
      <c r="G12" s="255">
        <v>67018.64834</v>
      </c>
      <c r="H12" s="125">
        <f t="shared" si="3"/>
        <v>-61.3</v>
      </c>
      <c r="I12" s="125">
        <f>IFERROR(100/'Skjema total MA'!F12*G12,0)</f>
        <v>53.451110589701223</v>
      </c>
      <c r="J12" s="256">
        <f t="shared" si="0"/>
        <v>173065.79573000001</v>
      </c>
      <c r="K12" s="257">
        <f t="shared" si="0"/>
        <v>67018.64834</v>
      </c>
      <c r="L12" s="343">
        <f t="shared" si="4"/>
        <v>-61.3</v>
      </c>
      <c r="M12" s="30">
        <f>IFERROR(100/'Skjema total MA'!I12*K12,0)</f>
        <v>53.451110589701223</v>
      </c>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v>1029.2824900000001</v>
      </c>
      <c r="C22" s="252">
        <v>801.38648999999998</v>
      </c>
      <c r="D22" s="285">
        <f t="shared" ref="D22:D37" si="5">IF(B22=0, "    ---- ", IF(ABS(ROUND(100/B22*C22-100,1))&lt;999,ROUND(100/B22*C22-100,1),IF(ROUND(100/B22*C22-100,1)&gt;999,999,-999)))</f>
        <v>-22.1</v>
      </c>
      <c r="E22" s="8">
        <f>IFERROR(100/'Skjema total MA'!C22*C22,0)</f>
        <v>7.4336373000255238E-2</v>
      </c>
      <c r="F22" s="260">
        <v>67245.241810000007</v>
      </c>
      <c r="G22" s="260">
        <v>106701.42887</v>
      </c>
      <c r="H22" s="285">
        <f t="shared" ref="H22:H35" si="6">IF(F22=0, "    ---- ", IF(ABS(ROUND(100/F22*G22-100,1))&lt;999,ROUND(100/F22*G22-100,1),IF(ROUND(100/F22*G22-100,1)&gt;999,999,-999)))</f>
        <v>58.7</v>
      </c>
      <c r="I22" s="8">
        <f>IFERROR(100/'Skjema total MA'!F22*G22,0)</f>
        <v>23.905569959140582</v>
      </c>
      <c r="J22" s="258">
        <f t="shared" ref="J22:K35" si="7">SUM(B22,F22)</f>
        <v>68274.524300000005</v>
      </c>
      <c r="K22" s="258">
        <f t="shared" si="7"/>
        <v>107502.81536000001</v>
      </c>
      <c r="L22" s="341">
        <f t="shared" ref="L22:L35" si="8">IF(J22=0, "    ---- ", IF(ABS(ROUND(100/J22*K22-100,1))&lt;999,ROUND(100/J22*K22-100,1),IF(ROUND(100/J22*K22-100,1)&gt;999,999,-999)))</f>
        <v>57.5</v>
      </c>
      <c r="M22" s="21">
        <f>IFERROR(100/'Skjema total MA'!I22*K22,0)</f>
        <v>7.052140460640131</v>
      </c>
    </row>
    <row r="23" spans="1:13" ht="15.75" x14ac:dyDescent="0.2">
      <c r="A23" s="382" t="s">
        <v>178</v>
      </c>
      <c r="B23" s="228">
        <v>184.62801818124299</v>
      </c>
      <c r="C23" s="228">
        <v>151.76344454538099</v>
      </c>
      <c r="D23" s="123">
        <f t="shared" si="5"/>
        <v>-17.8</v>
      </c>
      <c r="E23" s="8">
        <f>IFERROR(100/'Skjema total MA'!C23*C23,0)</f>
        <v>1.9017647230280758E-2</v>
      </c>
      <c r="F23" s="236">
        <v>5401.7416300000004</v>
      </c>
      <c r="G23" s="236">
        <v>5554.5210699999998</v>
      </c>
      <c r="H23" s="123">
        <f t="shared" si="6"/>
        <v>2.8</v>
      </c>
      <c r="I23" s="335">
        <f>IFERROR(100/'Skjema total MA'!F23*G23,0)</f>
        <v>64.19555966921294</v>
      </c>
      <c r="J23" s="236">
        <f t="shared" ref="J23:J26" si="9">SUM(B23,F23)</f>
        <v>5586.3696481812431</v>
      </c>
      <c r="K23" s="236">
        <f t="shared" ref="K23:K26" si="10">SUM(C23,G23)</f>
        <v>5706.2845145453812</v>
      </c>
      <c r="L23" s="123">
        <f t="shared" si="8"/>
        <v>2.1</v>
      </c>
      <c r="M23" s="20">
        <f>IFERROR(100/'Skjema total MA'!I23*K23,0)</f>
        <v>0.70739098554826507</v>
      </c>
    </row>
    <row r="24" spans="1:13" ht="15.75" x14ac:dyDescent="0.2">
      <c r="A24" s="382" t="s">
        <v>179</v>
      </c>
      <c r="B24" s="228">
        <v>844.65447181875697</v>
      </c>
      <c r="C24" s="228">
        <v>649.62304545461905</v>
      </c>
      <c r="D24" s="123">
        <f t="shared" si="5"/>
        <v>-23.1</v>
      </c>
      <c r="E24" s="8">
        <f>IFERROR(100/'Skjema total MA'!C24*C24,0)</f>
        <v>19.220810466337159</v>
      </c>
      <c r="F24" s="236">
        <v>1</v>
      </c>
      <c r="G24" s="236">
        <v>62.353499999999997</v>
      </c>
      <c r="H24" s="123">
        <f t="shared" si="6"/>
        <v>999</v>
      </c>
      <c r="I24" s="335">
        <f>IFERROR(100/'Skjema total MA'!F24*G24,0)</f>
        <v>95.555793942087391</v>
      </c>
      <c r="J24" s="236">
        <f t="shared" si="9"/>
        <v>845.65447181875697</v>
      </c>
      <c r="K24" s="236">
        <f t="shared" si="10"/>
        <v>711.9765454546191</v>
      </c>
      <c r="L24" s="123">
        <f t="shared" si="8"/>
        <v>-15.8</v>
      </c>
      <c r="M24" s="20">
        <f>IFERROR(100/'Skjema total MA'!I24*K24,0)</f>
        <v>20.666691985229676</v>
      </c>
    </row>
    <row r="25" spans="1:13" ht="15.75" x14ac:dyDescent="0.2">
      <c r="A25" s="382" t="s">
        <v>180</v>
      </c>
      <c r="B25" s="228"/>
      <c r="C25" s="228"/>
      <c r="D25" s="123"/>
      <c r="E25" s="8"/>
      <c r="F25" s="236">
        <v>151.386</v>
      </c>
      <c r="G25" s="236">
        <v>3680.9883</v>
      </c>
      <c r="H25" s="123">
        <f t="shared" si="6"/>
        <v>999</v>
      </c>
      <c r="I25" s="335">
        <f>IFERROR(100/'Skjema total MA'!F25*G25,0)</f>
        <v>52.145400850627212</v>
      </c>
      <c r="J25" s="236">
        <f t="shared" si="9"/>
        <v>151.386</v>
      </c>
      <c r="K25" s="236">
        <f t="shared" si="10"/>
        <v>3680.9883</v>
      </c>
      <c r="L25" s="123">
        <f t="shared" si="8"/>
        <v>999</v>
      </c>
      <c r="M25" s="20">
        <f>IFERROR(100/'Skjema total MA'!I25*K25,0)</f>
        <v>32.304416701252933</v>
      </c>
    </row>
    <row r="26" spans="1:13" ht="15.75" x14ac:dyDescent="0.2">
      <c r="A26" s="382" t="s">
        <v>181</v>
      </c>
      <c r="B26" s="228"/>
      <c r="C26" s="228"/>
      <c r="D26" s="123"/>
      <c r="E26" s="8"/>
      <c r="F26" s="236">
        <v>61691.114179999997</v>
      </c>
      <c r="G26" s="236">
        <v>97403.566000000006</v>
      </c>
      <c r="H26" s="123">
        <f t="shared" si="6"/>
        <v>57.9</v>
      </c>
      <c r="I26" s="335">
        <f>IFERROR(100/'Skjema total MA'!F26*G26,0)</f>
        <v>22.622076658849593</v>
      </c>
      <c r="J26" s="236">
        <f t="shared" si="9"/>
        <v>61691.114179999997</v>
      </c>
      <c r="K26" s="236">
        <f t="shared" si="10"/>
        <v>97403.566000000006</v>
      </c>
      <c r="L26" s="123">
        <f t="shared" si="8"/>
        <v>57.9</v>
      </c>
      <c r="M26" s="20">
        <f>IFERROR(100/'Skjema total MA'!I26*K26,0)</f>
        <v>22.622076658849593</v>
      </c>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v>132022.77009720801</v>
      </c>
      <c r="C28" s="234">
        <v>159534.59916061201</v>
      </c>
      <c r="D28" s="123">
        <f t="shared" si="5"/>
        <v>20.8</v>
      </c>
      <c r="E28" s="8">
        <f>IFERROR(100/'Skjema total MA'!C28*C28,0)</f>
        <v>11.83591527299404</v>
      </c>
      <c r="F28" s="181"/>
      <c r="G28" s="234"/>
      <c r="H28" s="123"/>
      <c r="I28" s="23"/>
      <c r="J28" s="36">
        <f t="shared" si="7"/>
        <v>132022.77009720801</v>
      </c>
      <c r="K28" s="36">
        <f t="shared" si="7"/>
        <v>159534.59916061201</v>
      </c>
      <c r="L28" s="206">
        <f t="shared" si="8"/>
        <v>20.8</v>
      </c>
      <c r="M28" s="20">
        <f>IFERROR(100/'Skjema total MA'!I28*K28,0)</f>
        <v>11.83591527299404</v>
      </c>
    </row>
    <row r="29" spans="1:13" ht="15.75" x14ac:dyDescent="0.2">
      <c r="A29" s="10" t="s">
        <v>172</v>
      </c>
      <c r="B29" s="183">
        <v>6208454.7856099997</v>
      </c>
      <c r="C29" s="183">
        <v>5708840.6407599999</v>
      </c>
      <c r="D29" s="127">
        <f t="shared" si="5"/>
        <v>-8</v>
      </c>
      <c r="E29" s="8">
        <f>IFERROR(100/'Skjema total MA'!C29*C29,0)</f>
        <v>12.827458513478255</v>
      </c>
      <c r="F29" s="250">
        <v>9555587.9172699992</v>
      </c>
      <c r="G29" s="250">
        <v>10475746.01134</v>
      </c>
      <c r="H29" s="127">
        <f t="shared" si="6"/>
        <v>9.6</v>
      </c>
      <c r="I29" s="8">
        <f>IFERROR(100/'Skjema total MA'!F29*G29,0)</f>
        <v>33.59512985388946</v>
      </c>
      <c r="J29" s="183">
        <f t="shared" si="7"/>
        <v>15764042.702879999</v>
      </c>
      <c r="K29" s="183">
        <f t="shared" si="7"/>
        <v>16184586.652100001</v>
      </c>
      <c r="L29" s="342">
        <f t="shared" si="8"/>
        <v>2.7</v>
      </c>
      <c r="M29" s="21">
        <f>IFERROR(100/'Skjema total MA'!I29*K29,0)</f>
        <v>21.383524154024478</v>
      </c>
    </row>
    <row r="30" spans="1:13" ht="15.75" x14ac:dyDescent="0.2">
      <c r="A30" s="382" t="s">
        <v>178</v>
      </c>
      <c r="B30" s="228">
        <v>1113644.4214017801</v>
      </c>
      <c r="C30" s="228">
        <v>1081117.9509682001</v>
      </c>
      <c r="D30" s="123">
        <f t="shared" si="5"/>
        <v>-2.9</v>
      </c>
      <c r="E30" s="8">
        <f>IFERROR(100/'Skjema total MA'!C30*C30,0)</f>
        <v>5.4332938362328536</v>
      </c>
      <c r="F30" s="236">
        <v>1036489.92208</v>
      </c>
      <c r="G30" s="236">
        <v>1051360.54054</v>
      </c>
      <c r="H30" s="123">
        <f t="shared" si="6"/>
        <v>1.4</v>
      </c>
      <c r="I30" s="335">
        <f>IFERROR(100/'Skjema total MA'!F30*G30,0)</f>
        <v>29.638255553132097</v>
      </c>
      <c r="J30" s="236">
        <f t="shared" ref="J30:J33" si="11">SUM(B30,F30)</f>
        <v>2150134.34348178</v>
      </c>
      <c r="K30" s="236">
        <f t="shared" ref="K30:K33" si="12">SUM(C30,G30)</f>
        <v>2132478.4915081998</v>
      </c>
      <c r="L30" s="123">
        <f t="shared" si="8"/>
        <v>-0.8</v>
      </c>
      <c r="M30" s="20">
        <f>IFERROR(100/'Skjema total MA'!I30*K30,0)</f>
        <v>9.0955361985835577</v>
      </c>
    </row>
    <row r="31" spans="1:13" ht="15.75" x14ac:dyDescent="0.2">
      <c r="A31" s="382" t="s">
        <v>179</v>
      </c>
      <c r="B31" s="228">
        <v>5094810.3642082196</v>
      </c>
      <c r="C31" s="228">
        <v>4627722.6897918005</v>
      </c>
      <c r="D31" s="123">
        <f t="shared" si="5"/>
        <v>-9.1999999999999993</v>
      </c>
      <c r="E31" s="8">
        <f>IFERROR(100/'Skjema total MA'!C31*C31,0)</f>
        <v>21.44432617335098</v>
      </c>
      <c r="F31" s="236">
        <v>2108788.1453399998</v>
      </c>
      <c r="G31" s="236">
        <v>2041838.2072000001</v>
      </c>
      <c r="H31" s="123">
        <f t="shared" si="6"/>
        <v>-3.2</v>
      </c>
      <c r="I31" s="335">
        <f>IFERROR(100/'Skjema total MA'!F31*G31,0)</f>
        <v>29.155850439055843</v>
      </c>
      <c r="J31" s="236">
        <f t="shared" si="11"/>
        <v>7203598.5095482189</v>
      </c>
      <c r="K31" s="236">
        <f t="shared" si="12"/>
        <v>6669560.8969918005</v>
      </c>
      <c r="L31" s="123">
        <f t="shared" si="8"/>
        <v>-7.4</v>
      </c>
      <c r="M31" s="20">
        <f>IFERROR(100/'Skjema total MA'!I31*K31,0)</f>
        <v>23.333720424713395</v>
      </c>
    </row>
    <row r="32" spans="1:13" ht="15.75" x14ac:dyDescent="0.2">
      <c r="A32" s="382" t="s">
        <v>180</v>
      </c>
      <c r="B32" s="228"/>
      <c r="C32" s="228"/>
      <c r="D32" s="123"/>
      <c r="E32" s="8"/>
      <c r="F32" s="236">
        <v>2575443.5663200002</v>
      </c>
      <c r="G32" s="236">
        <v>2927155.9287999999</v>
      </c>
      <c r="H32" s="123">
        <f t="shared" si="6"/>
        <v>13.7</v>
      </c>
      <c r="I32" s="335">
        <f>IFERROR(100/'Skjema total MA'!F32*G32,0)</f>
        <v>40.253842237168406</v>
      </c>
      <c r="J32" s="236">
        <f t="shared" si="11"/>
        <v>2575443.5663200002</v>
      </c>
      <c r="K32" s="236">
        <f t="shared" si="12"/>
        <v>2927155.9287999999</v>
      </c>
      <c r="L32" s="123">
        <f t="shared" si="8"/>
        <v>13.7</v>
      </c>
      <c r="M32" s="20">
        <f>IFERROR(100/'Skjema total MA'!I32*K32,0)</f>
        <v>29.075691536045191</v>
      </c>
    </row>
    <row r="33" spans="1:13" ht="15.75" x14ac:dyDescent="0.2">
      <c r="A33" s="382" t="s">
        <v>181</v>
      </c>
      <c r="B33" s="228"/>
      <c r="C33" s="228"/>
      <c r="D33" s="123"/>
      <c r="E33" s="8"/>
      <c r="F33" s="236">
        <v>3834866.2835300001</v>
      </c>
      <c r="G33" s="236">
        <v>4455391.3348000003</v>
      </c>
      <c r="H33" s="123">
        <f t="shared" si="6"/>
        <v>16.2</v>
      </c>
      <c r="I33" s="335">
        <f>IFERROR(100/'Skjema total MA'!F33*G33,0)</f>
        <v>33.348493002701666</v>
      </c>
      <c r="J33" s="236">
        <f t="shared" si="11"/>
        <v>3834866.2835300001</v>
      </c>
      <c r="K33" s="236">
        <f t="shared" si="12"/>
        <v>4455391.3348000003</v>
      </c>
      <c r="L33" s="123">
        <f t="shared" si="8"/>
        <v>16.2</v>
      </c>
      <c r="M33" s="20">
        <f>IFERROR(100/'Skjema total MA'!I33*K33,0)</f>
        <v>33.348493002701666</v>
      </c>
    </row>
    <row r="34" spans="1:13" ht="15.75" x14ac:dyDescent="0.2">
      <c r="A34" s="10" t="s">
        <v>173</v>
      </c>
      <c r="B34" s="183">
        <v>2626.8</v>
      </c>
      <c r="C34" s="251">
        <v>4462.7759999999998</v>
      </c>
      <c r="D34" s="127">
        <f t="shared" si="5"/>
        <v>69.900000000000006</v>
      </c>
      <c r="E34" s="8">
        <f>IFERROR(100/'Skjema total MA'!C34*C34,0)</f>
        <v>103.14321795258179</v>
      </c>
      <c r="F34" s="250">
        <v>3681.0146599999998</v>
      </c>
      <c r="G34" s="251">
        <v>5865.5949700000001</v>
      </c>
      <c r="H34" s="127">
        <f t="shared" si="6"/>
        <v>59.3</v>
      </c>
      <c r="I34" s="8">
        <f>IFERROR(100/'Skjema total MA'!F34*G34,0)</f>
        <v>7.4883894592832476</v>
      </c>
      <c r="J34" s="183">
        <f t="shared" si="7"/>
        <v>6307.81466</v>
      </c>
      <c r="K34" s="183">
        <f t="shared" si="7"/>
        <v>10328.37097</v>
      </c>
      <c r="L34" s="342">
        <f t="shared" si="8"/>
        <v>63.7</v>
      </c>
      <c r="M34" s="21">
        <f>IFERROR(100/'Skjema total MA'!I34*K34,0)</f>
        <v>12.495614289772101</v>
      </c>
    </row>
    <row r="35" spans="1:13" ht="15.75" x14ac:dyDescent="0.2">
      <c r="A35" s="10" t="s">
        <v>174</v>
      </c>
      <c r="B35" s="183">
        <v>72.924580000000006</v>
      </c>
      <c r="C35" s="251">
        <v>988.05364999999995</v>
      </c>
      <c r="D35" s="127">
        <f t="shared" si="5"/>
        <v>999</v>
      </c>
      <c r="E35" s="8">
        <f>IFERROR(100/'Skjema total MA'!C35*C35,0)</f>
        <v>12.563363995978726</v>
      </c>
      <c r="F35" s="250">
        <v>34191.975789999997</v>
      </c>
      <c r="G35" s="251">
        <v>41867.059500000003</v>
      </c>
      <c r="H35" s="127">
        <f t="shared" si="6"/>
        <v>22.4</v>
      </c>
      <c r="I35" s="8">
        <f>IFERROR(100/'Skjema total MA'!F35*G35,0)</f>
        <v>38.165834230639611</v>
      </c>
      <c r="J35" s="183">
        <f t="shared" si="7"/>
        <v>34264.900369999996</v>
      </c>
      <c r="K35" s="183">
        <f t="shared" si="7"/>
        <v>42855.113150000005</v>
      </c>
      <c r="L35" s="342">
        <f t="shared" si="8"/>
        <v>25.1</v>
      </c>
      <c r="M35" s="21">
        <f>IFERROR(100/'Skjema total MA'!I35*K35,0)</f>
        <v>36.453106413568761</v>
      </c>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v>382887.15678000002</v>
      </c>
      <c r="C37" s="251">
        <v>369767.24354</v>
      </c>
      <c r="D37" s="127">
        <f t="shared" si="5"/>
        <v>-3.4</v>
      </c>
      <c r="E37" s="8">
        <f>IFERROR(100/'Skjema total MA'!C37*C37,0)</f>
        <v>16.202371554274936</v>
      </c>
      <c r="F37" s="261"/>
      <c r="G37" s="263"/>
      <c r="H37" s="127"/>
      <c r="I37" s="348"/>
      <c r="J37" s="183">
        <f t="shared" ref="J37" si="13">SUM(B37,F37)</f>
        <v>382887.15678000002</v>
      </c>
      <c r="K37" s="183">
        <f t="shared" ref="K37" si="14">SUM(C37,G37)</f>
        <v>369767.24354</v>
      </c>
      <c r="L37" s="342"/>
      <c r="M37" s="21">
        <f>IFERROR(100/'Skjema total MA'!I37*K37,0)</f>
        <v>16.202371554274936</v>
      </c>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813054.32147000008</v>
      </c>
      <c r="C47" s="253">
        <v>922728.35901000001</v>
      </c>
      <c r="D47" s="341">
        <f t="shared" ref="D47:D57" si="15">IF(B47=0, "    ---- ", IF(ABS(ROUND(100/B47*C47-100,1))&lt;999,ROUND(100/B47*C47-100,1),IF(ROUND(100/B47*C47-100,1)&gt;999,999,-999)))</f>
        <v>13.5</v>
      </c>
      <c r="E47" s="8">
        <f>IFERROR(100/'Skjema total MA'!C47*C47,0)</f>
        <v>18.3283899763513</v>
      </c>
      <c r="F47" s="109"/>
      <c r="G47" s="27"/>
      <c r="H47" s="118"/>
      <c r="I47" s="118"/>
      <c r="J47" s="31"/>
      <c r="K47" s="31"/>
      <c r="L47" s="118"/>
      <c r="M47" s="118"/>
    </row>
    <row r="48" spans="1:13" ht="15.75" x14ac:dyDescent="0.2">
      <c r="A48" s="18" t="s">
        <v>190</v>
      </c>
      <c r="B48" s="228">
        <v>235547.82500000001</v>
      </c>
      <c r="C48" s="229">
        <v>244491.71900000001</v>
      </c>
      <c r="D48" s="206">
        <f t="shared" si="15"/>
        <v>3.8</v>
      </c>
      <c r="E48" s="23">
        <f>IFERROR(100/'Skjema total MA'!C48*C48,0)</f>
        <v>9.8338193649057253</v>
      </c>
      <c r="F48" s="109"/>
      <c r="G48" s="27"/>
      <c r="H48" s="109"/>
      <c r="I48" s="109"/>
      <c r="J48" s="27"/>
      <c r="K48" s="27"/>
      <c r="L48" s="118"/>
      <c r="M48" s="118"/>
    </row>
    <row r="49" spans="1:13" ht="15.75" x14ac:dyDescent="0.2">
      <c r="A49" s="18" t="s">
        <v>191</v>
      </c>
      <c r="B49" s="36">
        <v>577506.49647000001</v>
      </c>
      <c r="C49" s="234">
        <v>678236.64000999997</v>
      </c>
      <c r="D49" s="206">
        <f>IF(B49=0, "    ---- ", IF(ABS(ROUND(100/B49*C49-100,1))&lt;999,ROUND(100/B49*C49-100,1),IF(ROUND(100/B49*C49-100,1)&gt;999,999,-999)))</f>
        <v>17.399999999999999</v>
      </c>
      <c r="E49" s="23">
        <f>IFERROR(100/'Skjema total MA'!C49*C49,0)</f>
        <v>26.616432078564017</v>
      </c>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v>54105.643000000004</v>
      </c>
      <c r="C53" s="253">
        <v>19983.601000000002</v>
      </c>
      <c r="D53" s="342">
        <f t="shared" si="15"/>
        <v>-63.1</v>
      </c>
      <c r="E53" s="8">
        <f>IFERROR(100/'Skjema total MA'!C53*C53,0)</f>
        <v>16.879238756134399</v>
      </c>
      <c r="F53" s="109"/>
      <c r="G53" s="27"/>
      <c r="H53" s="109"/>
      <c r="I53" s="109"/>
      <c r="J53" s="27"/>
      <c r="K53" s="27"/>
      <c r="L53" s="118"/>
      <c r="M53" s="118"/>
    </row>
    <row r="54" spans="1:13" ht="15.75" x14ac:dyDescent="0.2">
      <c r="A54" s="18" t="s">
        <v>190</v>
      </c>
      <c r="B54" s="228">
        <v>48216.578000000001</v>
      </c>
      <c r="C54" s="229">
        <v>19981.826000000001</v>
      </c>
      <c r="D54" s="206">
        <f t="shared" si="15"/>
        <v>-58.6</v>
      </c>
      <c r="E54" s="23">
        <f>IFERROR(100/'Skjema total MA'!C54*C54,0)</f>
        <v>16.912133987112373</v>
      </c>
      <c r="F54" s="109"/>
      <c r="G54" s="27"/>
      <c r="H54" s="109"/>
      <c r="I54" s="109"/>
      <c r="J54" s="27"/>
      <c r="K54" s="27"/>
      <c r="L54" s="118"/>
      <c r="M54" s="118"/>
    </row>
    <row r="55" spans="1:13" ht="15.75" x14ac:dyDescent="0.2">
      <c r="A55" s="18" t="s">
        <v>191</v>
      </c>
      <c r="B55" s="228">
        <v>5889.0649999999996</v>
      </c>
      <c r="C55" s="229">
        <v>1.7749999999999999</v>
      </c>
      <c r="D55" s="206">
        <f t="shared" si="15"/>
        <v>-100</v>
      </c>
      <c r="E55" s="23">
        <f>IFERROR(100/'Skjema total MA'!C55*C55,0)</f>
        <v>0.73720278268092621</v>
      </c>
      <c r="F55" s="109"/>
      <c r="G55" s="27"/>
      <c r="H55" s="109"/>
      <c r="I55" s="109"/>
      <c r="J55" s="27"/>
      <c r="K55" s="27"/>
      <c r="L55" s="118"/>
      <c r="M55" s="118"/>
    </row>
    <row r="56" spans="1:13" ht="15.75" x14ac:dyDescent="0.2">
      <c r="A56" s="10" t="s">
        <v>196</v>
      </c>
      <c r="B56" s="252">
        <v>13497.710999999999</v>
      </c>
      <c r="C56" s="253">
        <v>2222.7759999999998</v>
      </c>
      <c r="D56" s="342">
        <f t="shared" si="15"/>
        <v>-83.5</v>
      </c>
      <c r="E56" s="8">
        <f>IFERROR(100/'Skjema total MA'!C56*C56,0)</f>
        <v>2.0171477377295939</v>
      </c>
      <c r="F56" s="109"/>
      <c r="G56" s="27"/>
      <c r="H56" s="109"/>
      <c r="I56" s="109"/>
      <c r="J56" s="27"/>
      <c r="K56" s="27"/>
      <c r="L56" s="118"/>
      <c r="M56" s="118"/>
    </row>
    <row r="57" spans="1:13" ht="15.75" x14ac:dyDescent="0.2">
      <c r="A57" s="18" t="s">
        <v>190</v>
      </c>
      <c r="B57" s="228">
        <v>13497.710999999999</v>
      </c>
      <c r="C57" s="229">
        <v>2222.7759999999998</v>
      </c>
      <c r="D57" s="206">
        <f t="shared" si="15"/>
        <v>-83.5</v>
      </c>
      <c r="E57" s="23">
        <f>IFERROR(100/'Skjema total MA'!C57*C57,0)</f>
        <v>2.187599164794201</v>
      </c>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v>1114905.27731</v>
      </c>
      <c r="C66" s="288">
        <v>1186355.9340499998</v>
      </c>
      <c r="D66" s="285">
        <f t="shared" ref="D66:D111" si="16">IF(B66=0, "    ---- ", IF(ABS(ROUND(100/B66*C66-100,1))&lt;999,ROUND(100/B66*C66-100,1),IF(ROUND(100/B66*C66-100,1)&gt;999,999,-999)))</f>
        <v>6.4</v>
      </c>
      <c r="E66" s="559">
        <f>IFERROR(100/'Skjema total MA'!C66*C66,0)</f>
        <v>39.027156191858687</v>
      </c>
      <c r="F66" s="560">
        <v>4499100.4843899999</v>
      </c>
      <c r="G66" s="287">
        <v>4485021.1846099999</v>
      </c>
      <c r="H66" s="285">
        <f t="shared" ref="H66:H111" si="17">IF(F66=0, "    ---- ", IF(ABS(ROUND(100/F66*G66-100,1))&lt;999,ROUND(100/F66*G66-100,1),IF(ROUND(100/F66*G66-100,1)&gt;999,999,-999)))</f>
        <v>-0.3</v>
      </c>
      <c r="I66" s="559">
        <f>IFERROR(100/'Skjema total MA'!F66*G66,0)</f>
        <v>29.466784010599191</v>
      </c>
      <c r="J66" s="258">
        <f t="shared" ref="J66:K86" si="18">SUM(B66,F66)</f>
        <v>5614005.7616999997</v>
      </c>
      <c r="K66" s="258">
        <f t="shared" si="18"/>
        <v>5671377.1186599992</v>
      </c>
      <c r="L66" s="342">
        <f t="shared" ref="L66:L111" si="19">IF(J66=0, "    ---- ", IF(ABS(ROUND(100/J66*K66-100,1))&lt;999,ROUND(100/J66*K66-100,1),IF(ROUND(100/J66*K66-100,1)&gt;999,999,-999)))</f>
        <v>1</v>
      </c>
      <c r="M66" s="8">
        <f>IFERROR(100/'Skjema total MA'!I66*K66,0)</f>
        <v>31.058304046473037</v>
      </c>
    </row>
    <row r="67" spans="1:13" x14ac:dyDescent="0.2">
      <c r="A67" s="39" t="s">
        <v>198</v>
      </c>
      <c r="B67" s="36">
        <v>487759.76637999999</v>
      </c>
      <c r="C67" s="109">
        <v>521674.92755999998</v>
      </c>
      <c r="D67" s="123">
        <f t="shared" si="16"/>
        <v>7</v>
      </c>
      <c r="E67" s="20">
        <f>IFERROR(100/'Skjema total MA'!C67*C67,0)</f>
        <v>30.574425023993722</v>
      </c>
      <c r="F67" s="36"/>
      <c r="G67" s="109"/>
      <c r="H67" s="123"/>
      <c r="I67" s="20"/>
      <c r="J67" s="36">
        <f t="shared" si="18"/>
        <v>487759.76637999999</v>
      </c>
      <c r="K67" s="36">
        <f t="shared" si="18"/>
        <v>521674.92755999998</v>
      </c>
      <c r="L67" s="206">
        <f t="shared" si="19"/>
        <v>7</v>
      </c>
      <c r="M67" s="23">
        <f>IFERROR(100/'Skjema total MA'!I67*K67,0)</f>
        <v>30.574425023993722</v>
      </c>
    </row>
    <row r="68" spans="1:13" x14ac:dyDescent="0.2">
      <c r="A68" s="18" t="s">
        <v>199</v>
      </c>
      <c r="B68" s="237"/>
      <c r="C68" s="238"/>
      <c r="D68" s="123"/>
      <c r="E68" s="20"/>
      <c r="F68" s="142">
        <v>4078881.07589</v>
      </c>
      <c r="G68" s="238">
        <v>4062770.4446100001</v>
      </c>
      <c r="H68" s="123">
        <f t="shared" si="17"/>
        <v>-0.4</v>
      </c>
      <c r="I68" s="20">
        <f>IFERROR(100/'Skjema total MA'!F68*G68,0)</f>
        <v>27.702504721418496</v>
      </c>
      <c r="J68" s="36">
        <f t="shared" si="18"/>
        <v>4078881.07589</v>
      </c>
      <c r="K68" s="36">
        <f t="shared" si="18"/>
        <v>4062770.4446100001</v>
      </c>
      <c r="L68" s="206">
        <f t="shared" si="19"/>
        <v>-0.4</v>
      </c>
      <c r="M68" s="23">
        <f>IFERROR(100/'Skjema total MA'!I68*K68,0)</f>
        <v>27.693940179514492</v>
      </c>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v>87211.569499999998</v>
      </c>
      <c r="C75" s="109">
        <v>92747.341499999995</v>
      </c>
      <c r="D75" s="123">
        <f t="shared" si="16"/>
        <v>6.3</v>
      </c>
      <c r="E75" s="20">
        <f>IFERROR(100/'Skjema total MA'!C75*C75,0)</f>
        <v>45.848987712728402</v>
      </c>
      <c r="F75" s="36">
        <v>420219.40850000002</v>
      </c>
      <c r="G75" s="109">
        <v>422250.74</v>
      </c>
      <c r="H75" s="123">
        <f t="shared" si="17"/>
        <v>0.5</v>
      </c>
      <c r="I75" s="20">
        <f>IFERROR(100/'Skjema total MA'!F75*G75,0)</f>
        <v>76.097075464965428</v>
      </c>
      <c r="J75" s="36">
        <f t="shared" si="18"/>
        <v>507430.978</v>
      </c>
      <c r="K75" s="36">
        <f t="shared" si="18"/>
        <v>514998.08149999997</v>
      </c>
      <c r="L75" s="206">
        <f t="shared" si="19"/>
        <v>1.5</v>
      </c>
      <c r="M75" s="23">
        <f>IFERROR(100/'Skjema total MA'!I75*K75,0)</f>
        <v>68.015900930821147</v>
      </c>
    </row>
    <row r="76" spans="1:13" ht="15.75" x14ac:dyDescent="0.2">
      <c r="A76" s="18" t="s">
        <v>410</v>
      </c>
      <c r="B76" s="181">
        <v>539933.94143000001</v>
      </c>
      <c r="C76" s="109">
        <v>571933.66498999996</v>
      </c>
      <c r="D76" s="123">
        <f t="shared" ref="D76" si="20">IF(B76=0, "    ---- ", IF(ABS(ROUND(100/B76*C76-100,1))&lt;999,ROUND(100/B76*C76-100,1),IF(ROUND(100/B76*C76-100,1)&gt;999,999,-999)))</f>
        <v>5.9</v>
      </c>
      <c r="E76" s="20">
        <f>IFERROR(100/'Skjema total MA'!C76*C76,0)</f>
        <v>50.759528658049959</v>
      </c>
      <c r="F76" s="36"/>
      <c r="G76" s="109"/>
      <c r="H76" s="123"/>
      <c r="I76" s="20"/>
      <c r="J76" s="36">
        <f t="shared" ref="J76" si="21">SUM(B76,F76)</f>
        <v>539933.94143000001</v>
      </c>
      <c r="K76" s="36">
        <f t="shared" ref="K76" si="22">SUM(C76,G76)</f>
        <v>571933.66498999996</v>
      </c>
      <c r="L76" s="206">
        <f t="shared" ref="L76" si="23">IF(J76=0, "    ---- ", IF(ABS(ROUND(100/J76*K76-100,1))&lt;999,ROUND(100/J76*K76-100,1),IF(ROUND(100/J76*K76-100,1)&gt;999,999,-999)))</f>
        <v>5.9</v>
      </c>
      <c r="M76" s="23">
        <f>IFERROR(100/'Skjema total MA'!I76*K76,0)</f>
        <v>50.759528658049959</v>
      </c>
    </row>
    <row r="77" spans="1:13" ht="15.75" x14ac:dyDescent="0.2">
      <c r="A77" s="18" t="s">
        <v>206</v>
      </c>
      <c r="B77" s="181">
        <v>443622.52638</v>
      </c>
      <c r="C77" s="181">
        <v>476121.87255999999</v>
      </c>
      <c r="D77" s="123">
        <f t="shared" si="16"/>
        <v>7.3</v>
      </c>
      <c r="E77" s="20">
        <f>IFERROR(100/'Skjema total MA'!C77*C77,0)</f>
        <v>29.108784046360807</v>
      </c>
      <c r="F77" s="36">
        <v>4078881.07589</v>
      </c>
      <c r="G77" s="109">
        <v>4062770.4446100001</v>
      </c>
      <c r="H77" s="123">
        <f t="shared" si="17"/>
        <v>-0.4</v>
      </c>
      <c r="I77" s="20">
        <f>IFERROR(100/'Skjema total MA'!F77*G77,0)</f>
        <v>27.711046533022547</v>
      </c>
      <c r="J77" s="36">
        <f t="shared" si="18"/>
        <v>4522503.6022699997</v>
      </c>
      <c r="K77" s="36">
        <f t="shared" si="18"/>
        <v>4538892.3171699997</v>
      </c>
      <c r="L77" s="206">
        <f t="shared" si="19"/>
        <v>0.4</v>
      </c>
      <c r="M77" s="23">
        <f>IFERROR(100/'Skjema total MA'!I77*K77,0)</f>
        <v>27.851333006011838</v>
      </c>
    </row>
    <row r="78" spans="1:13" x14ac:dyDescent="0.2">
      <c r="A78" s="18" t="s">
        <v>198</v>
      </c>
      <c r="B78" s="181">
        <v>443622.52638</v>
      </c>
      <c r="C78" s="109">
        <v>476121.87255999999</v>
      </c>
      <c r="D78" s="123">
        <f t="shared" si="16"/>
        <v>7.3</v>
      </c>
      <c r="E78" s="20">
        <f>IFERROR(100/'Skjema total MA'!C78*C78,0)</f>
        <v>29.189723178465325</v>
      </c>
      <c r="F78" s="36"/>
      <c r="G78" s="109"/>
      <c r="H78" s="123"/>
      <c r="I78" s="20"/>
      <c r="J78" s="36">
        <f t="shared" si="18"/>
        <v>443622.52638</v>
      </c>
      <c r="K78" s="36">
        <f t="shared" si="18"/>
        <v>476121.87255999999</v>
      </c>
      <c r="L78" s="206">
        <f t="shared" si="19"/>
        <v>7.3</v>
      </c>
      <c r="M78" s="23">
        <f>IFERROR(100/'Skjema total MA'!I78*K78,0)</f>
        <v>29.189723178465325</v>
      </c>
    </row>
    <row r="79" spans="1:13" x14ac:dyDescent="0.2">
      <c r="A79" s="18" t="s">
        <v>207</v>
      </c>
      <c r="B79" s="237"/>
      <c r="C79" s="238"/>
      <c r="D79" s="123"/>
      <c r="E79" s="20"/>
      <c r="F79" s="142">
        <v>4078881.07589</v>
      </c>
      <c r="G79" s="238">
        <v>4062770.4446100001</v>
      </c>
      <c r="H79" s="123">
        <f t="shared" si="17"/>
        <v>-0.4</v>
      </c>
      <c r="I79" s="20">
        <f>IFERROR(100/'Skjema total MA'!F79*G79,0)</f>
        <v>27.711046533022547</v>
      </c>
      <c r="J79" s="36">
        <f t="shared" si="18"/>
        <v>4078881.07589</v>
      </c>
      <c r="K79" s="36">
        <f t="shared" si="18"/>
        <v>4062770.4446100001</v>
      </c>
      <c r="L79" s="206">
        <f t="shared" si="19"/>
        <v>-0.4</v>
      </c>
      <c r="M79" s="23">
        <f>IFERROR(100/'Skjema total MA'!I79*K79,0)</f>
        <v>27.702476709526341</v>
      </c>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v>44137.24</v>
      </c>
      <c r="C86" s="109">
        <v>45553.055</v>
      </c>
      <c r="D86" s="123">
        <f t="shared" si="16"/>
        <v>3.2</v>
      </c>
      <c r="E86" s="20">
        <f>IFERROR(100/'Skjema total MA'!C86*C86,0)</f>
        <v>60.642663420751155</v>
      </c>
      <c r="F86" s="36"/>
      <c r="G86" s="109"/>
      <c r="H86" s="123"/>
      <c r="I86" s="20"/>
      <c r="J86" s="36">
        <f t="shared" si="18"/>
        <v>44137.24</v>
      </c>
      <c r="K86" s="36">
        <f t="shared" si="18"/>
        <v>45553.055</v>
      </c>
      <c r="L86" s="206">
        <f t="shared" si="19"/>
        <v>3.2</v>
      </c>
      <c r="M86" s="23">
        <f>IFERROR(100/'Skjema total MA'!I86*K86,0)</f>
        <v>57.20028014830843</v>
      </c>
    </row>
    <row r="87" spans="1:13" ht="15.75" x14ac:dyDescent="0.2">
      <c r="A87" s="10" t="s">
        <v>172</v>
      </c>
      <c r="B87" s="288">
        <v>175482632.03440002</v>
      </c>
      <c r="C87" s="288">
        <v>178647559.55446002</v>
      </c>
      <c r="D87" s="127">
        <f t="shared" si="16"/>
        <v>1.8</v>
      </c>
      <c r="E87" s="21">
        <f>IFERROR(100/'Skjema total MA'!C87*C87,0)</f>
        <v>43.089141540832884</v>
      </c>
      <c r="F87" s="225">
        <v>219497758.13139001</v>
      </c>
      <c r="G87" s="287">
        <v>254820426.51534</v>
      </c>
      <c r="H87" s="127">
        <f t="shared" si="17"/>
        <v>16.100000000000001</v>
      </c>
      <c r="I87" s="21">
        <f>IFERROR(100/'Skjema total MA'!F87*G87,0)</f>
        <v>32.062750086431798</v>
      </c>
      <c r="J87" s="183">
        <f t="shared" ref="J87:K111" si="24">SUM(B87,F87)</f>
        <v>394980390.16579002</v>
      </c>
      <c r="K87" s="183">
        <f t="shared" si="24"/>
        <v>433467986.06980002</v>
      </c>
      <c r="L87" s="342">
        <f t="shared" si="19"/>
        <v>9.6999999999999993</v>
      </c>
      <c r="M87" s="8">
        <f>IFERROR(100/'Skjema total MA'!I87*K87,0)</f>
        <v>35.84289748653088</v>
      </c>
    </row>
    <row r="88" spans="1:13" x14ac:dyDescent="0.2">
      <c r="A88" s="18" t="s">
        <v>198</v>
      </c>
      <c r="B88" s="181">
        <v>161625777.98425001</v>
      </c>
      <c r="C88" s="109">
        <v>162368678.61515</v>
      </c>
      <c r="D88" s="123">
        <f t="shared" si="16"/>
        <v>0.5</v>
      </c>
      <c r="E88" s="20">
        <f>IFERROR(100/'Skjema total MA'!C88*C88,0)</f>
        <v>41.984027335608808</v>
      </c>
      <c r="F88" s="36"/>
      <c r="G88" s="109"/>
      <c r="H88" s="123"/>
      <c r="I88" s="20"/>
      <c r="J88" s="36">
        <f t="shared" si="24"/>
        <v>161625777.98425001</v>
      </c>
      <c r="K88" s="36">
        <f t="shared" si="24"/>
        <v>162368678.61515</v>
      </c>
      <c r="L88" s="206">
        <f t="shared" si="19"/>
        <v>0.5</v>
      </c>
      <c r="M88" s="23">
        <f>IFERROR(100/'Skjema total MA'!I88*K88,0)</f>
        <v>41.984027335608808</v>
      </c>
    </row>
    <row r="89" spans="1:13" x14ac:dyDescent="0.2">
      <c r="A89" s="18" t="s">
        <v>199</v>
      </c>
      <c r="B89" s="181">
        <v>46663.965629999999</v>
      </c>
      <c r="C89" s="109">
        <v>45690.732020000003</v>
      </c>
      <c r="D89" s="123">
        <f t="shared" si="16"/>
        <v>-2.1</v>
      </c>
      <c r="E89" s="20">
        <f>IFERROR(100/'Skjema total MA'!C89*C89,0)</f>
        <v>1.0786630173576428</v>
      </c>
      <c r="F89" s="36">
        <v>212190734.00196001</v>
      </c>
      <c r="G89" s="109">
        <v>245941544.29339001</v>
      </c>
      <c r="H89" s="123">
        <f t="shared" si="17"/>
        <v>15.9</v>
      </c>
      <c r="I89" s="20">
        <f>IFERROR(100/'Skjema total MA'!F89*G89,0)</f>
        <v>31.454336804239141</v>
      </c>
      <c r="J89" s="36">
        <f t="shared" si="24"/>
        <v>212237397.96759</v>
      </c>
      <c r="K89" s="36">
        <f t="shared" si="24"/>
        <v>245987235.02541</v>
      </c>
      <c r="L89" s="206">
        <f t="shared" si="19"/>
        <v>15.9</v>
      </c>
      <c r="M89" s="23">
        <f>IFERROR(100/'Skjema total MA'!I89*K89,0)</f>
        <v>31.290666274885275</v>
      </c>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v>3490807.5614999998</v>
      </c>
      <c r="C96" s="109">
        <v>4650329.8332700003</v>
      </c>
      <c r="D96" s="123">
        <f t="shared" si="16"/>
        <v>33.200000000000003</v>
      </c>
      <c r="E96" s="20">
        <f>IFERROR(100/'Skjema total MA'!C96*C96,0)</f>
        <v>48.578284696854105</v>
      </c>
      <c r="F96" s="36">
        <v>7307024.1294299997</v>
      </c>
      <c r="G96" s="109">
        <v>8878882.2219500002</v>
      </c>
      <c r="H96" s="123">
        <f t="shared" si="17"/>
        <v>21.5</v>
      </c>
      <c r="I96" s="20">
        <f>IFERROR(100/'Skjema total MA'!F96*G96,0)</f>
        <v>69.068971567122347</v>
      </c>
      <c r="J96" s="36">
        <f t="shared" si="24"/>
        <v>10797831.69093</v>
      </c>
      <c r="K96" s="36">
        <f t="shared" si="24"/>
        <v>13529212.05522</v>
      </c>
      <c r="L96" s="206">
        <f t="shared" si="19"/>
        <v>25.3</v>
      </c>
      <c r="M96" s="23">
        <f>IFERROR(100/'Skjema total MA'!I96*K96,0)</f>
        <v>60.322991824342274</v>
      </c>
    </row>
    <row r="97" spans="1:13" x14ac:dyDescent="0.2">
      <c r="A97" s="18" t="s">
        <v>223</v>
      </c>
      <c r="B97" s="181">
        <v>10319382.523019999</v>
      </c>
      <c r="C97" s="109">
        <v>11582860.374020001</v>
      </c>
      <c r="D97" s="123">
        <f t="shared" ref="D97" si="25">IF(B97=0, "    ---- ", IF(ABS(ROUND(100/B97*C97-100,1))&lt;999,ROUND(100/B97*C97-100,1),IF(ROUND(100/B97*C97-100,1)&gt;999,999,-999)))</f>
        <v>12.2</v>
      </c>
      <c r="E97" s="20">
        <f>IFERROR(100/'Skjema total MA'!C98*C97,0)</f>
        <v>2.9957317452334737</v>
      </c>
      <c r="F97" s="36"/>
      <c r="G97" s="109"/>
      <c r="H97" s="123"/>
      <c r="I97" s="20"/>
      <c r="J97" s="36">
        <f t="shared" ref="J97" si="26">SUM(B97,F97)</f>
        <v>10319382.523019999</v>
      </c>
      <c r="K97" s="36">
        <f t="shared" ref="K97" si="27">SUM(C97,G97)</f>
        <v>11582860.374020001</v>
      </c>
      <c r="L97" s="206">
        <f t="shared" ref="L97" si="28">IF(J97=0, "    ---- ", IF(ABS(ROUND(100/J97*K97-100,1))&lt;999,ROUND(100/J97*K97-100,1),IF(ROUND(100/J97*K97-100,1)&gt;999,999,-999)))</f>
        <v>12.2</v>
      </c>
      <c r="M97" s="23">
        <f>IFERROR(100/'Skjema total MA'!I98*K97,0)</f>
        <v>0.99156717852371645</v>
      </c>
    </row>
    <row r="98" spans="1:13" ht="15.75" x14ac:dyDescent="0.2">
      <c r="A98" s="18" t="s">
        <v>206</v>
      </c>
      <c r="B98" s="181">
        <v>158631481.00288001</v>
      </c>
      <c r="C98" s="181">
        <v>159196382.63716999</v>
      </c>
      <c r="D98" s="123">
        <f t="shared" si="16"/>
        <v>0.4</v>
      </c>
      <c r="E98" s="20">
        <f>IFERROR(100/'Skjema total MA'!C98*C98,0)</f>
        <v>41.17373790175342</v>
      </c>
      <c r="F98" s="142">
        <v>212190734.00196001</v>
      </c>
      <c r="G98" s="237">
        <v>245941544.29339001</v>
      </c>
      <c r="H98" s="123">
        <f t="shared" si="17"/>
        <v>15.9</v>
      </c>
      <c r="I98" s="20">
        <f>IFERROR(100/'Skjema total MA'!F98*G98,0)</f>
        <v>31.470798292759586</v>
      </c>
      <c r="J98" s="36">
        <f t="shared" si="24"/>
        <v>370822215.00484002</v>
      </c>
      <c r="K98" s="36">
        <f t="shared" si="24"/>
        <v>405137926.93055999</v>
      </c>
      <c r="L98" s="206">
        <f t="shared" si="19"/>
        <v>9.3000000000000007</v>
      </c>
      <c r="M98" s="23">
        <f>IFERROR(100/'Skjema total MA'!I98*K98,0)</f>
        <v>34.682406430498965</v>
      </c>
    </row>
    <row r="99" spans="1:13" x14ac:dyDescent="0.2">
      <c r="A99" s="18" t="s">
        <v>198</v>
      </c>
      <c r="B99" s="237">
        <v>158584817.03725001</v>
      </c>
      <c r="C99" s="238">
        <v>159150691.90515</v>
      </c>
      <c r="D99" s="123">
        <f t="shared" si="16"/>
        <v>0.4</v>
      </c>
      <c r="E99" s="20">
        <f>IFERROR(100/'Skjema total MA'!C99*C99,0)</f>
        <v>41.617862260562262</v>
      </c>
      <c r="F99" s="36"/>
      <c r="G99" s="109"/>
      <c r="H99" s="123"/>
      <c r="I99" s="20"/>
      <c r="J99" s="36">
        <f t="shared" si="24"/>
        <v>158584817.03725001</v>
      </c>
      <c r="K99" s="36">
        <f t="shared" si="24"/>
        <v>159150691.90515</v>
      </c>
      <c r="L99" s="206">
        <f t="shared" si="19"/>
        <v>0.4</v>
      </c>
      <c r="M99" s="23">
        <f>IFERROR(100/'Skjema total MA'!I99*K99,0)</f>
        <v>41.617862260562262</v>
      </c>
    </row>
    <row r="100" spans="1:13" x14ac:dyDescent="0.2">
      <c r="A100" s="18" t="s">
        <v>207</v>
      </c>
      <c r="B100" s="237">
        <v>46663.965629999999</v>
      </c>
      <c r="C100" s="238">
        <v>45690.732020000003</v>
      </c>
      <c r="D100" s="123">
        <f t="shared" si="16"/>
        <v>-2.1</v>
      </c>
      <c r="E100" s="20">
        <f>IFERROR(100/'Skjema total MA'!C100*C100,0)</f>
        <v>1.0786630173576428</v>
      </c>
      <c r="F100" s="36">
        <v>212190734.00196001</v>
      </c>
      <c r="G100" s="181">
        <v>245941544.29339001</v>
      </c>
      <c r="H100" s="123">
        <f t="shared" si="17"/>
        <v>15.9</v>
      </c>
      <c r="I100" s="20">
        <f>IFERROR(100/'Skjema total MA'!F100*G100,0)</f>
        <v>31.470798292759586</v>
      </c>
      <c r="J100" s="36">
        <f t="shared" si="24"/>
        <v>212237397.96759</v>
      </c>
      <c r="K100" s="36">
        <f t="shared" si="24"/>
        <v>245987235.02541</v>
      </c>
      <c r="L100" s="206">
        <f t="shared" si="19"/>
        <v>15.9</v>
      </c>
      <c r="M100" s="23">
        <f>IFERROR(100/'Skjema total MA'!I100*K100,0)</f>
        <v>31.306953824792384</v>
      </c>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v>3040960.9470000002</v>
      </c>
      <c r="C107" s="109">
        <v>3217986.71</v>
      </c>
      <c r="D107" s="123">
        <f t="shared" si="16"/>
        <v>5.8</v>
      </c>
      <c r="E107" s="20">
        <f>IFERROR(100/'Skjema total MA'!C107*C107,0)</f>
        <v>74.325431847497683</v>
      </c>
      <c r="F107" s="36"/>
      <c r="G107" s="109"/>
      <c r="H107" s="123"/>
      <c r="I107" s="20"/>
      <c r="J107" s="36">
        <f t="shared" si="24"/>
        <v>3040960.9470000002</v>
      </c>
      <c r="K107" s="36">
        <f t="shared" si="24"/>
        <v>3217986.71</v>
      </c>
      <c r="L107" s="206">
        <f t="shared" si="19"/>
        <v>5.8</v>
      </c>
      <c r="M107" s="23">
        <f>IFERROR(100/'Skjema total MA'!I107*K107,0)</f>
        <v>67.910354466666263</v>
      </c>
    </row>
    <row r="108" spans="1:13" ht="15.75" x14ac:dyDescent="0.2">
      <c r="A108" s="18" t="s">
        <v>209</v>
      </c>
      <c r="B108" s="181">
        <v>142326802.71575999</v>
      </c>
      <c r="C108" s="181">
        <v>142427133.74042001</v>
      </c>
      <c r="D108" s="123">
        <f t="shared" si="16"/>
        <v>0.1</v>
      </c>
      <c r="E108" s="20">
        <f>IFERROR(100/'Skjema total MA'!C108*C108,0)</f>
        <v>43.182287454314114</v>
      </c>
      <c r="F108" s="36">
        <v>21029734.11411</v>
      </c>
      <c r="G108" s="181">
        <v>22946021.804949999</v>
      </c>
      <c r="H108" s="123">
        <f t="shared" si="17"/>
        <v>9.1</v>
      </c>
      <c r="I108" s="20">
        <f>IFERROR(100/'Skjema total MA'!F108*G108,0)</f>
        <v>88.542368658843074</v>
      </c>
      <c r="J108" s="36">
        <f t="shared" si="24"/>
        <v>163356536.82986999</v>
      </c>
      <c r="K108" s="36">
        <f t="shared" si="24"/>
        <v>165373155.54537001</v>
      </c>
      <c r="L108" s="206">
        <f t="shared" si="19"/>
        <v>1.2</v>
      </c>
      <c r="M108" s="23">
        <f>IFERROR(100/'Skjema total MA'!I108*K108,0)</f>
        <v>46.486696160055793</v>
      </c>
    </row>
    <row r="109" spans="1:13" ht="15.75" x14ac:dyDescent="0.2">
      <c r="A109" s="18" t="s">
        <v>210</v>
      </c>
      <c r="B109" s="181">
        <v>722726.27561000001</v>
      </c>
      <c r="C109" s="181">
        <v>895112.98600000003</v>
      </c>
      <c r="D109" s="123">
        <f t="shared" si="16"/>
        <v>23.9</v>
      </c>
      <c r="E109" s="20">
        <f>IFERROR(100/'Skjema total MA'!C109*C109,0)</f>
        <v>27.567548188360234</v>
      </c>
      <c r="F109" s="36">
        <v>71741822.909999996</v>
      </c>
      <c r="G109" s="181">
        <v>86329578.155000001</v>
      </c>
      <c r="H109" s="123">
        <f t="shared" si="17"/>
        <v>20.3</v>
      </c>
      <c r="I109" s="20">
        <f>IFERROR(100/'Skjema total MA'!F109*G109,0)</f>
        <v>27.336241235719637</v>
      </c>
      <c r="J109" s="36">
        <f t="shared" si="24"/>
        <v>72464549.185609996</v>
      </c>
      <c r="K109" s="36">
        <f t="shared" si="24"/>
        <v>87224691.141000003</v>
      </c>
      <c r="L109" s="206">
        <f t="shared" si="19"/>
        <v>20.399999999999999</v>
      </c>
      <c r="M109" s="23">
        <f>IFERROR(100/'Skjema total MA'!I109*K109,0)</f>
        <v>27.33859522866527</v>
      </c>
    </row>
    <row r="110" spans="1:13" ht="15.75" x14ac:dyDescent="0.2">
      <c r="A110" s="18" t="s">
        <v>211</v>
      </c>
      <c r="B110" s="181">
        <v>2140124.7461600001</v>
      </c>
      <c r="C110" s="181">
        <v>3185747.2841599998</v>
      </c>
      <c r="D110" s="123">
        <f t="shared" si="16"/>
        <v>48.9</v>
      </c>
      <c r="E110" s="20">
        <f>IFERROR(100/'Skjema total MA'!C110*C110,0)</f>
        <v>61.004695122932588</v>
      </c>
      <c r="F110" s="36"/>
      <c r="G110" s="181"/>
      <c r="H110" s="123"/>
      <c r="I110" s="20"/>
      <c r="J110" s="36">
        <f t="shared" si="24"/>
        <v>2140124.7461600001</v>
      </c>
      <c r="K110" s="36">
        <f t="shared" si="24"/>
        <v>3185747.2841599998</v>
      </c>
      <c r="L110" s="206">
        <f t="shared" si="19"/>
        <v>48.9</v>
      </c>
      <c r="M110" s="23">
        <f>IFERROR(100/'Skjema total MA'!I110*K110,0)</f>
        <v>61.004695122932588</v>
      </c>
    </row>
    <row r="111" spans="1:13" ht="15.75" x14ac:dyDescent="0.2">
      <c r="A111" s="10" t="s">
        <v>173</v>
      </c>
      <c r="B111" s="250">
        <v>78934.251999999993</v>
      </c>
      <c r="C111" s="118">
        <v>155693.508</v>
      </c>
      <c r="D111" s="127">
        <f t="shared" si="16"/>
        <v>97.2</v>
      </c>
      <c r="E111" s="21">
        <f>IFERROR(100/'Skjema total MA'!C111*C111,0)</f>
        <v>51.971504672386018</v>
      </c>
      <c r="F111" s="183">
        <v>4350321.915</v>
      </c>
      <c r="G111" s="118">
        <v>4124433.5280000004</v>
      </c>
      <c r="H111" s="127">
        <f t="shared" si="17"/>
        <v>-5.2</v>
      </c>
      <c r="I111" s="21">
        <f>IFERROR(100/'Skjema total MA'!F111*G111,0)</f>
        <v>17.100191652437626</v>
      </c>
      <c r="J111" s="183">
        <f t="shared" si="24"/>
        <v>4429256.1670000004</v>
      </c>
      <c r="K111" s="183">
        <f t="shared" si="24"/>
        <v>4280127.0360000003</v>
      </c>
      <c r="L111" s="342">
        <f t="shared" si="19"/>
        <v>-3.4</v>
      </c>
      <c r="M111" s="8">
        <f>IFERROR(100/'Skjema total MA'!I111*K111,0)</f>
        <v>17.527999964213059</v>
      </c>
    </row>
    <row r="112" spans="1:13" x14ac:dyDescent="0.2">
      <c r="A112" s="18" t="s">
        <v>198</v>
      </c>
      <c r="B112" s="181">
        <v>8143.3410000000003</v>
      </c>
      <c r="C112" s="109">
        <v>99610.438999999998</v>
      </c>
      <c r="D112" s="123">
        <f t="shared" ref="D112:D125" si="29">IF(B112=0, "    ---- ", IF(ABS(ROUND(100/B112*C112-100,1))&lt;999,ROUND(100/B112*C112-100,1),IF(ROUND(100/B112*C112-100,1)&gt;999,999,-999)))</f>
        <v>999</v>
      </c>
      <c r="E112" s="20">
        <f>IFERROR(100/'Skjema total MA'!C112*C112,0)</f>
        <v>45.332300346511836</v>
      </c>
      <c r="F112" s="36">
        <v>472.80700000000002</v>
      </c>
      <c r="G112" s="109">
        <v>2491.8789999999999</v>
      </c>
      <c r="H112" s="123">
        <f t="shared" ref="H112:H125" si="30">IF(F112=0, "    ---- ", IF(ABS(ROUND(100/F112*G112-100,1))&lt;999,ROUND(100/F112*G112-100,1),IF(ROUND(100/F112*G112-100,1)&gt;999,999,-999)))</f>
        <v>427</v>
      </c>
      <c r="I112" s="20">
        <f>IFERROR(100/'Skjema total MA'!F112*G112,0)</f>
        <v>99.999999999999986</v>
      </c>
      <c r="J112" s="36">
        <f t="shared" ref="J112:K125" si="31">SUM(B112,F112)</f>
        <v>8616.148000000001</v>
      </c>
      <c r="K112" s="36">
        <f t="shared" si="31"/>
        <v>102102.318</v>
      </c>
      <c r="L112" s="206">
        <f t="shared" ref="L112:L125" si="32">IF(J112=0, "    ---- ", IF(ABS(ROUND(100/J112*K112-100,1))&lt;999,ROUND(100/J112*K112-100,1),IF(ROUND(100/J112*K112-100,1)&gt;999,999,-999)))</f>
        <v>999</v>
      </c>
      <c r="M112" s="23">
        <f>IFERROR(100/'Skjema total MA'!I112*K112,0)</f>
        <v>45.945304306857992</v>
      </c>
    </row>
    <row r="113" spans="1:13" x14ac:dyDescent="0.2">
      <c r="A113" s="18" t="s">
        <v>199</v>
      </c>
      <c r="B113" s="181"/>
      <c r="C113" s="109"/>
      <c r="D113" s="123"/>
      <c r="E113" s="20"/>
      <c r="F113" s="36">
        <v>4349849.108</v>
      </c>
      <c r="G113" s="109">
        <v>4121941.6490000002</v>
      </c>
      <c r="H113" s="123">
        <f t="shared" si="30"/>
        <v>-5.2</v>
      </c>
      <c r="I113" s="20">
        <f>IFERROR(100/'Skjema total MA'!F113*G113,0)</f>
        <v>17.093927626469284</v>
      </c>
      <c r="J113" s="36">
        <f t="shared" si="31"/>
        <v>4349849.108</v>
      </c>
      <c r="K113" s="36">
        <f t="shared" si="31"/>
        <v>4121941.6490000002</v>
      </c>
      <c r="L113" s="206">
        <f t="shared" si="32"/>
        <v>-5.2</v>
      </c>
      <c r="M113" s="23">
        <f>IFERROR(100/'Skjema total MA'!I113*K113,0)</f>
        <v>17.086358042293636</v>
      </c>
    </row>
    <row r="114" spans="1:13" x14ac:dyDescent="0.2">
      <c r="A114" s="18" t="s">
        <v>212</v>
      </c>
      <c r="B114" s="181">
        <v>70790.910999999993</v>
      </c>
      <c r="C114" s="109">
        <v>56083.069000000003</v>
      </c>
      <c r="D114" s="123">
        <f t="shared" si="29"/>
        <v>-20.8</v>
      </c>
      <c r="E114" s="20">
        <f>IFERROR(100/'Skjema total MA'!C114*C114,0)</f>
        <v>81.093995817205368</v>
      </c>
      <c r="F114" s="36"/>
      <c r="G114" s="109"/>
      <c r="H114" s="123"/>
      <c r="I114" s="20"/>
      <c r="J114" s="36">
        <f t="shared" si="31"/>
        <v>70790.910999999993</v>
      </c>
      <c r="K114" s="36">
        <f t="shared" si="31"/>
        <v>56083.069000000003</v>
      </c>
      <c r="L114" s="206">
        <f t="shared" si="32"/>
        <v>-20.8</v>
      </c>
      <c r="M114" s="23">
        <f>IFERROR(100/'Skjema total MA'!I114*K114,0)</f>
        <v>77.457063345733502</v>
      </c>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v>13.567</v>
      </c>
      <c r="C116" s="181">
        <v>233.791</v>
      </c>
      <c r="D116" s="123">
        <f t="shared" si="29"/>
        <v>999</v>
      </c>
      <c r="E116" s="20">
        <f>IFERROR(100/'Skjema total MA'!C116*C116,0)</f>
        <v>0.68710855594985421</v>
      </c>
      <c r="F116" s="36">
        <v>472.80700000000002</v>
      </c>
      <c r="G116" s="181">
        <v>2491.8789999999999</v>
      </c>
      <c r="H116" s="123">
        <f t="shared" si="30"/>
        <v>427</v>
      </c>
      <c r="I116" s="20">
        <f>IFERROR(100/'Skjema total MA'!F116*G116,0)</f>
        <v>99.999999999999986</v>
      </c>
      <c r="J116" s="36">
        <f t="shared" si="31"/>
        <v>486.37400000000002</v>
      </c>
      <c r="K116" s="36">
        <f t="shared" si="31"/>
        <v>2725.67</v>
      </c>
      <c r="L116" s="206">
        <f t="shared" si="32"/>
        <v>460.4</v>
      </c>
      <c r="M116" s="23">
        <f>IFERROR(100/'Skjema total MA'!I116*K116,0)</f>
        <v>7.464068505825229</v>
      </c>
    </row>
    <row r="117" spans="1:13" ht="15.75" x14ac:dyDescent="0.2">
      <c r="A117" s="18" t="s">
        <v>210</v>
      </c>
      <c r="B117" s="181"/>
      <c r="C117" s="181"/>
      <c r="D117" s="123"/>
      <c r="E117" s="20"/>
      <c r="F117" s="36">
        <v>2349855.5269999998</v>
      </c>
      <c r="G117" s="181">
        <v>2793605.0929999999</v>
      </c>
      <c r="H117" s="123">
        <f t="shared" si="30"/>
        <v>18.899999999999999</v>
      </c>
      <c r="I117" s="20">
        <f>IFERROR(100/'Skjema total MA'!F117*G117,0)</f>
        <v>20.64505507165639</v>
      </c>
      <c r="J117" s="36">
        <f t="shared" si="31"/>
        <v>2349855.5269999998</v>
      </c>
      <c r="K117" s="36">
        <f t="shared" si="31"/>
        <v>2793605.0929999999</v>
      </c>
      <c r="L117" s="206">
        <f t="shared" si="32"/>
        <v>18.899999999999999</v>
      </c>
      <c r="M117" s="23">
        <f>IFERROR(100/'Skjema total MA'!I117*K117,0)</f>
        <v>20.64505507165639</v>
      </c>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v>137324.136</v>
      </c>
      <c r="C119" s="118">
        <v>223216.609</v>
      </c>
      <c r="D119" s="127">
        <f t="shared" si="29"/>
        <v>62.5</v>
      </c>
      <c r="E119" s="21">
        <f>IFERROR(100/'Skjema total MA'!C119*C119,0)</f>
        <v>65.017417603563459</v>
      </c>
      <c r="F119" s="183">
        <v>5833693.1519999998</v>
      </c>
      <c r="G119" s="118">
        <v>6691786.1509999996</v>
      </c>
      <c r="H119" s="127">
        <f t="shared" si="30"/>
        <v>14.7</v>
      </c>
      <c r="I119" s="21">
        <f>IFERROR(100/'Skjema total MA'!F119*G119,0)</f>
        <v>26.810255690199813</v>
      </c>
      <c r="J119" s="183">
        <f t="shared" si="31"/>
        <v>5971017.2879999997</v>
      </c>
      <c r="K119" s="183">
        <f t="shared" si="31"/>
        <v>6915002.7599999998</v>
      </c>
      <c r="L119" s="342">
        <f t="shared" si="32"/>
        <v>15.8</v>
      </c>
      <c r="M119" s="8">
        <f>IFERROR(100/'Skjema total MA'!I119*K119,0)</f>
        <v>27.32865871688815</v>
      </c>
    </row>
    <row r="120" spans="1:13" x14ac:dyDescent="0.2">
      <c r="A120" s="18" t="s">
        <v>198</v>
      </c>
      <c r="B120" s="181">
        <v>2550.3130000000001</v>
      </c>
      <c r="C120" s="109">
        <v>34872.449000000001</v>
      </c>
      <c r="D120" s="123">
        <f t="shared" si="29"/>
        <v>999</v>
      </c>
      <c r="E120" s="20">
        <f>IFERROR(100/'Skjema total MA'!C120*C120,0)</f>
        <v>59.455578865508812</v>
      </c>
      <c r="F120" s="36"/>
      <c r="G120" s="109"/>
      <c r="H120" s="123"/>
      <c r="I120" s="20"/>
      <c r="J120" s="36">
        <f t="shared" si="31"/>
        <v>2550.3130000000001</v>
      </c>
      <c r="K120" s="36">
        <f t="shared" si="31"/>
        <v>34872.449000000001</v>
      </c>
      <c r="L120" s="206">
        <f t="shared" si="32"/>
        <v>999</v>
      </c>
      <c r="M120" s="23">
        <f>IFERROR(100/'Skjema total MA'!I120*K120,0)</f>
        <v>59.455578865508812</v>
      </c>
    </row>
    <row r="121" spans="1:13" x14ac:dyDescent="0.2">
      <c r="A121" s="18" t="s">
        <v>199</v>
      </c>
      <c r="B121" s="181">
        <v>0</v>
      </c>
      <c r="C121" s="109">
        <v>0</v>
      </c>
      <c r="D121" s="123" t="str">
        <f t="shared" si="29"/>
        <v xml:space="preserve">    ---- </v>
      </c>
      <c r="E121" s="20">
        <f>IFERROR(100/'Skjema total MA'!C121*C121,0)</f>
        <v>0</v>
      </c>
      <c r="F121" s="36">
        <v>5833693.1519999998</v>
      </c>
      <c r="G121" s="109">
        <v>6691786.1509999996</v>
      </c>
      <c r="H121" s="123">
        <f t="shared" si="30"/>
        <v>14.7</v>
      </c>
      <c r="I121" s="20">
        <f>IFERROR(100/'Skjema total MA'!F121*G121,0)</f>
        <v>26.810255690199813</v>
      </c>
      <c r="J121" s="36">
        <f t="shared" si="31"/>
        <v>5833693.1519999998</v>
      </c>
      <c r="K121" s="36">
        <f t="shared" si="31"/>
        <v>6691786.1509999996</v>
      </c>
      <c r="L121" s="206">
        <f t="shared" si="32"/>
        <v>14.7</v>
      </c>
      <c r="M121" s="23">
        <f>IFERROR(100/'Skjema total MA'!I121*K121,0)</f>
        <v>26.770209439014351</v>
      </c>
    </row>
    <row r="122" spans="1:13" x14ac:dyDescent="0.2">
      <c r="A122" s="18" t="s">
        <v>212</v>
      </c>
      <c r="B122" s="181">
        <v>134773.823</v>
      </c>
      <c r="C122" s="109">
        <v>188344.16</v>
      </c>
      <c r="D122" s="123">
        <f t="shared" si="29"/>
        <v>39.700000000000003</v>
      </c>
      <c r="E122" s="20">
        <f>IFERROR(100/'Skjema total MA'!C122*C122,0)</f>
        <v>76.15181465294512</v>
      </c>
      <c r="F122" s="36"/>
      <c r="G122" s="109"/>
      <c r="H122" s="123"/>
      <c r="I122" s="20"/>
      <c r="J122" s="36">
        <f t="shared" si="31"/>
        <v>134773.823</v>
      </c>
      <c r="K122" s="36">
        <f t="shared" si="31"/>
        <v>188344.16</v>
      </c>
      <c r="L122" s="206">
        <f t="shared" si="32"/>
        <v>39.700000000000003</v>
      </c>
      <c r="M122" s="23">
        <f>IFERROR(100/'Skjema total MA'!I122*K122,0)</f>
        <v>76.15181465294512</v>
      </c>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v>2086.9180000000001</v>
      </c>
      <c r="C124" s="181">
        <v>2725.3919999999998</v>
      </c>
      <c r="D124" s="123">
        <f t="shared" si="29"/>
        <v>30.6</v>
      </c>
      <c r="E124" s="20">
        <f>IFERROR(100/'Skjema total MA'!C124*C124,0)</f>
        <v>79.599030462621428</v>
      </c>
      <c r="F124" s="36">
        <v>17578.107</v>
      </c>
      <c r="G124" s="181">
        <v>17250.649000000001</v>
      </c>
      <c r="H124" s="123">
        <f t="shared" si="30"/>
        <v>-1.9</v>
      </c>
      <c r="I124" s="20">
        <f>IFERROR(100/'Skjema total MA'!F124*G124,0)</f>
        <v>100</v>
      </c>
      <c r="J124" s="36">
        <f t="shared" si="31"/>
        <v>19665.025000000001</v>
      </c>
      <c r="K124" s="36">
        <f t="shared" si="31"/>
        <v>19976.041000000001</v>
      </c>
      <c r="L124" s="206">
        <f t="shared" si="32"/>
        <v>1.6</v>
      </c>
      <c r="M124" s="23">
        <f>IFERROR(100/'Skjema total MA'!I124*K124,0)</f>
        <v>96.621406511870859</v>
      </c>
    </row>
    <row r="125" spans="1:13" ht="15.75" x14ac:dyDescent="0.2">
      <c r="A125" s="18" t="s">
        <v>210</v>
      </c>
      <c r="B125" s="181">
        <v>79.421000000000006</v>
      </c>
      <c r="C125" s="181">
        <v>136.49299999999999</v>
      </c>
      <c r="D125" s="123">
        <f t="shared" si="29"/>
        <v>71.900000000000006</v>
      </c>
      <c r="E125" s="20">
        <f>IFERROR(100/'Skjema total MA'!C125*C125,0)</f>
        <v>40.943816263765854</v>
      </c>
      <c r="F125" s="36">
        <v>3203566.9840000002</v>
      </c>
      <c r="G125" s="181">
        <v>3499292.2609999999</v>
      </c>
      <c r="H125" s="123">
        <f t="shared" si="30"/>
        <v>9.1999999999999993</v>
      </c>
      <c r="I125" s="20">
        <f>IFERROR(100/'Skjema total MA'!F125*G125,0)</f>
        <v>29.081131672884808</v>
      </c>
      <c r="J125" s="36">
        <f t="shared" si="31"/>
        <v>3203646.4050000003</v>
      </c>
      <c r="K125" s="36">
        <f t="shared" si="31"/>
        <v>3499428.7539999997</v>
      </c>
      <c r="L125" s="206">
        <f t="shared" si="32"/>
        <v>9.1999999999999993</v>
      </c>
      <c r="M125" s="23">
        <f>IFERROR(100/'Skjema total MA'!I125*K125,0)</f>
        <v>29.081460315666384</v>
      </c>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v>422352.09600000002</v>
      </c>
      <c r="C134" s="251">
        <v>455072.91100000002</v>
      </c>
      <c r="D134" s="285">
        <f t="shared" ref="D134:D137" si="33">IF(B134=0, "    ---- ", IF(ABS(ROUND(100/B134*C134-100,1))&lt;999,ROUND(100/B134*C134-100,1),IF(ROUND(100/B134*C134-100,1)&gt;999,999,-999)))</f>
        <v>7.7</v>
      </c>
      <c r="E134" s="8">
        <f>IFERROR(100/'Skjema total MA'!C134*C134,0)</f>
        <v>4.5991430965249691</v>
      </c>
      <c r="F134" s="258"/>
      <c r="G134" s="259"/>
      <c r="H134" s="345"/>
      <c r="I134" s="21"/>
      <c r="J134" s="260">
        <f t="shared" ref="J134:K137" si="34">SUM(B134,F134)</f>
        <v>422352.09600000002</v>
      </c>
      <c r="K134" s="260">
        <f t="shared" si="34"/>
        <v>455072.91100000002</v>
      </c>
      <c r="L134" s="341">
        <f t="shared" ref="L134:L137" si="35">IF(J134=0, "    ---- ", IF(ABS(ROUND(100/J134*K134-100,1))&lt;999,ROUND(100/J134*K134-100,1),IF(ROUND(100/J134*K134-100,1)&gt;999,999,-999)))</f>
        <v>7.7</v>
      </c>
      <c r="M134" s="8">
        <f>IFERROR(100/'Skjema total MA'!I134*K134,0)</f>
        <v>4.5851427315792241</v>
      </c>
    </row>
    <row r="135" spans="1:14" ht="15.75" x14ac:dyDescent="0.2">
      <c r="A135" s="10" t="s">
        <v>225</v>
      </c>
      <c r="B135" s="183">
        <v>27667897.831429999</v>
      </c>
      <c r="C135" s="251">
        <v>30694610.25948</v>
      </c>
      <c r="D135" s="127">
        <f t="shared" si="33"/>
        <v>10.9</v>
      </c>
      <c r="E135" s="8">
        <f>IFERROR(100/'Skjema total MA'!C135*C135,0)</f>
        <v>3.0355602447762662</v>
      </c>
      <c r="F135" s="183"/>
      <c r="G135" s="251"/>
      <c r="H135" s="346"/>
      <c r="I135" s="21"/>
      <c r="J135" s="250">
        <f t="shared" si="34"/>
        <v>27667897.831429999</v>
      </c>
      <c r="K135" s="250">
        <f t="shared" si="34"/>
        <v>30694610.25948</v>
      </c>
      <c r="L135" s="342">
        <f t="shared" si="35"/>
        <v>10.9</v>
      </c>
      <c r="M135" s="8">
        <f>IFERROR(100/'Skjema total MA'!I135*K135,0)</f>
        <v>3.0283408260718554</v>
      </c>
    </row>
    <row r="136" spans="1:14" ht="15.75" x14ac:dyDescent="0.2">
      <c r="A136" s="10" t="s">
        <v>219</v>
      </c>
      <c r="B136" s="183">
        <v>3201664.24</v>
      </c>
      <c r="C136" s="251">
        <v>126161.18421000001</v>
      </c>
      <c r="D136" s="127">
        <f t="shared" si="33"/>
        <v>-96.1</v>
      </c>
      <c r="E136" s="8">
        <f>IFERROR(100/'Skjema total MA'!C136*C136,0)</f>
        <v>3.6969600785153554</v>
      </c>
      <c r="F136" s="183"/>
      <c r="G136" s="251"/>
      <c r="H136" s="346"/>
      <c r="I136" s="21"/>
      <c r="J136" s="250">
        <f t="shared" si="34"/>
        <v>3201664.24</v>
      </c>
      <c r="K136" s="250">
        <f t="shared" si="34"/>
        <v>126161.18421000001</v>
      </c>
      <c r="L136" s="342">
        <f t="shared" si="35"/>
        <v>-96.1</v>
      </c>
      <c r="M136" s="8">
        <f>IFERROR(100/'Skjema total MA'!I136*K136,0)</f>
        <v>4.3562301111023007</v>
      </c>
    </row>
    <row r="137" spans="1:14" ht="15.75" x14ac:dyDescent="0.2">
      <c r="A137" s="33" t="s">
        <v>220</v>
      </c>
      <c r="B137" s="223">
        <v>0</v>
      </c>
      <c r="C137" s="257">
        <v>782.71299999999997</v>
      </c>
      <c r="D137" s="125" t="str">
        <f t="shared" si="33"/>
        <v xml:space="preserve">    ---- </v>
      </c>
      <c r="E137" s="6">
        <f>IFERROR(100/'Skjema total MA'!C137*C137,0)</f>
        <v>8.7845313721482146E-2</v>
      </c>
      <c r="F137" s="223"/>
      <c r="G137" s="257"/>
      <c r="H137" s="347"/>
      <c r="I137" s="30"/>
      <c r="J137" s="256">
        <f t="shared" si="34"/>
        <v>0</v>
      </c>
      <c r="K137" s="256">
        <f t="shared" si="34"/>
        <v>782.71299999999997</v>
      </c>
      <c r="L137" s="343" t="str">
        <f t="shared" si="35"/>
        <v xml:space="preserve">    ---- </v>
      </c>
      <c r="M137" s="30">
        <f>IFERROR(100/'Skjema total MA'!I137*K137,0)</f>
        <v>8.7845313721482146E-2</v>
      </c>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41" priority="12">
      <formula>kvartal &lt; 4</formula>
    </cfRule>
  </conditionalFormatting>
  <conditionalFormatting sqref="A69:A74">
    <cfRule type="expression" dxfId="240" priority="10">
      <formula>kvartal &lt; 4</formula>
    </cfRule>
  </conditionalFormatting>
  <conditionalFormatting sqref="A80:A85">
    <cfRule type="expression" dxfId="239" priority="9">
      <formula>kvartal &lt; 4</formula>
    </cfRule>
  </conditionalFormatting>
  <conditionalFormatting sqref="A90:A95">
    <cfRule type="expression" dxfId="238" priority="6">
      <formula>kvartal &lt; 4</formula>
    </cfRule>
  </conditionalFormatting>
  <conditionalFormatting sqref="A101:A106">
    <cfRule type="expression" dxfId="237" priority="5">
      <formula>kvartal &lt; 4</formula>
    </cfRule>
  </conditionalFormatting>
  <conditionalFormatting sqref="A115:C115">
    <cfRule type="expression" dxfId="236" priority="4">
      <formula>kvartal &lt; 4</formula>
    </cfRule>
  </conditionalFormatting>
  <conditionalFormatting sqref="A123:C123">
    <cfRule type="expression" dxfId="235" priority="3">
      <formula>kvartal &lt; 4</formula>
    </cfRule>
  </conditionalFormatting>
  <conditionalFormatting sqref="B69:C69">
    <cfRule type="expression" dxfId="234" priority="99">
      <formula>kvartal &lt; 4</formula>
    </cfRule>
  </conditionalFormatting>
  <conditionalFormatting sqref="B72:C72">
    <cfRule type="expression" dxfId="233" priority="97">
      <formula>kvartal &lt; 4</formula>
    </cfRule>
  </conditionalFormatting>
  <conditionalFormatting sqref="F115:G115">
    <cfRule type="expression" dxfId="232" priority="57">
      <formula>kvartal &lt; 4</formula>
    </cfRule>
  </conditionalFormatting>
  <conditionalFormatting sqref="F123:G123">
    <cfRule type="expression" dxfId="231" priority="56">
      <formula>kvartal &lt; 4</formula>
    </cfRule>
  </conditionalFormatting>
  <conditionalFormatting sqref="J115:K115">
    <cfRule type="expression" dxfId="230" priority="32">
      <formula>kvartal &lt; 4</formula>
    </cfRule>
  </conditionalFormatting>
  <conditionalFormatting sqref="J123:K123">
    <cfRule type="expression" dxfId="229" priority="31">
      <formula>kvartal &lt; 4</formula>
    </cfRule>
  </conditionalFormatting>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31"/>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405</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c r="G7" s="249"/>
      <c r="H7" s="285"/>
      <c r="I7" s="119"/>
      <c r="J7" s="250"/>
      <c r="K7" s="251"/>
      <c r="L7" s="341"/>
      <c r="M7" s="8"/>
    </row>
    <row r="8" spans="1:14" ht="15.75" x14ac:dyDescent="0.2">
      <c r="A8" s="18" t="s">
        <v>170</v>
      </c>
      <c r="B8" s="228"/>
      <c r="C8" s="229"/>
      <c r="D8" s="123"/>
      <c r="E8" s="23"/>
      <c r="F8" s="232"/>
      <c r="G8" s="233"/>
      <c r="H8" s="123"/>
      <c r="I8" s="132"/>
      <c r="J8" s="181"/>
      <c r="K8" s="234"/>
      <c r="L8" s="342"/>
      <c r="M8" s="23"/>
    </row>
    <row r="9" spans="1:14" ht="15.75" x14ac:dyDescent="0.2">
      <c r="A9" s="18" t="s">
        <v>171</v>
      </c>
      <c r="B9" s="228"/>
      <c r="C9" s="229"/>
      <c r="D9" s="123"/>
      <c r="E9" s="23"/>
      <c r="F9" s="232"/>
      <c r="G9" s="233"/>
      <c r="H9" s="123"/>
      <c r="I9" s="132"/>
      <c r="J9" s="181"/>
      <c r="K9" s="234"/>
      <c r="L9" s="342"/>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127"/>
      <c r="E38" s="21"/>
      <c r="F38" s="261"/>
      <c r="G38" s="262"/>
      <c r="H38" s="127"/>
      <c r="I38" s="348"/>
      <c r="J38" s="183"/>
      <c r="K38" s="183"/>
      <c r="L38" s="342"/>
      <c r="M38" s="21"/>
    </row>
    <row r="39" spans="1:13" ht="15.75" x14ac:dyDescent="0.2">
      <c r="A39" s="15" t="s">
        <v>188</v>
      </c>
      <c r="B39" s="223"/>
      <c r="C39" s="257"/>
      <c r="D39" s="125"/>
      <c r="E39" s="30"/>
      <c r="F39" s="264"/>
      <c r="G39" s="265"/>
      <c r="H39" s="125"/>
      <c r="I39" s="30"/>
      <c r="J39" s="183"/>
      <c r="K39" s="183"/>
      <c r="L39" s="343"/>
      <c r="M39" s="30"/>
    </row>
    <row r="40" spans="1:13" ht="15.75" x14ac:dyDescent="0.25">
      <c r="A40" s="35"/>
      <c r="B40" s="205"/>
      <c r="C40" s="205"/>
      <c r="D40" s="575"/>
      <c r="E40" s="575"/>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2290</v>
      </c>
      <c r="C47" s="253">
        <v>2001</v>
      </c>
      <c r="D47" s="341">
        <f t="shared" ref="D47:D48" si="0">IF(B47=0, "    ---- ", IF(ABS(ROUND(100/B47*C47-100,1))&lt;999,ROUND(100/B47*C47-100,1),IF(ROUND(100/B47*C47-100,1)&gt;999,999,-999)))</f>
        <v>-12.6</v>
      </c>
      <c r="E47" s="8">
        <f>IFERROR(100/'Skjema total MA'!C47*C47,0)</f>
        <v>3.9746376042921083E-2</v>
      </c>
      <c r="F47" s="109"/>
      <c r="G47" s="27"/>
      <c r="H47" s="118"/>
      <c r="I47" s="118"/>
      <c r="J47" s="31"/>
      <c r="K47" s="31"/>
      <c r="L47" s="118"/>
      <c r="M47" s="118"/>
    </row>
    <row r="48" spans="1:13" ht="15.75" x14ac:dyDescent="0.2">
      <c r="A48" s="18" t="s">
        <v>190</v>
      </c>
      <c r="B48" s="228">
        <v>2290</v>
      </c>
      <c r="C48" s="229">
        <v>2001</v>
      </c>
      <c r="D48" s="206">
        <f t="shared" si="0"/>
        <v>-12.6</v>
      </c>
      <c r="E48" s="23">
        <f>IFERROR(100/'Skjema total MA'!C48*C48,0)</f>
        <v>8.0483186218574365E-2</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28" priority="12">
      <formula>kvartal &lt; 4</formula>
    </cfRule>
  </conditionalFormatting>
  <conditionalFormatting sqref="A69:A74">
    <cfRule type="expression" dxfId="227" priority="10">
      <formula>kvartal &lt; 4</formula>
    </cfRule>
  </conditionalFormatting>
  <conditionalFormatting sqref="A80:A85">
    <cfRule type="expression" dxfId="226" priority="9">
      <formula>kvartal &lt; 4</formula>
    </cfRule>
  </conditionalFormatting>
  <conditionalFormatting sqref="A90:A95">
    <cfRule type="expression" dxfId="225" priority="6">
      <formula>kvartal &lt; 4</formula>
    </cfRule>
  </conditionalFormatting>
  <conditionalFormatting sqref="A101:A106">
    <cfRule type="expression" dxfId="224" priority="5">
      <formula>kvartal &lt; 4</formula>
    </cfRule>
  </conditionalFormatting>
  <conditionalFormatting sqref="A115:C115">
    <cfRule type="expression" dxfId="223" priority="4">
      <formula>kvartal &lt; 4</formula>
    </cfRule>
  </conditionalFormatting>
  <conditionalFormatting sqref="A123:C123">
    <cfRule type="expression" dxfId="222" priority="3">
      <formula>kvartal &lt; 4</formula>
    </cfRule>
  </conditionalFormatting>
  <conditionalFormatting sqref="B69:C69">
    <cfRule type="expression" dxfId="221" priority="99">
      <formula>kvartal &lt; 4</formula>
    </cfRule>
  </conditionalFormatting>
  <conditionalFormatting sqref="B72:C72">
    <cfRule type="expression" dxfId="220" priority="97">
      <formula>kvartal &lt; 4</formula>
    </cfRule>
  </conditionalFormatting>
  <conditionalFormatting sqref="F115:G115">
    <cfRule type="expression" dxfId="219" priority="57">
      <formula>kvartal &lt; 4</formula>
    </cfRule>
  </conditionalFormatting>
  <conditionalFormatting sqref="F123:G123">
    <cfRule type="expression" dxfId="218" priority="56">
      <formula>kvartal &lt; 4</formula>
    </cfRule>
  </conditionalFormatting>
  <conditionalFormatting sqref="J115:K115">
    <cfRule type="expression" dxfId="217" priority="32">
      <formula>kvartal &lt; 4</formula>
    </cfRule>
  </conditionalFormatting>
  <conditionalFormatting sqref="J123:K123">
    <cfRule type="expression" dxfId="216" priority="31">
      <formula>kvartal &lt; 4</formula>
    </cfRule>
  </conditionalFormatting>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32"/>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73</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c r="C7" s="249"/>
      <c r="D7" s="285"/>
      <c r="E7" s="8"/>
      <c r="F7" s="248"/>
      <c r="G7" s="249"/>
      <c r="H7" s="285"/>
      <c r="I7" s="119"/>
      <c r="J7" s="250"/>
      <c r="K7" s="251"/>
      <c r="L7" s="341"/>
      <c r="M7" s="8"/>
    </row>
    <row r="8" spans="1:14" ht="15.75" x14ac:dyDescent="0.2">
      <c r="A8" s="18" t="s">
        <v>170</v>
      </c>
      <c r="B8" s="228"/>
      <c r="C8" s="229"/>
      <c r="D8" s="123"/>
      <c r="E8" s="23"/>
      <c r="F8" s="232"/>
      <c r="G8" s="233"/>
      <c r="H8" s="123"/>
      <c r="I8" s="132"/>
      <c r="J8" s="181"/>
      <c r="K8" s="234"/>
      <c r="L8" s="206"/>
      <c r="M8" s="23"/>
    </row>
    <row r="9" spans="1:14" ht="15.75" x14ac:dyDescent="0.2">
      <c r="A9" s="18" t="s">
        <v>171</v>
      </c>
      <c r="B9" s="228"/>
      <c r="C9" s="229"/>
      <c r="D9" s="123"/>
      <c r="E9" s="23"/>
      <c r="F9" s="232"/>
      <c r="G9" s="233"/>
      <c r="H9" s="123"/>
      <c r="I9" s="132"/>
      <c r="J9" s="181"/>
      <c r="K9" s="234"/>
      <c r="L9" s="206"/>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346"/>
      <c r="E38" s="21"/>
      <c r="F38" s="261"/>
      <c r="G38" s="262"/>
      <c r="H38" s="127"/>
      <c r="I38" s="348"/>
      <c r="J38" s="183"/>
      <c r="K38" s="183"/>
      <c r="L38" s="342"/>
      <c r="M38" s="21"/>
    </row>
    <row r="39" spans="1:13" ht="15.75" x14ac:dyDescent="0.2">
      <c r="A39" s="15" t="s">
        <v>188</v>
      </c>
      <c r="B39" s="223"/>
      <c r="C39" s="257"/>
      <c r="D39" s="347"/>
      <c r="E39" s="30"/>
      <c r="F39" s="264"/>
      <c r="G39" s="265"/>
      <c r="H39" s="125"/>
      <c r="I39" s="30"/>
      <c r="J39" s="183"/>
      <c r="K39" s="183"/>
      <c r="L39" s="343"/>
      <c r="M39" s="30"/>
    </row>
    <row r="40" spans="1:13" ht="15.75" x14ac:dyDescent="0.25">
      <c r="A40" s="35"/>
      <c r="B40" s="205"/>
      <c r="C40" s="205"/>
      <c r="D40" s="575"/>
      <c r="E40" s="574"/>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758059</v>
      </c>
      <c r="C47" s="253">
        <v>772427</v>
      </c>
      <c r="D47" s="341">
        <f t="shared" ref="D47:D58" si="0">IF(B47=0, "    ---- ", IF(ABS(ROUND(100/B47*C47-100,1))&lt;999,ROUND(100/B47*C47-100,1),IF(ROUND(100/B47*C47-100,1)&gt;999,999,-999)))</f>
        <v>1.9</v>
      </c>
      <c r="E47" s="8">
        <f>IFERROR(100/'Skjema total MA'!C47*C47,0)</f>
        <v>15.342915546079661</v>
      </c>
      <c r="F47" s="109"/>
      <c r="G47" s="27"/>
      <c r="H47" s="118"/>
      <c r="I47" s="118"/>
      <c r="J47" s="31"/>
      <c r="K47" s="31"/>
      <c r="L47" s="118"/>
      <c r="M47" s="118"/>
    </row>
    <row r="48" spans="1:13" ht="15.75" x14ac:dyDescent="0.2">
      <c r="A48" s="18" t="s">
        <v>190</v>
      </c>
      <c r="B48" s="228">
        <v>145957</v>
      </c>
      <c r="C48" s="229">
        <v>142518</v>
      </c>
      <c r="D48" s="206">
        <f t="shared" si="0"/>
        <v>-2.4</v>
      </c>
      <c r="E48" s="23">
        <f>IFERROR(100/'Skjema total MA'!C48*C48,0)</f>
        <v>5.7322852241373221</v>
      </c>
      <c r="F48" s="109"/>
      <c r="G48" s="27"/>
      <c r="H48" s="109"/>
      <c r="I48" s="109"/>
      <c r="J48" s="27"/>
      <c r="K48" s="27"/>
      <c r="L48" s="118"/>
      <c r="M48" s="118"/>
    </row>
    <row r="49" spans="1:13" ht="15.75" x14ac:dyDescent="0.2">
      <c r="A49" s="18" t="s">
        <v>191</v>
      </c>
      <c r="B49" s="36">
        <v>612102</v>
      </c>
      <c r="C49" s="234">
        <v>629909</v>
      </c>
      <c r="D49" s="206">
        <f>IF(B49=0, "    ---- ", IF(ABS(ROUND(100/B49*C49-100,1))&lt;999,ROUND(100/B49*C49-100,1),IF(ROUND(100/B49*C49-100,1)&gt;999,999,-999)))</f>
        <v>2.9</v>
      </c>
      <c r="E49" s="23">
        <f>IFERROR(100/'Skjema total MA'!C49*C49,0)</f>
        <v>24.719882597214127</v>
      </c>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v>13382</v>
      </c>
      <c r="C53" s="253">
        <v>10797</v>
      </c>
      <c r="D53" s="342">
        <f t="shared" si="0"/>
        <v>-19.3</v>
      </c>
      <c r="E53" s="8">
        <f>IFERROR(100/'Skjema total MA'!C53*C53,0)</f>
        <v>9.1197347690230153</v>
      </c>
      <c r="F53" s="109"/>
      <c r="G53" s="27"/>
      <c r="H53" s="109"/>
      <c r="I53" s="109"/>
      <c r="J53" s="27"/>
      <c r="K53" s="27"/>
      <c r="L53" s="118"/>
      <c r="M53" s="118"/>
    </row>
    <row r="54" spans="1:13" ht="15.75" x14ac:dyDescent="0.2">
      <c r="A54" s="18" t="s">
        <v>190</v>
      </c>
      <c r="B54" s="228">
        <v>13382</v>
      </c>
      <c r="C54" s="229">
        <v>10797</v>
      </c>
      <c r="D54" s="206">
        <f t="shared" si="0"/>
        <v>-19.3</v>
      </c>
      <c r="E54" s="23">
        <f>IFERROR(100/'Skjema total MA'!C54*C54,0)</f>
        <v>9.1383195238939763</v>
      </c>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v>73816</v>
      </c>
      <c r="C56" s="253">
        <v>36000</v>
      </c>
      <c r="D56" s="342">
        <f t="shared" si="0"/>
        <v>-51.2</v>
      </c>
      <c r="E56" s="8">
        <f>IFERROR(100/'Skjema total MA'!C56*C56,0)</f>
        <v>32.669652073922599</v>
      </c>
      <c r="F56" s="109"/>
      <c r="G56" s="27"/>
      <c r="H56" s="109"/>
      <c r="I56" s="109"/>
      <c r="J56" s="27"/>
      <c r="K56" s="27"/>
      <c r="L56" s="118"/>
      <c r="M56" s="118"/>
    </row>
    <row r="57" spans="1:13" ht="15.75" x14ac:dyDescent="0.2">
      <c r="A57" s="18" t="s">
        <v>190</v>
      </c>
      <c r="B57" s="228">
        <v>15889</v>
      </c>
      <c r="C57" s="229">
        <v>27414</v>
      </c>
      <c r="D57" s="206">
        <f t="shared" si="0"/>
        <v>72.5</v>
      </c>
      <c r="E57" s="23">
        <f>IFERROR(100/'Skjema total MA'!C57*C57,0)</f>
        <v>26.980156121745164</v>
      </c>
      <c r="F57" s="109"/>
      <c r="G57" s="27"/>
      <c r="H57" s="109"/>
      <c r="I57" s="109"/>
      <c r="J57" s="27"/>
      <c r="K57" s="27"/>
      <c r="L57" s="118"/>
      <c r="M57" s="118"/>
    </row>
    <row r="58" spans="1:13" ht="15.75" x14ac:dyDescent="0.2">
      <c r="A58" s="7" t="s">
        <v>191</v>
      </c>
      <c r="B58" s="230">
        <v>57927</v>
      </c>
      <c r="C58" s="231">
        <v>8586</v>
      </c>
      <c r="D58" s="207">
        <f t="shared" si="0"/>
        <v>-85.2</v>
      </c>
      <c r="E58" s="19">
        <f>IFERROR(100/'Skjema total MA'!C58*C58,0)</f>
        <v>100</v>
      </c>
      <c r="F58" s="109"/>
      <c r="G58" s="519"/>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8:D18"/>
    <mergeCell ref="F18:H18"/>
    <mergeCell ref="J18:L18"/>
    <mergeCell ref="B44:D44"/>
    <mergeCell ref="B2:D2"/>
    <mergeCell ref="F2:H2"/>
    <mergeCell ref="J2:L2"/>
    <mergeCell ref="B4:D4"/>
    <mergeCell ref="F4:H4"/>
    <mergeCell ref="J4:L4"/>
    <mergeCell ref="B19:D19"/>
    <mergeCell ref="F19:H19"/>
    <mergeCell ref="J19:L19"/>
    <mergeCell ref="D40:F40"/>
    <mergeCell ref="G40:I40"/>
    <mergeCell ref="J40:L40"/>
    <mergeCell ref="B62:D62"/>
    <mergeCell ref="F62:H62"/>
    <mergeCell ref="J62:L62"/>
    <mergeCell ref="B42:D42"/>
    <mergeCell ref="F42:H42"/>
    <mergeCell ref="J42:L42"/>
    <mergeCell ref="B131:D131"/>
    <mergeCell ref="F131:H131"/>
    <mergeCell ref="J131:L131"/>
    <mergeCell ref="B63:D63"/>
    <mergeCell ref="F63:H63"/>
    <mergeCell ref="J63:L63"/>
    <mergeCell ref="B130:D130"/>
    <mergeCell ref="F130:H130"/>
    <mergeCell ref="J130:L130"/>
  </mergeCells>
  <conditionalFormatting sqref="A50:A52">
    <cfRule type="expression" dxfId="215" priority="12">
      <formula>kvartal &lt; 4</formula>
    </cfRule>
  </conditionalFormatting>
  <conditionalFormatting sqref="A69:A74">
    <cfRule type="expression" dxfId="214" priority="10">
      <formula>kvartal &lt; 4</formula>
    </cfRule>
  </conditionalFormatting>
  <conditionalFormatting sqref="A80:A85">
    <cfRule type="expression" dxfId="213" priority="9">
      <formula>kvartal &lt; 4</formula>
    </cfRule>
  </conditionalFormatting>
  <conditionalFormatting sqref="A90:A95">
    <cfRule type="expression" dxfId="212" priority="6">
      <formula>kvartal &lt; 4</formula>
    </cfRule>
  </conditionalFormatting>
  <conditionalFormatting sqref="A101:A106">
    <cfRule type="expression" dxfId="211" priority="5">
      <formula>kvartal &lt; 4</formula>
    </cfRule>
  </conditionalFormatting>
  <conditionalFormatting sqref="A115:C115">
    <cfRule type="expression" dxfId="210" priority="4">
      <formula>kvartal &lt; 4</formula>
    </cfRule>
  </conditionalFormatting>
  <conditionalFormatting sqref="A123:C123">
    <cfRule type="expression" dxfId="209" priority="3">
      <formula>kvartal &lt; 4</formula>
    </cfRule>
  </conditionalFormatting>
  <conditionalFormatting sqref="B69:C69">
    <cfRule type="expression" dxfId="208" priority="84">
      <formula>kvartal &lt; 4</formula>
    </cfRule>
  </conditionalFormatting>
  <conditionalFormatting sqref="B72:C72">
    <cfRule type="expression" dxfId="207" priority="82">
      <formula>kvartal &lt; 4</formula>
    </cfRule>
  </conditionalFormatting>
  <conditionalFormatting sqref="F115:G115">
    <cfRule type="expression" dxfId="206" priority="42">
      <formula>kvartal &lt; 4</formula>
    </cfRule>
  </conditionalFormatting>
  <conditionalFormatting sqref="F123:G123">
    <cfRule type="expression" dxfId="205" priority="41">
      <formula>kvartal &lt; 4</formula>
    </cfRule>
  </conditionalFormatting>
  <conditionalFormatting sqref="J115:K115">
    <cfRule type="expression" dxfId="204" priority="17">
      <formula>kvartal &lt; 4</formula>
    </cfRule>
  </conditionalFormatting>
  <conditionalFormatting sqref="J123:K123">
    <cfRule type="expression" dxfId="203" priority="16">
      <formula>kvartal &lt; 4</formula>
    </cfRule>
  </conditionalFormatting>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DCFD3-E4B4-485B-89B7-DA0A477AA596}">
  <sheetPr codeName="Ark28"/>
  <dimension ref="A1:N144"/>
  <sheetViews>
    <sheetView showGridLines="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408</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v>1031</v>
      </c>
      <c r="C7" s="249">
        <v>906</v>
      </c>
      <c r="D7" s="285">
        <f>IF(B7=0, "    ---- ", IF(ABS(ROUND(100/B7*C7-100,1))&lt;999,ROUND(100/B7*C7-100,1),IF(ROUND(100/B7*C7-100,1)&gt;999,999,-999)))</f>
        <v>-12.1</v>
      </c>
      <c r="E7" s="8">
        <f>IFERROR(100/'Skjema total MA'!C7*C7,0)</f>
        <v>4.3163010259706737E-2</v>
      </c>
      <c r="F7" s="248"/>
      <c r="G7" s="249"/>
      <c r="H7" s="285"/>
      <c r="I7" s="119"/>
      <c r="J7" s="250">
        <f t="shared" ref="J7:K8" si="0">SUM(B7,F7)</f>
        <v>1031</v>
      </c>
      <c r="K7" s="251">
        <f t="shared" si="0"/>
        <v>906</v>
      </c>
      <c r="L7" s="341">
        <f>IF(J7=0, "    ---- ", IF(ABS(ROUND(100/J7*K7-100,1))&lt;999,ROUND(100/J7*K7-100,1),IF(ROUND(100/J7*K7-100,1)&gt;999,999,-999)))</f>
        <v>-12.1</v>
      </c>
      <c r="M7" s="8">
        <f>IFERROR(100/'Skjema total MA'!I7*K7,0)</f>
        <v>1.5468936299022499E-2</v>
      </c>
    </row>
    <row r="8" spans="1:14" ht="15.75" x14ac:dyDescent="0.2">
      <c r="A8" s="18" t="s">
        <v>170</v>
      </c>
      <c r="B8" s="228">
        <v>1031</v>
      </c>
      <c r="C8" s="229">
        <v>906</v>
      </c>
      <c r="D8" s="123">
        <f t="shared" ref="D8" si="1">IF(B8=0, "    ---- ", IF(ABS(ROUND(100/B8*C8-100,1))&lt;999,ROUND(100/B8*C8-100,1),IF(ROUND(100/B8*C8-100,1)&gt;999,999,-999)))</f>
        <v>-12.1</v>
      </c>
      <c r="E8" s="23">
        <f>IFERROR(100/'Skjema total MA'!C8*C8,0)</f>
        <v>6.3093597618916614E-2</v>
      </c>
      <c r="F8" s="232"/>
      <c r="G8" s="233"/>
      <c r="H8" s="123"/>
      <c r="I8" s="132"/>
      <c r="J8" s="181">
        <f t="shared" si="0"/>
        <v>1031</v>
      </c>
      <c r="K8" s="234">
        <f t="shared" si="0"/>
        <v>906</v>
      </c>
      <c r="L8" s="123">
        <f t="shared" ref="L8" si="2">IF(J8=0, "    ---- ", IF(ABS(ROUND(100/J8*K8-100,1))&lt;999,ROUND(100/J8*K8-100,1),IF(ROUND(100/J8*K8-100,1)&gt;999,999,-999)))</f>
        <v>-12.1</v>
      </c>
      <c r="M8" s="23">
        <f>IFERROR(100/'Skjema total MA'!I8*K8,0)</f>
        <v>6.3093597618916614E-2</v>
      </c>
    </row>
    <row r="9" spans="1:14" ht="15.75" x14ac:dyDescent="0.2">
      <c r="A9" s="18" t="s">
        <v>171</v>
      </c>
      <c r="B9" s="228"/>
      <c r="C9" s="229"/>
      <c r="D9" s="123"/>
      <c r="E9" s="23"/>
      <c r="F9" s="232"/>
      <c r="G9" s="233"/>
      <c r="H9" s="123"/>
      <c r="I9" s="132"/>
      <c r="J9" s="181"/>
      <c r="K9" s="234"/>
      <c r="L9" s="123"/>
      <c r="M9" s="23"/>
    </row>
    <row r="10" spans="1:14" ht="15.75" x14ac:dyDescent="0.2">
      <c r="A10" s="10" t="s">
        <v>172</v>
      </c>
      <c r="B10" s="252"/>
      <c r="C10" s="253"/>
      <c r="D10" s="127"/>
      <c r="E10" s="8"/>
      <c r="F10" s="252"/>
      <c r="G10" s="253"/>
      <c r="H10" s="127"/>
      <c r="I10" s="119"/>
      <c r="J10" s="250"/>
      <c r="K10" s="251"/>
      <c r="L10" s="342"/>
      <c r="M10" s="8"/>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c r="C22" s="252"/>
      <c r="D22" s="285"/>
      <c r="E22" s="8"/>
      <c r="F22" s="260"/>
      <c r="G22" s="260"/>
      <c r="H22" s="285"/>
      <c r="I22" s="8"/>
      <c r="J22" s="258"/>
      <c r="K22" s="258"/>
      <c r="L22" s="341"/>
      <c r="M22" s="21"/>
    </row>
    <row r="23" spans="1:13" ht="15.75" x14ac:dyDescent="0.2">
      <c r="A23" s="382" t="s">
        <v>178</v>
      </c>
      <c r="B23" s="228"/>
      <c r="C23" s="228"/>
      <c r="D23" s="123"/>
      <c r="E23" s="8"/>
      <c r="F23" s="236"/>
      <c r="G23" s="236"/>
      <c r="H23" s="123"/>
      <c r="I23" s="335"/>
      <c r="J23" s="236"/>
      <c r="K23" s="236"/>
      <c r="L23" s="123"/>
      <c r="M23" s="20"/>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c r="C28" s="234"/>
      <c r="D28" s="123"/>
      <c r="E28" s="8"/>
      <c r="F28" s="181"/>
      <c r="G28" s="234"/>
      <c r="H28" s="123"/>
      <c r="I28" s="23"/>
      <c r="J28" s="36"/>
      <c r="K28" s="36"/>
      <c r="L28" s="206"/>
      <c r="M28" s="20"/>
    </row>
    <row r="29" spans="1:13" ht="15.75" x14ac:dyDescent="0.2">
      <c r="A29" s="10" t="s">
        <v>172</v>
      </c>
      <c r="B29" s="183"/>
      <c r="C29" s="183"/>
      <c r="D29" s="127"/>
      <c r="E29" s="8"/>
      <c r="F29" s="250"/>
      <c r="G29" s="250"/>
      <c r="H29" s="127"/>
      <c r="I29" s="8"/>
      <c r="J29" s="183"/>
      <c r="K29" s="183"/>
      <c r="L29" s="342"/>
      <c r="M29" s="21"/>
    </row>
    <row r="30" spans="1:13" ht="15.75" x14ac:dyDescent="0.2">
      <c r="A30" s="382" t="s">
        <v>178</v>
      </c>
      <c r="B30" s="228"/>
      <c r="C30" s="228"/>
      <c r="D30" s="123"/>
      <c r="E30" s="8"/>
      <c r="F30" s="236"/>
      <c r="G30" s="236"/>
      <c r="H30" s="123"/>
      <c r="I30" s="335"/>
      <c r="J30" s="236"/>
      <c r="K30" s="236"/>
      <c r="L30" s="123"/>
      <c r="M30" s="20"/>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c r="D36" s="127"/>
      <c r="E36" s="8"/>
      <c r="F36" s="261"/>
      <c r="G36" s="262"/>
      <c r="H36" s="127"/>
      <c r="I36" s="348"/>
      <c r="J36" s="183"/>
      <c r="K36" s="183"/>
      <c r="L36" s="342"/>
      <c r="M36" s="21"/>
    </row>
    <row r="37" spans="1:13" ht="15.75" x14ac:dyDescent="0.2">
      <c r="A37" s="9" t="s">
        <v>186</v>
      </c>
      <c r="B37" s="183"/>
      <c r="C37" s="251"/>
      <c r="D37" s="127"/>
      <c r="E37" s="8"/>
      <c r="F37" s="261"/>
      <c r="G37" s="263"/>
      <c r="H37" s="127"/>
      <c r="I37" s="348"/>
      <c r="J37" s="183"/>
      <c r="K37" s="183"/>
      <c r="L37" s="342"/>
      <c r="M37" s="21"/>
    </row>
    <row r="38" spans="1:13" ht="15.75" x14ac:dyDescent="0.2">
      <c r="A38" s="9" t="s">
        <v>187</v>
      </c>
      <c r="B38" s="183"/>
      <c r="C38" s="251"/>
      <c r="D38" s="346"/>
      <c r="E38" s="21"/>
      <c r="F38" s="261"/>
      <c r="G38" s="262"/>
      <c r="H38" s="127"/>
      <c r="I38" s="348"/>
      <c r="J38" s="183"/>
      <c r="K38" s="183"/>
      <c r="L38" s="342"/>
      <c r="M38" s="21"/>
    </row>
    <row r="39" spans="1:13" ht="15.75" x14ac:dyDescent="0.2">
      <c r="A39" s="15" t="s">
        <v>188</v>
      </c>
      <c r="B39" s="223"/>
      <c r="C39" s="257"/>
      <c r="D39" s="347"/>
      <c r="E39" s="30"/>
      <c r="F39" s="264"/>
      <c r="G39" s="265"/>
      <c r="H39" s="125"/>
      <c r="I39" s="30"/>
      <c r="J39" s="183"/>
      <c r="K39" s="183"/>
      <c r="L39" s="343"/>
      <c r="M39" s="30"/>
    </row>
    <row r="40" spans="1:13" ht="15.75" x14ac:dyDescent="0.25">
      <c r="A40" s="35"/>
      <c r="B40" s="205"/>
      <c r="C40" s="205"/>
      <c r="D40" s="575"/>
      <c r="E40" s="574"/>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649</v>
      </c>
      <c r="C47" s="253">
        <v>678</v>
      </c>
      <c r="D47" s="341">
        <f t="shared" ref="D47:D48" si="3">IF(B47=0, "    ---- ", IF(ABS(ROUND(100/B47*C47-100,1))&lt;999,ROUND(100/B47*C47-100,1),IF(ROUND(100/B47*C47-100,1)&gt;999,999,-999)))</f>
        <v>4.5</v>
      </c>
      <c r="E47" s="8">
        <f>IFERROR(100/'Skjema total MA'!C47*C47,0)</f>
        <v>1.346728783463293E-2</v>
      </c>
      <c r="F47" s="109"/>
      <c r="G47" s="27"/>
      <c r="H47" s="118"/>
      <c r="I47" s="118"/>
      <c r="J47" s="31"/>
      <c r="K47" s="31"/>
      <c r="L47" s="118"/>
      <c r="M47" s="118"/>
    </row>
    <row r="48" spans="1:13" ht="15.75" x14ac:dyDescent="0.2">
      <c r="A48" s="18" t="s">
        <v>190</v>
      </c>
      <c r="B48" s="228">
        <v>649</v>
      </c>
      <c r="C48" s="229">
        <v>678</v>
      </c>
      <c r="D48" s="206">
        <f t="shared" si="3"/>
        <v>4.5</v>
      </c>
      <c r="E48" s="23">
        <f>IFERROR(100/'Skjema total MA'!C48*C48,0)</f>
        <v>2.7270165045573922E-2</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c r="C66" s="288"/>
      <c r="D66" s="285"/>
      <c r="E66" s="559"/>
      <c r="F66" s="560"/>
      <c r="G66" s="287"/>
      <c r="H66" s="285"/>
      <c r="I66" s="559"/>
      <c r="J66" s="258"/>
      <c r="K66" s="258"/>
      <c r="L66" s="342"/>
      <c r="M66" s="8"/>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c r="C76" s="109"/>
      <c r="D76" s="123"/>
      <c r="E76" s="20"/>
      <c r="F76" s="36"/>
      <c r="G76" s="109"/>
      <c r="H76" s="123"/>
      <c r="I76" s="20"/>
      <c r="J76" s="36"/>
      <c r="K76" s="36"/>
      <c r="L76" s="206"/>
      <c r="M76" s="23"/>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c r="C87" s="288"/>
      <c r="D87" s="127"/>
      <c r="E87" s="21"/>
      <c r="F87" s="225"/>
      <c r="G87" s="287"/>
      <c r="H87" s="127"/>
      <c r="I87" s="21"/>
      <c r="J87" s="183"/>
      <c r="K87" s="183"/>
      <c r="L87" s="342"/>
      <c r="M87" s="8"/>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c r="C97" s="109"/>
      <c r="D97" s="123"/>
      <c r="E97" s="20"/>
      <c r="F97" s="36"/>
      <c r="G97" s="109"/>
      <c r="H97" s="123"/>
      <c r="I97" s="20"/>
      <c r="J97" s="36"/>
      <c r="K97" s="36"/>
      <c r="L97" s="206"/>
      <c r="M97" s="23"/>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c r="C111" s="118"/>
      <c r="D111" s="127"/>
      <c r="E111" s="21"/>
      <c r="F111" s="183"/>
      <c r="G111" s="118"/>
      <c r="H111" s="127"/>
      <c r="I111" s="21"/>
      <c r="J111" s="183"/>
      <c r="K111" s="183"/>
      <c r="L111" s="342"/>
      <c r="M111" s="8"/>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c r="C114" s="109"/>
      <c r="D114" s="123"/>
      <c r="E114" s="20"/>
      <c r="F114" s="36"/>
      <c r="G114" s="109"/>
      <c r="H114" s="123"/>
      <c r="I114" s="20"/>
      <c r="J114" s="36"/>
      <c r="K114" s="36"/>
      <c r="L114" s="206"/>
      <c r="M114" s="23"/>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c r="C119" s="118"/>
      <c r="D119" s="127"/>
      <c r="E119" s="21"/>
      <c r="F119" s="183"/>
      <c r="G119" s="118"/>
      <c r="H119" s="127"/>
      <c r="I119" s="21"/>
      <c r="J119" s="183"/>
      <c r="K119" s="183"/>
      <c r="L119" s="342"/>
      <c r="M119" s="8"/>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c r="C122" s="109"/>
      <c r="D122" s="123"/>
      <c r="E122" s="20"/>
      <c r="F122" s="36"/>
      <c r="G122" s="109"/>
      <c r="H122" s="123"/>
      <c r="I122" s="20"/>
      <c r="J122" s="36"/>
      <c r="K122" s="36"/>
      <c r="L122" s="206"/>
      <c r="M122" s="23"/>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30:D130"/>
    <mergeCell ref="F130:H130"/>
    <mergeCell ref="J130:L130"/>
    <mergeCell ref="B131:D131"/>
    <mergeCell ref="F131:H131"/>
    <mergeCell ref="J131:L131"/>
    <mergeCell ref="B44:D44"/>
    <mergeCell ref="B62:D62"/>
    <mergeCell ref="F62:H62"/>
    <mergeCell ref="J62:L62"/>
    <mergeCell ref="B63:D63"/>
    <mergeCell ref="F63:H63"/>
    <mergeCell ref="J63:L63"/>
    <mergeCell ref="D40:F40"/>
    <mergeCell ref="G40:I40"/>
    <mergeCell ref="J40:L40"/>
    <mergeCell ref="B42:D42"/>
    <mergeCell ref="F42:H42"/>
    <mergeCell ref="J42:L42"/>
    <mergeCell ref="B18:D18"/>
    <mergeCell ref="F18:H18"/>
    <mergeCell ref="J18:L18"/>
    <mergeCell ref="B19:D19"/>
    <mergeCell ref="F19:H19"/>
    <mergeCell ref="J19:L19"/>
    <mergeCell ref="B2:D2"/>
    <mergeCell ref="F2:H2"/>
    <mergeCell ref="J2:L2"/>
    <mergeCell ref="B4:D4"/>
    <mergeCell ref="F4:H4"/>
    <mergeCell ref="J4:L4"/>
  </mergeCells>
  <conditionalFormatting sqref="A50:A52">
    <cfRule type="expression" dxfId="202" priority="7">
      <formula>kvartal &lt; 4</formula>
    </cfRule>
  </conditionalFormatting>
  <conditionalFormatting sqref="A69:A74">
    <cfRule type="expression" dxfId="201" priority="6">
      <formula>kvartal &lt; 4</formula>
    </cfRule>
  </conditionalFormatting>
  <conditionalFormatting sqref="A80:A85">
    <cfRule type="expression" dxfId="200" priority="5">
      <formula>kvartal &lt; 4</formula>
    </cfRule>
  </conditionalFormatting>
  <conditionalFormatting sqref="A90:A95">
    <cfRule type="expression" dxfId="199" priority="4">
      <formula>kvartal &lt; 4</formula>
    </cfRule>
  </conditionalFormatting>
  <conditionalFormatting sqref="A101:A106">
    <cfRule type="expression" dxfId="198" priority="3">
      <formula>kvartal &lt; 4</formula>
    </cfRule>
  </conditionalFormatting>
  <conditionalFormatting sqref="A115:C115">
    <cfRule type="expression" dxfId="197" priority="2">
      <formula>kvartal &lt; 4</formula>
    </cfRule>
  </conditionalFormatting>
  <conditionalFormatting sqref="A123:C123">
    <cfRule type="expression" dxfId="196" priority="1">
      <formula>kvartal &lt; 4</formula>
    </cfRule>
  </conditionalFormatting>
  <conditionalFormatting sqref="B69:C69">
    <cfRule type="expression" dxfId="195" priority="57">
      <formula>kvartal &lt; 4</formula>
    </cfRule>
  </conditionalFormatting>
  <conditionalFormatting sqref="B72:C72">
    <cfRule type="expression" dxfId="194" priority="55">
      <formula>kvartal &lt; 4</formula>
    </cfRule>
  </conditionalFormatting>
  <conditionalFormatting sqref="F115:G115">
    <cfRule type="expression" dxfId="193" priority="27">
      <formula>kvartal &lt; 4</formula>
    </cfRule>
  </conditionalFormatting>
  <conditionalFormatting sqref="F123:G123">
    <cfRule type="expression" dxfId="192" priority="26">
      <formula>kvartal &lt; 4</formula>
    </cfRule>
  </conditionalFormatting>
  <conditionalFormatting sqref="J115:K115">
    <cfRule type="expression" dxfId="191" priority="9">
      <formula>kvartal &lt; 4</formula>
    </cfRule>
  </conditionalFormatting>
  <conditionalFormatting sqref="J123:K123">
    <cfRule type="expression" dxfId="190" priority="8">
      <formula>kvartal &lt; 4</formula>
    </cfRule>
  </conditionalFormatting>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737C7-9E35-491E-AA5D-FD2A7954B218}">
  <sheetPr codeName="Ark33"/>
  <dimension ref="A1:N144"/>
  <sheetViews>
    <sheetView showGridLines="0" zoomScaleNormal="100" workbookViewId="0"/>
  </sheetViews>
  <sheetFormatPr baseColWidth="10" defaultColWidth="11.42578125" defaultRowHeight="12.75" x14ac:dyDescent="0.2"/>
  <cols>
    <col min="1" max="1" width="54.5703125" style="22" customWidth="1"/>
    <col min="2" max="2" width="10.7109375" style="22" customWidth="1"/>
    <col min="3" max="3" width="11" style="22" customWidth="1"/>
    <col min="4" max="5" width="8.7109375" style="22" customWidth="1"/>
    <col min="6" max="7" width="10.7109375" style="22" customWidth="1"/>
    <col min="8" max="9" width="8.7109375" style="22" customWidth="1"/>
    <col min="10" max="11" width="10.7109375" style="22" customWidth="1"/>
    <col min="12" max="13" width="8.7109375" style="22" customWidth="1"/>
    <col min="14" max="14" width="11.42578125" style="22"/>
    <col min="15" max="16384" width="11.42578125" style="1"/>
  </cols>
  <sheetData>
    <row r="1" spans="1:14" x14ac:dyDescent="0.2">
      <c r="A1" s="128" t="s">
        <v>221</v>
      </c>
      <c r="B1" s="558"/>
      <c r="C1" s="197" t="s">
        <v>111</v>
      </c>
    </row>
    <row r="2" spans="1:14" ht="15.75" x14ac:dyDescent="0.25">
      <c r="A2" s="110" t="s">
        <v>166</v>
      </c>
      <c r="B2" s="574"/>
      <c r="C2" s="574"/>
      <c r="D2" s="574"/>
      <c r="E2" s="242"/>
      <c r="F2" s="574"/>
      <c r="G2" s="574"/>
      <c r="H2" s="574"/>
      <c r="I2" s="242"/>
      <c r="J2" s="574"/>
      <c r="K2" s="574"/>
      <c r="L2" s="574"/>
      <c r="M2" s="242"/>
    </row>
    <row r="3" spans="1:14" ht="15.75" x14ac:dyDescent="0.25">
      <c r="A3" s="122"/>
      <c r="B3" s="242"/>
      <c r="C3" s="242"/>
      <c r="D3" s="242"/>
      <c r="E3" s="242"/>
      <c r="F3" s="242"/>
      <c r="G3" s="242"/>
      <c r="H3" s="242"/>
      <c r="I3" s="242"/>
      <c r="J3" s="242"/>
      <c r="K3" s="242"/>
      <c r="L3" s="242"/>
      <c r="M3" s="242"/>
    </row>
    <row r="4" spans="1:14" x14ac:dyDescent="0.2">
      <c r="A4" s="108"/>
      <c r="B4" s="570" t="s">
        <v>46</v>
      </c>
      <c r="C4" s="571"/>
      <c r="D4" s="571"/>
      <c r="E4" s="244"/>
      <c r="F4" s="570" t="s">
        <v>69</v>
      </c>
      <c r="G4" s="571"/>
      <c r="H4" s="571"/>
      <c r="I4" s="246"/>
      <c r="J4" s="570" t="s">
        <v>120</v>
      </c>
      <c r="K4" s="571"/>
      <c r="L4" s="571"/>
      <c r="M4" s="246"/>
    </row>
    <row r="5" spans="1:14" x14ac:dyDescent="0.2">
      <c r="A5" s="117"/>
      <c r="B5" s="113" t="s">
        <v>418</v>
      </c>
      <c r="C5" s="113" t="s">
        <v>419</v>
      </c>
      <c r="D5" s="193" t="s">
        <v>167</v>
      </c>
      <c r="E5" s="247" t="s">
        <v>85</v>
      </c>
      <c r="F5" s="113" t="s">
        <v>418</v>
      </c>
      <c r="G5" s="113" t="s">
        <v>419</v>
      </c>
      <c r="H5" s="193" t="s">
        <v>167</v>
      </c>
      <c r="I5" s="121" t="s">
        <v>85</v>
      </c>
      <c r="J5" s="113" t="s">
        <v>418</v>
      </c>
      <c r="K5" s="113" t="s">
        <v>419</v>
      </c>
      <c r="L5" s="193" t="s">
        <v>167</v>
      </c>
      <c r="M5" s="121" t="s">
        <v>85</v>
      </c>
    </row>
    <row r="6" spans="1:14" x14ac:dyDescent="0.2">
      <c r="A6" s="556"/>
      <c r="B6" s="116"/>
      <c r="C6" s="116"/>
      <c r="D6" s="195" t="s">
        <v>168</v>
      </c>
      <c r="E6" s="116" t="s">
        <v>88</v>
      </c>
      <c r="F6" s="120"/>
      <c r="G6" s="120"/>
      <c r="H6" s="193" t="s">
        <v>168</v>
      </c>
      <c r="I6" s="116" t="s">
        <v>88</v>
      </c>
      <c r="J6" s="120"/>
      <c r="K6" s="120"/>
      <c r="L6" s="193" t="s">
        <v>168</v>
      </c>
      <c r="M6" s="116" t="s">
        <v>88</v>
      </c>
    </row>
    <row r="7" spans="1:14" ht="15.75" x14ac:dyDescent="0.2">
      <c r="A7" s="11" t="s">
        <v>169</v>
      </c>
      <c r="B7" s="248">
        <v>3837</v>
      </c>
      <c r="C7" s="249">
        <v>4419</v>
      </c>
      <c r="D7" s="285">
        <f>IF(B7=0, "    ---- ", IF(ABS(ROUND(100/B7*C7-100,1))&lt;999,ROUND(100/B7*C7-100,1),IF(ROUND(100/B7*C7-100,1)&gt;999,999,-999)))</f>
        <v>15.2</v>
      </c>
      <c r="E7" s="8">
        <f>IFERROR(100/'Skjema total MA'!C7*C7,0)</f>
        <v>0.21052686792234446</v>
      </c>
      <c r="F7" s="248"/>
      <c r="G7" s="249"/>
      <c r="H7" s="285"/>
      <c r="I7" s="119"/>
      <c r="J7" s="250">
        <f t="shared" ref="J7:K10" si="0">SUM(B7,F7)</f>
        <v>3837</v>
      </c>
      <c r="K7" s="251">
        <f t="shared" si="0"/>
        <v>4419</v>
      </c>
      <c r="L7" s="341">
        <f>IF(J7=0, "    ---- ", IF(ABS(ROUND(100/J7*K7-100,1))&lt;999,ROUND(100/J7*K7-100,1),IF(ROUND(100/J7*K7-100,1)&gt;999,999,-999)))</f>
        <v>15.2</v>
      </c>
      <c r="M7" s="8">
        <f>IFERROR(100/'Skjema total MA'!I7*K7,0)</f>
        <v>7.5449480690265372E-2</v>
      </c>
    </row>
    <row r="8" spans="1:14" ht="15.75" x14ac:dyDescent="0.2">
      <c r="A8" s="18" t="s">
        <v>170</v>
      </c>
      <c r="B8" s="228">
        <v>2109</v>
      </c>
      <c r="C8" s="229">
        <v>2407</v>
      </c>
      <c r="D8" s="123">
        <f t="shared" ref="D8:D10" si="1">IF(B8=0, "    ---- ", IF(ABS(ROUND(100/B8*C8-100,1))&lt;999,ROUND(100/B8*C8-100,1),IF(ROUND(100/B8*C8-100,1)&gt;999,999,-999)))</f>
        <v>14.1</v>
      </c>
      <c r="E8" s="23">
        <f>IFERROR(100/'Skjema total MA'!C8*C8,0)</f>
        <v>0.16762283605820341</v>
      </c>
      <c r="F8" s="232"/>
      <c r="G8" s="233"/>
      <c r="H8" s="123"/>
      <c r="I8" s="132"/>
      <c r="J8" s="181">
        <f t="shared" si="0"/>
        <v>2109</v>
      </c>
      <c r="K8" s="234">
        <f t="shared" si="0"/>
        <v>2407</v>
      </c>
      <c r="L8" s="123">
        <f t="shared" ref="L8:L10" si="2">IF(J8=0, "    ---- ", IF(ABS(ROUND(100/J8*K8-100,1))&lt;999,ROUND(100/J8*K8-100,1),IF(ROUND(100/J8*K8-100,1)&gt;999,999,-999)))</f>
        <v>14.1</v>
      </c>
      <c r="M8" s="23">
        <f>IFERROR(100/'Skjema total MA'!I8*K8,0)</f>
        <v>0.16762283605820341</v>
      </c>
    </row>
    <row r="9" spans="1:14" ht="15.75" x14ac:dyDescent="0.2">
      <c r="A9" s="18" t="s">
        <v>171</v>
      </c>
      <c r="B9" s="228">
        <v>764</v>
      </c>
      <c r="C9" s="229">
        <v>909</v>
      </c>
      <c r="D9" s="123">
        <f t="shared" si="1"/>
        <v>19</v>
      </c>
      <c r="E9" s="23">
        <f>IFERROR(100/'Skjema total MA'!C9*C9,0)</f>
        <v>0.21272728370398675</v>
      </c>
      <c r="F9" s="232"/>
      <c r="G9" s="233"/>
      <c r="H9" s="123"/>
      <c r="I9" s="132"/>
      <c r="J9" s="181">
        <f t="shared" si="0"/>
        <v>764</v>
      </c>
      <c r="K9" s="234">
        <f t="shared" si="0"/>
        <v>909</v>
      </c>
      <c r="L9" s="123">
        <f t="shared" si="2"/>
        <v>19</v>
      </c>
      <c r="M9" s="23">
        <f>IFERROR(100/'Skjema total MA'!I9*K9,0)</f>
        <v>0.21272728370398675</v>
      </c>
    </row>
    <row r="10" spans="1:14" ht="15.75" x14ac:dyDescent="0.2">
      <c r="A10" s="10" t="s">
        <v>172</v>
      </c>
      <c r="B10" s="252">
        <v>3524</v>
      </c>
      <c r="C10" s="253">
        <v>6509</v>
      </c>
      <c r="D10" s="127">
        <f t="shared" si="1"/>
        <v>84.7</v>
      </c>
      <c r="E10" s="8">
        <f>IFERROR(100/'Skjema total MA'!C10*C10,0)</f>
        <v>5.0947328043692293E-2</v>
      </c>
      <c r="F10" s="252"/>
      <c r="G10" s="253"/>
      <c r="H10" s="127"/>
      <c r="I10" s="119"/>
      <c r="J10" s="250">
        <f t="shared" si="0"/>
        <v>3524</v>
      </c>
      <c r="K10" s="251">
        <f t="shared" si="0"/>
        <v>6509</v>
      </c>
      <c r="L10" s="342">
        <f t="shared" si="2"/>
        <v>84.7</v>
      </c>
      <c r="M10" s="8">
        <f>IFERROR(100/'Skjema total MA'!I10*K10,0)</f>
        <v>5.4038116565483978E-3</v>
      </c>
    </row>
    <row r="11" spans="1:14" s="35" customFormat="1" ht="15.75" x14ac:dyDescent="0.2">
      <c r="A11" s="10" t="s">
        <v>173</v>
      </c>
      <c r="B11" s="252"/>
      <c r="C11" s="253"/>
      <c r="D11" s="127"/>
      <c r="E11" s="8"/>
      <c r="F11" s="252"/>
      <c r="G11" s="253"/>
      <c r="H11" s="127"/>
      <c r="I11" s="119"/>
      <c r="J11" s="250"/>
      <c r="K11" s="251"/>
      <c r="L11" s="342"/>
      <c r="M11" s="8"/>
      <c r="N11" s="107"/>
    </row>
    <row r="12" spans="1:14" s="35" customFormat="1" ht="15.75" x14ac:dyDescent="0.2">
      <c r="A12" s="33" t="s">
        <v>174</v>
      </c>
      <c r="B12" s="254"/>
      <c r="C12" s="255"/>
      <c r="D12" s="125"/>
      <c r="E12" s="30"/>
      <c r="F12" s="254"/>
      <c r="G12" s="255"/>
      <c r="H12" s="125"/>
      <c r="I12" s="125"/>
      <c r="J12" s="256"/>
      <c r="K12" s="257"/>
      <c r="L12" s="343"/>
      <c r="M12" s="30"/>
      <c r="N12" s="107"/>
    </row>
    <row r="13" spans="1:14" s="35" customFormat="1" x14ac:dyDescent="0.2">
      <c r="A13" s="107"/>
      <c r="B13" s="109"/>
      <c r="C13" s="27"/>
      <c r="D13" s="118"/>
      <c r="E13" s="118"/>
      <c r="F13" s="109"/>
      <c r="G13" s="27"/>
      <c r="H13" s="118"/>
      <c r="I13" s="118"/>
      <c r="J13" s="38"/>
      <c r="K13" s="38"/>
      <c r="L13" s="118"/>
      <c r="M13" s="118"/>
      <c r="N13" s="107"/>
    </row>
    <row r="14" spans="1:14" x14ac:dyDescent="0.2">
      <c r="A14" s="114" t="s">
        <v>175</v>
      </c>
    </row>
    <row r="16" spans="1:14" ht="15.75" x14ac:dyDescent="0.25">
      <c r="A16" s="115"/>
      <c r="C16" s="106"/>
      <c r="D16" s="106"/>
      <c r="E16" s="106"/>
      <c r="F16" s="106"/>
      <c r="G16" s="106"/>
      <c r="H16" s="106"/>
      <c r="I16" s="106"/>
      <c r="J16" s="106"/>
      <c r="K16" s="106"/>
      <c r="L16" s="106"/>
      <c r="M16" s="106"/>
    </row>
    <row r="17" spans="1:13" ht="15.75" x14ac:dyDescent="0.25">
      <c r="A17" s="110" t="s">
        <v>176</v>
      </c>
      <c r="B17" s="106"/>
      <c r="C17" s="106"/>
      <c r="D17" s="112"/>
      <c r="E17" s="112"/>
      <c r="F17" s="106"/>
      <c r="G17" s="106"/>
      <c r="H17" s="106"/>
      <c r="I17" s="106"/>
      <c r="J17" s="106"/>
      <c r="K17" s="106"/>
      <c r="L17" s="106"/>
      <c r="M17" s="106"/>
    </row>
    <row r="18" spans="1:13" ht="15.75" x14ac:dyDescent="0.25">
      <c r="B18" s="573"/>
      <c r="C18" s="573"/>
      <c r="D18" s="573"/>
      <c r="E18" s="242"/>
      <c r="F18" s="573"/>
      <c r="G18" s="573"/>
      <c r="H18" s="573"/>
      <c r="I18" s="242"/>
      <c r="J18" s="573"/>
      <c r="K18" s="573"/>
      <c r="L18" s="573"/>
      <c r="M18" s="242"/>
    </row>
    <row r="19" spans="1:13" x14ac:dyDescent="0.2">
      <c r="A19" s="108"/>
      <c r="B19" s="570" t="s">
        <v>46</v>
      </c>
      <c r="C19" s="571"/>
      <c r="D19" s="571"/>
      <c r="E19" s="244"/>
      <c r="F19" s="570" t="s">
        <v>69</v>
      </c>
      <c r="G19" s="571"/>
      <c r="H19" s="571"/>
      <c r="I19" s="246"/>
      <c r="J19" s="570" t="s">
        <v>120</v>
      </c>
      <c r="K19" s="571"/>
      <c r="L19" s="571"/>
      <c r="M19" s="246"/>
    </row>
    <row r="20" spans="1:13" x14ac:dyDescent="0.2">
      <c r="A20" s="105" t="s">
        <v>177</v>
      </c>
      <c r="B20" s="190" t="s">
        <v>418</v>
      </c>
      <c r="C20" s="190" t="s">
        <v>419</v>
      </c>
      <c r="D20" s="121" t="s">
        <v>167</v>
      </c>
      <c r="E20" s="247" t="s">
        <v>85</v>
      </c>
      <c r="F20" s="190" t="s">
        <v>418</v>
      </c>
      <c r="G20" s="190" t="s">
        <v>419</v>
      </c>
      <c r="H20" s="121" t="s">
        <v>167</v>
      </c>
      <c r="I20" s="121" t="s">
        <v>85</v>
      </c>
      <c r="J20" s="190" t="s">
        <v>418</v>
      </c>
      <c r="K20" s="190" t="s">
        <v>419</v>
      </c>
      <c r="L20" s="121" t="s">
        <v>167</v>
      </c>
      <c r="M20" s="121" t="s">
        <v>85</v>
      </c>
    </row>
    <row r="21" spans="1:13" x14ac:dyDescent="0.2">
      <c r="A21" s="557"/>
      <c r="B21" s="116"/>
      <c r="C21" s="116"/>
      <c r="D21" s="195" t="s">
        <v>168</v>
      </c>
      <c r="E21" s="116" t="s">
        <v>88</v>
      </c>
      <c r="F21" s="120"/>
      <c r="G21" s="120"/>
      <c r="H21" s="193" t="s">
        <v>168</v>
      </c>
      <c r="I21" s="116" t="s">
        <v>88</v>
      </c>
      <c r="J21" s="120"/>
      <c r="K21" s="120"/>
      <c r="L21" s="116" t="s">
        <v>168</v>
      </c>
      <c r="M21" s="116" t="s">
        <v>88</v>
      </c>
    </row>
    <row r="22" spans="1:13" ht="15.75" x14ac:dyDescent="0.2">
      <c r="A22" s="11" t="s">
        <v>169</v>
      </c>
      <c r="B22" s="252">
        <v>9172</v>
      </c>
      <c r="C22" s="252">
        <v>3757</v>
      </c>
      <c r="D22" s="285">
        <f t="shared" ref="D22:D37" si="3">IF(B22=0, "    ---- ", IF(ABS(ROUND(100/B22*C22-100,1))&lt;999,ROUND(100/B22*C22-100,1),IF(ROUND(100/B22*C22-100,1)&gt;999,999,-999)))</f>
        <v>-59</v>
      </c>
      <c r="E22" s="8">
        <f>IFERROR(100/'Skjema total MA'!C22*C22,0)</f>
        <v>0.34849820510695023</v>
      </c>
      <c r="F22" s="260"/>
      <c r="G22" s="260"/>
      <c r="H22" s="285"/>
      <c r="I22" s="8"/>
      <c r="J22" s="258">
        <f t="shared" ref="J22:K37" si="4">SUM(B22,F22)</f>
        <v>9172</v>
      </c>
      <c r="K22" s="258">
        <f t="shared" si="4"/>
        <v>3757</v>
      </c>
      <c r="L22" s="341">
        <f t="shared" ref="L22:L30" si="5">IF(J22=0, "    ---- ", IF(ABS(ROUND(100/J22*K22-100,1))&lt;999,ROUND(100/J22*K22-100,1),IF(ROUND(100/J22*K22-100,1)&gt;999,999,-999)))</f>
        <v>-59</v>
      </c>
      <c r="M22" s="21">
        <f>IFERROR(100/'Skjema total MA'!I22*K22,0)</f>
        <v>0.24645765435909947</v>
      </c>
    </row>
    <row r="23" spans="1:13" ht="15.75" x14ac:dyDescent="0.2">
      <c r="A23" s="382" t="s">
        <v>178</v>
      </c>
      <c r="B23" s="228">
        <v>9172</v>
      </c>
      <c r="C23" s="228">
        <v>3757</v>
      </c>
      <c r="D23" s="123">
        <f t="shared" si="3"/>
        <v>-59</v>
      </c>
      <c r="E23" s="8">
        <f>IFERROR(100/'Skjema total MA'!C23*C23,0)</f>
        <v>0.47079387831632752</v>
      </c>
      <c r="F23" s="236"/>
      <c r="G23" s="236"/>
      <c r="H23" s="123"/>
      <c r="I23" s="335"/>
      <c r="J23" s="236">
        <f t="shared" si="4"/>
        <v>9172</v>
      </c>
      <c r="K23" s="236">
        <f t="shared" si="4"/>
        <v>3757</v>
      </c>
      <c r="L23" s="123">
        <f t="shared" si="5"/>
        <v>-59</v>
      </c>
      <c r="M23" s="20">
        <f>IFERROR(100/'Skjema total MA'!I23*K23,0)</f>
        <v>0.46574402764713319</v>
      </c>
    </row>
    <row r="24" spans="1:13" ht="15.75" x14ac:dyDescent="0.2">
      <c r="A24" s="382" t="s">
        <v>179</v>
      </c>
      <c r="B24" s="228"/>
      <c r="C24" s="228"/>
      <c r="D24" s="123"/>
      <c r="E24" s="8"/>
      <c r="F24" s="236"/>
      <c r="G24" s="236"/>
      <c r="H24" s="123"/>
      <c r="I24" s="335"/>
      <c r="J24" s="236"/>
      <c r="K24" s="236"/>
      <c r="L24" s="123"/>
      <c r="M24" s="20"/>
    </row>
    <row r="25" spans="1:13" ht="15.75" x14ac:dyDescent="0.2">
      <c r="A25" s="382" t="s">
        <v>180</v>
      </c>
      <c r="B25" s="228"/>
      <c r="C25" s="228"/>
      <c r="D25" s="123"/>
      <c r="E25" s="8"/>
      <c r="F25" s="236"/>
      <c r="G25" s="236"/>
      <c r="H25" s="123"/>
      <c r="I25" s="335"/>
      <c r="J25" s="236"/>
      <c r="K25" s="236"/>
      <c r="L25" s="123"/>
      <c r="M25" s="20"/>
    </row>
    <row r="26" spans="1:13" ht="15.75" x14ac:dyDescent="0.2">
      <c r="A26" s="382" t="s">
        <v>181</v>
      </c>
      <c r="B26" s="228"/>
      <c r="C26" s="228"/>
      <c r="D26" s="123"/>
      <c r="E26" s="8"/>
      <c r="F26" s="236"/>
      <c r="G26" s="236"/>
      <c r="H26" s="123"/>
      <c r="I26" s="335"/>
      <c r="J26" s="236"/>
      <c r="K26" s="236"/>
      <c r="L26" s="123"/>
      <c r="M26" s="20"/>
    </row>
    <row r="27" spans="1:13" x14ac:dyDescent="0.2">
      <c r="A27" s="382" t="s">
        <v>182</v>
      </c>
      <c r="B27" s="228"/>
      <c r="C27" s="228"/>
      <c r="D27" s="123"/>
      <c r="E27" s="8"/>
      <c r="F27" s="236"/>
      <c r="G27" s="236"/>
      <c r="H27" s="123"/>
      <c r="I27" s="335"/>
      <c r="J27" s="236"/>
      <c r="K27" s="236"/>
      <c r="L27" s="123"/>
      <c r="M27" s="20"/>
    </row>
    <row r="28" spans="1:13" ht="15.75" x14ac:dyDescent="0.2">
      <c r="A28" s="39" t="s">
        <v>183</v>
      </c>
      <c r="B28" s="36">
        <v>7625</v>
      </c>
      <c r="C28" s="234">
        <v>2806</v>
      </c>
      <c r="D28" s="123">
        <f t="shared" si="3"/>
        <v>-63.2</v>
      </c>
      <c r="E28" s="8">
        <f>IFERROR(100/'Skjema total MA'!C28*C28,0)</f>
        <v>0.20817790266665231</v>
      </c>
      <c r="F28" s="181"/>
      <c r="G28" s="234"/>
      <c r="H28" s="123"/>
      <c r="I28" s="23"/>
      <c r="J28" s="36">
        <f t="shared" si="4"/>
        <v>7625</v>
      </c>
      <c r="K28" s="36">
        <f t="shared" si="4"/>
        <v>2806</v>
      </c>
      <c r="L28" s="206">
        <f t="shared" si="5"/>
        <v>-63.2</v>
      </c>
      <c r="M28" s="20">
        <f>IFERROR(100/'Skjema total MA'!I28*K28,0)</f>
        <v>0.20817790266665231</v>
      </c>
    </row>
    <row r="29" spans="1:13" ht="15.75" x14ac:dyDescent="0.2">
      <c r="A29" s="10" t="s">
        <v>172</v>
      </c>
      <c r="B29" s="183">
        <v>19388</v>
      </c>
      <c r="C29" s="183">
        <v>19098</v>
      </c>
      <c r="D29" s="127">
        <f t="shared" si="3"/>
        <v>-1.5</v>
      </c>
      <c r="E29" s="8">
        <f>IFERROR(100/'Skjema total MA'!C29*C29,0)</f>
        <v>4.2912180967411707E-2</v>
      </c>
      <c r="F29" s="250"/>
      <c r="G29" s="250"/>
      <c r="H29" s="127"/>
      <c r="I29" s="8"/>
      <c r="J29" s="183">
        <f t="shared" si="4"/>
        <v>19388</v>
      </c>
      <c r="K29" s="183">
        <f t="shared" si="4"/>
        <v>19098</v>
      </c>
      <c r="L29" s="342">
        <f t="shared" si="5"/>
        <v>-1.5</v>
      </c>
      <c r="M29" s="21">
        <f>IFERROR(100/'Skjema total MA'!I29*K29,0)</f>
        <v>2.523280656293873E-2</v>
      </c>
    </row>
    <row r="30" spans="1:13" ht="15.75" x14ac:dyDescent="0.2">
      <c r="A30" s="382" t="s">
        <v>178</v>
      </c>
      <c r="B30" s="228">
        <v>19388</v>
      </c>
      <c r="C30" s="228">
        <v>19098</v>
      </c>
      <c r="D30" s="123">
        <f t="shared" si="3"/>
        <v>-1.5</v>
      </c>
      <c r="E30" s="8">
        <f>IFERROR(100/'Skjema total MA'!C30*C30,0)</f>
        <v>9.5979393914833969E-2</v>
      </c>
      <c r="F30" s="236"/>
      <c r="G30" s="236"/>
      <c r="H30" s="123"/>
      <c r="I30" s="335"/>
      <c r="J30" s="236">
        <f t="shared" si="4"/>
        <v>19388</v>
      </c>
      <c r="K30" s="236">
        <f t="shared" si="4"/>
        <v>19098</v>
      </c>
      <c r="L30" s="123">
        <f t="shared" si="5"/>
        <v>-1.5</v>
      </c>
      <c r="M30" s="20">
        <f>IFERROR(100/'Skjema total MA'!I30*K30,0)</f>
        <v>8.1457586096305462E-2</v>
      </c>
    </row>
    <row r="31" spans="1:13" ht="15.75" x14ac:dyDescent="0.2">
      <c r="A31" s="382" t="s">
        <v>179</v>
      </c>
      <c r="B31" s="228"/>
      <c r="C31" s="228"/>
      <c r="D31" s="123"/>
      <c r="E31" s="8"/>
      <c r="F31" s="236"/>
      <c r="G31" s="236"/>
      <c r="H31" s="123"/>
      <c r="I31" s="335"/>
      <c r="J31" s="236"/>
      <c r="K31" s="236"/>
      <c r="L31" s="123"/>
      <c r="M31" s="20"/>
    </row>
    <row r="32" spans="1:13" ht="15.75" x14ac:dyDescent="0.2">
      <c r="A32" s="382" t="s">
        <v>180</v>
      </c>
      <c r="B32" s="228"/>
      <c r="C32" s="228"/>
      <c r="D32" s="123"/>
      <c r="E32" s="8"/>
      <c r="F32" s="236"/>
      <c r="G32" s="236"/>
      <c r="H32" s="123"/>
      <c r="I32" s="335"/>
      <c r="J32" s="236"/>
      <c r="K32" s="236"/>
      <c r="L32" s="123"/>
      <c r="M32" s="20"/>
    </row>
    <row r="33" spans="1:13" ht="15.75" x14ac:dyDescent="0.2">
      <c r="A33" s="382" t="s">
        <v>181</v>
      </c>
      <c r="B33" s="228"/>
      <c r="C33" s="228"/>
      <c r="D33" s="123"/>
      <c r="E33" s="8"/>
      <c r="F33" s="236"/>
      <c r="G33" s="236"/>
      <c r="H33" s="123"/>
      <c r="I33" s="335"/>
      <c r="J33" s="236"/>
      <c r="K33" s="236"/>
      <c r="L33" s="123"/>
      <c r="M33" s="20"/>
    </row>
    <row r="34" spans="1:13" ht="15.75" x14ac:dyDescent="0.2">
      <c r="A34" s="10" t="s">
        <v>173</v>
      </c>
      <c r="B34" s="183"/>
      <c r="C34" s="251"/>
      <c r="D34" s="127"/>
      <c r="E34" s="8"/>
      <c r="F34" s="250"/>
      <c r="G34" s="251"/>
      <c r="H34" s="127"/>
      <c r="I34" s="8"/>
      <c r="J34" s="183"/>
      <c r="K34" s="183"/>
      <c r="L34" s="342"/>
      <c r="M34" s="21"/>
    </row>
    <row r="35" spans="1:13" ht="15.75" x14ac:dyDescent="0.2">
      <c r="A35" s="10" t="s">
        <v>174</v>
      </c>
      <c r="B35" s="183"/>
      <c r="C35" s="251"/>
      <c r="D35" s="127"/>
      <c r="E35" s="8"/>
      <c r="F35" s="250"/>
      <c r="G35" s="251"/>
      <c r="H35" s="127"/>
      <c r="I35" s="8"/>
      <c r="J35" s="183"/>
      <c r="K35" s="183"/>
      <c r="L35" s="342"/>
      <c r="M35" s="21"/>
    </row>
    <row r="36" spans="1:13" ht="15.75" x14ac:dyDescent="0.2">
      <c r="A36" s="9" t="s">
        <v>185</v>
      </c>
      <c r="B36" s="183"/>
      <c r="C36" s="251">
        <v>204</v>
      </c>
      <c r="D36" s="127" t="str">
        <f t="shared" si="3"/>
        <v xml:space="preserve">    ---- </v>
      </c>
      <c r="E36" s="8">
        <f>IFERROR(100/'Skjema total MA'!C36*C36,0)</f>
        <v>46.636459652604103</v>
      </c>
      <c r="F36" s="261"/>
      <c r="G36" s="262"/>
      <c r="H36" s="127"/>
      <c r="I36" s="348"/>
      <c r="J36" s="183"/>
      <c r="K36" s="183">
        <f t="shared" si="4"/>
        <v>204</v>
      </c>
      <c r="L36" s="342"/>
      <c r="M36" s="21">
        <f>IFERROR(100/'Skjema total MA'!I36*K36,0)</f>
        <v>46.636459652604103</v>
      </c>
    </row>
    <row r="37" spans="1:13" ht="15.75" x14ac:dyDescent="0.2">
      <c r="A37" s="9" t="s">
        <v>186</v>
      </c>
      <c r="B37" s="183"/>
      <c r="C37" s="251">
        <v>16388</v>
      </c>
      <c r="D37" s="127" t="str">
        <f t="shared" si="3"/>
        <v xml:space="preserve">    ---- </v>
      </c>
      <c r="E37" s="8">
        <f>IFERROR(100/'Skjema total MA'!C37*C37,0)</f>
        <v>0.71808541635390766</v>
      </c>
      <c r="F37" s="261"/>
      <c r="G37" s="263"/>
      <c r="H37" s="127"/>
      <c r="I37" s="348"/>
      <c r="J37" s="183"/>
      <c r="K37" s="183">
        <f t="shared" si="4"/>
        <v>16388</v>
      </c>
      <c r="L37" s="342"/>
      <c r="M37" s="21">
        <f>IFERROR(100/'Skjema total MA'!I37*K37,0)</f>
        <v>0.71808541635390766</v>
      </c>
    </row>
    <row r="38" spans="1:13" ht="15.75" x14ac:dyDescent="0.2">
      <c r="A38" s="9" t="s">
        <v>187</v>
      </c>
      <c r="B38" s="183"/>
      <c r="C38" s="251"/>
      <c r="D38" s="346"/>
      <c r="E38" s="21"/>
      <c r="F38" s="261"/>
      <c r="G38" s="262"/>
      <c r="H38" s="127"/>
      <c r="I38" s="348"/>
      <c r="J38" s="183"/>
      <c r="K38" s="183"/>
      <c r="L38" s="342"/>
      <c r="M38" s="21"/>
    </row>
    <row r="39" spans="1:13" ht="15.75" x14ac:dyDescent="0.2">
      <c r="A39" s="15" t="s">
        <v>188</v>
      </c>
      <c r="B39" s="223"/>
      <c r="C39" s="257"/>
      <c r="D39" s="347"/>
      <c r="E39" s="30"/>
      <c r="F39" s="264"/>
      <c r="G39" s="265"/>
      <c r="H39" s="125"/>
      <c r="I39" s="30"/>
      <c r="J39" s="183"/>
      <c r="K39" s="183"/>
      <c r="L39" s="343"/>
      <c r="M39" s="30"/>
    </row>
    <row r="40" spans="1:13" ht="15.75" x14ac:dyDescent="0.25">
      <c r="A40" s="35"/>
      <c r="B40" s="205"/>
      <c r="C40" s="205"/>
      <c r="D40" s="575"/>
      <c r="E40" s="574"/>
      <c r="F40" s="575"/>
      <c r="G40" s="575"/>
      <c r="H40" s="575"/>
      <c r="I40" s="575"/>
      <c r="J40" s="575"/>
      <c r="K40" s="575"/>
      <c r="L40" s="575"/>
      <c r="M40" s="242"/>
    </row>
    <row r="41" spans="1:13" x14ac:dyDescent="0.2">
      <c r="A41" s="115"/>
    </row>
    <row r="42" spans="1:13" ht="15.75" x14ac:dyDescent="0.25">
      <c r="A42" s="110" t="s">
        <v>189</v>
      </c>
      <c r="B42" s="574"/>
      <c r="C42" s="574"/>
      <c r="D42" s="574"/>
      <c r="E42" s="242"/>
      <c r="F42" s="574"/>
      <c r="G42" s="574"/>
      <c r="H42" s="574"/>
      <c r="I42" s="242"/>
      <c r="J42" s="574"/>
      <c r="K42" s="574"/>
      <c r="L42" s="574"/>
      <c r="M42" s="242"/>
    </row>
    <row r="43" spans="1:13" ht="15.75" x14ac:dyDescent="0.25">
      <c r="A43" s="122"/>
      <c r="B43" s="245"/>
      <c r="C43" s="245"/>
      <c r="D43" s="245"/>
      <c r="E43" s="245"/>
      <c r="F43" s="242"/>
      <c r="G43" s="242"/>
      <c r="H43" s="242"/>
      <c r="I43" s="242"/>
      <c r="J43" s="242"/>
      <c r="K43" s="242"/>
      <c r="L43" s="242"/>
      <c r="M43" s="242"/>
    </row>
    <row r="44" spans="1:13" ht="15.75" x14ac:dyDescent="0.25">
      <c r="A44" s="196"/>
      <c r="B44" s="570" t="s">
        <v>46</v>
      </c>
      <c r="C44" s="571"/>
      <c r="D44" s="571"/>
      <c r="E44" s="191"/>
      <c r="F44" s="242"/>
      <c r="G44" s="242"/>
      <c r="H44" s="242"/>
      <c r="I44" s="242"/>
      <c r="J44" s="242"/>
      <c r="K44" s="242"/>
      <c r="L44" s="242"/>
      <c r="M44" s="242"/>
    </row>
    <row r="45" spans="1:13" x14ac:dyDescent="0.2">
      <c r="A45" s="105"/>
      <c r="B45" s="129" t="s">
        <v>418</v>
      </c>
      <c r="C45" s="129" t="s">
        <v>419</v>
      </c>
      <c r="D45" s="121" t="s">
        <v>167</v>
      </c>
      <c r="E45" s="121" t="s">
        <v>85</v>
      </c>
      <c r="F45" s="131"/>
      <c r="G45" s="131"/>
      <c r="H45" s="130"/>
      <c r="I45" s="130"/>
      <c r="J45" s="131"/>
      <c r="K45" s="131"/>
      <c r="L45" s="130"/>
      <c r="M45" s="130"/>
    </row>
    <row r="46" spans="1:13" x14ac:dyDescent="0.2">
      <c r="A46" s="557"/>
      <c r="B46" s="192"/>
      <c r="C46" s="192"/>
      <c r="D46" s="193" t="s">
        <v>168</v>
      </c>
      <c r="E46" s="116" t="s">
        <v>88</v>
      </c>
      <c r="F46" s="130"/>
      <c r="G46" s="130"/>
      <c r="H46" s="130"/>
      <c r="I46" s="130"/>
      <c r="J46" s="130"/>
      <c r="K46" s="130"/>
      <c r="L46" s="130"/>
      <c r="M46" s="130"/>
    </row>
    <row r="47" spans="1:13" ht="15.75" x14ac:dyDescent="0.2">
      <c r="A47" s="11" t="s">
        <v>169</v>
      </c>
      <c r="B47" s="252">
        <v>24204</v>
      </c>
      <c r="C47" s="253">
        <v>1758</v>
      </c>
      <c r="D47" s="341">
        <f t="shared" ref="D47:D48" si="6">IF(B47=0, "    ---- ", IF(ABS(ROUND(100/B47*C47-100,1))&lt;999,ROUND(100/B47*C47-100,1),IF(ROUND(100/B47*C47-100,1)&gt;999,999,-999)))</f>
        <v>-92.7</v>
      </c>
      <c r="E47" s="8">
        <f>IFERROR(100/'Skjema total MA'!C47*C47,0)</f>
        <v>3.491960473935795E-2</v>
      </c>
      <c r="F47" s="109"/>
      <c r="G47" s="27"/>
      <c r="H47" s="118"/>
      <c r="I47" s="118"/>
      <c r="J47" s="31"/>
      <c r="K47" s="31"/>
      <c r="L47" s="118"/>
      <c r="M47" s="118"/>
    </row>
    <row r="48" spans="1:13" ht="15.75" x14ac:dyDescent="0.2">
      <c r="A48" s="18" t="s">
        <v>190</v>
      </c>
      <c r="B48" s="228">
        <v>24204</v>
      </c>
      <c r="C48" s="229">
        <v>1758</v>
      </c>
      <c r="D48" s="206">
        <f t="shared" si="6"/>
        <v>-92.7</v>
      </c>
      <c r="E48" s="23">
        <f>IFERROR(100/'Skjema total MA'!C48*C48,0)</f>
        <v>7.0709366003125301E-2</v>
      </c>
      <c r="F48" s="109"/>
      <c r="G48" s="27"/>
      <c r="H48" s="109"/>
      <c r="I48" s="109"/>
      <c r="J48" s="27"/>
      <c r="K48" s="27"/>
      <c r="L48" s="118"/>
      <c r="M48" s="118"/>
    </row>
    <row r="49" spans="1:13" ht="15.75" x14ac:dyDescent="0.2">
      <c r="A49" s="18" t="s">
        <v>191</v>
      </c>
      <c r="B49" s="36"/>
      <c r="C49" s="234"/>
      <c r="D49" s="206"/>
      <c r="E49" s="23"/>
      <c r="F49" s="109"/>
      <c r="G49" s="27"/>
      <c r="H49" s="109"/>
      <c r="I49" s="109"/>
      <c r="J49" s="31"/>
      <c r="K49" s="31"/>
      <c r="L49" s="118"/>
      <c r="M49" s="118"/>
    </row>
    <row r="50" spans="1:13" x14ac:dyDescent="0.2">
      <c r="A50" s="240" t="s">
        <v>192</v>
      </c>
      <c r="B50" s="239"/>
      <c r="C50" s="239"/>
      <c r="D50" s="206"/>
      <c r="E50" s="20"/>
      <c r="F50" s="109"/>
      <c r="G50" s="27"/>
      <c r="H50" s="109"/>
      <c r="I50" s="109"/>
      <c r="J50" s="27"/>
      <c r="K50" s="27"/>
      <c r="L50" s="118"/>
      <c r="M50" s="118"/>
    </row>
    <row r="51" spans="1:13" x14ac:dyDescent="0.2">
      <c r="A51" s="240" t="s">
        <v>193</v>
      </c>
      <c r="B51" s="239"/>
      <c r="C51" s="239"/>
      <c r="D51" s="206"/>
      <c r="E51" s="20"/>
      <c r="F51" s="109"/>
      <c r="G51" s="27"/>
      <c r="H51" s="109"/>
      <c r="I51" s="109"/>
      <c r="J51" s="27"/>
      <c r="K51" s="27"/>
      <c r="L51" s="118"/>
      <c r="M51" s="118"/>
    </row>
    <row r="52" spans="1:13" x14ac:dyDescent="0.2">
      <c r="A52" s="240" t="s">
        <v>194</v>
      </c>
      <c r="B52" s="239"/>
      <c r="C52" s="239"/>
      <c r="D52" s="206"/>
      <c r="E52" s="20"/>
      <c r="F52" s="109"/>
      <c r="G52" s="27"/>
      <c r="H52" s="109"/>
      <c r="I52" s="109"/>
      <c r="J52" s="27"/>
      <c r="K52" s="27"/>
      <c r="L52" s="118"/>
      <c r="M52" s="118"/>
    </row>
    <row r="53" spans="1:13" ht="15.75" x14ac:dyDescent="0.2">
      <c r="A53" s="10" t="s">
        <v>195</v>
      </c>
      <c r="B53" s="252"/>
      <c r="C53" s="253"/>
      <c r="D53" s="342"/>
      <c r="E53" s="8"/>
      <c r="F53" s="109"/>
      <c r="G53" s="27"/>
      <c r="H53" s="109"/>
      <c r="I53" s="109"/>
      <c r="J53" s="27"/>
      <c r="K53" s="27"/>
      <c r="L53" s="118"/>
      <c r="M53" s="118"/>
    </row>
    <row r="54" spans="1:13" ht="15.75" x14ac:dyDescent="0.2">
      <c r="A54" s="18" t="s">
        <v>190</v>
      </c>
      <c r="B54" s="228"/>
      <c r="C54" s="229"/>
      <c r="D54" s="206"/>
      <c r="E54" s="23"/>
      <c r="F54" s="109"/>
      <c r="G54" s="27"/>
      <c r="H54" s="109"/>
      <c r="I54" s="109"/>
      <c r="J54" s="27"/>
      <c r="K54" s="27"/>
      <c r="L54" s="118"/>
      <c r="M54" s="118"/>
    </row>
    <row r="55" spans="1:13" ht="15.75" x14ac:dyDescent="0.2">
      <c r="A55" s="18" t="s">
        <v>191</v>
      </c>
      <c r="B55" s="228"/>
      <c r="C55" s="229"/>
      <c r="D55" s="206"/>
      <c r="E55" s="23"/>
      <c r="F55" s="109"/>
      <c r="G55" s="27"/>
      <c r="H55" s="109"/>
      <c r="I55" s="109"/>
      <c r="J55" s="27"/>
      <c r="K55" s="27"/>
      <c r="L55" s="118"/>
      <c r="M55" s="118"/>
    </row>
    <row r="56" spans="1:13" ht="15.75" x14ac:dyDescent="0.2">
      <c r="A56" s="10" t="s">
        <v>196</v>
      </c>
      <c r="B56" s="252"/>
      <c r="C56" s="253"/>
      <c r="D56" s="342"/>
      <c r="E56" s="8"/>
      <c r="F56" s="109"/>
      <c r="G56" s="27"/>
      <c r="H56" s="109"/>
      <c r="I56" s="109"/>
      <c r="J56" s="27"/>
      <c r="K56" s="27"/>
      <c r="L56" s="118"/>
      <c r="M56" s="118"/>
    </row>
    <row r="57" spans="1:13" ht="15.75" x14ac:dyDescent="0.2">
      <c r="A57" s="18" t="s">
        <v>190</v>
      </c>
      <c r="B57" s="228"/>
      <c r="C57" s="229"/>
      <c r="D57" s="206"/>
      <c r="E57" s="23"/>
      <c r="F57" s="109"/>
      <c r="G57" s="27"/>
      <c r="H57" s="109"/>
      <c r="I57" s="109"/>
      <c r="J57" s="27"/>
      <c r="K57" s="27"/>
      <c r="L57" s="118"/>
      <c r="M57" s="118"/>
    </row>
    <row r="58" spans="1:13" ht="15.75" x14ac:dyDescent="0.2">
      <c r="A58" s="7" t="s">
        <v>191</v>
      </c>
      <c r="B58" s="230"/>
      <c r="C58" s="231"/>
      <c r="D58" s="207"/>
      <c r="E58" s="19"/>
      <c r="F58" s="109"/>
      <c r="G58" s="27"/>
      <c r="H58" s="109"/>
      <c r="I58" s="109"/>
      <c r="J58" s="27"/>
      <c r="K58" s="27"/>
      <c r="L58" s="118"/>
      <c r="M58" s="118"/>
    </row>
    <row r="59" spans="1:13" ht="15.75" x14ac:dyDescent="0.25">
      <c r="A59" s="115"/>
      <c r="B59" s="106"/>
      <c r="C59" s="106"/>
      <c r="D59" s="106"/>
      <c r="E59" s="106"/>
      <c r="F59" s="106"/>
      <c r="G59" s="106"/>
      <c r="H59" s="106"/>
      <c r="I59" s="106"/>
      <c r="J59" s="106"/>
      <c r="K59" s="106"/>
      <c r="L59" s="106"/>
      <c r="M59" s="106"/>
    </row>
    <row r="60" spans="1:13" x14ac:dyDescent="0.2">
      <c r="A60" s="115"/>
    </row>
    <row r="61" spans="1:13" ht="15.75" x14ac:dyDescent="0.25">
      <c r="A61" s="110" t="s">
        <v>197</v>
      </c>
    </row>
    <row r="62" spans="1:13" ht="15.75" x14ac:dyDescent="0.25">
      <c r="B62" s="573"/>
      <c r="C62" s="573"/>
      <c r="D62" s="573"/>
      <c r="E62" s="242"/>
      <c r="F62" s="573"/>
      <c r="G62" s="573"/>
      <c r="H62" s="573"/>
      <c r="I62" s="242"/>
      <c r="J62" s="573"/>
      <c r="K62" s="573"/>
      <c r="L62" s="573"/>
      <c r="M62" s="242"/>
    </row>
    <row r="63" spans="1:13" x14ac:dyDescent="0.2">
      <c r="A63" s="108"/>
      <c r="B63" s="570" t="s">
        <v>46</v>
      </c>
      <c r="C63" s="571"/>
      <c r="D63" s="572"/>
      <c r="E63" s="243"/>
      <c r="F63" s="571" t="s">
        <v>69</v>
      </c>
      <c r="G63" s="571"/>
      <c r="H63" s="571"/>
      <c r="I63" s="246"/>
      <c r="J63" s="570" t="s">
        <v>120</v>
      </c>
      <c r="K63" s="571"/>
      <c r="L63" s="571"/>
      <c r="M63" s="246"/>
    </row>
    <row r="64" spans="1:13" x14ac:dyDescent="0.2">
      <c r="A64" s="105"/>
      <c r="B64" s="113" t="s">
        <v>418</v>
      </c>
      <c r="C64" s="113" t="s">
        <v>419</v>
      </c>
      <c r="D64" s="193" t="s">
        <v>167</v>
      </c>
      <c r="E64" s="247" t="s">
        <v>85</v>
      </c>
      <c r="F64" s="113" t="s">
        <v>418</v>
      </c>
      <c r="G64" s="113" t="s">
        <v>419</v>
      </c>
      <c r="H64" s="193" t="s">
        <v>167</v>
      </c>
      <c r="I64" s="247" t="s">
        <v>85</v>
      </c>
      <c r="J64" s="113" t="s">
        <v>418</v>
      </c>
      <c r="K64" s="113" t="s">
        <v>419</v>
      </c>
      <c r="L64" s="193" t="s">
        <v>167</v>
      </c>
      <c r="M64" s="121" t="s">
        <v>85</v>
      </c>
    </row>
    <row r="65" spans="1:13" x14ac:dyDescent="0.2">
      <c r="A65" s="557"/>
      <c r="B65" s="116"/>
      <c r="C65" s="116"/>
      <c r="D65" s="195" t="s">
        <v>168</v>
      </c>
      <c r="E65" s="116" t="s">
        <v>88</v>
      </c>
      <c r="F65" s="120"/>
      <c r="G65" s="120"/>
      <c r="H65" s="193" t="s">
        <v>168</v>
      </c>
      <c r="I65" s="116" t="s">
        <v>88</v>
      </c>
      <c r="J65" s="120"/>
      <c r="K65" s="157"/>
      <c r="L65" s="116" t="s">
        <v>168</v>
      </c>
      <c r="M65" s="116" t="s">
        <v>88</v>
      </c>
    </row>
    <row r="66" spans="1:13" ht="15.75" x14ac:dyDescent="0.2">
      <c r="A66" s="11" t="s">
        <v>169</v>
      </c>
      <c r="B66" s="288">
        <v>6665</v>
      </c>
      <c r="C66" s="288">
        <v>6439</v>
      </c>
      <c r="D66" s="285">
        <f t="shared" ref="D66:D122" si="7">IF(B66=0, "    ---- ", IF(ABS(ROUND(100/B66*C66-100,1))&lt;999,ROUND(100/B66*C66-100,1),IF(ROUND(100/B66*C66-100,1)&gt;999,999,-999)))</f>
        <v>-3.4</v>
      </c>
      <c r="E66" s="559">
        <f>IFERROR(100/'Skjema total MA'!C66*C66,0)</f>
        <v>0.21182163927945344</v>
      </c>
      <c r="F66" s="560"/>
      <c r="G66" s="287"/>
      <c r="H66" s="285"/>
      <c r="I66" s="559"/>
      <c r="J66" s="258">
        <f t="shared" ref="J66:K76" si="8">SUM(B66,F66)</f>
        <v>6665</v>
      </c>
      <c r="K66" s="258">
        <f t="shared" si="8"/>
        <v>6439</v>
      </c>
      <c r="L66" s="342">
        <f t="shared" ref="L66:L122" si="9">IF(J66=0, "    ---- ", IF(ABS(ROUND(100/J66*K66-100,1))&lt;999,ROUND(100/J66*K66-100,1),IF(ROUND(100/J66*K66-100,1)&gt;999,999,-999)))</f>
        <v>-3.4</v>
      </c>
      <c r="M66" s="8">
        <f>IFERROR(100/'Skjema total MA'!I66*K66,0)</f>
        <v>3.5262056387900913E-2</v>
      </c>
    </row>
    <row r="67" spans="1:13" x14ac:dyDescent="0.2">
      <c r="A67" s="39" t="s">
        <v>198</v>
      </c>
      <c r="B67" s="36"/>
      <c r="C67" s="109"/>
      <c r="D67" s="123"/>
      <c r="E67" s="20"/>
      <c r="F67" s="36"/>
      <c r="G67" s="109"/>
      <c r="H67" s="123"/>
      <c r="I67" s="20"/>
      <c r="J67" s="36"/>
      <c r="K67" s="36"/>
      <c r="L67" s="206"/>
      <c r="M67" s="23"/>
    </row>
    <row r="68" spans="1:13" x14ac:dyDescent="0.2">
      <c r="A68" s="18" t="s">
        <v>199</v>
      </c>
      <c r="B68" s="237"/>
      <c r="C68" s="238"/>
      <c r="D68" s="123"/>
      <c r="E68" s="20"/>
      <c r="F68" s="142"/>
      <c r="G68" s="238"/>
      <c r="H68" s="123"/>
      <c r="I68" s="20"/>
      <c r="J68" s="36"/>
      <c r="K68" s="36"/>
      <c r="L68" s="206"/>
      <c r="M68" s="23"/>
    </row>
    <row r="69" spans="1:13" ht="15.75" x14ac:dyDescent="0.2">
      <c r="A69" s="240" t="s">
        <v>200</v>
      </c>
      <c r="B69" s="239"/>
      <c r="C69" s="239"/>
      <c r="D69" s="123"/>
      <c r="E69" s="20"/>
      <c r="F69" s="561"/>
      <c r="G69" s="239"/>
      <c r="H69" s="123"/>
      <c r="I69" s="20"/>
      <c r="J69" s="561"/>
      <c r="K69" s="239"/>
      <c r="L69" s="123"/>
      <c r="M69" s="20"/>
    </row>
    <row r="70" spans="1:13" x14ac:dyDescent="0.2">
      <c r="A70" s="240" t="s">
        <v>201</v>
      </c>
      <c r="B70" s="239"/>
      <c r="C70" s="239"/>
      <c r="D70" s="123"/>
      <c r="E70" s="20"/>
      <c r="F70" s="561"/>
      <c r="G70" s="239"/>
      <c r="H70" s="123"/>
      <c r="I70" s="20"/>
      <c r="J70" s="561"/>
      <c r="K70" s="239"/>
      <c r="L70" s="123"/>
      <c r="M70" s="20"/>
    </row>
    <row r="71" spans="1:13" x14ac:dyDescent="0.2">
      <c r="A71" s="240" t="s">
        <v>202</v>
      </c>
      <c r="B71" s="239"/>
      <c r="C71" s="239"/>
      <c r="D71" s="123"/>
      <c r="E71" s="20"/>
      <c r="F71" s="561"/>
      <c r="G71" s="239"/>
      <c r="H71" s="123"/>
      <c r="I71" s="20"/>
      <c r="J71" s="561"/>
      <c r="K71" s="239"/>
      <c r="L71" s="123"/>
      <c r="M71" s="20"/>
    </row>
    <row r="72" spans="1:13" ht="15.75" x14ac:dyDescent="0.2">
      <c r="A72" s="240" t="s">
        <v>203</v>
      </c>
      <c r="B72" s="239"/>
      <c r="C72" s="239"/>
      <c r="D72" s="123"/>
      <c r="E72" s="20"/>
      <c r="F72" s="561"/>
      <c r="G72" s="239"/>
      <c r="H72" s="123"/>
      <c r="I72" s="20"/>
      <c r="J72" s="561"/>
      <c r="K72" s="239"/>
      <c r="L72" s="123"/>
      <c r="M72" s="20"/>
    </row>
    <row r="73" spans="1:13" x14ac:dyDescent="0.2">
      <c r="A73" s="240" t="s">
        <v>201</v>
      </c>
      <c r="B73" s="182"/>
      <c r="C73" s="235"/>
      <c r="D73" s="123"/>
      <c r="E73" s="20"/>
      <c r="F73" s="561"/>
      <c r="G73" s="239"/>
      <c r="H73" s="123"/>
      <c r="I73" s="20"/>
      <c r="J73" s="561"/>
      <c r="K73" s="239"/>
      <c r="L73" s="123"/>
      <c r="M73" s="20"/>
    </row>
    <row r="74" spans="1:13" x14ac:dyDescent="0.2">
      <c r="A74" s="240" t="s">
        <v>202</v>
      </c>
      <c r="B74" s="182"/>
      <c r="C74" s="235"/>
      <c r="D74" s="123"/>
      <c r="E74" s="20"/>
      <c r="F74" s="561"/>
      <c r="G74" s="239"/>
      <c r="H74" s="123"/>
      <c r="I74" s="20"/>
      <c r="J74" s="561"/>
      <c r="K74" s="239"/>
      <c r="L74" s="123"/>
      <c r="M74" s="20"/>
    </row>
    <row r="75" spans="1:13" x14ac:dyDescent="0.2">
      <c r="A75" s="18" t="s">
        <v>204</v>
      </c>
      <c r="B75" s="181"/>
      <c r="C75" s="109"/>
      <c r="D75" s="123"/>
      <c r="E75" s="20"/>
      <c r="F75" s="36"/>
      <c r="G75" s="109"/>
      <c r="H75" s="123"/>
      <c r="I75" s="20"/>
      <c r="J75" s="36"/>
      <c r="K75" s="36"/>
      <c r="L75" s="206"/>
      <c r="M75" s="23"/>
    </row>
    <row r="76" spans="1:13" ht="15.75" x14ac:dyDescent="0.2">
      <c r="A76" s="18" t="s">
        <v>410</v>
      </c>
      <c r="B76" s="181">
        <v>6665</v>
      </c>
      <c r="C76" s="109">
        <v>6439</v>
      </c>
      <c r="D76" s="123">
        <f t="shared" si="7"/>
        <v>-3.4</v>
      </c>
      <c r="E76" s="20">
        <f>IFERROR(100/'Skjema total MA'!C76*C76,0)</f>
        <v>0.57146593221592989</v>
      </c>
      <c r="F76" s="36"/>
      <c r="G76" s="109"/>
      <c r="H76" s="123"/>
      <c r="I76" s="20"/>
      <c r="J76" s="36">
        <f t="shared" si="8"/>
        <v>6665</v>
      </c>
      <c r="K76" s="36">
        <f t="shared" si="8"/>
        <v>6439</v>
      </c>
      <c r="L76" s="206">
        <f t="shared" si="9"/>
        <v>-3.4</v>
      </c>
      <c r="M76" s="23">
        <f>IFERROR(100/'Skjema total MA'!I76*K76,0)</f>
        <v>0.57146593221592989</v>
      </c>
    </row>
    <row r="77" spans="1:13" ht="15.75" x14ac:dyDescent="0.2">
      <c r="A77" s="18" t="s">
        <v>206</v>
      </c>
      <c r="B77" s="181"/>
      <c r="C77" s="181"/>
      <c r="D77" s="123"/>
      <c r="E77" s="20"/>
      <c r="F77" s="36"/>
      <c r="G77" s="109"/>
      <c r="H77" s="123"/>
      <c r="I77" s="20"/>
      <c r="J77" s="36"/>
      <c r="K77" s="36"/>
      <c r="L77" s="206"/>
      <c r="M77" s="23"/>
    </row>
    <row r="78" spans="1:13" x14ac:dyDescent="0.2">
      <c r="A78" s="18" t="s">
        <v>198</v>
      </c>
      <c r="B78" s="181"/>
      <c r="C78" s="109"/>
      <c r="D78" s="123"/>
      <c r="E78" s="20"/>
      <c r="F78" s="36"/>
      <c r="G78" s="109"/>
      <c r="H78" s="123"/>
      <c r="I78" s="20"/>
      <c r="J78" s="36"/>
      <c r="K78" s="36"/>
      <c r="L78" s="206"/>
      <c r="M78" s="23"/>
    </row>
    <row r="79" spans="1:13" x14ac:dyDescent="0.2">
      <c r="A79" s="18" t="s">
        <v>207</v>
      </c>
      <c r="B79" s="237"/>
      <c r="C79" s="238"/>
      <c r="D79" s="123"/>
      <c r="E79" s="20"/>
      <c r="F79" s="142"/>
      <c r="G79" s="238"/>
      <c r="H79" s="123"/>
      <c r="I79" s="20"/>
      <c r="J79" s="36"/>
      <c r="K79" s="36"/>
      <c r="L79" s="206"/>
      <c r="M79" s="23"/>
    </row>
    <row r="80" spans="1:13" ht="15.75" x14ac:dyDescent="0.2">
      <c r="A80" s="240" t="s">
        <v>200</v>
      </c>
      <c r="B80" s="239"/>
      <c r="C80" s="239"/>
      <c r="D80" s="123"/>
      <c r="E80" s="20"/>
      <c r="F80" s="561"/>
      <c r="G80" s="239"/>
      <c r="H80" s="123"/>
      <c r="I80" s="20"/>
      <c r="J80" s="561"/>
      <c r="K80" s="239"/>
      <c r="L80" s="123"/>
      <c r="M80" s="20"/>
    </row>
    <row r="81" spans="1:13" x14ac:dyDescent="0.2">
      <c r="A81" s="240" t="s">
        <v>201</v>
      </c>
      <c r="B81" s="239"/>
      <c r="C81" s="239"/>
      <c r="D81" s="123"/>
      <c r="E81" s="20"/>
      <c r="F81" s="561"/>
      <c r="G81" s="239"/>
      <c r="H81" s="123"/>
      <c r="I81" s="20"/>
      <c r="J81" s="561"/>
      <c r="K81" s="239"/>
      <c r="L81" s="123"/>
      <c r="M81" s="20"/>
    </row>
    <row r="82" spans="1:13" x14ac:dyDescent="0.2">
      <c r="A82" s="240" t="s">
        <v>202</v>
      </c>
      <c r="B82" s="239"/>
      <c r="C82" s="239"/>
      <c r="D82" s="123"/>
      <c r="E82" s="20"/>
      <c r="F82" s="561"/>
      <c r="G82" s="239"/>
      <c r="H82" s="123"/>
      <c r="I82" s="20"/>
      <c r="J82" s="561"/>
      <c r="K82" s="239"/>
      <c r="L82" s="123"/>
      <c r="M82" s="20"/>
    </row>
    <row r="83" spans="1:13" ht="15.75" x14ac:dyDescent="0.2">
      <c r="A83" s="240" t="s">
        <v>203</v>
      </c>
      <c r="B83" s="239"/>
      <c r="C83" s="239"/>
      <c r="D83" s="123"/>
      <c r="E83" s="20"/>
      <c r="F83" s="561"/>
      <c r="G83" s="239"/>
      <c r="H83" s="123"/>
      <c r="I83" s="20"/>
      <c r="J83" s="561"/>
      <c r="K83" s="239"/>
      <c r="L83" s="123"/>
      <c r="M83" s="20"/>
    </row>
    <row r="84" spans="1:13" x14ac:dyDescent="0.2">
      <c r="A84" s="240" t="s">
        <v>201</v>
      </c>
      <c r="B84" s="182"/>
      <c r="C84" s="235"/>
      <c r="D84" s="123"/>
      <c r="E84" s="20"/>
      <c r="F84" s="561"/>
      <c r="G84" s="239"/>
      <c r="H84" s="123"/>
      <c r="I84" s="20"/>
      <c r="J84" s="561"/>
      <c r="K84" s="239"/>
      <c r="L84" s="123"/>
      <c r="M84" s="20"/>
    </row>
    <row r="85" spans="1:13" x14ac:dyDescent="0.2">
      <c r="A85" s="240" t="s">
        <v>202</v>
      </c>
      <c r="B85" s="182"/>
      <c r="C85" s="235"/>
      <c r="D85" s="123"/>
      <c r="E85" s="20"/>
      <c r="F85" s="561"/>
      <c r="G85" s="239"/>
      <c r="H85" s="123"/>
      <c r="I85" s="20"/>
      <c r="J85" s="561"/>
      <c r="K85" s="239"/>
      <c r="L85" s="123"/>
      <c r="M85" s="20"/>
    </row>
    <row r="86" spans="1:13" ht="15.75" x14ac:dyDescent="0.2">
      <c r="A86" s="18" t="s">
        <v>208</v>
      </c>
      <c r="B86" s="181"/>
      <c r="C86" s="109"/>
      <c r="D86" s="123"/>
      <c r="E86" s="20"/>
      <c r="F86" s="36"/>
      <c r="G86" s="109"/>
      <c r="H86" s="123"/>
      <c r="I86" s="20"/>
      <c r="J86" s="36"/>
      <c r="K86" s="36"/>
      <c r="L86" s="206"/>
      <c r="M86" s="23"/>
    </row>
    <row r="87" spans="1:13" ht="15.75" x14ac:dyDescent="0.2">
      <c r="A87" s="10" t="s">
        <v>172</v>
      </c>
      <c r="B87" s="288">
        <v>46466</v>
      </c>
      <c r="C87" s="288">
        <v>52139</v>
      </c>
      <c r="D87" s="127">
        <f t="shared" si="7"/>
        <v>12.2</v>
      </c>
      <c r="E87" s="21">
        <f>IFERROR(100/'Skjema total MA'!C87*C87,0)</f>
        <v>1.2575737146370648E-2</v>
      </c>
      <c r="F87" s="225"/>
      <c r="G87" s="287"/>
      <c r="H87" s="127"/>
      <c r="I87" s="21"/>
      <c r="J87" s="183">
        <f t="shared" ref="J87:K111" si="10">SUM(B87,F87)</f>
        <v>46466</v>
      </c>
      <c r="K87" s="183">
        <f t="shared" si="10"/>
        <v>52139</v>
      </c>
      <c r="L87" s="342">
        <f t="shared" si="9"/>
        <v>12.2</v>
      </c>
      <c r="M87" s="8">
        <f>IFERROR(100/'Skjema total MA'!I87*K87,0)</f>
        <v>4.3113053145966453E-3</v>
      </c>
    </row>
    <row r="88" spans="1:13" x14ac:dyDescent="0.2">
      <c r="A88" s="18" t="s">
        <v>198</v>
      </c>
      <c r="B88" s="181"/>
      <c r="C88" s="109"/>
      <c r="D88" s="123"/>
      <c r="E88" s="20"/>
      <c r="F88" s="36"/>
      <c r="G88" s="109"/>
      <c r="H88" s="123"/>
      <c r="I88" s="20"/>
      <c r="J88" s="36"/>
      <c r="K88" s="36"/>
      <c r="L88" s="206"/>
      <c r="M88" s="23"/>
    </row>
    <row r="89" spans="1:13" x14ac:dyDescent="0.2">
      <c r="A89" s="18" t="s">
        <v>199</v>
      </c>
      <c r="B89" s="181"/>
      <c r="C89" s="109"/>
      <c r="D89" s="123"/>
      <c r="E89" s="20"/>
      <c r="F89" s="36"/>
      <c r="G89" s="109"/>
      <c r="H89" s="123"/>
      <c r="I89" s="20"/>
      <c r="J89" s="36"/>
      <c r="K89" s="36"/>
      <c r="L89" s="206"/>
      <c r="M89" s="23"/>
    </row>
    <row r="90" spans="1:13" ht="15.75" x14ac:dyDescent="0.2">
      <c r="A90" s="240" t="s">
        <v>200</v>
      </c>
      <c r="B90" s="239"/>
      <c r="C90" s="239"/>
      <c r="D90" s="123"/>
      <c r="E90" s="20"/>
      <c r="F90" s="561"/>
      <c r="G90" s="239"/>
      <c r="H90" s="123"/>
      <c r="I90" s="20"/>
      <c r="J90" s="561"/>
      <c r="K90" s="239"/>
      <c r="L90" s="123"/>
      <c r="M90" s="20"/>
    </row>
    <row r="91" spans="1:13" x14ac:dyDescent="0.2">
      <c r="A91" s="240" t="s">
        <v>201</v>
      </c>
      <c r="B91" s="239"/>
      <c r="C91" s="239"/>
      <c r="D91" s="123"/>
      <c r="E91" s="20"/>
      <c r="F91" s="561"/>
      <c r="G91" s="239"/>
      <c r="H91" s="123"/>
      <c r="I91" s="20"/>
      <c r="J91" s="561"/>
      <c r="K91" s="239"/>
      <c r="L91" s="123"/>
      <c r="M91" s="20"/>
    </row>
    <row r="92" spans="1:13" x14ac:dyDescent="0.2">
      <c r="A92" s="240" t="s">
        <v>202</v>
      </c>
      <c r="B92" s="239"/>
      <c r="C92" s="239"/>
      <c r="D92" s="123"/>
      <c r="E92" s="20"/>
      <c r="F92" s="561"/>
      <c r="G92" s="239"/>
      <c r="H92" s="123"/>
      <c r="I92" s="20"/>
      <c r="J92" s="561"/>
      <c r="K92" s="239"/>
      <c r="L92" s="123"/>
      <c r="M92" s="20"/>
    </row>
    <row r="93" spans="1:13" ht="15.75" x14ac:dyDescent="0.2">
      <c r="A93" s="240" t="s">
        <v>203</v>
      </c>
      <c r="B93" s="239"/>
      <c r="C93" s="239"/>
      <c r="D93" s="123"/>
      <c r="E93" s="20"/>
      <c r="F93" s="561"/>
      <c r="G93" s="239"/>
      <c r="H93" s="123"/>
      <c r="I93" s="20"/>
      <c r="J93" s="561"/>
      <c r="K93" s="239"/>
      <c r="L93" s="123"/>
      <c r="M93" s="20"/>
    </row>
    <row r="94" spans="1:13" x14ac:dyDescent="0.2">
      <c r="A94" s="240" t="s">
        <v>201</v>
      </c>
      <c r="B94" s="239"/>
      <c r="C94" s="239"/>
      <c r="D94" s="123"/>
      <c r="E94" s="20"/>
      <c r="F94" s="561"/>
      <c r="G94" s="239"/>
      <c r="H94" s="123"/>
      <c r="I94" s="20"/>
      <c r="J94" s="561"/>
      <c r="K94" s="239"/>
      <c r="L94" s="123"/>
      <c r="M94" s="20"/>
    </row>
    <row r="95" spans="1:13" x14ac:dyDescent="0.2">
      <c r="A95" s="240" t="s">
        <v>202</v>
      </c>
      <c r="B95" s="239"/>
      <c r="C95" s="239"/>
      <c r="D95" s="123"/>
      <c r="E95" s="20"/>
      <c r="F95" s="561"/>
      <c r="G95" s="239"/>
      <c r="H95" s="123"/>
      <c r="I95" s="20"/>
      <c r="J95" s="561"/>
      <c r="K95" s="239"/>
      <c r="L95" s="123"/>
      <c r="M95" s="20"/>
    </row>
    <row r="96" spans="1:13" x14ac:dyDescent="0.2">
      <c r="A96" s="18" t="s">
        <v>222</v>
      </c>
      <c r="B96" s="181"/>
      <c r="C96" s="109"/>
      <c r="D96" s="123"/>
      <c r="E96" s="20"/>
      <c r="F96" s="36"/>
      <c r="G96" s="109"/>
      <c r="H96" s="123"/>
      <c r="I96" s="20"/>
      <c r="J96" s="36"/>
      <c r="K96" s="36"/>
      <c r="L96" s="206"/>
      <c r="M96" s="23"/>
    </row>
    <row r="97" spans="1:13" x14ac:dyDescent="0.2">
      <c r="A97" s="18" t="s">
        <v>223</v>
      </c>
      <c r="B97" s="181">
        <v>46466</v>
      </c>
      <c r="C97" s="109">
        <v>52139</v>
      </c>
      <c r="D97" s="123">
        <f t="shared" si="7"/>
        <v>12.2</v>
      </c>
      <c r="E97" s="20">
        <f>IFERROR(100/'Skjema total MA'!C98*C97,0)</f>
        <v>1.3484964198918209E-2</v>
      </c>
      <c r="F97" s="36"/>
      <c r="G97" s="109"/>
      <c r="H97" s="123"/>
      <c r="I97" s="20"/>
      <c r="J97" s="36">
        <f t="shared" si="10"/>
        <v>46466</v>
      </c>
      <c r="K97" s="36">
        <f t="shared" si="10"/>
        <v>52139</v>
      </c>
      <c r="L97" s="206">
        <f t="shared" si="9"/>
        <v>12.2</v>
      </c>
      <c r="M97" s="23">
        <f>IFERROR(100/'Skjema total MA'!I98*K97,0)</f>
        <v>4.463432990784214E-3</v>
      </c>
    </row>
    <row r="98" spans="1:13" ht="15.75" x14ac:dyDescent="0.2">
      <c r="A98" s="18" t="s">
        <v>206</v>
      </c>
      <c r="B98" s="181"/>
      <c r="C98" s="181"/>
      <c r="D98" s="123"/>
      <c r="E98" s="20"/>
      <c r="F98" s="142"/>
      <c r="G98" s="237"/>
      <c r="H98" s="123"/>
      <c r="I98" s="20"/>
      <c r="J98" s="36"/>
      <c r="K98" s="36"/>
      <c r="L98" s="206"/>
      <c r="M98" s="23"/>
    </row>
    <row r="99" spans="1:13" x14ac:dyDescent="0.2">
      <c r="A99" s="18" t="s">
        <v>198</v>
      </c>
      <c r="B99" s="237"/>
      <c r="C99" s="238"/>
      <c r="D99" s="123"/>
      <c r="E99" s="20"/>
      <c r="F99" s="36"/>
      <c r="G99" s="109"/>
      <c r="H99" s="123"/>
      <c r="I99" s="20"/>
      <c r="J99" s="36"/>
      <c r="K99" s="36"/>
      <c r="L99" s="206"/>
      <c r="M99" s="23"/>
    </row>
    <row r="100" spans="1:13" x14ac:dyDescent="0.2">
      <c r="A100" s="18" t="s">
        <v>207</v>
      </c>
      <c r="B100" s="237"/>
      <c r="C100" s="238"/>
      <c r="D100" s="123"/>
      <c r="E100" s="20"/>
      <c r="F100" s="36"/>
      <c r="G100" s="181"/>
      <c r="H100" s="123"/>
      <c r="I100" s="20"/>
      <c r="J100" s="36"/>
      <c r="K100" s="36"/>
      <c r="L100" s="206"/>
      <c r="M100" s="23"/>
    </row>
    <row r="101" spans="1:13" ht="15.75" x14ac:dyDescent="0.2">
      <c r="A101" s="240" t="s">
        <v>200</v>
      </c>
      <c r="B101" s="239"/>
      <c r="C101" s="239"/>
      <c r="D101" s="123"/>
      <c r="E101" s="20"/>
      <c r="F101" s="561"/>
      <c r="G101" s="239"/>
      <c r="H101" s="123"/>
      <c r="I101" s="20"/>
      <c r="J101" s="561"/>
      <c r="K101" s="239"/>
      <c r="L101" s="123"/>
      <c r="M101" s="20"/>
    </row>
    <row r="102" spans="1:13" x14ac:dyDescent="0.2">
      <c r="A102" s="240" t="s">
        <v>201</v>
      </c>
      <c r="B102" s="239"/>
      <c r="C102" s="239"/>
      <c r="D102" s="123"/>
      <c r="E102" s="20"/>
      <c r="F102" s="561"/>
      <c r="G102" s="239"/>
      <c r="H102" s="123"/>
      <c r="I102" s="20"/>
      <c r="J102" s="561"/>
      <c r="K102" s="239"/>
      <c r="L102" s="123"/>
      <c r="M102" s="20"/>
    </row>
    <row r="103" spans="1:13" x14ac:dyDescent="0.2">
      <c r="A103" s="240" t="s">
        <v>202</v>
      </c>
      <c r="B103" s="239"/>
      <c r="C103" s="239"/>
      <c r="D103" s="123"/>
      <c r="E103" s="20"/>
      <c r="F103" s="561"/>
      <c r="G103" s="239"/>
      <c r="H103" s="123"/>
      <c r="I103" s="20"/>
      <c r="J103" s="561"/>
      <c r="K103" s="239"/>
      <c r="L103" s="123"/>
      <c r="M103" s="20"/>
    </row>
    <row r="104" spans="1:13" ht="15.75" x14ac:dyDescent="0.2">
      <c r="A104" s="240" t="s">
        <v>203</v>
      </c>
      <c r="B104" s="239"/>
      <c r="C104" s="239"/>
      <c r="D104" s="123"/>
      <c r="E104" s="20"/>
      <c r="F104" s="561"/>
      <c r="G104" s="239"/>
      <c r="H104" s="123"/>
      <c r="I104" s="20"/>
      <c r="J104" s="561"/>
      <c r="K104" s="239"/>
      <c r="L104" s="123"/>
      <c r="M104" s="20"/>
    </row>
    <row r="105" spans="1:13" x14ac:dyDescent="0.2">
      <c r="A105" s="240" t="s">
        <v>201</v>
      </c>
      <c r="B105" s="182"/>
      <c r="C105" s="235"/>
      <c r="D105" s="123"/>
      <c r="E105" s="20"/>
      <c r="F105" s="561"/>
      <c r="G105" s="239"/>
      <c r="H105" s="123"/>
      <c r="I105" s="20"/>
      <c r="J105" s="561"/>
      <c r="K105" s="239"/>
      <c r="L105" s="123"/>
      <c r="M105" s="20"/>
    </row>
    <row r="106" spans="1:13" x14ac:dyDescent="0.2">
      <c r="A106" s="240" t="s">
        <v>202</v>
      </c>
      <c r="B106" s="182"/>
      <c r="C106" s="235"/>
      <c r="D106" s="123"/>
      <c r="E106" s="20"/>
      <c r="F106" s="561"/>
      <c r="G106" s="239"/>
      <c r="H106" s="123"/>
      <c r="I106" s="20"/>
      <c r="J106" s="561"/>
      <c r="K106" s="239"/>
      <c r="L106" s="123"/>
      <c r="M106" s="20"/>
    </row>
    <row r="107" spans="1:13" ht="15.75" x14ac:dyDescent="0.2">
      <c r="A107" s="18" t="s">
        <v>208</v>
      </c>
      <c r="B107" s="181"/>
      <c r="C107" s="109"/>
      <c r="D107" s="123"/>
      <c r="E107" s="20"/>
      <c r="F107" s="36"/>
      <c r="G107" s="109"/>
      <c r="H107" s="123"/>
      <c r="I107" s="20"/>
      <c r="J107" s="36"/>
      <c r="K107" s="36"/>
      <c r="L107" s="206"/>
      <c r="M107" s="23"/>
    </row>
    <row r="108" spans="1:13" ht="15.75" x14ac:dyDescent="0.2">
      <c r="A108" s="18" t="s">
        <v>209</v>
      </c>
      <c r="B108" s="181"/>
      <c r="C108" s="181"/>
      <c r="D108" s="123"/>
      <c r="E108" s="20"/>
      <c r="F108" s="36"/>
      <c r="G108" s="181"/>
      <c r="H108" s="123"/>
      <c r="I108" s="20"/>
      <c r="J108" s="36"/>
      <c r="K108" s="36"/>
      <c r="L108" s="206"/>
      <c r="M108" s="23"/>
    </row>
    <row r="109" spans="1:13" ht="15.75" x14ac:dyDescent="0.2">
      <c r="A109" s="18" t="s">
        <v>210</v>
      </c>
      <c r="B109" s="181"/>
      <c r="C109" s="181"/>
      <c r="D109" s="123"/>
      <c r="E109" s="20"/>
      <c r="F109" s="36"/>
      <c r="G109" s="181"/>
      <c r="H109" s="123"/>
      <c r="I109" s="20"/>
      <c r="J109" s="36"/>
      <c r="K109" s="36"/>
      <c r="L109" s="206"/>
      <c r="M109" s="23"/>
    </row>
    <row r="110" spans="1:13" ht="15.75" x14ac:dyDescent="0.2">
      <c r="A110" s="18" t="s">
        <v>211</v>
      </c>
      <c r="B110" s="181"/>
      <c r="C110" s="181"/>
      <c r="D110" s="123"/>
      <c r="E110" s="20"/>
      <c r="F110" s="36"/>
      <c r="G110" s="181"/>
      <c r="H110" s="123"/>
      <c r="I110" s="20"/>
      <c r="J110" s="36"/>
      <c r="K110" s="36"/>
      <c r="L110" s="206"/>
      <c r="M110" s="23"/>
    </row>
    <row r="111" spans="1:13" ht="15.75" x14ac:dyDescent="0.2">
      <c r="A111" s="10" t="s">
        <v>173</v>
      </c>
      <c r="B111" s="250">
        <v>1353</v>
      </c>
      <c r="C111" s="118">
        <v>2320</v>
      </c>
      <c r="D111" s="127">
        <f t="shared" si="7"/>
        <v>71.5</v>
      </c>
      <c r="E111" s="21">
        <f>IFERROR(100/'Skjema total MA'!C111*C111,0)</f>
        <v>0.77443107544301437</v>
      </c>
      <c r="F111" s="183"/>
      <c r="G111" s="118"/>
      <c r="H111" s="127"/>
      <c r="I111" s="21"/>
      <c r="J111" s="183">
        <f t="shared" si="10"/>
        <v>1353</v>
      </c>
      <c r="K111" s="183">
        <f t="shared" si="10"/>
        <v>2320</v>
      </c>
      <c r="L111" s="342">
        <f t="shared" si="9"/>
        <v>71.5</v>
      </c>
      <c r="M111" s="8">
        <f>IFERROR(100/'Skjema total MA'!I111*K111,0)</f>
        <v>9.500876860649864E-3</v>
      </c>
    </row>
    <row r="112" spans="1:13" x14ac:dyDescent="0.2">
      <c r="A112" s="18" t="s">
        <v>198</v>
      </c>
      <c r="B112" s="181"/>
      <c r="C112" s="109"/>
      <c r="D112" s="123"/>
      <c r="E112" s="20"/>
      <c r="F112" s="36"/>
      <c r="G112" s="109"/>
      <c r="H112" s="123"/>
      <c r="I112" s="20"/>
      <c r="J112" s="36"/>
      <c r="K112" s="36"/>
      <c r="L112" s="206"/>
      <c r="M112" s="23"/>
    </row>
    <row r="113" spans="1:13" x14ac:dyDescent="0.2">
      <c r="A113" s="18" t="s">
        <v>199</v>
      </c>
      <c r="B113" s="181"/>
      <c r="C113" s="109"/>
      <c r="D113" s="123"/>
      <c r="E113" s="20"/>
      <c r="F113" s="36"/>
      <c r="G113" s="109"/>
      <c r="H113" s="123"/>
      <c r="I113" s="20"/>
      <c r="J113" s="36"/>
      <c r="K113" s="36"/>
      <c r="L113" s="206"/>
      <c r="M113" s="23"/>
    </row>
    <row r="114" spans="1:13" x14ac:dyDescent="0.2">
      <c r="A114" s="18" t="s">
        <v>212</v>
      </c>
      <c r="B114" s="181">
        <v>1353</v>
      </c>
      <c r="C114" s="109">
        <v>2320</v>
      </c>
      <c r="D114" s="123">
        <f t="shared" si="7"/>
        <v>71.5</v>
      </c>
      <c r="E114" s="20">
        <f>IFERROR(100/'Skjema total MA'!C114*C114,0)</f>
        <v>3.3546322205711756</v>
      </c>
      <c r="F114" s="36"/>
      <c r="G114" s="109"/>
      <c r="H114" s="123"/>
      <c r="I114" s="20"/>
      <c r="J114" s="36">
        <f t="shared" ref="J114:K122" si="11">SUM(B114,F114)</f>
        <v>1353</v>
      </c>
      <c r="K114" s="36">
        <f t="shared" si="11"/>
        <v>2320</v>
      </c>
      <c r="L114" s="206">
        <f t="shared" si="9"/>
        <v>71.5</v>
      </c>
      <c r="M114" s="23">
        <f>IFERROR(100/'Skjema total MA'!I114*K114,0)</f>
        <v>3.2041824772838612</v>
      </c>
    </row>
    <row r="115" spans="1:13" x14ac:dyDescent="0.2">
      <c r="A115" s="555" t="s">
        <v>213</v>
      </c>
      <c r="B115" s="228"/>
      <c r="C115" s="228"/>
      <c r="D115" s="123"/>
      <c r="E115" s="20"/>
      <c r="F115" s="228"/>
      <c r="G115" s="228"/>
      <c r="H115" s="123"/>
      <c r="I115" s="20"/>
      <c r="J115" s="236"/>
      <c r="K115" s="236"/>
      <c r="L115" s="123"/>
      <c r="M115" s="20"/>
    </row>
    <row r="116" spans="1:13" ht="15.75" x14ac:dyDescent="0.2">
      <c r="A116" s="18" t="s">
        <v>214</v>
      </c>
      <c r="B116" s="181"/>
      <c r="C116" s="181"/>
      <c r="D116" s="123"/>
      <c r="E116" s="20"/>
      <c r="F116" s="36"/>
      <c r="G116" s="181"/>
      <c r="H116" s="123"/>
      <c r="I116" s="20"/>
      <c r="J116" s="36"/>
      <c r="K116" s="36"/>
      <c r="L116" s="206"/>
      <c r="M116" s="23"/>
    </row>
    <row r="117" spans="1:13" ht="15.75" x14ac:dyDescent="0.2">
      <c r="A117" s="18" t="s">
        <v>210</v>
      </c>
      <c r="B117" s="181"/>
      <c r="C117" s="181"/>
      <c r="D117" s="123"/>
      <c r="E117" s="20"/>
      <c r="F117" s="36"/>
      <c r="G117" s="181"/>
      <c r="H117" s="123"/>
      <c r="I117" s="20"/>
      <c r="J117" s="36"/>
      <c r="K117" s="36"/>
      <c r="L117" s="206"/>
      <c r="M117" s="23"/>
    </row>
    <row r="118" spans="1:13" ht="15.75" x14ac:dyDescent="0.2">
      <c r="A118" s="18" t="s">
        <v>211</v>
      </c>
      <c r="B118" s="181"/>
      <c r="C118" s="181"/>
      <c r="D118" s="123"/>
      <c r="E118" s="20"/>
      <c r="F118" s="36"/>
      <c r="G118" s="181"/>
      <c r="H118" s="123"/>
      <c r="I118" s="20"/>
      <c r="J118" s="36"/>
      <c r="K118" s="36"/>
      <c r="L118" s="206"/>
      <c r="M118" s="23"/>
    </row>
    <row r="119" spans="1:13" ht="15.75" x14ac:dyDescent="0.2">
      <c r="A119" s="10" t="s">
        <v>174</v>
      </c>
      <c r="B119" s="250">
        <v>337</v>
      </c>
      <c r="C119" s="118">
        <v>207</v>
      </c>
      <c r="D119" s="127">
        <f t="shared" si="7"/>
        <v>-38.6</v>
      </c>
      <c r="E119" s="21">
        <f>IFERROR(100/'Skjema total MA'!C119*C119,0)</f>
        <v>6.0293924830376926E-2</v>
      </c>
      <c r="F119" s="183"/>
      <c r="G119" s="118"/>
      <c r="H119" s="127"/>
      <c r="I119" s="21"/>
      <c r="J119" s="183">
        <f t="shared" si="11"/>
        <v>337</v>
      </c>
      <c r="K119" s="183">
        <f t="shared" si="11"/>
        <v>207</v>
      </c>
      <c r="L119" s="342">
        <f t="shared" si="9"/>
        <v>-38.6</v>
      </c>
      <c r="M119" s="8">
        <f>IFERROR(100/'Skjema total MA'!I119*K119,0)</f>
        <v>8.1808099732354222E-4</v>
      </c>
    </row>
    <row r="120" spans="1:13" x14ac:dyDescent="0.2">
      <c r="A120" s="18" t="s">
        <v>198</v>
      </c>
      <c r="B120" s="181"/>
      <c r="C120" s="109"/>
      <c r="D120" s="123"/>
      <c r="E120" s="20"/>
      <c r="F120" s="36"/>
      <c r="G120" s="109"/>
      <c r="H120" s="123"/>
      <c r="I120" s="20"/>
      <c r="J120" s="36"/>
      <c r="K120" s="36"/>
      <c r="L120" s="206"/>
      <c r="M120" s="23"/>
    </row>
    <row r="121" spans="1:13" x14ac:dyDescent="0.2">
      <c r="A121" s="18" t="s">
        <v>199</v>
      </c>
      <c r="B121" s="181"/>
      <c r="C121" s="109"/>
      <c r="D121" s="123"/>
      <c r="E121" s="20"/>
      <c r="F121" s="36"/>
      <c r="G121" s="109"/>
      <c r="H121" s="123"/>
      <c r="I121" s="20"/>
      <c r="J121" s="36"/>
      <c r="K121" s="36"/>
      <c r="L121" s="206"/>
      <c r="M121" s="23"/>
    </row>
    <row r="122" spans="1:13" x14ac:dyDescent="0.2">
      <c r="A122" s="18" t="s">
        <v>212</v>
      </c>
      <c r="B122" s="181">
        <v>337</v>
      </c>
      <c r="C122" s="109">
        <v>207</v>
      </c>
      <c r="D122" s="123">
        <f t="shared" si="7"/>
        <v>-38.6</v>
      </c>
      <c r="E122" s="20">
        <f>IFERROR(100/'Skjema total MA'!C122*C122,0)</f>
        <v>8.3694793792170874E-2</v>
      </c>
      <c r="F122" s="36"/>
      <c r="G122" s="109"/>
      <c r="H122" s="123"/>
      <c r="I122" s="20"/>
      <c r="J122" s="36">
        <f t="shared" si="11"/>
        <v>337</v>
      </c>
      <c r="K122" s="36">
        <f t="shared" si="11"/>
        <v>207</v>
      </c>
      <c r="L122" s="206">
        <f t="shared" si="9"/>
        <v>-38.6</v>
      </c>
      <c r="M122" s="23">
        <f>IFERROR(100/'Skjema total MA'!I122*K122,0)</f>
        <v>8.3694793792170874E-2</v>
      </c>
    </row>
    <row r="123" spans="1:13" x14ac:dyDescent="0.2">
      <c r="A123" s="555" t="s">
        <v>215</v>
      </c>
      <c r="B123" s="228"/>
      <c r="C123" s="228"/>
      <c r="D123" s="123"/>
      <c r="E123" s="20"/>
      <c r="F123" s="228"/>
      <c r="G123" s="228"/>
      <c r="H123" s="123"/>
      <c r="I123" s="20"/>
      <c r="J123" s="236"/>
      <c r="K123" s="236"/>
      <c r="L123" s="123"/>
      <c r="M123" s="20"/>
    </row>
    <row r="124" spans="1:13" ht="15.75" x14ac:dyDescent="0.2">
      <c r="A124" s="18" t="s">
        <v>224</v>
      </c>
      <c r="B124" s="181"/>
      <c r="C124" s="181"/>
      <c r="D124" s="123"/>
      <c r="E124" s="20"/>
      <c r="F124" s="36"/>
      <c r="G124" s="181"/>
      <c r="H124" s="123"/>
      <c r="I124" s="20"/>
      <c r="J124" s="36"/>
      <c r="K124" s="36"/>
      <c r="L124" s="206"/>
      <c r="M124" s="23"/>
    </row>
    <row r="125" spans="1:13" ht="15.75" x14ac:dyDescent="0.2">
      <c r="A125" s="18" t="s">
        <v>210</v>
      </c>
      <c r="B125" s="181"/>
      <c r="C125" s="181"/>
      <c r="D125" s="123"/>
      <c r="E125" s="20"/>
      <c r="F125" s="36"/>
      <c r="G125" s="181"/>
      <c r="H125" s="123"/>
      <c r="I125" s="20"/>
      <c r="J125" s="36"/>
      <c r="K125" s="36"/>
      <c r="L125" s="206"/>
      <c r="M125" s="23"/>
    </row>
    <row r="126" spans="1:13" ht="15.75" x14ac:dyDescent="0.2">
      <c r="A126" s="7" t="s">
        <v>211</v>
      </c>
      <c r="B126" s="37"/>
      <c r="C126" s="37"/>
      <c r="D126" s="124"/>
      <c r="E126" s="19"/>
      <c r="F126" s="37"/>
      <c r="G126" s="37"/>
      <c r="H126" s="124"/>
      <c r="I126" s="19"/>
      <c r="J126" s="37"/>
      <c r="K126" s="37"/>
      <c r="L126" s="207"/>
      <c r="M126" s="19"/>
    </row>
    <row r="127" spans="1:13" x14ac:dyDescent="0.2">
      <c r="A127" s="115"/>
    </row>
    <row r="129" spans="1:14" ht="15.75" x14ac:dyDescent="0.25">
      <c r="A129" s="110" t="s">
        <v>216</v>
      </c>
    </row>
    <row r="130" spans="1:14" ht="15.75" x14ac:dyDescent="0.25">
      <c r="B130" s="573"/>
      <c r="C130" s="573"/>
      <c r="D130" s="573"/>
      <c r="E130" s="242"/>
      <c r="F130" s="573"/>
      <c r="G130" s="573"/>
      <c r="H130" s="573"/>
      <c r="I130" s="242"/>
      <c r="J130" s="573"/>
      <c r="K130" s="573"/>
      <c r="L130" s="573"/>
      <c r="M130" s="242"/>
    </row>
    <row r="131" spans="1:14" x14ac:dyDescent="0.2">
      <c r="A131" s="108"/>
      <c r="B131" s="570" t="s">
        <v>46</v>
      </c>
      <c r="C131" s="571"/>
      <c r="D131" s="571"/>
      <c r="E131" s="244"/>
      <c r="F131" s="570" t="s">
        <v>69</v>
      </c>
      <c r="G131" s="571"/>
      <c r="H131" s="571"/>
      <c r="I131" s="246"/>
      <c r="J131" s="570" t="s">
        <v>120</v>
      </c>
      <c r="K131" s="571"/>
      <c r="L131" s="571"/>
      <c r="M131" s="246"/>
    </row>
    <row r="132" spans="1:14" x14ac:dyDescent="0.2">
      <c r="A132" s="105"/>
      <c r="B132" s="113" t="s">
        <v>418</v>
      </c>
      <c r="C132" s="113" t="s">
        <v>419</v>
      </c>
      <c r="D132" s="193" t="s">
        <v>167</v>
      </c>
      <c r="E132" s="247" t="s">
        <v>85</v>
      </c>
      <c r="F132" s="113" t="s">
        <v>418</v>
      </c>
      <c r="G132" s="113" t="s">
        <v>419</v>
      </c>
      <c r="H132" s="157" t="s">
        <v>167</v>
      </c>
      <c r="I132" s="121" t="s">
        <v>85</v>
      </c>
      <c r="J132" s="194" t="s">
        <v>418</v>
      </c>
      <c r="K132" s="194" t="s">
        <v>419</v>
      </c>
      <c r="L132" s="195" t="s">
        <v>167</v>
      </c>
      <c r="M132" s="121" t="s">
        <v>85</v>
      </c>
    </row>
    <row r="133" spans="1:14" x14ac:dyDescent="0.2">
      <c r="A133" s="557"/>
      <c r="B133" s="116"/>
      <c r="C133" s="116"/>
      <c r="D133" s="195" t="s">
        <v>168</v>
      </c>
      <c r="E133" s="116" t="s">
        <v>88</v>
      </c>
      <c r="F133" s="120"/>
      <c r="G133" s="120"/>
      <c r="H133" s="157" t="s">
        <v>168</v>
      </c>
      <c r="I133" s="116" t="s">
        <v>88</v>
      </c>
      <c r="J133" s="116"/>
      <c r="K133" s="116"/>
      <c r="L133" s="111" t="s">
        <v>168</v>
      </c>
      <c r="M133" s="116" t="s">
        <v>88</v>
      </c>
    </row>
    <row r="134" spans="1:14" ht="15.75" x14ac:dyDescent="0.2">
      <c r="A134" s="11" t="s">
        <v>217</v>
      </c>
      <c r="B134" s="183"/>
      <c r="C134" s="251"/>
      <c r="D134" s="285"/>
      <c r="E134" s="8"/>
      <c r="F134" s="258"/>
      <c r="G134" s="259"/>
      <c r="H134" s="345"/>
      <c r="I134" s="21"/>
      <c r="J134" s="260"/>
      <c r="K134" s="260"/>
      <c r="L134" s="341"/>
      <c r="M134" s="8"/>
    </row>
    <row r="135" spans="1:14" ht="15.75" x14ac:dyDescent="0.2">
      <c r="A135" s="10" t="s">
        <v>225</v>
      </c>
      <c r="B135" s="183"/>
      <c r="C135" s="251"/>
      <c r="D135" s="127"/>
      <c r="E135" s="8"/>
      <c r="F135" s="183"/>
      <c r="G135" s="251"/>
      <c r="H135" s="346"/>
      <c r="I135" s="21"/>
      <c r="J135" s="250"/>
      <c r="K135" s="250"/>
      <c r="L135" s="342"/>
      <c r="M135" s="8"/>
    </row>
    <row r="136" spans="1:14" ht="15.75" x14ac:dyDescent="0.2">
      <c r="A136" s="10" t="s">
        <v>219</v>
      </c>
      <c r="B136" s="183"/>
      <c r="C136" s="251"/>
      <c r="D136" s="127"/>
      <c r="E136" s="8"/>
      <c r="F136" s="183"/>
      <c r="G136" s="251"/>
      <c r="H136" s="346"/>
      <c r="I136" s="21"/>
      <c r="J136" s="250"/>
      <c r="K136" s="250"/>
      <c r="L136" s="342"/>
      <c r="M136" s="8"/>
    </row>
    <row r="137" spans="1:14" ht="15.75" x14ac:dyDescent="0.2">
      <c r="A137" s="33" t="s">
        <v>220</v>
      </c>
      <c r="B137" s="223"/>
      <c r="C137" s="257"/>
      <c r="D137" s="125"/>
      <c r="E137" s="6"/>
      <c r="F137" s="223"/>
      <c r="G137" s="257"/>
      <c r="H137" s="347"/>
      <c r="I137" s="30"/>
      <c r="J137" s="256"/>
      <c r="K137" s="256"/>
      <c r="L137" s="343"/>
      <c r="M137" s="30"/>
    </row>
    <row r="138" spans="1:14" x14ac:dyDescent="0.2">
      <c r="A138" s="107"/>
      <c r="B138" s="27"/>
      <c r="C138" s="27"/>
      <c r="D138" s="118"/>
      <c r="E138" s="118"/>
      <c r="F138" s="27"/>
      <c r="G138" s="27"/>
      <c r="H138" s="118"/>
      <c r="I138" s="118"/>
      <c r="J138" s="27"/>
      <c r="K138" s="27"/>
      <c r="L138" s="118"/>
      <c r="M138" s="118"/>
    </row>
    <row r="139" spans="1:14" x14ac:dyDescent="0.2">
      <c r="A139" s="107"/>
      <c r="B139" s="27"/>
      <c r="C139" s="27"/>
      <c r="D139" s="118"/>
      <c r="E139" s="118"/>
      <c r="F139" s="27"/>
      <c r="G139" s="27"/>
      <c r="H139" s="118"/>
      <c r="I139" s="118"/>
      <c r="J139" s="27"/>
      <c r="K139" s="27"/>
      <c r="L139" s="118"/>
      <c r="M139" s="118"/>
    </row>
    <row r="140" spans="1:14" x14ac:dyDescent="0.2">
      <c r="A140" s="107"/>
      <c r="B140" s="27"/>
      <c r="C140" s="27"/>
      <c r="D140" s="118"/>
      <c r="E140" s="118"/>
      <c r="F140" s="27"/>
      <c r="G140" s="27"/>
      <c r="H140" s="118"/>
      <c r="I140" s="118"/>
      <c r="J140" s="27"/>
      <c r="K140" s="27"/>
      <c r="L140" s="118"/>
      <c r="M140" s="118"/>
    </row>
    <row r="142" spans="1:14" ht="15.75" x14ac:dyDescent="0.25">
      <c r="B142" s="106"/>
      <c r="C142" s="106"/>
      <c r="D142" s="106"/>
      <c r="E142" s="106"/>
      <c r="F142" s="106"/>
      <c r="G142" s="106"/>
      <c r="H142" s="106"/>
      <c r="I142" s="106"/>
      <c r="J142" s="106"/>
      <c r="K142" s="106"/>
      <c r="L142" s="106"/>
      <c r="M142" s="106"/>
      <c r="N142" s="106"/>
    </row>
    <row r="143" spans="1:14" ht="15.75" x14ac:dyDescent="0.25">
      <c r="B143" s="106"/>
      <c r="C143" s="106"/>
      <c r="D143" s="106"/>
      <c r="E143" s="106"/>
      <c r="F143" s="106"/>
      <c r="G143" s="106"/>
      <c r="H143" s="106"/>
      <c r="I143" s="106"/>
      <c r="J143" s="106"/>
      <c r="K143" s="106"/>
      <c r="L143" s="106"/>
      <c r="M143" s="106"/>
      <c r="N143" s="106"/>
    </row>
    <row r="144" spans="1:14" ht="15.75" x14ac:dyDescent="0.25">
      <c r="B144" s="106"/>
      <c r="C144" s="106"/>
      <c r="D144" s="106"/>
      <c r="E144" s="106"/>
      <c r="F144" s="106"/>
      <c r="G144" s="106"/>
      <c r="H144" s="106"/>
      <c r="I144" s="106"/>
      <c r="J144" s="106"/>
      <c r="K144" s="106"/>
      <c r="L144" s="106"/>
      <c r="M144" s="106"/>
      <c r="N144" s="106"/>
    </row>
  </sheetData>
  <mergeCells count="31">
    <mergeCell ref="B130:D130"/>
    <mergeCell ref="F130:H130"/>
    <mergeCell ref="J130:L130"/>
    <mergeCell ref="B131:D131"/>
    <mergeCell ref="F131:H131"/>
    <mergeCell ref="J131:L131"/>
    <mergeCell ref="B44:D44"/>
    <mergeCell ref="B62:D62"/>
    <mergeCell ref="F62:H62"/>
    <mergeCell ref="J62:L62"/>
    <mergeCell ref="B63:D63"/>
    <mergeCell ref="F63:H63"/>
    <mergeCell ref="J63:L63"/>
    <mergeCell ref="D40:F40"/>
    <mergeCell ref="G40:I40"/>
    <mergeCell ref="J40:L40"/>
    <mergeCell ref="B42:D42"/>
    <mergeCell ref="F42:H42"/>
    <mergeCell ref="J42:L42"/>
    <mergeCell ref="B18:D18"/>
    <mergeCell ref="F18:H18"/>
    <mergeCell ref="J18:L18"/>
    <mergeCell ref="B19:D19"/>
    <mergeCell ref="F19:H19"/>
    <mergeCell ref="J19:L19"/>
    <mergeCell ref="B2:D2"/>
    <mergeCell ref="F2:H2"/>
    <mergeCell ref="J2:L2"/>
    <mergeCell ref="B4:D4"/>
    <mergeCell ref="F4:H4"/>
    <mergeCell ref="J4:L4"/>
  </mergeCells>
  <conditionalFormatting sqref="A50:A52">
    <cfRule type="expression" dxfId="189" priority="7">
      <formula>kvartal &lt; 4</formula>
    </cfRule>
  </conditionalFormatting>
  <conditionalFormatting sqref="A69:A74">
    <cfRule type="expression" dxfId="188" priority="6">
      <formula>kvartal &lt; 4</formula>
    </cfRule>
  </conditionalFormatting>
  <conditionalFormatting sqref="A80:A85">
    <cfRule type="expression" dxfId="187" priority="5">
      <formula>kvartal &lt; 4</formula>
    </cfRule>
  </conditionalFormatting>
  <conditionalFormatting sqref="A90:A95">
    <cfRule type="expression" dxfId="186" priority="4">
      <formula>kvartal &lt; 4</formula>
    </cfRule>
  </conditionalFormatting>
  <conditionalFormatting sqref="A101:A106">
    <cfRule type="expression" dxfId="185" priority="3">
      <formula>kvartal &lt; 4</formula>
    </cfRule>
  </conditionalFormatting>
  <conditionalFormatting sqref="A115:C115">
    <cfRule type="expression" dxfId="184" priority="2">
      <formula>kvartal &lt; 4</formula>
    </cfRule>
  </conditionalFormatting>
  <conditionalFormatting sqref="A123:C123">
    <cfRule type="expression" dxfId="183" priority="1">
      <formula>kvartal &lt; 4</formula>
    </cfRule>
  </conditionalFormatting>
  <conditionalFormatting sqref="B69:C69">
    <cfRule type="expression" dxfId="182" priority="57">
      <formula>kvartal &lt; 4</formula>
    </cfRule>
  </conditionalFormatting>
  <conditionalFormatting sqref="B72:C72">
    <cfRule type="expression" dxfId="181" priority="55">
      <formula>kvartal &lt; 4</formula>
    </cfRule>
  </conditionalFormatting>
  <conditionalFormatting sqref="F115:G115">
    <cfRule type="expression" dxfId="180" priority="27">
      <formula>kvartal &lt; 4</formula>
    </cfRule>
  </conditionalFormatting>
  <conditionalFormatting sqref="F123:G123">
    <cfRule type="expression" dxfId="179" priority="26">
      <formula>kvartal &lt; 4</formula>
    </cfRule>
  </conditionalFormatting>
  <conditionalFormatting sqref="J115:K115">
    <cfRule type="expression" dxfId="178" priority="9">
      <formula>kvartal &lt; 4</formula>
    </cfRule>
  </conditionalFormatting>
  <conditionalFormatting sqref="J123:K123">
    <cfRule type="expression" dxfId="177" priority="8">
      <formula>kvartal &lt; 4</formula>
    </cfRule>
  </conditionalFormatting>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E6044-2CB6-449D-AC95-3178BBB2285A}">
  <sheetPr codeName="Ark34"/>
  <dimension ref="A1:AK62"/>
  <sheetViews>
    <sheetView showGridLines="0" zoomScale="70" zoomScaleNormal="70" workbookViewId="0">
      <pane xSplit="1" ySplit="8" topLeftCell="B9" activePane="bottomRight" state="frozen"/>
      <selection pane="topRight" activeCell="A42" sqref="A42"/>
      <selection pane="bottomLeft" activeCell="A42" sqref="A42"/>
      <selection pane="bottomRight" activeCell="K35" sqref="K35"/>
    </sheetView>
  </sheetViews>
  <sheetFormatPr baseColWidth="10" defaultColWidth="11.42578125" defaultRowHeight="12.75" x14ac:dyDescent="0.2"/>
  <cols>
    <col min="1" max="1" width="104.5703125" style="364" bestFit="1" customWidth="1"/>
    <col min="2" max="37" width="11.7109375" style="364" customWidth="1"/>
    <col min="38" max="16384" width="11.42578125" style="364"/>
  </cols>
  <sheetData>
    <row r="1" spans="1:37" ht="20.25" x14ac:dyDescent="0.3">
      <c r="A1" s="367" t="s">
        <v>226</v>
      </c>
      <c r="B1" s="368"/>
      <c r="C1" s="368"/>
      <c r="D1" s="368"/>
      <c r="E1" s="368"/>
      <c r="F1" s="368"/>
      <c r="G1" s="368"/>
      <c r="H1" s="368"/>
      <c r="I1" s="368"/>
      <c r="J1" s="368"/>
    </row>
    <row r="2" spans="1:37" ht="20.25" x14ac:dyDescent="0.3">
      <c r="A2" s="367" t="s">
        <v>27</v>
      </c>
      <c r="B2" s="484"/>
      <c r="C2" s="484"/>
      <c r="D2" s="485"/>
      <c r="E2" s="485"/>
      <c r="F2" s="486"/>
      <c r="G2" s="365"/>
      <c r="H2" s="365"/>
      <c r="I2" s="365"/>
      <c r="J2" s="365"/>
      <c r="K2" s="365"/>
      <c r="L2" s="365"/>
      <c r="M2" s="365"/>
      <c r="N2" s="365"/>
      <c r="O2" s="365"/>
      <c r="P2" s="365"/>
      <c r="Q2" s="365"/>
      <c r="R2" s="365"/>
      <c r="S2" s="365"/>
      <c r="T2" s="365"/>
      <c r="U2" s="365"/>
      <c r="V2" s="365"/>
      <c r="W2" s="365"/>
      <c r="X2" s="365"/>
      <c r="Y2" s="365"/>
      <c r="Z2" s="365"/>
      <c r="AA2" s="487"/>
      <c r="AB2" s="365"/>
      <c r="AC2" s="365"/>
      <c r="AD2" s="487"/>
      <c r="AE2" s="365"/>
      <c r="AF2" s="365"/>
      <c r="AG2" s="365"/>
      <c r="AH2" s="365"/>
      <c r="AI2" s="365"/>
      <c r="AJ2" s="365"/>
      <c r="AK2" s="365"/>
    </row>
    <row r="3" spans="1:37" ht="18.75" x14ac:dyDescent="0.3">
      <c r="A3" s="488" t="s">
        <v>227</v>
      </c>
      <c r="B3" s="489"/>
      <c r="C3" s="489"/>
      <c r="D3" s="489"/>
      <c r="E3" s="485"/>
      <c r="F3" s="532"/>
      <c r="G3" s="532"/>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c r="AJ3" s="489"/>
      <c r="AK3" s="489"/>
    </row>
    <row r="4" spans="1:37" ht="18.75" customHeight="1" x14ac:dyDescent="0.25">
      <c r="A4" s="490" t="s">
        <v>153</v>
      </c>
      <c r="B4" s="491"/>
      <c r="C4" s="492"/>
      <c r="D4" s="493"/>
      <c r="E4" s="491"/>
      <c r="F4" s="492"/>
      <c r="G4" s="493"/>
      <c r="H4" s="491"/>
      <c r="I4" s="492"/>
      <c r="J4" s="493"/>
      <c r="K4" s="370"/>
      <c r="L4" s="370"/>
      <c r="M4" s="370"/>
      <c r="N4" s="371"/>
      <c r="O4" s="370"/>
      <c r="P4" s="372"/>
      <c r="Q4" s="371"/>
      <c r="R4" s="370"/>
      <c r="S4" s="372"/>
      <c r="T4" s="371"/>
      <c r="U4" s="370"/>
      <c r="V4" s="372"/>
      <c r="W4" s="371"/>
      <c r="X4" s="370"/>
      <c r="Y4" s="372"/>
      <c r="Z4" s="371"/>
      <c r="AA4" s="370"/>
      <c r="AB4" s="372"/>
      <c r="AC4" s="371"/>
      <c r="AD4" s="370"/>
      <c r="AE4" s="372"/>
      <c r="AF4" s="494"/>
      <c r="AG4" s="495"/>
      <c r="AH4" s="496"/>
      <c r="AI4" s="371"/>
      <c r="AJ4" s="370"/>
      <c r="AK4" s="497"/>
    </row>
    <row r="5" spans="1:37" ht="18.75" customHeight="1" x14ac:dyDescent="0.3">
      <c r="A5" s="428" t="s">
        <v>119</v>
      </c>
      <c r="B5" s="596" t="s">
        <v>228</v>
      </c>
      <c r="C5" s="597"/>
      <c r="D5" s="598"/>
      <c r="E5" s="596"/>
      <c r="F5" s="597"/>
      <c r="G5" s="598"/>
      <c r="H5" s="596" t="s">
        <v>229</v>
      </c>
      <c r="I5" s="597"/>
      <c r="J5" s="598"/>
      <c r="K5" s="596" t="s">
        <v>230</v>
      </c>
      <c r="L5" s="597"/>
      <c r="M5" s="598"/>
      <c r="N5" s="596"/>
      <c r="O5" s="597"/>
      <c r="P5" s="598"/>
      <c r="Q5" s="533"/>
      <c r="R5" s="534"/>
      <c r="S5" s="535"/>
      <c r="T5" s="596" t="s">
        <v>231</v>
      </c>
      <c r="U5" s="597"/>
      <c r="V5" s="598"/>
      <c r="W5" s="596" t="s">
        <v>239</v>
      </c>
      <c r="X5" s="597"/>
      <c r="Y5" s="598"/>
      <c r="Z5" s="596" t="s">
        <v>232</v>
      </c>
      <c r="AA5" s="597"/>
      <c r="AB5" s="598"/>
      <c r="AC5" s="596" t="s">
        <v>233</v>
      </c>
      <c r="AD5" s="597"/>
      <c r="AE5" s="598"/>
      <c r="AF5" s="596" t="s">
        <v>120</v>
      </c>
      <c r="AG5" s="597"/>
      <c r="AH5" s="598"/>
      <c r="AI5" s="596" t="s">
        <v>234</v>
      </c>
      <c r="AJ5" s="597"/>
      <c r="AK5" s="598"/>
    </row>
    <row r="6" spans="1:37" ht="21" customHeight="1" x14ac:dyDescent="0.3">
      <c r="A6" s="429"/>
      <c r="B6" s="599" t="s">
        <v>235</v>
      </c>
      <c r="C6" s="600"/>
      <c r="D6" s="601"/>
      <c r="E6" s="599" t="s">
        <v>236</v>
      </c>
      <c r="F6" s="600"/>
      <c r="G6" s="601"/>
      <c r="H6" s="599" t="s">
        <v>235</v>
      </c>
      <c r="I6" s="600"/>
      <c r="J6" s="601"/>
      <c r="K6" s="599" t="s">
        <v>237</v>
      </c>
      <c r="L6" s="600"/>
      <c r="M6" s="601"/>
      <c r="N6" s="599" t="s">
        <v>54</v>
      </c>
      <c r="O6" s="600"/>
      <c r="P6" s="601"/>
      <c r="Q6" s="599" t="s">
        <v>59</v>
      </c>
      <c r="R6" s="600"/>
      <c r="S6" s="601"/>
      <c r="T6" s="599" t="s">
        <v>238</v>
      </c>
      <c r="U6" s="600"/>
      <c r="V6" s="601"/>
      <c r="W6" s="599" t="s">
        <v>295</v>
      </c>
      <c r="X6" s="600"/>
      <c r="Y6" s="601"/>
      <c r="Z6" s="599" t="s">
        <v>235</v>
      </c>
      <c r="AA6" s="600"/>
      <c r="AB6" s="601"/>
      <c r="AC6" s="599" t="s">
        <v>235</v>
      </c>
      <c r="AD6" s="600"/>
      <c r="AE6" s="601"/>
      <c r="AF6" s="599" t="s">
        <v>240</v>
      </c>
      <c r="AG6" s="600"/>
      <c r="AH6" s="601"/>
      <c r="AI6" s="599" t="s">
        <v>241</v>
      </c>
      <c r="AJ6" s="600"/>
      <c r="AK6" s="601"/>
    </row>
    <row r="7" spans="1:37" ht="18.75" customHeight="1" x14ac:dyDescent="0.3">
      <c r="A7" s="429"/>
      <c r="B7" s="429"/>
      <c r="C7" s="429"/>
      <c r="D7" s="430" t="s">
        <v>84</v>
      </c>
      <c r="E7" s="429"/>
      <c r="F7" s="429"/>
      <c r="G7" s="430" t="s">
        <v>84</v>
      </c>
      <c r="H7" s="429"/>
      <c r="I7" s="429"/>
      <c r="J7" s="430" t="s">
        <v>84</v>
      </c>
      <c r="K7" s="429"/>
      <c r="L7" s="429"/>
      <c r="M7" s="430" t="s">
        <v>84</v>
      </c>
      <c r="N7" s="429"/>
      <c r="O7" s="429"/>
      <c r="P7" s="430" t="s">
        <v>84</v>
      </c>
      <c r="Q7" s="429"/>
      <c r="R7" s="429"/>
      <c r="S7" s="430" t="s">
        <v>84</v>
      </c>
      <c r="T7" s="429"/>
      <c r="U7" s="429"/>
      <c r="V7" s="430" t="s">
        <v>84</v>
      </c>
      <c r="W7" s="429"/>
      <c r="X7" s="429"/>
      <c r="Y7" s="430" t="s">
        <v>84</v>
      </c>
      <c r="Z7" s="429"/>
      <c r="AA7" s="429"/>
      <c r="AB7" s="430" t="s">
        <v>84</v>
      </c>
      <c r="AC7" s="429"/>
      <c r="AD7" s="429"/>
      <c r="AE7" s="430" t="s">
        <v>84</v>
      </c>
      <c r="AF7" s="429"/>
      <c r="AG7" s="429"/>
      <c r="AH7" s="430" t="s">
        <v>84</v>
      </c>
      <c r="AI7" s="429"/>
      <c r="AJ7" s="429"/>
      <c r="AK7" s="430" t="s">
        <v>84</v>
      </c>
    </row>
    <row r="8" spans="1:37" ht="18.75" customHeight="1" x14ac:dyDescent="0.25">
      <c r="A8" s="431" t="s">
        <v>242</v>
      </c>
      <c r="B8" s="419">
        <v>2025</v>
      </c>
      <c r="C8" s="419">
        <v>2026</v>
      </c>
      <c r="D8" s="432" t="s">
        <v>87</v>
      </c>
      <c r="E8" s="419">
        <v>2025</v>
      </c>
      <c r="F8" s="419">
        <v>2026</v>
      </c>
      <c r="G8" s="432" t="s">
        <v>87</v>
      </c>
      <c r="H8" s="419">
        <v>2025</v>
      </c>
      <c r="I8" s="419">
        <v>2026</v>
      </c>
      <c r="J8" s="432" t="s">
        <v>87</v>
      </c>
      <c r="K8" s="419">
        <v>2025</v>
      </c>
      <c r="L8" s="419">
        <v>2026</v>
      </c>
      <c r="M8" s="432" t="s">
        <v>87</v>
      </c>
      <c r="N8" s="419">
        <v>2025</v>
      </c>
      <c r="O8" s="419">
        <v>2026</v>
      </c>
      <c r="P8" s="432" t="s">
        <v>87</v>
      </c>
      <c r="Q8" s="419">
        <v>2025</v>
      </c>
      <c r="R8" s="419">
        <v>2026</v>
      </c>
      <c r="S8" s="432" t="s">
        <v>87</v>
      </c>
      <c r="T8" s="419">
        <v>2025</v>
      </c>
      <c r="U8" s="419">
        <v>2026</v>
      </c>
      <c r="V8" s="432" t="s">
        <v>87</v>
      </c>
      <c r="W8" s="419">
        <v>2025</v>
      </c>
      <c r="X8" s="419">
        <v>2026</v>
      </c>
      <c r="Y8" s="432" t="s">
        <v>87</v>
      </c>
      <c r="Z8" s="419">
        <v>2025</v>
      </c>
      <c r="AA8" s="419">
        <v>2026</v>
      </c>
      <c r="AB8" s="432" t="s">
        <v>87</v>
      </c>
      <c r="AC8" s="419">
        <v>2025</v>
      </c>
      <c r="AD8" s="419">
        <v>2026</v>
      </c>
      <c r="AE8" s="432" t="s">
        <v>87</v>
      </c>
      <c r="AF8" s="419">
        <v>2025</v>
      </c>
      <c r="AG8" s="419">
        <v>2026</v>
      </c>
      <c r="AH8" s="432" t="s">
        <v>87</v>
      </c>
      <c r="AI8" s="419">
        <v>2025</v>
      </c>
      <c r="AJ8" s="419">
        <v>2026</v>
      </c>
      <c r="AK8" s="432" t="s">
        <v>87</v>
      </c>
    </row>
    <row r="9" spans="1:37" ht="18.75" customHeight="1" x14ac:dyDescent="0.3">
      <c r="A9" s="429" t="s">
        <v>243</v>
      </c>
      <c r="B9" s="523"/>
      <c r="C9" s="386"/>
      <c r="D9" s="388"/>
      <c r="E9" s="523"/>
      <c r="F9" s="386"/>
      <c r="G9" s="388"/>
      <c r="H9" s="523"/>
      <c r="I9" s="386"/>
      <c r="J9" s="388"/>
      <c r="K9" s="523"/>
      <c r="L9" s="386"/>
      <c r="M9" s="386"/>
      <c r="N9" s="544"/>
      <c r="O9" s="388"/>
      <c r="P9" s="388"/>
      <c r="Q9" s="523"/>
      <c r="R9" s="386"/>
      <c r="S9" s="388"/>
      <c r="T9" s="544"/>
      <c r="U9" s="388"/>
      <c r="V9" s="388"/>
      <c r="W9" s="523"/>
      <c r="X9" s="386"/>
      <c r="Y9" s="388"/>
      <c r="Z9" s="523"/>
      <c r="AA9" s="386"/>
      <c r="AB9" s="388"/>
      <c r="AC9" s="523"/>
      <c r="AD9" s="386"/>
      <c r="AE9" s="388"/>
      <c r="AF9" s="388"/>
      <c r="AG9" s="388"/>
      <c r="AH9" s="388"/>
      <c r="AI9" s="433"/>
      <c r="AJ9" s="433"/>
      <c r="AK9" s="433"/>
    </row>
    <row r="10" spans="1:37" s="365" customFormat="1" ht="18.75" customHeight="1" x14ac:dyDescent="0.3">
      <c r="A10" s="427" t="s">
        <v>244</v>
      </c>
      <c r="B10" s="434"/>
      <c r="C10" s="350"/>
      <c r="D10" s="277"/>
      <c r="E10" s="434"/>
      <c r="F10" s="350"/>
      <c r="G10" s="277"/>
      <c r="H10" s="434"/>
      <c r="I10" s="350"/>
      <c r="J10" s="277"/>
      <c r="K10" s="434"/>
      <c r="L10" s="350"/>
      <c r="M10" s="350"/>
      <c r="N10" s="435"/>
      <c r="O10" s="277"/>
      <c r="P10" s="277"/>
      <c r="Q10" s="434"/>
      <c r="R10" s="350"/>
      <c r="S10" s="277"/>
      <c r="T10" s="435"/>
      <c r="U10" s="277"/>
      <c r="V10" s="277"/>
      <c r="W10" s="434"/>
      <c r="X10" s="350"/>
      <c r="Y10" s="277"/>
      <c r="Z10" s="434"/>
      <c r="AA10" s="350"/>
      <c r="AB10" s="277"/>
      <c r="AC10" s="434"/>
      <c r="AD10" s="350"/>
      <c r="AE10" s="277"/>
      <c r="AF10" s="277"/>
      <c r="AG10" s="277"/>
      <c r="AH10" s="277"/>
      <c r="AI10" s="436"/>
      <c r="AJ10" s="436"/>
      <c r="AK10" s="436"/>
    </row>
    <row r="11" spans="1:37" s="365" customFormat="1" ht="18.75" customHeight="1" x14ac:dyDescent="0.3">
      <c r="A11" s="427" t="s">
        <v>245</v>
      </c>
      <c r="B11" s="435">
        <v>6390.7669999999998</v>
      </c>
      <c r="C11" s="277">
        <v>6672.9709999999995</v>
      </c>
      <c r="D11" s="277">
        <f t="shared" ref="D11:D17" si="0">IF(B11=0, "    ---- ", IF(ABS(ROUND(100/B11*C11-100,1))&lt;999,ROUND(100/B11*C11-100,1),IF(ROUND(100/B11*C11-100,1)&gt;999,999,-999)))</f>
        <v>4.4000000000000004</v>
      </c>
      <c r="E11" s="435">
        <v>1228.1454335399999</v>
      </c>
      <c r="F11" s="277">
        <v>1198.86284531</v>
      </c>
      <c r="G11" s="277">
        <f t="shared" ref="G11:G17" si="1">IF(E11=0, "    ---- ", IF(ABS(ROUND(100/E11*F11-100,1))&lt;999,ROUND(100/E11*F11-100,1),IF(ROUND(100/E11*F11-100,1)&gt;999,999,-999)))</f>
        <v>-2.4</v>
      </c>
      <c r="H11" s="435">
        <v>849.21600000000001</v>
      </c>
      <c r="I11" s="277">
        <v>933.66200000000003</v>
      </c>
      <c r="J11" s="277">
        <f t="shared" ref="J11:J15" si="2">IF(H11=0, "    ---- ", IF(ABS(ROUND(100/H11*I11-100,1))&lt;999,ROUND(100/H11*I11-100,1),IF(ROUND(100/H11*I11-100,1)&gt;999,999,-999)))</f>
        <v>9.9</v>
      </c>
      <c r="K11" s="435">
        <v>2103</v>
      </c>
      <c r="L11" s="277">
        <v>2298</v>
      </c>
      <c r="M11" s="277">
        <f t="shared" ref="M11:M17" si="3">IF(K11=0, "    ---- ", IF(ABS(ROUND(100/K11*L11-100,1))&lt;999,ROUND(100/K11*L11-100,1),IF(ROUND(100/K11*L11-100,1)&gt;999,999,-999)))</f>
        <v>9.3000000000000007</v>
      </c>
      <c r="N11" s="435">
        <v>8070.3090714099999</v>
      </c>
      <c r="O11" s="277">
        <v>8774.8366761599991</v>
      </c>
      <c r="P11" s="277">
        <f t="shared" ref="P11:P17" si="4">IF(N11=0, "    ---- ", IF(ABS(ROUND(100/N11*O11-100,1))&lt;999,ROUND(100/N11*O11-100,1),IF(ROUND(100/N11*O11-100,1)&gt;999,999,-999)))</f>
        <v>8.6999999999999993</v>
      </c>
      <c r="Q11" s="435">
        <v>5666.5</v>
      </c>
      <c r="R11" s="277">
        <v>6805.9499999999989</v>
      </c>
      <c r="S11" s="277">
        <f t="shared" ref="S11:S17" si="5">IF(Q11=0, "    ---- ", IF(ABS(ROUND(100/Q11*R11-100,1))&lt;999,ROUND(100/Q11*R11-100,1),IF(ROUND(100/Q11*R11-100,1)&gt;999,999,-999)))</f>
        <v>20.100000000000001</v>
      </c>
      <c r="T11" s="435">
        <v>908</v>
      </c>
      <c r="U11" s="277">
        <v>695</v>
      </c>
      <c r="V11" s="277">
        <f t="shared" ref="V11:V15" si="6">IF(T11=0, "    ---- ", IF(ABS(ROUND(100/T11*U11-100,1))&lt;999,ROUND(100/T11*U11-100,1),IF(ROUND(100/T11*U11-100,1)&gt;999,999,-999)))</f>
        <v>-23.5</v>
      </c>
      <c r="W11" s="435">
        <v>2383.9098133300004</v>
      </c>
      <c r="X11" s="277">
        <v>2491.1367915099986</v>
      </c>
      <c r="Y11" s="277">
        <f t="shared" ref="Y11:Y17" si="7">IF(W11=0, "    ---- ", IF(ABS(ROUND(100/W11*X11-100,1))&lt;999,ROUND(100/W11*X11-100,1),IF(ROUND(100/W11*X11-100,1)&gt;999,999,-999)))</f>
        <v>4.5</v>
      </c>
      <c r="Z11" s="147">
        <v>7742.6626696400008</v>
      </c>
      <c r="AA11" s="277">
        <v>8050.504611710001</v>
      </c>
      <c r="AB11" s="277">
        <f t="shared" ref="AB11:AB17" si="8">IF(Z11=0, "    ---- ", IF(ABS(ROUND(100/Z11*AA11-100,1))&lt;999,ROUND(100/Z11*AA11-100,1),IF(ROUND(100/Z11*AA11-100,1)&gt;999,999,-999)))</f>
        <v>4</v>
      </c>
      <c r="AC11" s="435">
        <v>95</v>
      </c>
      <c r="AD11" s="277">
        <v>32</v>
      </c>
      <c r="AE11" s="277">
        <f t="shared" ref="AE11:AE14" si="9">IF(AC11=0, "    ---- ", IF(ABS(ROUND(100/AC11*AD11-100,1))&lt;999,ROUND(100/AC11*AD11-100,1),IF(ROUND(100/AC11*AD11-100,1)&gt;999,999,-999)))</f>
        <v>-66.3</v>
      </c>
      <c r="AF11" s="277">
        <f t="shared" ref="AF11:AG26" si="10">B11+E11+H11+K11+N11+Q11+T11+W11+Z11</f>
        <v>35342.509987919999</v>
      </c>
      <c r="AG11" s="277">
        <f t="shared" si="10"/>
        <v>37920.923924689996</v>
      </c>
      <c r="AH11" s="277">
        <f t="shared" ref="AH11:AH46" si="11">IF(AF11=0, "    ---- ", IF(ABS(ROUND(100/AF11*AG11-100,1))&lt;999,ROUND(100/AF11*AG11-100,1),IF(ROUND(100/AF11*AG11-100,1)&gt;999,999,-999)))</f>
        <v>7.3</v>
      </c>
      <c r="AI11" s="353">
        <f t="shared" ref="AI11:AJ21" si="12">B11+E11+H11+K11+N11+Q11+T11+W11+Z11+AC11</f>
        <v>35437.509987919999</v>
      </c>
      <c r="AJ11" s="353">
        <f t="shared" si="12"/>
        <v>37952.923924689996</v>
      </c>
      <c r="AK11" s="277">
        <f t="shared" ref="AK11:AK17" si="13">IF(AI11=0, "    ---- ", IF(ABS(ROUND(100/AI11*AJ11-100,1))&lt;999,ROUND(100/AI11*AJ11-100,1),IF(ROUND(100/AI11*AJ11-100,1)&gt;999,999,-999)))</f>
        <v>7.1</v>
      </c>
    </row>
    <row r="12" spans="1:37" s="365" customFormat="1" ht="18.75" customHeight="1" x14ac:dyDescent="0.3">
      <c r="A12" s="427" t="s">
        <v>246</v>
      </c>
      <c r="B12" s="435">
        <v>-119.99299999999999</v>
      </c>
      <c r="C12" s="277">
        <v>-111.45</v>
      </c>
      <c r="D12" s="277">
        <f t="shared" si="0"/>
        <v>-7.1</v>
      </c>
      <c r="E12" s="435">
        <v>-6.6702466600000001</v>
      </c>
      <c r="F12" s="277">
        <v>-13.155571629999999</v>
      </c>
      <c r="G12" s="277">
        <f t="shared" si="1"/>
        <v>97.2</v>
      </c>
      <c r="H12" s="435">
        <v>1.5309999999999999</v>
      </c>
      <c r="I12" s="277">
        <v>-3.8759999999999999</v>
      </c>
      <c r="J12" s="277">
        <f t="shared" si="2"/>
        <v>-353.2</v>
      </c>
      <c r="K12" s="435">
        <v>-14</v>
      </c>
      <c r="L12" s="277"/>
      <c r="M12" s="277">
        <f t="shared" si="3"/>
        <v>-100</v>
      </c>
      <c r="N12" s="435"/>
      <c r="O12" s="277"/>
      <c r="P12" s="277"/>
      <c r="Q12" s="435">
        <v>-31.269199999999998</v>
      </c>
      <c r="R12" s="277">
        <v>-34.049999999999997</v>
      </c>
      <c r="S12" s="277">
        <f t="shared" si="5"/>
        <v>8.9</v>
      </c>
      <c r="T12" s="435"/>
      <c r="U12" s="277"/>
      <c r="V12" s="277"/>
      <c r="W12" s="435">
        <v>-2.8580000000000001</v>
      </c>
      <c r="X12" s="277">
        <v>-3.0757470199999997</v>
      </c>
      <c r="Y12" s="277">
        <f t="shared" si="7"/>
        <v>7.6</v>
      </c>
      <c r="Z12" s="435">
        <v>-11.553695400000004</v>
      </c>
      <c r="AA12" s="277">
        <v>-15.910034440000004</v>
      </c>
      <c r="AB12" s="277">
        <f t="shared" si="8"/>
        <v>37.700000000000003</v>
      </c>
      <c r="AC12" s="435">
        <v>-34</v>
      </c>
      <c r="AD12" s="277">
        <v>-9</v>
      </c>
      <c r="AE12" s="277">
        <f t="shared" si="9"/>
        <v>-73.5</v>
      </c>
      <c r="AF12" s="277">
        <f t="shared" si="10"/>
        <v>-184.81314205999999</v>
      </c>
      <c r="AG12" s="277">
        <f t="shared" si="10"/>
        <v>-181.51735308999997</v>
      </c>
      <c r="AH12" s="277">
        <f t="shared" si="11"/>
        <v>-1.8</v>
      </c>
      <c r="AI12" s="353">
        <f t="shared" si="12"/>
        <v>-218.81314205999999</v>
      </c>
      <c r="AJ12" s="353">
        <f t="shared" si="12"/>
        <v>-190.51735308999997</v>
      </c>
      <c r="AK12" s="277">
        <f t="shared" si="13"/>
        <v>-12.9</v>
      </c>
    </row>
    <row r="13" spans="1:37" s="365" customFormat="1" ht="18.75" customHeight="1" x14ac:dyDescent="0.3">
      <c r="A13" s="427" t="s">
        <v>247</v>
      </c>
      <c r="B13" s="435">
        <v>5905.7659999999996</v>
      </c>
      <c r="C13" s="541">
        <v>6638.7240000000002</v>
      </c>
      <c r="D13" s="277">
        <f t="shared" si="0"/>
        <v>12.4</v>
      </c>
      <c r="E13" s="435"/>
      <c r="F13" s="277"/>
      <c r="G13" s="277"/>
      <c r="H13" s="435"/>
      <c r="I13" s="277"/>
      <c r="J13" s="277"/>
      <c r="K13" s="435">
        <v>4149</v>
      </c>
      <c r="L13" s="277">
        <v>3406</v>
      </c>
      <c r="M13" s="277">
        <f t="shared" si="3"/>
        <v>-17.899999999999999</v>
      </c>
      <c r="N13" s="435">
        <v>39.561441000000002</v>
      </c>
      <c r="O13" s="277">
        <v>2772.0372478000004</v>
      </c>
      <c r="P13" s="277">
        <f t="shared" si="4"/>
        <v>999</v>
      </c>
      <c r="Q13" s="435">
        <v>3603.69</v>
      </c>
      <c r="R13" s="277">
        <v>8092.1</v>
      </c>
      <c r="S13" s="277">
        <f t="shared" si="5"/>
        <v>124.6</v>
      </c>
      <c r="T13" s="435"/>
      <c r="U13" s="277"/>
      <c r="V13" s="277"/>
      <c r="W13" s="435">
        <v>3075.8528301400002</v>
      </c>
      <c r="X13" s="277">
        <v>2352.7850505699994</v>
      </c>
      <c r="Y13" s="277">
        <f t="shared" si="7"/>
        <v>-23.5</v>
      </c>
      <c r="Z13" s="435">
        <v>7631.5189918200003</v>
      </c>
      <c r="AA13" s="277">
        <v>4420.1894243899997</v>
      </c>
      <c r="AB13" s="277">
        <f t="shared" si="8"/>
        <v>-42.1</v>
      </c>
      <c r="AC13" s="435">
        <v>1</v>
      </c>
      <c r="AD13" s="277"/>
      <c r="AE13" s="277">
        <f t="shared" si="9"/>
        <v>-100</v>
      </c>
      <c r="AF13" s="277">
        <f t="shared" si="10"/>
        <v>24405.389262960001</v>
      </c>
      <c r="AG13" s="277">
        <f t="shared" si="10"/>
        <v>27681.835722759999</v>
      </c>
      <c r="AH13" s="277">
        <f t="shared" si="11"/>
        <v>13.4</v>
      </c>
      <c r="AI13" s="353">
        <f t="shared" si="12"/>
        <v>24406.389262960001</v>
      </c>
      <c r="AJ13" s="353">
        <f t="shared" si="12"/>
        <v>27681.835722759999</v>
      </c>
      <c r="AK13" s="277">
        <f t="shared" si="13"/>
        <v>13.4</v>
      </c>
    </row>
    <row r="14" spans="1:37" s="365" customFormat="1" ht="18.75" customHeight="1" x14ac:dyDescent="0.3">
      <c r="A14" s="427" t="s">
        <v>248</v>
      </c>
      <c r="B14" s="434">
        <f>SUM(B11:B13)</f>
        <v>12176.539999999999</v>
      </c>
      <c r="C14" s="542">
        <f>SUM(C11:C13)</f>
        <v>13200.244999999999</v>
      </c>
      <c r="D14" s="277">
        <f t="shared" si="0"/>
        <v>8.4</v>
      </c>
      <c r="E14" s="434">
        <f>SUM(E11:E13)</f>
        <v>1221.4751868799999</v>
      </c>
      <c r="F14" s="350">
        <f>SUM(F11:F13)</f>
        <v>1185.7072736800001</v>
      </c>
      <c r="G14" s="277">
        <f t="shared" si="1"/>
        <v>-2.9</v>
      </c>
      <c r="H14" s="434">
        <f>SUM(H11:H13)</f>
        <v>850.74699999999996</v>
      </c>
      <c r="I14" s="350">
        <f>SUM(I11:I13)</f>
        <v>929.78600000000006</v>
      </c>
      <c r="J14" s="277">
        <f t="shared" si="2"/>
        <v>9.3000000000000007</v>
      </c>
      <c r="K14" s="434">
        <f>SUM(K11:K13)</f>
        <v>6238</v>
      </c>
      <c r="L14" s="350">
        <f>SUM(L11:L13)</f>
        <v>5704</v>
      </c>
      <c r="M14" s="277">
        <f t="shared" si="3"/>
        <v>-8.6</v>
      </c>
      <c r="N14" s="434">
        <v>8109.8705124099997</v>
      </c>
      <c r="O14" s="350">
        <v>11546.87392396</v>
      </c>
      <c r="P14" s="277">
        <f t="shared" si="4"/>
        <v>42.4</v>
      </c>
      <c r="Q14" s="434">
        <f>SUM(Q11:Q13)</f>
        <v>9238.9207999999999</v>
      </c>
      <c r="R14" s="350">
        <f>SUM(R11:R13)</f>
        <v>14864</v>
      </c>
      <c r="S14" s="277">
        <f t="shared" si="5"/>
        <v>60.9</v>
      </c>
      <c r="T14" s="434">
        <v>908</v>
      </c>
      <c r="U14" s="350">
        <f>SUM(U11:U13)</f>
        <v>695</v>
      </c>
      <c r="V14" s="277">
        <f t="shared" si="6"/>
        <v>-23.5</v>
      </c>
      <c r="W14" s="434">
        <f>SUM(W11:W13)</f>
        <v>5456.9046434700003</v>
      </c>
      <c r="X14" s="350">
        <f>SUM(X11:X13)</f>
        <v>4840.8460950599983</v>
      </c>
      <c r="Y14" s="277">
        <f t="shared" si="7"/>
        <v>-11.3</v>
      </c>
      <c r="Z14" s="434">
        <f>SUM(Z11:Z13)</f>
        <v>15362.627966060001</v>
      </c>
      <c r="AA14" s="350">
        <f>SUM(AA11:AA13)</f>
        <v>12454.78400166</v>
      </c>
      <c r="AB14" s="277">
        <f t="shared" si="8"/>
        <v>-18.899999999999999</v>
      </c>
      <c r="AC14" s="434">
        <f>SUM(AC11:AC13)</f>
        <v>62</v>
      </c>
      <c r="AD14" s="350">
        <f>SUM(AD11:AD13)</f>
        <v>23</v>
      </c>
      <c r="AE14" s="277">
        <f t="shared" si="9"/>
        <v>-62.9</v>
      </c>
      <c r="AF14" s="277">
        <f t="shared" si="10"/>
        <v>59563.086108820004</v>
      </c>
      <c r="AG14" s="277">
        <f t="shared" si="10"/>
        <v>65421.242294360003</v>
      </c>
      <c r="AH14" s="277">
        <f t="shared" si="11"/>
        <v>9.8000000000000007</v>
      </c>
      <c r="AI14" s="353">
        <f t="shared" si="12"/>
        <v>59625.086108820004</v>
      </c>
      <c r="AJ14" s="353">
        <f t="shared" si="12"/>
        <v>65444.242294360003</v>
      </c>
      <c r="AK14" s="277">
        <f t="shared" si="13"/>
        <v>9.8000000000000007</v>
      </c>
    </row>
    <row r="15" spans="1:37" s="365" customFormat="1" ht="18.75" customHeight="1" x14ac:dyDescent="0.3">
      <c r="A15" s="427" t="s">
        <v>249</v>
      </c>
      <c r="B15" s="147">
        <v>1888.0840000000001</v>
      </c>
      <c r="C15" s="541">
        <v>1881.557</v>
      </c>
      <c r="D15" s="277">
        <f t="shared" si="0"/>
        <v>-0.3</v>
      </c>
      <c r="E15" s="548">
        <v>67.475971680000001</v>
      </c>
      <c r="F15" s="389">
        <v>12.398566349999994</v>
      </c>
      <c r="G15" s="277">
        <f t="shared" si="1"/>
        <v>-81.599999999999994</v>
      </c>
      <c r="H15" s="548">
        <v>26.890999999999998</v>
      </c>
      <c r="I15" s="389">
        <v>12.087</v>
      </c>
      <c r="J15" s="277">
        <f t="shared" si="2"/>
        <v>-55.1</v>
      </c>
      <c r="K15" s="147">
        <v>97</v>
      </c>
      <c r="L15" s="353">
        <v>104</v>
      </c>
      <c r="M15" s="277">
        <f t="shared" si="3"/>
        <v>7.2</v>
      </c>
      <c r="N15" s="147">
        <v>-368.27238075999998</v>
      </c>
      <c r="O15" s="353">
        <v>7145.5146942900001</v>
      </c>
      <c r="P15" s="277">
        <f t="shared" si="4"/>
        <v>-999</v>
      </c>
      <c r="Q15" s="147">
        <v>349.87220000000002</v>
      </c>
      <c r="R15" s="353">
        <v>270</v>
      </c>
      <c r="S15" s="277">
        <f t="shared" si="5"/>
        <v>-22.8</v>
      </c>
      <c r="T15" s="147">
        <v>356</v>
      </c>
      <c r="U15" s="353">
        <v>-396</v>
      </c>
      <c r="V15" s="277">
        <f t="shared" si="6"/>
        <v>-211.2</v>
      </c>
      <c r="W15" s="524">
        <v>200.93966926999997</v>
      </c>
      <c r="X15" s="376">
        <v>71.061196440000046</v>
      </c>
      <c r="Y15" s="277">
        <f t="shared" si="7"/>
        <v>-64.599999999999994</v>
      </c>
      <c r="Z15" s="147">
        <v>1135.4690246699972</v>
      </c>
      <c r="AA15" s="353">
        <v>1022.1522283599943</v>
      </c>
      <c r="AB15" s="277">
        <f t="shared" si="8"/>
        <v>-10</v>
      </c>
      <c r="AC15" s="147"/>
      <c r="AD15" s="353"/>
      <c r="AE15" s="277"/>
      <c r="AF15" s="277">
        <f t="shared" si="10"/>
        <v>3753.4594848599982</v>
      </c>
      <c r="AG15" s="277">
        <f t="shared" si="10"/>
        <v>10122.770685439995</v>
      </c>
      <c r="AH15" s="277">
        <f t="shared" si="11"/>
        <v>169.7</v>
      </c>
      <c r="AI15" s="353">
        <f t="shared" si="12"/>
        <v>3753.4594848599982</v>
      </c>
      <c r="AJ15" s="353">
        <f t="shared" si="12"/>
        <v>10122.770685439995</v>
      </c>
      <c r="AK15" s="277">
        <f t="shared" si="13"/>
        <v>169.7</v>
      </c>
    </row>
    <row r="16" spans="1:37" s="365" customFormat="1" ht="18.75" customHeight="1" x14ac:dyDescent="0.3">
      <c r="A16" s="427" t="s">
        <v>250</v>
      </c>
      <c r="B16" s="147">
        <v>-2116.194</v>
      </c>
      <c r="C16" s="541">
        <v>-1530.2739999999999</v>
      </c>
      <c r="D16" s="277">
        <f t="shared" si="0"/>
        <v>-27.7</v>
      </c>
      <c r="E16" s="548"/>
      <c r="F16" s="389"/>
      <c r="G16" s="277"/>
      <c r="H16" s="548"/>
      <c r="I16" s="389"/>
      <c r="J16" s="277"/>
      <c r="K16" s="147">
        <v>-2551</v>
      </c>
      <c r="L16" s="353">
        <v>-2206</v>
      </c>
      <c r="M16" s="350">
        <f t="shared" si="3"/>
        <v>-13.5</v>
      </c>
      <c r="N16" s="147">
        <v>-24.5751013</v>
      </c>
      <c r="O16" s="353">
        <v>21.635611999999998</v>
      </c>
      <c r="P16" s="437">
        <f t="shared" si="4"/>
        <v>-188</v>
      </c>
      <c r="Q16" s="147">
        <v>-3431.2730999999999</v>
      </c>
      <c r="R16" s="353">
        <v>-5845.6</v>
      </c>
      <c r="S16" s="277">
        <f t="shared" si="5"/>
        <v>70.400000000000006</v>
      </c>
      <c r="T16" s="147"/>
      <c r="U16" s="353"/>
      <c r="V16" s="277"/>
      <c r="W16" s="524">
        <v>-1081.8478755599965</v>
      </c>
      <c r="X16" s="376">
        <v>-1610.3918108200016</v>
      </c>
      <c r="Y16" s="277">
        <f t="shared" si="7"/>
        <v>48.9</v>
      </c>
      <c r="Z16" s="147">
        <v>-4944.7851522200135</v>
      </c>
      <c r="AA16" s="353">
        <v>-318.2567413300012</v>
      </c>
      <c r="AB16" s="277">
        <f t="shared" si="8"/>
        <v>-93.6</v>
      </c>
      <c r="AC16" s="147"/>
      <c r="AD16" s="353"/>
      <c r="AE16" s="277"/>
      <c r="AF16" s="277">
        <f t="shared" si="10"/>
        <v>-14149.67522908001</v>
      </c>
      <c r="AG16" s="277">
        <f t="shared" si="10"/>
        <v>-11488.886940150001</v>
      </c>
      <c r="AH16" s="277">
        <f t="shared" si="11"/>
        <v>-18.8</v>
      </c>
      <c r="AI16" s="353">
        <f t="shared" si="12"/>
        <v>-14149.67522908001</v>
      </c>
      <c r="AJ16" s="353">
        <f t="shared" si="12"/>
        <v>-11488.886940150001</v>
      </c>
      <c r="AK16" s="277">
        <f t="shared" si="13"/>
        <v>-18.8</v>
      </c>
    </row>
    <row r="17" spans="1:37" s="365" customFormat="1" ht="18.75" customHeight="1" x14ac:dyDescent="0.3">
      <c r="A17" s="427" t="s">
        <v>251</v>
      </c>
      <c r="B17" s="147">
        <v>15.714</v>
      </c>
      <c r="C17" s="541">
        <v>19.245000000000001</v>
      </c>
      <c r="D17" s="277">
        <f t="shared" si="0"/>
        <v>22.5</v>
      </c>
      <c r="E17" s="548">
        <v>3.5490036199999997</v>
      </c>
      <c r="F17" s="389">
        <v>3.1585087000000001</v>
      </c>
      <c r="G17" s="277">
        <f t="shared" si="1"/>
        <v>-11</v>
      </c>
      <c r="H17" s="548"/>
      <c r="I17" s="389"/>
      <c r="J17" s="277"/>
      <c r="K17" s="147">
        <v>88</v>
      </c>
      <c r="L17" s="353">
        <v>101</v>
      </c>
      <c r="M17" s="350">
        <f t="shared" si="3"/>
        <v>14.8</v>
      </c>
      <c r="N17" s="147">
        <v>374.27320900000001</v>
      </c>
      <c r="O17" s="353">
        <v>333.63552900000002</v>
      </c>
      <c r="P17" s="277">
        <f t="shared" si="4"/>
        <v>-10.9</v>
      </c>
      <c r="Q17" s="147">
        <v>113.9119</v>
      </c>
      <c r="R17" s="353">
        <v>106</v>
      </c>
      <c r="S17" s="277">
        <f t="shared" si="5"/>
        <v>-6.9</v>
      </c>
      <c r="T17" s="147"/>
      <c r="U17" s="353"/>
      <c r="V17" s="277"/>
      <c r="W17" s="524">
        <v>133.09494417999997</v>
      </c>
      <c r="X17" s="376">
        <v>107.45764512000001</v>
      </c>
      <c r="Y17" s="277">
        <f t="shared" si="7"/>
        <v>-19.3</v>
      </c>
      <c r="Z17" s="147">
        <v>255.20319761999997</v>
      </c>
      <c r="AA17" s="353">
        <v>283.81985088000005</v>
      </c>
      <c r="AB17" s="277">
        <f t="shared" si="8"/>
        <v>11.2</v>
      </c>
      <c r="AC17" s="147"/>
      <c r="AD17" s="353"/>
      <c r="AE17" s="277"/>
      <c r="AF17" s="277">
        <f t="shared" si="10"/>
        <v>983.74625442000001</v>
      </c>
      <c r="AG17" s="277">
        <f t="shared" si="10"/>
        <v>954.31653370000004</v>
      </c>
      <c r="AH17" s="277">
        <f t="shared" si="11"/>
        <v>-3</v>
      </c>
      <c r="AI17" s="353">
        <f t="shared" si="12"/>
        <v>983.74625442000001</v>
      </c>
      <c r="AJ17" s="353">
        <f t="shared" si="12"/>
        <v>954.31653370000004</v>
      </c>
      <c r="AK17" s="277">
        <f t="shared" si="13"/>
        <v>-3</v>
      </c>
    </row>
    <row r="18" spans="1:37" s="365" customFormat="1" ht="18.75" customHeight="1" x14ac:dyDescent="0.3">
      <c r="A18" s="427" t="s">
        <v>252</v>
      </c>
      <c r="B18" s="147"/>
      <c r="C18" s="541"/>
      <c r="D18" s="277"/>
      <c r="E18" s="548"/>
      <c r="F18" s="389"/>
      <c r="G18" s="277"/>
      <c r="H18" s="548"/>
      <c r="I18" s="389"/>
      <c r="J18" s="277"/>
      <c r="K18" s="147"/>
      <c r="L18" s="353"/>
      <c r="M18" s="350"/>
      <c r="N18" s="147"/>
      <c r="O18" s="353"/>
      <c r="P18" s="277"/>
      <c r="Q18" s="537"/>
      <c r="R18" s="377"/>
      <c r="S18" s="277"/>
      <c r="T18" s="147"/>
      <c r="U18" s="353"/>
      <c r="V18" s="277"/>
      <c r="W18" s="524"/>
      <c r="X18" s="376"/>
      <c r="Y18" s="277"/>
      <c r="Z18" s="147"/>
      <c r="AA18" s="353"/>
      <c r="AB18" s="277"/>
      <c r="AC18" s="147"/>
      <c r="AD18" s="353"/>
      <c r="AE18" s="277"/>
      <c r="AF18" s="277"/>
      <c r="AG18" s="277"/>
      <c r="AH18" s="277"/>
      <c r="AI18" s="353"/>
      <c r="AJ18" s="353"/>
      <c r="AK18" s="436"/>
    </row>
    <row r="19" spans="1:37" s="365" customFormat="1" ht="18.75" customHeight="1" x14ac:dyDescent="0.3">
      <c r="A19" s="427" t="s">
        <v>253</v>
      </c>
      <c r="B19" s="434">
        <v>-4440.6719999999996</v>
      </c>
      <c r="C19" s="542">
        <v>-4198.5029999999997</v>
      </c>
      <c r="D19" s="277">
        <f>IF(B19=0, "    ---- ", IF(ABS(ROUND(100/B19*C19-100,1))&lt;999,ROUND(100/B19*C19-100,1),IF(ROUND(100/B19*C19-100,1)&gt;999,999,-999)))</f>
        <v>-5.5</v>
      </c>
      <c r="E19" s="434">
        <v>-540.32107165999992</v>
      </c>
      <c r="F19" s="350">
        <v>-578.40952201999994</v>
      </c>
      <c r="G19" s="277">
        <f>IF(E19=0, "    ---- ", IF(ABS(ROUND(100/E19*F19-100,1))&lt;999,ROUND(100/E19*F19-100,1),IF(ROUND(100/E19*F19-100,1)&gt;999,999,-999)))</f>
        <v>7</v>
      </c>
      <c r="H19" s="434">
        <v>-52.926000000000002</v>
      </c>
      <c r="I19" s="350">
        <v>-56.671999999999997</v>
      </c>
      <c r="J19" s="277">
        <f>IF(H19=0, "    ---- ", IF(ABS(ROUND(100/H19*I19-100,1))&lt;999,ROUND(100/H19*I19-100,1),IF(ROUND(100/H19*I19-100,1)&gt;999,999,-999)))</f>
        <v>7.1</v>
      </c>
      <c r="K19" s="434">
        <v>-388</v>
      </c>
      <c r="L19" s="350">
        <v>-462</v>
      </c>
      <c r="M19" s="277">
        <f>IF(K19=0, "    ---- ", IF(ABS(ROUND(100/K19*L19-100,1))&lt;999,ROUND(100/K19*L19-100,1),IF(ROUND(100/K19*L19-100,1)&gt;999,999,-999)))</f>
        <v>19.100000000000001</v>
      </c>
      <c r="N19" s="434">
        <v>-6943.8296426800007</v>
      </c>
      <c r="O19" s="350">
        <v>-7314.1649600399996</v>
      </c>
      <c r="P19" s="277">
        <f>IF(N19=0, "    ---- ", IF(ABS(ROUND(100/N19*O19-100,1))&lt;999,ROUND(100/N19*O19-100,1),IF(ROUND(100/N19*O19-100,1)&gt;999,999,-999)))</f>
        <v>5.3</v>
      </c>
      <c r="Q19" s="434">
        <v>-7720.4643999999998</v>
      </c>
      <c r="R19" s="350">
        <v>-3010</v>
      </c>
      <c r="S19" s="277">
        <f>IF(Q19=0, "    ---- ", IF(ABS(ROUND(100/Q19*R19-100,1))&lt;999,ROUND(100/Q19*R19-100,1),IF(ROUND(100/Q19*R19-100,1)&gt;999,999,-999)))</f>
        <v>-61</v>
      </c>
      <c r="T19" s="434">
        <v>-961</v>
      </c>
      <c r="U19" s="350">
        <v>-1019</v>
      </c>
      <c r="V19" s="277">
        <f>IF(T19=0, "    ---- ", IF(ABS(ROUND(100/T19*U19-100,1))&lt;999,ROUND(100/T19*U19-100,1),IF(ROUND(100/T19*U19-100,1)&gt;999,999,-999)))</f>
        <v>6</v>
      </c>
      <c r="W19" s="525">
        <v>-592.81531613999994</v>
      </c>
      <c r="X19" s="378">
        <v>-614.67898249999962</v>
      </c>
      <c r="Y19" s="277">
        <f>IF(W19=0, "    ---- ", IF(ABS(ROUND(100/W19*X19-100,1))&lt;999,ROUND(100/W19*X19-100,1),IF(ROUND(100/W19*X19-100,1)&gt;999,999,-999)))</f>
        <v>3.7</v>
      </c>
      <c r="Z19" s="434">
        <v>-4352.6336827100013</v>
      </c>
      <c r="AA19" s="350">
        <v>-4295.1039667199993</v>
      </c>
      <c r="AB19" s="277">
        <f>IF(Z19=0, "    ---- ", IF(ABS(ROUND(100/Z19*AA19-100,1))&lt;999,ROUND(100/Z19*AA19-100,1),IF(ROUND(100/Z19*AA19-100,1)&gt;999,999,-999)))</f>
        <v>-1.3</v>
      </c>
      <c r="AC19" s="434">
        <v>-2</v>
      </c>
      <c r="AD19" s="350">
        <v>-7</v>
      </c>
      <c r="AE19" s="277">
        <f>IF(AC19=0, "    ---- ", IF(ABS(ROUND(100/AC19*AD19-100,1))&lt;999,ROUND(100/AC19*AD19-100,1),IF(ROUND(100/AC19*AD19-100,1)&gt;999,999,-999)))</f>
        <v>250</v>
      </c>
      <c r="AF19" s="277">
        <f t="shared" si="10"/>
        <v>-25992.662113190003</v>
      </c>
      <c r="AG19" s="277">
        <f t="shared" si="10"/>
        <v>-21548.532431279997</v>
      </c>
      <c r="AH19" s="277">
        <f t="shared" si="11"/>
        <v>-17.100000000000001</v>
      </c>
      <c r="AI19" s="353">
        <f t="shared" si="12"/>
        <v>-25994.662113190003</v>
      </c>
      <c r="AJ19" s="353">
        <f t="shared" si="12"/>
        <v>-21555.532431279997</v>
      </c>
      <c r="AK19" s="277">
        <f>IF(AI19=0, "    ---- ", IF(ABS(ROUND(100/AI19*AJ19-100,1))&lt;999,ROUND(100/AI19*AJ19-100,1),IF(ROUND(100/AI19*AJ19-100,1)&gt;999,999,-999)))</f>
        <v>-17.100000000000001</v>
      </c>
    </row>
    <row r="20" spans="1:37" s="365" customFormat="1" ht="37.5" x14ac:dyDescent="0.3">
      <c r="A20" s="566" t="s">
        <v>254</v>
      </c>
      <c r="B20" s="435">
        <v>-5570.3130000000001</v>
      </c>
      <c r="C20" s="541">
        <v>-7995.4</v>
      </c>
      <c r="D20" s="277">
        <f>IF(B20=0, "    ---- ", IF(ABS(ROUND(100/B20*C20-100,1))&lt;999,ROUND(100/B20*C20-100,1),IF(ROUND(100/B20*C20-100,1)&gt;999,999,-999)))</f>
        <v>43.5</v>
      </c>
      <c r="E20" s="435">
        <v>28.833831730000004</v>
      </c>
      <c r="F20" s="277">
        <v>25.907137180000003</v>
      </c>
      <c r="G20" s="277">
        <f>IF(E20=0, "    ---- ", IF(ABS(ROUND(100/E20*F20-100,1))&lt;999,ROUND(100/E20*F20-100,1),IF(ROUND(100/E20*F20-100,1)&gt;999,999,-999)))</f>
        <v>-10.199999999999999</v>
      </c>
      <c r="H20" s="435"/>
      <c r="I20" s="277"/>
      <c r="J20" s="277"/>
      <c r="K20" s="435">
        <v>-2837</v>
      </c>
      <c r="L20" s="277">
        <v>-3130</v>
      </c>
      <c r="M20" s="277">
        <f>IF(K20=0, "    ---- ", IF(ABS(ROUND(100/K20*L20-100,1))&lt;999,ROUND(100/K20*L20-100,1),IF(ROUND(100/K20*L20-100,1)&gt;999,999,-999)))</f>
        <v>10.3</v>
      </c>
      <c r="N20" s="435">
        <v>-4289.0735640000003</v>
      </c>
      <c r="O20" s="277">
        <v>-890.230099</v>
      </c>
      <c r="P20" s="277">
        <f>IF(N20=0, "    ---- ", IF(ABS(ROUND(100/N20*O20-100,1))&lt;999,ROUND(100/N20*O20-100,1),IF(ROUND(100/N20*O20-100,1)&gt;999,999,-999)))</f>
        <v>-79.2</v>
      </c>
      <c r="Q20" s="538">
        <v>-4356</v>
      </c>
      <c r="R20" s="539">
        <v>-3688</v>
      </c>
      <c r="S20" s="277">
        <f>IF(Q20=0, "    ---- ", IF(ABS(ROUND(100/Q20*R20-100,1))&lt;999,ROUND(100/Q20*R20-100,1),IF(ROUND(100/Q20*R20-100,1)&gt;999,999,-999)))</f>
        <v>-15.3</v>
      </c>
      <c r="T20" s="526">
        <v>0</v>
      </c>
      <c r="U20" s="379"/>
      <c r="V20" s="277"/>
      <c r="W20" s="526">
        <v>-2435.3999567700012</v>
      </c>
      <c r="X20" s="379">
        <v>-3672.7341833600003</v>
      </c>
      <c r="Y20" s="277">
        <f>IF(W20=0, "    ---- ", IF(ABS(ROUND(100/W20*X20-100,1))&lt;999,ROUND(100/W20*X20-100,1),IF(ROUND(100/W20*X20-100,1)&gt;999,999,-999)))</f>
        <v>50.8</v>
      </c>
      <c r="Z20" s="435">
        <v>-6313.9057551000005</v>
      </c>
      <c r="AA20" s="277">
        <v>-7025.8361084899998</v>
      </c>
      <c r="AB20" s="277">
        <f>IF(Z20=0, "    ---- ", IF(ABS(ROUND(100/Z20*AA20-100,1))&lt;999,ROUND(100/Z20*AA20-100,1),IF(ROUND(100/Z20*AA20-100,1)&gt;999,999,-999)))</f>
        <v>11.3</v>
      </c>
      <c r="AC20" s="435"/>
      <c r="AD20" s="277">
        <v>-2</v>
      </c>
      <c r="AE20" s="277" t="str">
        <f>IF(AC20=0, "    ---- ", IF(ABS(ROUND(100/AC20*AD20-100,1))&lt;999,ROUND(100/AC20*AD20-100,1),IF(ROUND(100/AC20*AD20-100,1)&gt;999,999,-999)))</f>
        <v xml:space="preserve">    ---- </v>
      </c>
      <c r="AF20" s="277">
        <f t="shared" si="10"/>
        <v>-25772.858444140002</v>
      </c>
      <c r="AG20" s="277">
        <f t="shared" si="10"/>
        <v>-26376.293253669999</v>
      </c>
      <c r="AH20" s="277">
        <f>IF(AF20=0, "    ---- ", IF(ABS(ROUND(100/AF20*AG20-100,1))&lt;999,ROUND(100/AF20*AG20-100,1),IF(ROUND(100/AF20*AG20-100,1)&gt;999,999,-999)))</f>
        <v>2.2999999999999998</v>
      </c>
      <c r="AI20" s="353">
        <f t="shared" si="12"/>
        <v>-25772.858444140002</v>
      </c>
      <c r="AJ20" s="353">
        <f t="shared" si="12"/>
        <v>-26378.293253669999</v>
      </c>
      <c r="AK20" s="277">
        <f>IF(AI20=0, "    ---- ", IF(ABS(ROUND(100/AI20*AJ20-100,1))&lt;999,ROUND(100/AI20*AJ20-100,1),IF(ROUND(100/AI20*AJ20-100,1)&gt;999,999,-999)))</f>
        <v>2.2999999999999998</v>
      </c>
    </row>
    <row r="21" spans="1:37" s="365" customFormat="1" ht="18.75" customHeight="1" x14ac:dyDescent="0.3">
      <c r="A21" s="427" t="s">
        <v>255</v>
      </c>
      <c r="B21" s="434">
        <f>SUM(B19:B20)</f>
        <v>-10010.985000000001</v>
      </c>
      <c r="C21" s="542">
        <f>SUM(C19:C20)</f>
        <v>-12193.902999999998</v>
      </c>
      <c r="D21" s="277">
        <f>IF(B21=0, "    ---- ", IF(ABS(ROUND(100/B21*C21-100,1))&lt;999,ROUND(100/B21*C21-100,1),IF(ROUND(100/B21*C21-100,1)&gt;999,999,-999)))</f>
        <v>21.8</v>
      </c>
      <c r="E21" s="434">
        <f>SUM(E19:E20)</f>
        <v>-511.48723992999993</v>
      </c>
      <c r="F21" s="350">
        <f>SUM(F19:F20)</f>
        <v>-552.50238483999999</v>
      </c>
      <c r="G21" s="277">
        <f>IF(E21=0, "    ---- ", IF(ABS(ROUND(100/E21*F21-100,1))&lt;999,ROUND(100/E21*F21-100,1),IF(ROUND(100/E21*F21-100,1)&gt;999,999,-999)))</f>
        <v>8</v>
      </c>
      <c r="H21" s="434">
        <f>SUM(H19:H20)</f>
        <v>-52.926000000000002</v>
      </c>
      <c r="I21" s="350">
        <f>SUM(I19:I20)</f>
        <v>-56.671999999999997</v>
      </c>
      <c r="J21" s="277">
        <f>IF(H21=0, "    ---- ", IF(ABS(ROUND(100/H21*I21-100,1))&lt;999,ROUND(100/H21*I21-100,1),IF(ROUND(100/H21*I21-100,1)&gt;999,999,-999)))</f>
        <v>7.1</v>
      </c>
      <c r="K21" s="434">
        <f>SUM(K19:K20)</f>
        <v>-3225</v>
      </c>
      <c r="L21" s="350">
        <f>SUM(L19:L20)</f>
        <v>-3592</v>
      </c>
      <c r="M21" s="277">
        <f>IF(K21=0, "    ---- ", IF(ABS(ROUND(100/K21*L21-100,1))&lt;999,ROUND(100/K21*L21-100,1),IF(ROUND(100/K21*L21-100,1)&gt;999,999,-999)))</f>
        <v>11.4</v>
      </c>
      <c r="N21" s="434">
        <v>-11232.903206680001</v>
      </c>
      <c r="O21" s="350">
        <v>-8204.39505904</v>
      </c>
      <c r="P21" s="277">
        <f>IF(N21=0, "    ---- ", IF(ABS(ROUND(100/N21*O21-100,1))&lt;999,ROUND(100/N21*O21-100,1),IF(ROUND(100/N21*O21-100,1)&gt;999,999,-999)))</f>
        <v>-27</v>
      </c>
      <c r="Q21" s="434">
        <f>SUM(Q19:Q20)</f>
        <v>-12076.464400000001</v>
      </c>
      <c r="R21" s="350">
        <f>SUM(R19:R20)</f>
        <v>-6698</v>
      </c>
      <c r="S21" s="277">
        <f>IF(Q21=0, "    ---- ", IF(ABS(ROUND(100/Q21*R21-100,1))&lt;999,ROUND(100/Q21*R21-100,1),IF(ROUND(100/Q21*R21-100,1)&gt;999,999,-999)))</f>
        <v>-44.5</v>
      </c>
      <c r="T21" s="434">
        <v>-961</v>
      </c>
      <c r="U21" s="350">
        <f>SUM(U19:U20)</f>
        <v>-1019</v>
      </c>
      <c r="V21" s="277">
        <f>IF(T21=0, "    ---- ", IF(ABS(ROUND(100/T21*U21-100,1))&lt;999,ROUND(100/T21*U21-100,1),IF(ROUND(100/T21*U21-100,1)&gt;999,999,-999)))</f>
        <v>6</v>
      </c>
      <c r="W21" s="434">
        <f>SUM(W19:W20)</f>
        <v>-3028.2152729100012</v>
      </c>
      <c r="X21" s="350">
        <f>SUM(X19:X20)</f>
        <v>-4287.4131658599999</v>
      </c>
      <c r="Y21" s="277">
        <f>IF(W21=0, "    ---- ", IF(ABS(ROUND(100/W21*X21-100,1))&lt;999,ROUND(100/W21*X21-100,1),IF(ROUND(100/W21*X21-100,1)&gt;999,999,-999)))</f>
        <v>41.6</v>
      </c>
      <c r="Z21" s="434">
        <f>SUM(Z19:Z20)</f>
        <v>-10666.539437810003</v>
      </c>
      <c r="AA21" s="350">
        <f>SUM(AA19:AA20)</f>
        <v>-11320.940075209999</v>
      </c>
      <c r="AB21" s="277">
        <f>IF(Z21=0, "    ---- ", IF(ABS(ROUND(100/Z21*AA21-100,1))&lt;999,ROUND(100/Z21*AA21-100,1),IF(ROUND(100/Z21*AA21-100,1)&gt;999,999,-999)))</f>
        <v>6.1</v>
      </c>
      <c r="AC21" s="434">
        <f>SUM(AC19:AC20)</f>
        <v>-2</v>
      </c>
      <c r="AD21" s="350">
        <f>SUM(AD19:AD20)</f>
        <v>-9</v>
      </c>
      <c r="AE21" s="277">
        <f>IF(AC21=0, "    ---- ", IF(ABS(ROUND(100/AC21*AD21-100,1))&lt;999,ROUND(100/AC21*AD21-100,1),IF(ROUND(100/AC21*AD21-100,1)&gt;999,999,-999)))</f>
        <v>350</v>
      </c>
      <c r="AF21" s="277">
        <f t="shared" si="10"/>
        <v>-51765.520557329997</v>
      </c>
      <c r="AG21" s="277">
        <f t="shared" si="10"/>
        <v>-47924.825684949996</v>
      </c>
      <c r="AH21" s="277">
        <f t="shared" si="11"/>
        <v>-7.4</v>
      </c>
      <c r="AI21" s="353">
        <f t="shared" si="12"/>
        <v>-51767.520557329997</v>
      </c>
      <c r="AJ21" s="353">
        <f t="shared" si="12"/>
        <v>-47933.825684949996</v>
      </c>
      <c r="AK21" s="277">
        <f>IF(AI21=0, "    ---- ", IF(ABS(ROUND(100/AI21*AJ21-100,1))&lt;999,ROUND(100/AI21*AJ21-100,1),IF(ROUND(100/AI21*AJ21-100,1)&gt;999,999,-999)))</f>
        <v>-7.4</v>
      </c>
    </row>
    <row r="22" spans="1:37" s="365" customFormat="1" ht="18.75" customHeight="1" x14ac:dyDescent="0.3">
      <c r="A22" s="427" t="s">
        <v>256</v>
      </c>
      <c r="B22" s="147"/>
      <c r="C22" s="541"/>
      <c r="D22" s="277"/>
      <c r="E22" s="527"/>
      <c r="F22" s="387"/>
      <c r="G22" s="277"/>
      <c r="H22" s="527"/>
      <c r="I22" s="387"/>
      <c r="J22" s="277"/>
      <c r="K22" s="147"/>
      <c r="L22" s="353"/>
      <c r="M22" s="277"/>
      <c r="N22" s="147"/>
      <c r="O22" s="353"/>
      <c r="P22" s="277"/>
      <c r="Q22" s="527"/>
      <c r="R22" s="387"/>
      <c r="S22" s="277"/>
      <c r="T22" s="527"/>
      <c r="U22" s="387"/>
      <c r="V22" s="277"/>
      <c r="W22" s="527"/>
      <c r="X22" s="387"/>
      <c r="Y22" s="277"/>
      <c r="Z22" s="147"/>
      <c r="AA22" s="353"/>
      <c r="AB22" s="277"/>
      <c r="AC22" s="147"/>
      <c r="AD22" s="353"/>
      <c r="AE22" s="277"/>
      <c r="AF22" s="277"/>
      <c r="AG22" s="277"/>
      <c r="AH22" s="277"/>
      <c r="AI22" s="277"/>
      <c r="AJ22" s="277"/>
      <c r="AK22" s="277"/>
    </row>
    <row r="23" spans="1:37" s="365" customFormat="1" ht="18.75" customHeight="1" x14ac:dyDescent="0.3">
      <c r="A23" s="427" t="s">
        <v>257</v>
      </c>
      <c r="B23" s="435">
        <v>1438.441</v>
      </c>
      <c r="C23" s="541">
        <v>1188.6120000000001</v>
      </c>
      <c r="D23" s="277">
        <f t="shared" ref="D23:D30" si="14">IF(B23=0, "    ---- ", IF(ABS(ROUND(100/B23*C23-100,1))&lt;999,ROUND(100/B23*C23-100,1),IF(ROUND(100/B23*C23-100,1)&gt;999,999,-999)))</f>
        <v>-17.399999999999999</v>
      </c>
      <c r="E23" s="435">
        <v>-260.18772637000001</v>
      </c>
      <c r="F23" s="277">
        <v>-177.87939356999993</v>
      </c>
      <c r="G23" s="277">
        <f>IF(E23=0, "    ---- ", IF(ABS(ROUND(100/E23*F23-100,1))&lt;999,ROUND(100/E23*F23-100,1),IF(ROUND(100/E23*F23-100,1)&gt;999,999,-999)))</f>
        <v>-31.6</v>
      </c>
      <c r="H23" s="435">
        <v>-725.84500000000003</v>
      </c>
      <c r="I23" s="277">
        <v>-764.50400000000002</v>
      </c>
      <c r="J23" s="277">
        <f>IF(H23=0, "    ---- ", IF(ABS(ROUND(100/H23*I23-100,1))&lt;999,ROUND(100/H23*I23-100,1),IF(ROUND(100/H23*I23-100,1)&gt;999,999,-999)))</f>
        <v>5.3</v>
      </c>
      <c r="K23" s="435">
        <v>-380</v>
      </c>
      <c r="L23" s="277">
        <v>-336</v>
      </c>
      <c r="M23" s="277">
        <f t="shared" ref="M23:M32" si="15">IF(K23=0, "    ---- ", IF(ABS(ROUND(100/K23*L23-100,1))&lt;999,ROUND(100/K23*L23-100,1),IF(ROUND(100/K23*L23-100,1)&gt;999,999,-999)))</f>
        <v>-11.6</v>
      </c>
      <c r="N23" s="435">
        <v>359.36625456000002</v>
      </c>
      <c r="O23" s="277">
        <v>-6582.56880955</v>
      </c>
      <c r="P23" s="277">
        <f t="shared" ref="P23:P31" si="16">IF(N23=0, "    ---- ", IF(ABS(ROUND(100/N23*O23-100,1))&lt;999,ROUND(100/N23*O23-100,1),IF(ROUND(100/N23*O23-100,1)&gt;999,999,-999)))</f>
        <v>-999</v>
      </c>
      <c r="Q23" s="435">
        <v>-296.49639999999999</v>
      </c>
      <c r="R23" s="277">
        <v>-388</v>
      </c>
      <c r="S23" s="277">
        <f t="shared" ref="S23:S30" si="17">IF(Q23=0, "    ---- ", IF(ABS(ROUND(100/Q23*R23-100,1))&lt;999,ROUND(100/Q23*R23-100,1),IF(ROUND(100/Q23*R23-100,1)&gt;999,999,-999)))</f>
        <v>30.9</v>
      </c>
      <c r="T23" s="435">
        <v>-238</v>
      </c>
      <c r="U23" s="277">
        <v>27</v>
      </c>
      <c r="V23" s="277">
        <f>IF(T23=0, "    ---- ", IF(ABS(ROUND(100/T23*U23-100,1))&lt;999,ROUND(100/T23*U23-100,1),IF(ROUND(100/T23*U23-100,1)&gt;999,999,-999)))</f>
        <v>-111.3</v>
      </c>
      <c r="W23" s="435">
        <v>-977.70298674000014</v>
      </c>
      <c r="X23" s="277">
        <v>6.7961795299999066</v>
      </c>
      <c r="Y23" s="277">
        <f t="shared" ref="Y23:Y30" si="18">IF(W23=0, "    ---- ", IF(ABS(ROUND(100/W23*X23-100,1))&lt;999,ROUND(100/W23*X23-100,1),IF(ROUND(100/W23*X23-100,1)&gt;999,999,-999)))</f>
        <v>-100.7</v>
      </c>
      <c r="Z23" s="435">
        <v>-3824.0277751400026</v>
      </c>
      <c r="AA23" s="277">
        <v>-912.68314222000242</v>
      </c>
      <c r="AB23" s="277">
        <f t="shared" ref="AB23:AB30" si="19">IF(Z23=0, "    ---- ", IF(ABS(ROUND(100/Z23*AA23-100,1))&lt;999,ROUND(100/Z23*AA23-100,1),IF(ROUND(100/Z23*AA23-100,1)&gt;999,999,-999)))</f>
        <v>-76.099999999999994</v>
      </c>
      <c r="AC23" s="435">
        <v>-42</v>
      </c>
      <c r="AD23" s="277">
        <v>4</v>
      </c>
      <c r="AE23" s="277">
        <f t="shared" ref="AE23:AE30" si="20">IF(AC23=0, "    ---- ", IF(ABS(ROUND(100/AC23*AD23-100,1))&lt;999,ROUND(100/AC23*AD23-100,1),IF(ROUND(100/AC23*AD23-100,1)&gt;999,999,-999)))</f>
        <v>-109.5</v>
      </c>
      <c r="AF23" s="277">
        <f t="shared" si="10"/>
        <v>-4904.4526336900026</v>
      </c>
      <c r="AG23" s="277">
        <f t="shared" si="10"/>
        <v>-7939.2271658100026</v>
      </c>
      <c r="AH23" s="277">
        <f t="shared" si="11"/>
        <v>61.9</v>
      </c>
      <c r="AI23" s="277"/>
      <c r="AJ23" s="277"/>
      <c r="AK23" s="277"/>
    </row>
    <row r="24" spans="1:37" s="365" customFormat="1" ht="18.75" customHeight="1" x14ac:dyDescent="0.3">
      <c r="A24" s="427" t="s">
        <v>258</v>
      </c>
      <c r="B24" s="435">
        <v>-287.93299999999999</v>
      </c>
      <c r="C24" s="541">
        <v>-216.70599999999999</v>
      </c>
      <c r="D24" s="277">
        <f>IF(B24=0, "    ---- ", IF(ABS(ROUND(100/B24*C24-100,1))&lt;999,ROUND(100/B24*C24-100,1),IF(ROUND(100/B24*C24-100,1)&gt;999,999,-999)))</f>
        <v>-24.7</v>
      </c>
      <c r="E24" s="435"/>
      <c r="F24" s="277"/>
      <c r="G24" s="277"/>
      <c r="H24" s="435">
        <v>-3</v>
      </c>
      <c r="I24" s="277">
        <v>-6.423</v>
      </c>
      <c r="J24" s="277">
        <f>IF(H24=0, "    ---- ", IF(ABS(ROUND(100/H24*I24-100,1))&lt;999,ROUND(100/H24*I24-100,1),IF(ROUND(100/H24*I24-100,1)&gt;999,999,-999)))</f>
        <v>114.1</v>
      </c>
      <c r="K24" s="435">
        <v>-5</v>
      </c>
      <c r="L24" s="277">
        <v>-37</v>
      </c>
      <c r="M24" s="277">
        <f>IF(K24=0, "    ---- ", IF(ABS(ROUND(100/K24*L24-100,1))&lt;999,ROUND(100/K24*L24-100,1),IF(ROUND(100/K24*L24-100,1)&gt;999,999,-999)))</f>
        <v>640</v>
      </c>
      <c r="N24" s="435"/>
      <c r="O24" s="277"/>
      <c r="P24" s="277"/>
      <c r="Q24" s="435">
        <v>110</v>
      </c>
      <c r="R24" s="277">
        <v>93</v>
      </c>
      <c r="S24" s="277">
        <f>IF(Q24=0, "    ---- ", IF(ABS(ROUND(100/Q24*R24-100,1))&lt;999,ROUND(100/Q24*R24-100,1),IF(ROUND(100/Q24*R24-100,1)&gt;999,999,-999)))</f>
        <v>-15.5</v>
      </c>
      <c r="T24" s="435">
        <v>187</v>
      </c>
      <c r="U24" s="277">
        <v>947</v>
      </c>
      <c r="V24" s="277">
        <f>IF(T24=0, "    ---- ", IF(ABS(ROUND(100/T24*U24-100,1))&lt;999,ROUND(100/T24*U24-100,1),IF(ROUND(100/T24*U24-100,1)&gt;999,999,-999)))</f>
        <v>406.4</v>
      </c>
      <c r="W24" s="435">
        <v>13.242593169999994</v>
      </c>
      <c r="X24" s="277">
        <v>16.473173740000043</v>
      </c>
      <c r="Y24" s="277">
        <f>IF(W24=0, "    ---- ", IF(ABS(ROUND(100/W24*X24-100,1))&lt;999,ROUND(100/W24*X24-100,1),IF(ROUND(100/W24*X24-100,1)&gt;999,999,-999)))</f>
        <v>24.4</v>
      </c>
      <c r="Z24" s="435">
        <v>-110.91931099999999</v>
      </c>
      <c r="AA24" s="277">
        <v>499.86026711000005</v>
      </c>
      <c r="AB24" s="277">
        <f>IF(Z24=0, "    ---- ", IF(ABS(ROUND(100/Z24*AA24-100,1))&lt;999,ROUND(100/Z24*AA24-100,1),IF(ROUND(100/Z24*AA24-100,1)&gt;999,999,-999)))</f>
        <v>-550.70000000000005</v>
      </c>
      <c r="AC24" s="435"/>
      <c r="AD24" s="277"/>
      <c r="AE24" s="277"/>
      <c r="AF24" s="277">
        <f t="shared" si="10"/>
        <v>-96.609717829999994</v>
      </c>
      <c r="AG24" s="277">
        <f t="shared" si="10"/>
        <v>1296.2044408500001</v>
      </c>
      <c r="AH24" s="277">
        <f>IF(AF24=0, "    ---- ", IF(ABS(ROUND(100/AF24*AG24-100,1))&lt;999,ROUND(100/AF24*AG24-100,1),IF(ROUND(100/AF24*AG24-100,1)&gt;999,999,-999)))</f>
        <v>-999</v>
      </c>
      <c r="AI24" s="277"/>
      <c r="AJ24" s="277"/>
      <c r="AK24" s="277"/>
    </row>
    <row r="25" spans="1:37" s="365" customFormat="1" ht="18.75" customHeight="1" x14ac:dyDescent="0.3">
      <c r="A25" s="569" t="s">
        <v>420</v>
      </c>
      <c r="B25" s="435"/>
      <c r="C25" s="541"/>
      <c r="D25" s="277"/>
      <c r="E25" s="435"/>
      <c r="F25" s="277"/>
      <c r="G25" s="277"/>
      <c r="H25" s="435"/>
      <c r="I25" s="277"/>
      <c r="J25" s="277"/>
      <c r="K25" s="435"/>
      <c r="L25" s="277"/>
      <c r="M25" s="277"/>
      <c r="N25" s="435"/>
      <c r="O25" s="277"/>
      <c r="P25" s="277"/>
      <c r="Q25" s="435"/>
      <c r="R25" s="277"/>
      <c r="S25" s="277"/>
      <c r="T25" s="435"/>
      <c r="U25" s="277"/>
      <c r="V25" s="277"/>
      <c r="W25" s="435"/>
      <c r="X25" s="277"/>
      <c r="Y25" s="277"/>
      <c r="Z25" s="435"/>
      <c r="AA25" s="277"/>
      <c r="AB25" s="277"/>
      <c r="AC25" s="435"/>
      <c r="AD25" s="277"/>
      <c r="AE25" s="277"/>
      <c r="AF25" s="277">
        <f t="shared" si="10"/>
        <v>0</v>
      </c>
      <c r="AG25" s="277">
        <f t="shared" si="10"/>
        <v>0</v>
      </c>
      <c r="AH25" s="277" t="str">
        <f>IF(AF25=0, "    ---- ", IF(ABS(ROUND(100/AF25*AG25-100,1))&lt;999,ROUND(100/AF25*AG25-100,1),IF(ROUND(100/AF25*AG25-100,1)&gt;999,999,-999)))</f>
        <v xml:space="preserve">    ---- </v>
      </c>
      <c r="AI25" s="277"/>
      <c r="AJ25" s="277"/>
      <c r="AK25" s="277"/>
    </row>
    <row r="26" spans="1:37" s="365" customFormat="1" ht="18.75" customHeight="1" x14ac:dyDescent="0.3">
      <c r="A26" s="427" t="s">
        <v>259</v>
      </c>
      <c r="B26" s="435">
        <v>-2.069</v>
      </c>
      <c r="C26" s="541">
        <v>-1.9259999999999999</v>
      </c>
      <c r="D26" s="277">
        <f>IF(B26=0, "    ---- ", IF(ABS(ROUND(100/B26*C26-100,1))&lt;999,ROUND(100/B26*C26-100,1),IF(ROUND(100/B26*C26-100,1)&gt;999,999,-999)))</f>
        <v>-6.9</v>
      </c>
      <c r="E26" s="435"/>
      <c r="F26" s="277"/>
      <c r="G26" s="277"/>
      <c r="H26" s="435"/>
      <c r="I26" s="277"/>
      <c r="J26" s="277"/>
      <c r="K26" s="435">
        <v>36</v>
      </c>
      <c r="L26" s="277">
        <v>110</v>
      </c>
      <c r="M26" s="350">
        <f t="shared" ref="M26" si="21">IF(K26=0, "    ---- ", IF(ABS(ROUND(100/K26*L26-100,1))&lt;999,ROUND(100/K26*L26-100,1),IF(ROUND(100/K26*L26-100,1)&gt;999,999,-999)))</f>
        <v>205.6</v>
      </c>
      <c r="N26" s="435">
        <v>-313.94869799999998</v>
      </c>
      <c r="O26" s="277">
        <v>-318.79101700000001</v>
      </c>
      <c r="P26" s="277">
        <f>IF(N26=0, "    ---- ", IF(ABS(ROUND(100/N26*O26-100,1))&lt;999,ROUND(100/N26*O26-100,1),IF(ROUND(100/N26*O26-100,1)&gt;999,999,-999)))</f>
        <v>1.5</v>
      </c>
      <c r="Q26" s="435">
        <v>-1</v>
      </c>
      <c r="R26" s="277">
        <v>-1</v>
      </c>
      <c r="S26" s="277">
        <f>IF(Q26=0, "    ---- ", IF(ABS(ROUND(100/Q26*R26-100,1))&lt;999,ROUND(100/Q26*R26-100,1),IF(ROUND(100/Q26*R26-100,1)&gt;999,999,-999)))</f>
        <v>0</v>
      </c>
      <c r="T26" s="435">
        <v>-32</v>
      </c>
      <c r="U26" s="277">
        <v>-37</v>
      </c>
      <c r="V26" s="277">
        <f>IF(T26=0, "    ---- ", IF(ABS(ROUND(100/T26*U26-100,1))&lt;999,ROUND(100/T26*U26-100,1),IF(ROUND(100/T26*U26-100,1)&gt;999,999,-999)))</f>
        <v>15.6</v>
      </c>
      <c r="W26" s="435">
        <v>0.317998</v>
      </c>
      <c r="X26" s="277">
        <v>0.30021900000000001</v>
      </c>
      <c r="Y26" s="277">
        <f>IF(W26=0, "    ---- ", IF(ABS(ROUND(100/W26*X26-100,1))&lt;999,ROUND(100/W26*X26-100,1),IF(ROUND(100/W26*X26-100,1)&gt;999,999,-999)))</f>
        <v>-5.6</v>
      </c>
      <c r="Z26" s="435">
        <v>-33.371235600000006</v>
      </c>
      <c r="AA26" s="277">
        <v>-0.259492</v>
      </c>
      <c r="AB26" s="277">
        <f>IF(Z26=0, "    ---- ", IF(ABS(ROUND(100/Z26*AA26-100,1))&lt;999,ROUND(100/Z26*AA26-100,1),IF(ROUND(100/Z26*AA26-100,1)&gt;999,999,-999)))</f>
        <v>-99.2</v>
      </c>
      <c r="AC26" s="435"/>
      <c r="AD26" s="277"/>
      <c r="AE26" s="277"/>
      <c r="AF26" s="277">
        <f t="shared" si="10"/>
        <v>-346.07093559999998</v>
      </c>
      <c r="AG26" s="277">
        <f>C26+F26+I26+L26+O26+R26+U26+X26+AA26</f>
        <v>-248.67628999999999</v>
      </c>
      <c r="AH26" s="277">
        <f>IF(AF26=0, "    ---- ", IF(ABS(ROUND(100/AF26*AG26-100,1))&lt;999,ROUND(100/AF26*AG26-100,1),IF(ROUND(100/AF26*AG26-100,1)&gt;999,999,-999)))</f>
        <v>-28.1</v>
      </c>
      <c r="AI26" s="277"/>
      <c r="AJ26" s="277"/>
      <c r="AK26" s="277"/>
    </row>
    <row r="27" spans="1:37" s="365" customFormat="1" ht="22.5" x14ac:dyDescent="0.3">
      <c r="A27" s="569" t="s">
        <v>260</v>
      </c>
      <c r="B27" s="147"/>
      <c r="C27" s="541"/>
      <c r="D27" s="277"/>
      <c r="E27" s="147"/>
      <c r="F27" s="277"/>
      <c r="G27" s="277"/>
      <c r="H27" s="147"/>
      <c r="I27" s="277"/>
      <c r="J27" s="277"/>
      <c r="K27" s="147"/>
      <c r="L27" s="277"/>
      <c r="M27" s="277"/>
      <c r="N27" s="147"/>
      <c r="O27" s="277"/>
      <c r="P27" s="277"/>
      <c r="Q27" s="147"/>
      <c r="R27" s="277"/>
      <c r="S27" s="277"/>
      <c r="T27" s="435"/>
      <c r="U27" s="277"/>
      <c r="V27" s="277"/>
      <c r="W27" s="147"/>
      <c r="X27" s="277"/>
      <c r="Y27" s="277"/>
      <c r="Z27" s="147"/>
      <c r="AA27" s="277">
        <v>66.546062899999995</v>
      </c>
      <c r="AB27" s="277" t="str">
        <f t="shared" si="19"/>
        <v xml:space="preserve">    ---- </v>
      </c>
      <c r="AC27" s="147"/>
      <c r="AD27" s="277"/>
      <c r="AE27" s="277"/>
      <c r="AF27" s="277">
        <f t="shared" ref="AF27:AG35" si="22">B27+E27+H27+K27+N27+Q27+T27+W27+Z27</f>
        <v>0</v>
      </c>
      <c r="AG27" s="277">
        <f t="shared" si="22"/>
        <v>66.546062899999995</v>
      </c>
      <c r="AH27" s="277" t="str">
        <f>IF(AF27=0, "    ---- ", IF(ABS(ROUND(100/AF27*AG27-100,1))&lt;999,ROUND(100/AF27*AG27-100,1),IF(ROUND(100/AF27*AG27-100,1)&gt;999,999,-999)))</f>
        <v xml:space="preserve">    ---- </v>
      </c>
      <c r="AI27" s="277"/>
      <c r="AJ27" s="277"/>
      <c r="AK27" s="277"/>
    </row>
    <row r="28" spans="1:37" s="365" customFormat="1" ht="18.75" customHeight="1" x14ac:dyDescent="0.3">
      <c r="A28" s="427" t="s">
        <v>261</v>
      </c>
      <c r="B28" s="435">
        <v>-518.34199999999998</v>
      </c>
      <c r="C28" s="541">
        <v>-579.51900000000001</v>
      </c>
      <c r="D28" s="277">
        <f t="shared" si="14"/>
        <v>11.8</v>
      </c>
      <c r="E28" s="435"/>
      <c r="F28" s="277"/>
      <c r="G28" s="277"/>
      <c r="H28" s="435">
        <v>-3.621</v>
      </c>
      <c r="I28" s="277">
        <v>-3.1619999999999999</v>
      </c>
      <c r="J28" s="277">
        <f>IF(H28=0, "    ---- ", IF(ABS(ROUND(100/H28*I28-100,1))&lt;999,ROUND(100/H28*I28-100,1),IF(ROUND(100/H28*I28-100,1)&gt;999,999,-999)))</f>
        <v>-12.7</v>
      </c>
      <c r="K28" s="435"/>
      <c r="L28" s="277"/>
      <c r="M28" s="277"/>
      <c r="N28" s="435">
        <v>4050.9078979999999</v>
      </c>
      <c r="O28" s="277">
        <v>-45.614230679999999</v>
      </c>
      <c r="P28" s="277">
        <f>IF(N28=0, "    ---- ", IF(ABS(ROUND(100/N28*O28-100,1))&lt;999,ROUND(100/N28*O28-100,1),IF(ROUND(100/N28*O28-100,1)&gt;999,999,-999)))</f>
        <v>-101.1</v>
      </c>
      <c r="Q28" s="435"/>
      <c r="R28" s="277"/>
      <c r="S28" s="277"/>
      <c r="T28" s="435"/>
      <c r="U28" s="277"/>
      <c r="V28" s="277"/>
      <c r="W28" s="435"/>
      <c r="X28" s="277"/>
      <c r="Y28" s="277"/>
      <c r="Z28" s="435">
        <v>-106.94053309999994</v>
      </c>
      <c r="AA28" s="277">
        <v>-122.87859001000004</v>
      </c>
      <c r="AB28" s="277">
        <f t="shared" si="19"/>
        <v>14.9</v>
      </c>
      <c r="AC28" s="435"/>
      <c r="AD28" s="277"/>
      <c r="AE28" s="277"/>
      <c r="AF28" s="277">
        <f t="shared" si="22"/>
        <v>3422.0043648999999</v>
      </c>
      <c r="AG28" s="277">
        <f t="shared" si="22"/>
        <v>-751.17382069000007</v>
      </c>
      <c r="AH28" s="277">
        <f t="shared" si="11"/>
        <v>-122</v>
      </c>
      <c r="AI28" s="277"/>
      <c r="AJ28" s="277"/>
      <c r="AK28" s="277"/>
    </row>
    <row r="29" spans="1:37" s="365" customFormat="1" ht="18.75" x14ac:dyDescent="0.3">
      <c r="A29" s="566" t="s">
        <v>262</v>
      </c>
      <c r="B29" s="435">
        <v>3.3109999999999999</v>
      </c>
      <c r="C29" s="541">
        <v>19.288</v>
      </c>
      <c r="D29" s="277">
        <f t="shared" si="14"/>
        <v>482.5</v>
      </c>
      <c r="E29" s="435"/>
      <c r="F29" s="277"/>
      <c r="G29" s="277"/>
      <c r="H29" s="435"/>
      <c r="I29" s="277"/>
      <c r="J29" s="277"/>
      <c r="K29" s="435"/>
      <c r="L29" s="277"/>
      <c r="M29" s="277"/>
      <c r="N29" s="435"/>
      <c r="O29" s="277"/>
      <c r="P29" s="277"/>
      <c r="Q29" s="435">
        <v>1</v>
      </c>
      <c r="R29" s="277">
        <v>11</v>
      </c>
      <c r="S29" s="277">
        <f t="shared" si="17"/>
        <v>999</v>
      </c>
      <c r="T29" s="435"/>
      <c r="U29" s="277"/>
      <c r="V29" s="277"/>
      <c r="W29" s="435"/>
      <c r="X29" s="277">
        <v>1.6221657899999995</v>
      </c>
      <c r="Y29" s="277" t="str">
        <f t="shared" si="18"/>
        <v xml:space="preserve">    ---- </v>
      </c>
      <c r="Z29" s="435">
        <v>592.21955700000001</v>
      </c>
      <c r="AA29" s="277">
        <v>26.357256890000002</v>
      </c>
      <c r="AB29" s="277">
        <f t="shared" si="19"/>
        <v>-95.5</v>
      </c>
      <c r="AC29" s="435"/>
      <c r="AD29" s="277"/>
      <c r="AE29" s="277"/>
      <c r="AF29" s="277">
        <f t="shared" si="22"/>
        <v>596.53055700000004</v>
      </c>
      <c r="AG29" s="277">
        <f t="shared" si="22"/>
        <v>58.267422680000003</v>
      </c>
      <c r="AH29" s="277">
        <f t="shared" si="11"/>
        <v>-90.2</v>
      </c>
      <c r="AI29" s="277"/>
      <c r="AJ29" s="277"/>
      <c r="AK29" s="277"/>
    </row>
    <row r="30" spans="1:37" s="365" customFormat="1" ht="18.75" customHeight="1" x14ac:dyDescent="0.3">
      <c r="A30" s="427" t="s">
        <v>263</v>
      </c>
      <c r="B30" s="435">
        <f>SUM(B23:B29)</f>
        <v>633.40800000000013</v>
      </c>
      <c r="C30" s="541">
        <f>SUM(C23:C29)</f>
        <v>409.74900000000002</v>
      </c>
      <c r="D30" s="277">
        <f t="shared" si="14"/>
        <v>-35.299999999999997</v>
      </c>
      <c r="E30" s="435">
        <f>SUM(E23:E29)</f>
        <v>-260.18772637000001</v>
      </c>
      <c r="F30" s="277">
        <f>SUM(F23:F29)</f>
        <v>-177.87939356999993</v>
      </c>
      <c r="G30" s="277">
        <f>IF(E30=0, "    ---- ", IF(ABS(ROUND(100/E30*F30-100,1))&lt;999,ROUND(100/E30*F30-100,1),IF(ROUND(100/E30*F30-100,1)&gt;999,999,-999)))</f>
        <v>-31.6</v>
      </c>
      <c r="H30" s="435">
        <f>SUM(H23:H29)</f>
        <v>-732.46600000000001</v>
      </c>
      <c r="I30" s="277">
        <f>SUM(I23:I29)</f>
        <v>-774.08900000000006</v>
      </c>
      <c r="J30" s="277">
        <f>IF(H30=0, "    ---- ", IF(ABS(ROUND(100/H30*I30-100,1))&lt;999,ROUND(100/H30*I30-100,1),IF(ROUND(100/H30*I30-100,1)&gt;999,999,-999)))</f>
        <v>5.7</v>
      </c>
      <c r="K30" s="435">
        <f>SUM(K23:K29)</f>
        <v>-349</v>
      </c>
      <c r="L30" s="277">
        <f>SUM(L23:L29)</f>
        <v>-263</v>
      </c>
      <c r="M30" s="277">
        <f t="shared" si="15"/>
        <v>-24.6</v>
      </c>
      <c r="N30" s="435">
        <v>4096.3254545600003</v>
      </c>
      <c r="O30" s="277">
        <v>-6946.9740572300007</v>
      </c>
      <c r="P30" s="277">
        <f t="shared" si="16"/>
        <v>-269.60000000000002</v>
      </c>
      <c r="Q30" s="435">
        <f>SUM(Q23:Q29)</f>
        <v>-186.49639999999999</v>
      </c>
      <c r="R30" s="277">
        <f>SUM(R23:R29)</f>
        <v>-285</v>
      </c>
      <c r="S30" s="277">
        <f t="shared" si="17"/>
        <v>52.8</v>
      </c>
      <c r="T30" s="435">
        <v>-83</v>
      </c>
      <c r="U30" s="277">
        <f>SUM(U23:U29)</f>
        <v>937</v>
      </c>
      <c r="V30" s="277">
        <f>IF(T30=0, "    ---- ", IF(ABS(ROUND(100/T30*U30-100,1))&lt;999,ROUND(100/T30*U30-100,1),IF(ROUND(100/T30*U30-100,1)&gt;999,999,-999)))</f>
        <v>-999</v>
      </c>
      <c r="W30" s="435">
        <f>SUM(W23:W29)</f>
        <v>-964.14239557000019</v>
      </c>
      <c r="X30" s="277">
        <f>SUM(X23:X29)</f>
        <v>25.191738059999949</v>
      </c>
      <c r="Y30" s="277">
        <f t="shared" si="18"/>
        <v>-102.6</v>
      </c>
      <c r="Z30" s="435">
        <f>SUM(Z23:Z29)</f>
        <v>-3483.0392978400027</v>
      </c>
      <c r="AA30" s="277">
        <f>SUM(AA23:AA29)</f>
        <v>-443.05763733000242</v>
      </c>
      <c r="AB30" s="277">
        <f t="shared" si="19"/>
        <v>-87.3</v>
      </c>
      <c r="AC30" s="435">
        <f>SUM(AC23:AC29)</f>
        <v>-42</v>
      </c>
      <c r="AD30" s="277">
        <f>SUM(AD23:AD29)</f>
        <v>4</v>
      </c>
      <c r="AE30" s="277">
        <f t="shared" si="20"/>
        <v>-109.5</v>
      </c>
      <c r="AF30" s="277">
        <f t="shared" si="22"/>
        <v>-1328.5983652200025</v>
      </c>
      <c r="AG30" s="277">
        <f t="shared" si="22"/>
        <v>-7518.0593500700033</v>
      </c>
      <c r="AH30" s="277">
        <f t="shared" si="11"/>
        <v>465.9</v>
      </c>
      <c r="AI30" s="277"/>
      <c r="AJ30" s="277"/>
      <c r="AK30" s="277"/>
    </row>
    <row r="31" spans="1:37" s="365" customFormat="1" ht="18.75" customHeight="1" x14ac:dyDescent="0.3">
      <c r="A31" s="427" t="s">
        <v>264</v>
      </c>
      <c r="B31" s="435">
        <v>-1672.1030000000001</v>
      </c>
      <c r="C31" s="541">
        <v>-675.67499999999995</v>
      </c>
      <c r="D31" s="277">
        <f>IF(B31=0, "    ---- ", IF(ABS(ROUND(100/B31*C31-100,1))&lt;999,ROUND(100/B31*C31-100,1),IF(ROUND(100/B31*C31-100,1)&gt;999,999,-999)))</f>
        <v>-59.6</v>
      </c>
      <c r="E31" s="435"/>
      <c r="F31" s="277"/>
      <c r="G31" s="277"/>
      <c r="H31" s="435"/>
      <c r="I31" s="277"/>
      <c r="J31" s="277"/>
      <c r="K31" s="435">
        <v>-81</v>
      </c>
      <c r="L31" s="277">
        <v>389</v>
      </c>
      <c r="M31" s="277">
        <f t="shared" si="15"/>
        <v>-580.20000000000005</v>
      </c>
      <c r="N31" s="435">
        <v>39.490929999999999</v>
      </c>
      <c r="O31" s="277">
        <v>564.26367605999997</v>
      </c>
      <c r="P31" s="277">
        <f t="shared" si="16"/>
        <v>999</v>
      </c>
      <c r="Q31" s="435">
        <v>6595.7578999999996</v>
      </c>
      <c r="R31" s="277">
        <v>-1780.4</v>
      </c>
      <c r="S31" s="277">
        <f>IF(Q31=0, "    ---- ", IF(ABS(ROUND(100/Q31*R31-100,1))&lt;999,ROUND(100/Q31*R31-100,1),IF(ROUND(100/Q31*R31-100,1)&gt;999,999,-999)))</f>
        <v>-127</v>
      </c>
      <c r="T31" s="435"/>
      <c r="U31" s="277"/>
      <c r="V31" s="277"/>
      <c r="W31" s="435">
        <v>-357.78361531000076</v>
      </c>
      <c r="X31" s="277">
        <v>1087.6002631799997</v>
      </c>
      <c r="Y31" s="277">
        <f>IF(W31=0, "    ---- ", IF(ABS(ROUND(100/W31*X31-100,1))&lt;999,ROUND(100/W31*X31-100,1),IF(ROUND(100/W31*X31-100,1)&gt;999,999,-999)))</f>
        <v>-404</v>
      </c>
      <c r="Z31" s="435">
        <v>3421.3380090014998</v>
      </c>
      <c r="AA31" s="277">
        <v>-527.58812893000015</v>
      </c>
      <c r="AB31" s="277">
        <f>IF(Z31=0, "    ---- ", IF(ABS(ROUND(100/Z31*AA31-100,1))&lt;999,ROUND(100/Z31*AA31-100,1),IF(ROUND(100/Z31*AA31-100,1)&gt;999,999,-999)))</f>
        <v>-115.4</v>
      </c>
      <c r="AC31" s="435"/>
      <c r="AD31" s="277"/>
      <c r="AE31" s="277"/>
      <c r="AF31" s="277">
        <f t="shared" si="22"/>
        <v>7945.7002236914986</v>
      </c>
      <c r="AG31" s="277">
        <f t="shared" si="22"/>
        <v>-942.79918969000039</v>
      </c>
      <c r="AH31" s="277">
        <f t="shared" si="11"/>
        <v>-111.9</v>
      </c>
      <c r="AI31" s="277"/>
      <c r="AJ31" s="277"/>
      <c r="AK31" s="277"/>
    </row>
    <row r="32" spans="1:37" s="365" customFormat="1" ht="18.75" customHeight="1" x14ac:dyDescent="0.3">
      <c r="A32" s="427" t="s">
        <v>265</v>
      </c>
      <c r="B32" s="435">
        <v>-216.5</v>
      </c>
      <c r="C32" s="541">
        <v>-312.81700000000001</v>
      </c>
      <c r="D32" s="277">
        <f>IF(B32=0, "    ---- ", IF(ABS(ROUND(100/B32*C32-100,1))&lt;999,ROUND(100/B32*C32-100,1),IF(ROUND(100/B32*C32-100,1)&gt;999,999,-999)))</f>
        <v>44.5</v>
      </c>
      <c r="E32" s="435">
        <v>-0.48796587999999991</v>
      </c>
      <c r="F32" s="277"/>
      <c r="G32" s="277"/>
      <c r="H32" s="435"/>
      <c r="I32" s="277"/>
      <c r="J32" s="277"/>
      <c r="K32" s="435">
        <v>-24</v>
      </c>
      <c r="L32" s="277">
        <v>-13</v>
      </c>
      <c r="M32" s="277">
        <f t="shared" si="15"/>
        <v>-45.8</v>
      </c>
      <c r="N32" s="435">
        <v>-168</v>
      </c>
      <c r="O32" s="277">
        <v>-3607.2837340000001</v>
      </c>
      <c r="P32" s="277">
        <f>IF(N32=0, "    ---- ", IF(ABS(ROUND(100/N32*O32-100,1))&lt;999,ROUND(100/N32*O32-100,1),IF(ROUND(100/N32*O32-100,1)&gt;999,999,-999)))</f>
        <v>999</v>
      </c>
      <c r="Q32" s="435">
        <v>-78.577600000000004</v>
      </c>
      <c r="R32" s="277">
        <v>-20</v>
      </c>
      <c r="S32" s="277">
        <f>IF(Q32=0, "    ---- ", IF(ABS(ROUND(100/Q32*R32-100,1))&lt;999,ROUND(100/Q32*R32-100,1),IF(ROUND(100/Q32*R32-100,1)&gt;999,999,-999)))</f>
        <v>-74.5</v>
      </c>
      <c r="T32" s="435">
        <v>-31</v>
      </c>
      <c r="U32" s="277">
        <v>-87</v>
      </c>
      <c r="V32" s="277">
        <f>IF(T32=0, "    ---- ", IF(ABS(ROUND(100/T32*U32-100,1))&lt;999,ROUND(100/T32*U32-100,1),IF(ROUND(100/T32*U32-100,1)&gt;999,999,-999)))</f>
        <v>180.6</v>
      </c>
      <c r="W32" s="435">
        <v>-97.83027988000002</v>
      </c>
      <c r="X32" s="277">
        <v>26.765453929999968</v>
      </c>
      <c r="Y32" s="277">
        <f>IF(W32=0, "    ---- ", IF(ABS(ROUND(100/W32*X32-100,1))&lt;999,ROUND(100/W32*X32-100,1),IF(ROUND(100/W32*X32-100,1)&gt;999,999,-999)))</f>
        <v>-127.4</v>
      </c>
      <c r="Z32" s="435">
        <v>-218.40467000000001</v>
      </c>
      <c r="AA32" s="277">
        <v>-190.06053800000001</v>
      </c>
      <c r="AB32" s="277">
        <f>IF(Z32=0, "    ---- ", IF(ABS(ROUND(100/Z32*AA32-100,1))&lt;999,ROUND(100/Z32*AA32-100,1),IF(ROUND(100/Z32*AA32-100,1)&gt;999,999,-999)))</f>
        <v>-13</v>
      </c>
      <c r="AC32" s="435"/>
      <c r="AD32" s="277"/>
      <c r="AE32" s="277"/>
      <c r="AF32" s="277">
        <f t="shared" si="22"/>
        <v>-834.80051576000005</v>
      </c>
      <c r="AG32" s="277">
        <f t="shared" si="22"/>
        <v>-4203.3958180700001</v>
      </c>
      <c r="AH32" s="277">
        <f t="shared" si="11"/>
        <v>403.5</v>
      </c>
      <c r="AI32" s="277"/>
      <c r="AJ32" s="277"/>
      <c r="AK32" s="277"/>
    </row>
    <row r="33" spans="1:37" s="365" customFormat="1" ht="18.75" customHeight="1" x14ac:dyDescent="0.3">
      <c r="A33" s="427" t="s">
        <v>266</v>
      </c>
      <c r="B33" s="435">
        <v>-315.53800000000001</v>
      </c>
      <c r="C33" s="541">
        <v>-322.56400000000002</v>
      </c>
      <c r="D33" s="277">
        <f>IF(B33=0, "    ---- ", IF(ABS(ROUND(100/B33*C33-100,1))&lt;999,ROUND(100/B33*C33-100,1),IF(ROUND(100/B33*C33-100,1)&gt;999,999,-999)))</f>
        <v>2.2000000000000002</v>
      </c>
      <c r="E33" s="435">
        <v>-256.65190959999995</v>
      </c>
      <c r="F33" s="277">
        <v>-260.18018986999999</v>
      </c>
      <c r="G33" s="277">
        <f>IF(E33=0, "    ---- ", IF(ABS(ROUND(100/E33*F33-100,1))&lt;999,ROUND(100/E33*F33-100,1),IF(ROUND(100/E33*F33-100,1)&gt;999,999,-999)))</f>
        <v>1.4</v>
      </c>
      <c r="H33" s="435">
        <v>-78.709000000000003</v>
      </c>
      <c r="I33" s="277">
        <v>-92.186000000000007</v>
      </c>
      <c r="J33" s="277">
        <f>IF(H33=0, "    ---- ", IF(ABS(ROUND(100/H33*I33-100,1))&lt;999,ROUND(100/H33*I33-100,1),IF(ROUND(100/H33*I33-100,1)&gt;999,999,-999)))</f>
        <v>17.100000000000001</v>
      </c>
      <c r="K33" s="435">
        <v>-136</v>
      </c>
      <c r="L33" s="277">
        <v>-145</v>
      </c>
      <c r="M33" s="277">
        <f>IF(K33=0, "    ---- ", IF(ABS(ROUND(100/K33*L33-100,1))&lt;999,ROUND(100/K33*L33-100,1),IF(ROUND(100/K33*L33-100,1)&gt;999,999,-999)))</f>
        <v>6.6</v>
      </c>
      <c r="N33" s="435">
        <v>-479.47274302999995</v>
      </c>
      <c r="O33" s="277">
        <v>-519.59349716999998</v>
      </c>
      <c r="P33" s="277">
        <f>IF(N33=0, "    ---- ", IF(ABS(ROUND(100/N33*O33-100,1))&lt;999,ROUND(100/N33*O33-100,1),IF(ROUND(100/N33*O33-100,1)&gt;999,999,-999)))</f>
        <v>8.4</v>
      </c>
      <c r="Q33" s="435">
        <v>-242.2227</v>
      </c>
      <c r="R33" s="277">
        <v>-263</v>
      </c>
      <c r="S33" s="277">
        <f>IF(Q33=0, "    ---- ", IF(ABS(ROUND(100/Q33*R33-100,1))&lt;999,ROUND(100/Q33*R33-100,1),IF(ROUND(100/Q33*R33-100,1)&gt;999,999,-999)))</f>
        <v>8.6</v>
      </c>
      <c r="T33" s="435"/>
      <c r="U33" s="277"/>
      <c r="V33" s="277"/>
      <c r="W33" s="435">
        <v>-246.40517062115947</v>
      </c>
      <c r="X33" s="277">
        <v>-223.03912353999954</v>
      </c>
      <c r="Y33" s="277">
        <f>IF(W33=0, "    ---- ", IF(ABS(ROUND(100/W33*X33-100,1))&lt;999,ROUND(100/W33*X33-100,1),IF(ROUND(100/W33*X33-100,1)&gt;999,999,-999)))</f>
        <v>-9.5</v>
      </c>
      <c r="Z33" s="435">
        <v>-476.76687379999998</v>
      </c>
      <c r="AA33" s="277">
        <v>-471.94661470000005</v>
      </c>
      <c r="AB33" s="277">
        <f>IF(Z33=0, "    ---- ", IF(ABS(ROUND(100/Z33*AA33-100,1))&lt;999,ROUND(100/Z33*AA33-100,1),IF(ROUND(100/Z33*AA33-100,1)&gt;999,999,-999)))</f>
        <v>-1</v>
      </c>
      <c r="AC33" s="435">
        <v>-20</v>
      </c>
      <c r="AD33" s="277">
        <v>-19</v>
      </c>
      <c r="AE33" s="277">
        <f>IF(AC33=0, "    ---- ", IF(ABS(ROUND(100/AC33*AD33-100,1))&lt;999,ROUND(100/AC33*AD33-100,1),IF(ROUND(100/AC33*AD33-100,1)&gt;999,999,-999)))</f>
        <v>-5</v>
      </c>
      <c r="AF33" s="277">
        <f t="shared" si="22"/>
        <v>-2231.7663970511594</v>
      </c>
      <c r="AG33" s="277">
        <f t="shared" si="22"/>
        <v>-2297.5094252799995</v>
      </c>
      <c r="AH33" s="277">
        <f t="shared" si="11"/>
        <v>2.9</v>
      </c>
      <c r="AI33" s="277"/>
      <c r="AJ33" s="277"/>
      <c r="AK33" s="277"/>
    </row>
    <row r="34" spans="1:37" s="365" customFormat="1" ht="18.75" customHeight="1" x14ac:dyDescent="0.3">
      <c r="A34" s="427" t="s">
        <v>267</v>
      </c>
      <c r="B34" s="147">
        <v>3.19</v>
      </c>
      <c r="C34" s="541">
        <v>-5.94</v>
      </c>
      <c r="D34" s="353">
        <f>IF(B34=0, "    ---- ", IF(ABS(ROUND(100/B34*C34-100,1))&lt;999,ROUND(100/B34*C34-100,1),IF(ROUND(100/B34*C34-100,1)&gt;999,999,-999)))</f>
        <v>-286.2</v>
      </c>
      <c r="E34" s="147">
        <v>-2.1313138999999999</v>
      </c>
      <c r="F34" s="353">
        <v>-3.9339818200000005</v>
      </c>
      <c r="G34" s="277">
        <f>IF(E34=0, "    ---- ", IF(ABS(ROUND(100/E34*F34-100,1))&lt;999,ROUND(100/E34*F34-100,1),IF(ROUND(100/E34*F34-100,1)&gt;999,999,-999)))</f>
        <v>84.6</v>
      </c>
      <c r="H34" s="147"/>
      <c r="I34" s="353"/>
      <c r="J34" s="353"/>
      <c r="K34" s="147"/>
      <c r="L34" s="353"/>
      <c r="M34" s="353"/>
      <c r="N34" s="147">
        <v>-373.75486599999999</v>
      </c>
      <c r="O34" s="353">
        <v>-332.61672399999998</v>
      </c>
      <c r="P34" s="353">
        <f>IF(N34=0, "    ---- ", IF(ABS(ROUND(100/N34*O34-100,1))&lt;999,ROUND(100/N34*O34-100,1),IF(ROUND(100/N34*O34-100,1)&gt;999,999,-999)))</f>
        <v>-11</v>
      </c>
      <c r="Q34" s="147">
        <v>-5.0232928499999998</v>
      </c>
      <c r="R34" s="353">
        <v>-5</v>
      </c>
      <c r="S34" s="353">
        <f>IF(Q34=0, "    ---- ", IF(ABS(ROUND(100/Q34*R34-100,1))&lt;999,ROUND(100/Q34*R34-100,1),IF(ROUND(100/Q34*R34-100,1)&gt;999,999,-999)))</f>
        <v>-0.5</v>
      </c>
      <c r="T34" s="147">
        <v>-70</v>
      </c>
      <c r="U34" s="353">
        <v>-66</v>
      </c>
      <c r="V34" s="277">
        <f>IF(T34=0, "    ---- ", IF(ABS(ROUND(100/T34*U34-100,1))&lt;999,ROUND(100/T34*U34-100,1),IF(ROUND(100/T34*U34-100,1)&gt;999,999,-999)))</f>
        <v>-5.7</v>
      </c>
      <c r="W34" s="147">
        <v>-0.5030213899999999</v>
      </c>
      <c r="X34" s="353">
        <v>-0.87775528000000003</v>
      </c>
      <c r="Y34" s="353">
        <f>IF(W34=0, "    ---- ", IF(ABS(ROUND(100/W34*X34-100,1))&lt;999,ROUND(100/W34*X34-100,1),IF(ROUND(100/W34*X34-100,1)&gt;999,999,-999)))</f>
        <v>74.5</v>
      </c>
      <c r="Z34" s="147">
        <v>-10.081334919999811</v>
      </c>
      <c r="AA34" s="353">
        <v>-28.518706999999999</v>
      </c>
      <c r="AB34" s="353">
        <f>IF(Z34=0, "    ---- ", IF(ABS(ROUND(100/Z34*AA34-100,1))&lt;999,ROUND(100/Z34*AA34-100,1),IF(ROUND(100/Z34*AA34-100,1)&gt;999,999,-999)))</f>
        <v>182.9</v>
      </c>
      <c r="AC34" s="147"/>
      <c r="AD34" s="353"/>
      <c r="AE34" s="353"/>
      <c r="AF34" s="277">
        <f t="shared" si="22"/>
        <v>-458.30382905999983</v>
      </c>
      <c r="AG34" s="277">
        <f t="shared" si="22"/>
        <v>-442.88716809999994</v>
      </c>
      <c r="AH34" s="353">
        <f t="shared" si="11"/>
        <v>-3.4</v>
      </c>
      <c r="AI34" s="353"/>
      <c r="AJ34" s="353"/>
      <c r="AK34" s="353"/>
    </row>
    <row r="35" spans="1:37" s="373" customFormat="1" ht="18.75" customHeight="1" x14ac:dyDescent="0.3">
      <c r="A35" s="438" t="s">
        <v>268</v>
      </c>
      <c r="B35" s="150">
        <f>SUM(B14+B15+B16+B17+B21+B30+B31+B32+B33+B34)</f>
        <v>385.61599999999993</v>
      </c>
      <c r="C35" s="357">
        <f>SUM(C14+C15+C16+C17+C21+C30+C31+C32+C33+C34)</f>
        <v>469.62300000000266</v>
      </c>
      <c r="D35" s="358">
        <f>IF(B35=0, "    ---- ", IF(ABS(ROUND(100/B35*C35-100,1))&lt;999,ROUND(100/B35*C35-100,1),IF(ROUND(100/B35*C35-100,1)&gt;999,999,-999)))</f>
        <v>21.8</v>
      </c>
      <c r="E35" s="150">
        <f>SUM(E14+E15+E16+E17+E21+E30+E31+E32+E33+E34)</f>
        <v>261.55400649999967</v>
      </c>
      <c r="F35" s="357">
        <f>SUM(F14+F15+F16+F17+F21+F30+F31+F32+F33+F34)</f>
        <v>206.76839863000023</v>
      </c>
      <c r="G35" s="358">
        <f>IF(E35=0, "    ---- ", IF(ABS(ROUND(100/E35*F35-100,1))&lt;999,ROUND(100/E35*F35-100,1),IF(ROUND(100/E35*F35-100,1)&gt;999,999,-999)))</f>
        <v>-20.9</v>
      </c>
      <c r="H35" s="150">
        <f>SUM(H14+H15+H16+H17+H21+H30+H31+H32+H33+H34)</f>
        <v>13.536999999999864</v>
      </c>
      <c r="I35" s="357">
        <f>SUM(I14+I15+I16+I17+I21+I30+I31+I32+I33+I34)</f>
        <v>18.925999999999959</v>
      </c>
      <c r="J35" s="358">
        <f>IF(H35=0, "    ---- ", IF(ABS(ROUND(100/H35*I35-100,1))&lt;999,ROUND(100/H35*I35-100,1),IF(ROUND(100/H35*I35-100,1)&gt;999,999,-999)))</f>
        <v>39.799999999999997</v>
      </c>
      <c r="K35" s="150">
        <f>SUM(K14+K15+K16+K17+K21+K30+K31+K32+K33+K34)</f>
        <v>57</v>
      </c>
      <c r="L35" s="357">
        <f>SUM(L14+L15+L16+L17+L21+L30+L31+L32+L33+L34)</f>
        <v>79</v>
      </c>
      <c r="M35" s="358">
        <f>IF(K35=0, "    ---- ", IF(ABS(ROUND(100/K35*L35-100,1))&lt;999,ROUND(100/K35*L35-100,1),IF(ROUND(100/K35*L35-100,1)&gt;999,999,-999)))</f>
        <v>38.6</v>
      </c>
      <c r="N35" s="150">
        <v>-27.018191800000409</v>
      </c>
      <c r="O35" s="357">
        <v>1.0603638699957401</v>
      </c>
      <c r="P35" s="358">
        <f>IF(N35=0, "    ---- ", IF(ABS(ROUND(100/N35*O35-100,1))&lt;999,ROUND(100/N35*O35-100,1),IF(ROUND(100/N35*O35-100,1)&gt;999,999,-999)))</f>
        <v>-103.9</v>
      </c>
      <c r="Q35" s="150">
        <f>SUM(Q14+Q15+Q16+Q17+Q21+Q30+Q31+Q32+Q33+Q34)</f>
        <v>278.40530714999824</v>
      </c>
      <c r="R35" s="357">
        <f>SUM(R14+R15+R16+R17+R21+R30+R31+R32+R33+R34)</f>
        <v>342.99999999999955</v>
      </c>
      <c r="S35" s="358">
        <f>IF(Q35=0, "    ---- ", IF(ABS(ROUND(100/Q35*R35-100,1))&lt;999,ROUND(100/Q35*R35-100,1),IF(ROUND(100/Q35*R35-100,1)&gt;999,999,-999)))</f>
        <v>23.2</v>
      </c>
      <c r="T35" s="150">
        <v>119</v>
      </c>
      <c r="U35" s="357">
        <f>SUM(U14+U15+U16+U17+U21+U30+U31+U32+U33+U34)</f>
        <v>64</v>
      </c>
      <c r="V35" s="358">
        <f>IF(T35=0, "    ---- ", IF(ABS(ROUND(100/T35*U35-100,1))&lt;999,ROUND(100/T35*U35-100,1),IF(ROUND(100/T35*U35-100,1)&gt;999,999,-999)))</f>
        <v>-46.2</v>
      </c>
      <c r="W35" s="150">
        <f>SUM(W14+W15+W16+W17+W21+W30+W31+W32+W33+W34)</f>
        <v>14.211625678842907</v>
      </c>
      <c r="X35" s="357">
        <f>SUM(X14+X15+X16+X17+X21+X30+X31+X32+X33+X34)</f>
        <v>37.200536289997586</v>
      </c>
      <c r="Y35" s="358">
        <f>IF(W35=0, "    ---- ", IF(ABS(ROUND(100/W35*X35-100,1))&lt;999,ROUND(100/W35*X35-100,1),IF(ROUND(100/W35*X35-100,1)&gt;999,999,-999)))</f>
        <v>161.80000000000001</v>
      </c>
      <c r="Z35" s="150">
        <f>SUM(Z14+Z15+Z16+Z17+Z21+Z30+Z31+Z32+Z33+Z34)</f>
        <v>375.02143076147843</v>
      </c>
      <c r="AA35" s="357">
        <f>SUM(AA14+AA15+AA16+AA17+AA21+AA30+AA31+AA32+AA33+AA34)</f>
        <v>460.38763839998973</v>
      </c>
      <c r="AB35" s="358">
        <f>IF(Z35=0, "    ---- ", IF(ABS(ROUND(100/Z35*AA35-100,1))&lt;999,ROUND(100/Z35*AA35-100,1),IF(ROUND(100/Z35*AA35-100,1)&gt;999,999,-999)))</f>
        <v>22.8</v>
      </c>
      <c r="AC35" s="150">
        <f>SUM(AC14+AC15+AC16+AC17+AC21+AC30+AC31+AC32+AC33+AC34)</f>
        <v>-2</v>
      </c>
      <c r="AD35" s="357">
        <f>SUM(AD14+AD15+AD16+AD17+AD21+AD30+AD31+AD32+AD33+AD34)</f>
        <v>-1</v>
      </c>
      <c r="AE35" s="358">
        <f>IF(AC35=0, "    ---- ", IF(ABS(ROUND(100/AC35*AD35-100,1))&lt;999,ROUND(100/AC35*AD35-100,1),IF(ROUND(100/AC35*AD35-100,1)&gt;999,999,-999)))</f>
        <v>-50</v>
      </c>
      <c r="AF35" s="358">
        <f t="shared" si="22"/>
        <v>1477.3271782903184</v>
      </c>
      <c r="AG35" s="358">
        <f t="shared" si="22"/>
        <v>1679.9659371899854</v>
      </c>
      <c r="AH35" s="358">
        <f t="shared" si="11"/>
        <v>13.7</v>
      </c>
      <c r="AI35" s="358"/>
      <c r="AJ35" s="358"/>
      <c r="AK35" s="358"/>
    </row>
    <row r="36" spans="1:37" s="373" customFormat="1" ht="18.75" customHeight="1" x14ac:dyDescent="0.3">
      <c r="A36" s="439"/>
      <c r="B36" s="528"/>
      <c r="C36" s="380"/>
      <c r="D36" s="351"/>
      <c r="E36" s="528"/>
      <c r="F36" s="380"/>
      <c r="G36" s="351"/>
      <c r="H36" s="528"/>
      <c r="I36" s="380"/>
      <c r="J36" s="351"/>
      <c r="K36" s="528"/>
      <c r="L36" s="380"/>
      <c r="M36" s="351"/>
      <c r="N36" s="528"/>
      <c r="O36" s="380"/>
      <c r="P36" s="351"/>
      <c r="Q36" s="528"/>
      <c r="R36" s="380"/>
      <c r="S36" s="351"/>
      <c r="T36" s="528"/>
      <c r="U36" s="380"/>
      <c r="V36" s="351"/>
      <c r="W36" s="528"/>
      <c r="X36" s="380"/>
      <c r="Y36" s="440"/>
      <c r="Z36" s="528"/>
      <c r="AA36" s="380"/>
      <c r="AB36" s="440"/>
      <c r="AC36" s="528"/>
      <c r="AD36" s="380"/>
      <c r="AE36" s="440"/>
      <c r="AF36" s="440"/>
      <c r="AG36" s="440"/>
      <c r="AH36" s="440"/>
      <c r="AI36" s="441"/>
      <c r="AJ36" s="442"/>
      <c r="AK36" s="443"/>
    </row>
    <row r="37" spans="1:37" s="373" customFormat="1" ht="18.75" customHeight="1" x14ac:dyDescent="0.3">
      <c r="A37" s="429" t="s">
        <v>269</v>
      </c>
      <c r="B37" s="528"/>
      <c r="C37" s="380"/>
      <c r="D37" s="351"/>
      <c r="E37" s="528"/>
      <c r="F37" s="380"/>
      <c r="G37" s="351"/>
      <c r="H37" s="528"/>
      <c r="I37" s="380"/>
      <c r="J37" s="351"/>
      <c r="K37" s="528"/>
      <c r="L37" s="380"/>
      <c r="M37" s="351"/>
      <c r="N37" s="528"/>
      <c r="O37" s="380"/>
      <c r="P37" s="351"/>
      <c r="Q37" s="528"/>
      <c r="R37" s="380"/>
      <c r="S37" s="351"/>
      <c r="T37" s="528"/>
      <c r="U37" s="380"/>
      <c r="V37" s="351"/>
      <c r="W37" s="528"/>
      <c r="X37" s="380"/>
      <c r="Y37" s="351"/>
      <c r="Z37" s="528"/>
      <c r="AA37" s="380"/>
      <c r="AB37" s="351"/>
      <c r="AC37" s="528"/>
      <c r="AD37" s="380"/>
      <c r="AE37" s="351"/>
      <c r="AF37" s="351"/>
      <c r="AG37" s="351"/>
      <c r="AH37" s="351"/>
      <c r="AI37" s="444"/>
      <c r="AJ37" s="445"/>
      <c r="AK37" s="446"/>
    </row>
    <row r="38" spans="1:37" s="363" customFormat="1" ht="18.75" customHeight="1" x14ac:dyDescent="0.3">
      <c r="A38" s="427" t="s">
        <v>270</v>
      </c>
      <c r="B38" s="529">
        <v>313.089</v>
      </c>
      <c r="C38" s="375">
        <v>282.084</v>
      </c>
      <c r="D38" s="277">
        <f t="shared" ref="D38:D44" si="23">IF(B38=0, "    ---- ", IF(ABS(ROUND(100/B38*C38-100,1))&lt;999,ROUND(100/B38*C38-100,1),IF(ROUND(100/B38*C38-100,1)&gt;999,999,-999)))</f>
        <v>-9.9</v>
      </c>
      <c r="E38" s="529">
        <v>41.08743157</v>
      </c>
      <c r="F38" s="375">
        <v>4.8425362899999946</v>
      </c>
      <c r="G38" s="277">
        <f t="shared" ref="G38:G44" si="24">IF(E38=0, "    ---- ", IF(ABS(ROUND(100/E38*F38-100,1))&lt;999,ROUND(100/E38*F38-100,1),IF(ROUND(100/E38*F38-100,1)&gt;999,999,-999)))</f>
        <v>-88.2</v>
      </c>
      <c r="H38" s="529">
        <v>5.9290000000000003</v>
      </c>
      <c r="I38" s="375">
        <v>1.206</v>
      </c>
      <c r="J38" s="277">
        <f t="shared" ref="J38:J44" si="25">IF(H38=0, "    ---- ", IF(ABS(ROUND(100/H38*I38-100,1))&lt;999,ROUND(100/H38*I38-100,1),IF(ROUND(100/H38*I38-100,1)&gt;999,999,-999)))</f>
        <v>-79.7</v>
      </c>
      <c r="K38" s="529">
        <v>15</v>
      </c>
      <c r="L38" s="375">
        <v>16</v>
      </c>
      <c r="M38" s="277">
        <f t="shared" ref="M38:M44" si="26">IF(K38=0, "    ---- ", IF(ABS(ROUND(100/K38*L38-100,1))&lt;999,ROUND(100/K38*L38-100,1),IF(ROUND(100/K38*L38-100,1)&gt;999,999,-999)))</f>
        <v>6.7</v>
      </c>
      <c r="N38" s="529">
        <v>280.92283916000002</v>
      </c>
      <c r="O38" s="375">
        <v>160.40079705000002</v>
      </c>
      <c r="P38" s="277">
        <f t="shared" ref="P38:P45" si="27">IF(N38=0, "    ---- ", IF(ABS(ROUND(100/N38*O38-100,1))&lt;999,ROUND(100/N38*O38-100,1),IF(ROUND(100/N38*O38-100,1)&gt;999,999,-999)))</f>
        <v>-42.9</v>
      </c>
      <c r="Q38" s="529">
        <v>127.29</v>
      </c>
      <c r="R38" s="375">
        <v>122</v>
      </c>
      <c r="S38" s="277">
        <f t="shared" ref="S38:S45" si="28">IF(Q38=0, "    ---- ", IF(ABS(ROUND(100/Q38*R38-100,1))&lt;999,ROUND(100/Q38*R38-100,1),IF(ROUND(100/Q38*R38-100,1)&gt;999,999,-999)))</f>
        <v>-4.2</v>
      </c>
      <c r="T38" s="529">
        <v>77</v>
      </c>
      <c r="U38" s="375">
        <v>94</v>
      </c>
      <c r="V38" s="277">
        <f t="shared" ref="V38:V44" si="29">IF(T38=0, "    ---- ", IF(ABS(ROUND(100/T38*U38-100,1))&lt;999,ROUND(100/T38*U38-100,1),IF(ROUND(100/T38*U38-100,1)&gt;999,999,-999)))</f>
        <v>22.1</v>
      </c>
      <c r="W38" s="529">
        <v>66.765888909987979</v>
      </c>
      <c r="X38" s="375">
        <v>1.520195279999998</v>
      </c>
      <c r="Y38" s="277">
        <f t="shared" ref="Y38:Y44" si="30">IF(W38=0, "    ---- ", IF(ABS(ROUND(100/W38*X38-100,1))&lt;999,ROUND(100/W38*X38-100,1),IF(ROUND(100/W38*X38-100,1)&gt;999,999,-999)))</f>
        <v>-97.7</v>
      </c>
      <c r="Z38" s="529">
        <v>1480.5390086699999</v>
      </c>
      <c r="AA38" s="375">
        <v>1177.1319709699997</v>
      </c>
      <c r="AB38" s="277">
        <f t="shared" ref="AB38:AB45" si="31">IF(Z38=0, "    ---- ", IF(ABS(ROUND(100/Z38*AA38-100,1))&lt;999,ROUND(100/Z38*AA38-100,1),IF(ROUND(100/Z38*AA38-100,1)&gt;999,999,-999)))</f>
        <v>-20.5</v>
      </c>
      <c r="AC38" s="529">
        <v>1</v>
      </c>
      <c r="AD38" s="375">
        <v>1</v>
      </c>
      <c r="AE38" s="277">
        <f t="shared" ref="AE38:AE44" si="32">IF(AC38=0, "    ---- ", IF(ABS(ROUND(100/AC38*AD38-100,1))&lt;999,ROUND(100/AC38*AD38-100,1),IF(ROUND(100/AC38*AD38-100,1)&gt;999,999,-999)))</f>
        <v>0</v>
      </c>
      <c r="AF38" s="277">
        <f t="shared" ref="AF38:AG46" si="33">B38+E38+H38+K38+N38+Q38+T38+W38+Z38</f>
        <v>2407.6231683099877</v>
      </c>
      <c r="AG38" s="277">
        <f t="shared" si="33"/>
        <v>1859.1854995899998</v>
      </c>
      <c r="AH38" s="277">
        <f t="shared" si="11"/>
        <v>-22.8</v>
      </c>
      <c r="AI38" s="436"/>
      <c r="AJ38" s="447"/>
      <c r="AK38" s="387"/>
    </row>
    <row r="39" spans="1:37" s="363" customFormat="1" ht="18.75" customHeight="1" x14ac:dyDescent="0.3">
      <c r="A39" s="427" t="s">
        <v>271</v>
      </c>
      <c r="B39" s="529">
        <v>2.4809999999999999</v>
      </c>
      <c r="C39" s="375">
        <v>2.585</v>
      </c>
      <c r="D39" s="277">
        <f t="shared" si="23"/>
        <v>4.2</v>
      </c>
      <c r="E39" s="529"/>
      <c r="F39" s="375">
        <v>0</v>
      </c>
      <c r="G39" s="277" t="str">
        <f t="shared" si="24"/>
        <v xml:space="preserve">    ---- </v>
      </c>
      <c r="H39" s="529"/>
      <c r="I39" s="375"/>
      <c r="J39" s="277"/>
      <c r="K39" s="529"/>
      <c r="L39" s="375"/>
      <c r="M39" s="277"/>
      <c r="N39" s="529">
        <v>17.371972739999997</v>
      </c>
      <c r="O39" s="375">
        <v>12.995846140000001</v>
      </c>
      <c r="P39" s="277">
        <f t="shared" si="27"/>
        <v>-25.2</v>
      </c>
      <c r="Q39" s="529">
        <v>0.27</v>
      </c>
      <c r="R39" s="375">
        <v>0</v>
      </c>
      <c r="S39" s="277">
        <f t="shared" si="28"/>
        <v>-100</v>
      </c>
      <c r="T39" s="529"/>
      <c r="U39" s="375"/>
      <c r="V39" s="277"/>
      <c r="W39" s="529">
        <v>8.7281759999999995</v>
      </c>
      <c r="X39" s="375">
        <v>9.1757960000000001</v>
      </c>
      <c r="Y39" s="277">
        <f t="shared" si="30"/>
        <v>5.0999999999999996</v>
      </c>
      <c r="Z39" s="529">
        <v>14.597076270000002</v>
      </c>
      <c r="AA39" s="375">
        <v>11.198777920000001</v>
      </c>
      <c r="AB39" s="277">
        <f t="shared" si="31"/>
        <v>-23.3</v>
      </c>
      <c r="AC39" s="529"/>
      <c r="AD39" s="375"/>
      <c r="AE39" s="277"/>
      <c r="AF39" s="277">
        <f t="shared" si="33"/>
        <v>43.448225010000002</v>
      </c>
      <c r="AG39" s="277">
        <f t="shared" si="33"/>
        <v>35.955420060000009</v>
      </c>
      <c r="AH39" s="277">
        <f t="shared" si="11"/>
        <v>-17.2</v>
      </c>
      <c r="AI39" s="277"/>
      <c r="AJ39" s="448"/>
      <c r="AK39" s="277"/>
    </row>
    <row r="40" spans="1:37" s="363" customFormat="1" ht="18.75" customHeight="1" x14ac:dyDescent="0.3">
      <c r="A40" s="427" t="s">
        <v>272</v>
      </c>
      <c r="B40" s="529">
        <v>-127.57</v>
      </c>
      <c r="C40" s="375">
        <v>-99.516999999999996</v>
      </c>
      <c r="D40" s="277">
        <f t="shared" si="23"/>
        <v>-22</v>
      </c>
      <c r="E40" s="529">
        <v>-9.5727980400000003</v>
      </c>
      <c r="F40" s="375">
        <v>-4.3361765199999995</v>
      </c>
      <c r="G40" s="277">
        <f t="shared" si="24"/>
        <v>-54.7</v>
      </c>
      <c r="H40" s="529"/>
      <c r="I40" s="375"/>
      <c r="J40" s="277"/>
      <c r="K40" s="529">
        <v>-5</v>
      </c>
      <c r="L40" s="375">
        <v>-4</v>
      </c>
      <c r="M40" s="277">
        <f t="shared" si="26"/>
        <v>-20</v>
      </c>
      <c r="N40" s="529">
        <v>-66.621284340000003</v>
      </c>
      <c r="O40" s="375">
        <v>-17.354743160000002</v>
      </c>
      <c r="P40" s="277">
        <f t="shared" si="27"/>
        <v>-74</v>
      </c>
      <c r="Q40" s="529">
        <v>-50.25</v>
      </c>
      <c r="R40" s="375">
        <v>-29</v>
      </c>
      <c r="S40" s="277">
        <f t="shared" si="28"/>
        <v>-42.3</v>
      </c>
      <c r="T40" s="529">
        <v>-8</v>
      </c>
      <c r="U40" s="375">
        <v>-7</v>
      </c>
      <c r="V40" s="277">
        <f t="shared" si="29"/>
        <v>-12.5</v>
      </c>
      <c r="W40" s="529">
        <v>-2.5235741488404884</v>
      </c>
      <c r="X40" s="375">
        <v>-0.55555920999999908</v>
      </c>
      <c r="Y40" s="277">
        <f t="shared" si="30"/>
        <v>-78</v>
      </c>
      <c r="Z40" s="529">
        <v>-234.42313262999997</v>
      </c>
      <c r="AA40" s="375">
        <v>-199.4543106000001</v>
      </c>
      <c r="AB40" s="277">
        <f t="shared" si="31"/>
        <v>-14.9</v>
      </c>
      <c r="AC40" s="529"/>
      <c r="AD40" s="375"/>
      <c r="AE40" s="277"/>
      <c r="AF40" s="277">
        <f t="shared" si="33"/>
        <v>-503.9607891588405</v>
      </c>
      <c r="AG40" s="277">
        <f t="shared" si="33"/>
        <v>-361.21778949000009</v>
      </c>
      <c r="AH40" s="277">
        <f t="shared" si="11"/>
        <v>-28.3</v>
      </c>
      <c r="AI40" s="277"/>
      <c r="AJ40" s="448"/>
      <c r="AK40" s="277"/>
    </row>
    <row r="41" spans="1:37" s="450" customFormat="1" ht="18.75" customHeight="1" x14ac:dyDescent="0.3">
      <c r="A41" s="439" t="s">
        <v>273</v>
      </c>
      <c r="B41" s="528">
        <f>SUM(B38:B40)</f>
        <v>188</v>
      </c>
      <c r="C41" s="380">
        <f>SUM(C38:C40)</f>
        <v>185.15199999999999</v>
      </c>
      <c r="D41" s="351">
        <f t="shared" si="23"/>
        <v>-1.5</v>
      </c>
      <c r="E41" s="528">
        <f>SUM(E38:E40)</f>
        <v>31.514633529999998</v>
      </c>
      <c r="F41" s="380">
        <f>SUM(F38:F40)</f>
        <v>0.5063597699999951</v>
      </c>
      <c r="G41" s="351">
        <f t="shared" si="24"/>
        <v>-98.4</v>
      </c>
      <c r="H41" s="528">
        <f>SUM(H38:H40)</f>
        <v>5.9290000000000003</v>
      </c>
      <c r="I41" s="380">
        <f>SUM(I38:I40)</f>
        <v>1.206</v>
      </c>
      <c r="J41" s="351">
        <f t="shared" si="25"/>
        <v>-79.7</v>
      </c>
      <c r="K41" s="528">
        <f>SUM(K38:K40)</f>
        <v>10</v>
      </c>
      <c r="L41" s="380">
        <f>SUM(L38:L40)</f>
        <v>12</v>
      </c>
      <c r="M41" s="351">
        <f t="shared" si="26"/>
        <v>20</v>
      </c>
      <c r="N41" s="528">
        <v>231.67352756000003</v>
      </c>
      <c r="O41" s="380">
        <v>156.04190003000002</v>
      </c>
      <c r="P41" s="351">
        <f t="shared" si="27"/>
        <v>-32.6</v>
      </c>
      <c r="Q41" s="528">
        <f>SUM(Q38:Q40)</f>
        <v>77.31</v>
      </c>
      <c r="R41" s="380">
        <f>SUM(R38:R40)</f>
        <v>93</v>
      </c>
      <c r="S41" s="351">
        <f t="shared" si="28"/>
        <v>20.3</v>
      </c>
      <c r="T41" s="528">
        <v>69</v>
      </c>
      <c r="U41" s="380">
        <f>SUM(U38:U40)</f>
        <v>87</v>
      </c>
      <c r="V41" s="351">
        <f t="shared" si="29"/>
        <v>26.1</v>
      </c>
      <c r="W41" s="528">
        <f>SUM(W38:W40)</f>
        <v>72.970490761147488</v>
      </c>
      <c r="X41" s="380">
        <f>SUM(X38:X40)</f>
        <v>10.140432069999999</v>
      </c>
      <c r="Y41" s="351">
        <f t="shared" si="30"/>
        <v>-86.1</v>
      </c>
      <c r="Z41" s="528">
        <f>SUM(Z38:Z40)</f>
        <v>1260.7129523099998</v>
      </c>
      <c r="AA41" s="380">
        <f>SUM(AA38:AA40)</f>
        <v>988.87643828999967</v>
      </c>
      <c r="AB41" s="351">
        <f t="shared" si="31"/>
        <v>-21.6</v>
      </c>
      <c r="AC41" s="528">
        <f>SUM(AC38:AC40)</f>
        <v>1</v>
      </c>
      <c r="AD41" s="380">
        <f>SUM(AD38:AD40)</f>
        <v>1</v>
      </c>
      <c r="AE41" s="351">
        <f t="shared" si="32"/>
        <v>0</v>
      </c>
      <c r="AF41" s="351">
        <f t="shared" si="33"/>
        <v>1947.1106041611474</v>
      </c>
      <c r="AG41" s="351">
        <f t="shared" si="33"/>
        <v>1533.9231301599998</v>
      </c>
      <c r="AH41" s="351">
        <f t="shared" si="11"/>
        <v>-21.2</v>
      </c>
      <c r="AI41" s="351"/>
      <c r="AJ41" s="449"/>
      <c r="AK41" s="351"/>
    </row>
    <row r="42" spans="1:37" s="450" customFormat="1" ht="18.75" customHeight="1" x14ac:dyDescent="0.3">
      <c r="A42" s="439" t="s">
        <v>274</v>
      </c>
      <c r="B42" s="528">
        <f>B35+B41</f>
        <v>573.61599999999999</v>
      </c>
      <c r="C42" s="380">
        <f>C35+C41</f>
        <v>654.77500000000259</v>
      </c>
      <c r="D42" s="351">
        <f t="shared" si="23"/>
        <v>14.1</v>
      </c>
      <c r="E42" s="528">
        <f>E35+E41</f>
        <v>293.06864002999964</v>
      </c>
      <c r="F42" s="380">
        <f>F35+F41</f>
        <v>207.27475840000022</v>
      </c>
      <c r="G42" s="351">
        <f t="shared" si="24"/>
        <v>-29.3</v>
      </c>
      <c r="H42" s="528">
        <f>H35+H41</f>
        <v>19.465999999999866</v>
      </c>
      <c r="I42" s="380">
        <f>I35+I41</f>
        <v>20.131999999999959</v>
      </c>
      <c r="J42" s="351">
        <f t="shared" si="25"/>
        <v>3.4</v>
      </c>
      <c r="K42" s="528">
        <f>K35+K41</f>
        <v>67</v>
      </c>
      <c r="L42" s="380">
        <f>L35+L41</f>
        <v>91</v>
      </c>
      <c r="M42" s="351">
        <f t="shared" si="26"/>
        <v>35.799999999999997</v>
      </c>
      <c r="N42" s="528">
        <v>204.65533575999962</v>
      </c>
      <c r="O42" s="380">
        <v>157.10226389999576</v>
      </c>
      <c r="P42" s="351">
        <f t="shared" si="27"/>
        <v>-23.2</v>
      </c>
      <c r="Q42" s="528">
        <f>Q35+Q41</f>
        <v>355.71530714999824</v>
      </c>
      <c r="R42" s="380">
        <f>R35+R41</f>
        <v>435.99999999999955</v>
      </c>
      <c r="S42" s="351">
        <f t="shared" si="28"/>
        <v>22.6</v>
      </c>
      <c r="T42" s="528">
        <v>188</v>
      </c>
      <c r="U42" s="380">
        <f>U35+U41</f>
        <v>151</v>
      </c>
      <c r="V42" s="351">
        <f t="shared" si="29"/>
        <v>-19.7</v>
      </c>
      <c r="W42" s="528">
        <f>W35+W41</f>
        <v>87.182116439990395</v>
      </c>
      <c r="X42" s="380">
        <f>X35+X41</f>
        <v>47.340968359997589</v>
      </c>
      <c r="Y42" s="351">
        <f t="shared" si="30"/>
        <v>-45.7</v>
      </c>
      <c r="Z42" s="528">
        <f>Z35+Z41</f>
        <v>1635.7343830714781</v>
      </c>
      <c r="AA42" s="380">
        <f>AA35+AA41</f>
        <v>1449.2640766899895</v>
      </c>
      <c r="AB42" s="351">
        <f t="shared" si="31"/>
        <v>-11.4</v>
      </c>
      <c r="AC42" s="528">
        <f>AC35+AC41</f>
        <v>-1</v>
      </c>
      <c r="AD42" s="380">
        <f>AD35+AD41</f>
        <v>0</v>
      </c>
      <c r="AE42" s="351">
        <f t="shared" si="32"/>
        <v>-100</v>
      </c>
      <c r="AF42" s="351">
        <f t="shared" si="33"/>
        <v>3424.4377824514659</v>
      </c>
      <c r="AG42" s="351">
        <f t="shared" si="33"/>
        <v>3213.889067349985</v>
      </c>
      <c r="AH42" s="351">
        <f t="shared" si="11"/>
        <v>-6.1</v>
      </c>
      <c r="AI42" s="351"/>
      <c r="AJ42" s="449"/>
      <c r="AK42" s="351"/>
    </row>
    <row r="43" spans="1:37" s="363" customFormat="1" ht="18.75" customHeight="1" x14ac:dyDescent="0.3">
      <c r="A43" s="427" t="s">
        <v>275</v>
      </c>
      <c r="B43" s="529">
        <v>-145.96700000000001</v>
      </c>
      <c r="C43" s="375">
        <v>-173.554</v>
      </c>
      <c r="D43" s="277">
        <f t="shared" si="23"/>
        <v>18.899999999999999</v>
      </c>
      <c r="E43" s="529">
        <v>-75.672979639999994</v>
      </c>
      <c r="F43" s="375">
        <v>-42.961045630000001</v>
      </c>
      <c r="G43" s="277">
        <f t="shared" si="24"/>
        <v>-43.2</v>
      </c>
      <c r="H43" s="529">
        <v>-4.8170000000000002</v>
      </c>
      <c r="I43" s="375"/>
      <c r="J43" s="277">
        <f t="shared" si="25"/>
        <v>-100</v>
      </c>
      <c r="K43" s="529">
        <v>-17</v>
      </c>
      <c r="L43" s="375">
        <v>-23</v>
      </c>
      <c r="M43" s="277">
        <f t="shared" si="26"/>
        <v>35.299999999999997</v>
      </c>
      <c r="N43" s="529">
        <v>-54.847311474999998</v>
      </c>
      <c r="O43" s="375">
        <v>-41.669196475</v>
      </c>
      <c r="P43" s="277">
        <f t="shared" si="27"/>
        <v>-24</v>
      </c>
      <c r="Q43" s="529">
        <v>-88.81</v>
      </c>
      <c r="R43" s="375">
        <v>-109</v>
      </c>
      <c r="S43" s="277">
        <f t="shared" si="28"/>
        <v>22.7</v>
      </c>
      <c r="T43" s="529">
        <v>-51</v>
      </c>
      <c r="U43" s="375">
        <v>-61</v>
      </c>
      <c r="V43" s="277">
        <f t="shared" si="29"/>
        <v>19.600000000000001</v>
      </c>
      <c r="W43" s="529">
        <v>-20.375167879999999</v>
      </c>
      <c r="X43" s="375">
        <v>-15.365087079999997</v>
      </c>
      <c r="Y43" s="277">
        <f t="shared" si="30"/>
        <v>-24.6</v>
      </c>
      <c r="Z43" s="529">
        <v>-43</v>
      </c>
      <c r="AA43" s="375">
        <v>-335</v>
      </c>
      <c r="AB43" s="277">
        <f t="shared" si="31"/>
        <v>679.1</v>
      </c>
      <c r="AC43" s="529"/>
      <c r="AD43" s="375"/>
      <c r="AE43" s="277"/>
      <c r="AF43" s="277">
        <f t="shared" si="33"/>
        <v>-501.48945899500001</v>
      </c>
      <c r="AG43" s="277">
        <f t="shared" si="33"/>
        <v>-801.54932918500003</v>
      </c>
      <c r="AH43" s="277">
        <f t="shared" si="11"/>
        <v>59.8</v>
      </c>
      <c r="AI43" s="277"/>
      <c r="AJ43" s="448"/>
      <c r="AK43" s="277"/>
    </row>
    <row r="44" spans="1:37" s="450" customFormat="1" ht="18.75" customHeight="1" x14ac:dyDescent="0.3">
      <c r="A44" s="439" t="s">
        <v>276</v>
      </c>
      <c r="B44" s="528">
        <f>B42+B43</f>
        <v>427.649</v>
      </c>
      <c r="C44" s="380">
        <f>C42+C43</f>
        <v>481.22100000000262</v>
      </c>
      <c r="D44" s="351">
        <f t="shared" si="23"/>
        <v>12.5</v>
      </c>
      <c r="E44" s="528">
        <f>E42+E43</f>
        <v>217.39566038999965</v>
      </c>
      <c r="F44" s="380">
        <f>F42+F43</f>
        <v>164.31371277000022</v>
      </c>
      <c r="G44" s="351">
        <f t="shared" si="24"/>
        <v>-24.4</v>
      </c>
      <c r="H44" s="528">
        <f>H42+H43</f>
        <v>14.648999999999866</v>
      </c>
      <c r="I44" s="380">
        <f>I42+I43</f>
        <v>20.131999999999959</v>
      </c>
      <c r="J44" s="351">
        <f t="shared" si="25"/>
        <v>37.4</v>
      </c>
      <c r="K44" s="528">
        <f>K42+K43</f>
        <v>50</v>
      </c>
      <c r="L44" s="380">
        <f>L42+L43</f>
        <v>68</v>
      </c>
      <c r="M44" s="351">
        <f t="shared" si="26"/>
        <v>36</v>
      </c>
      <c r="N44" s="528">
        <v>149.80802428499962</v>
      </c>
      <c r="O44" s="380">
        <v>115.43306742499576</v>
      </c>
      <c r="P44" s="351">
        <f t="shared" si="27"/>
        <v>-22.9</v>
      </c>
      <c r="Q44" s="528">
        <f>Q42+Q43</f>
        <v>266.90530714999824</v>
      </c>
      <c r="R44" s="380">
        <f>R42+R43</f>
        <v>326.99999999999955</v>
      </c>
      <c r="S44" s="351">
        <f t="shared" si="28"/>
        <v>22.5</v>
      </c>
      <c r="T44" s="528">
        <v>137</v>
      </c>
      <c r="U44" s="380">
        <f>U42+U43</f>
        <v>90</v>
      </c>
      <c r="V44" s="351">
        <f t="shared" si="29"/>
        <v>-34.299999999999997</v>
      </c>
      <c r="W44" s="528">
        <f>W42+W43</f>
        <v>66.806948559990389</v>
      </c>
      <c r="X44" s="380">
        <f>X42+X43</f>
        <v>31.975881279997594</v>
      </c>
      <c r="Y44" s="351">
        <f t="shared" si="30"/>
        <v>-52.1</v>
      </c>
      <c r="Z44" s="528">
        <f>Z42+Z43</f>
        <v>1592.7343830714781</v>
      </c>
      <c r="AA44" s="380">
        <f>AA42+AA43</f>
        <v>1114.2640766899895</v>
      </c>
      <c r="AB44" s="351">
        <f t="shared" si="31"/>
        <v>-30</v>
      </c>
      <c r="AC44" s="528">
        <f>AC42+AC43</f>
        <v>-1</v>
      </c>
      <c r="AD44" s="380">
        <f>AD42+AD43</f>
        <v>0</v>
      </c>
      <c r="AE44" s="351">
        <f t="shared" si="32"/>
        <v>-100</v>
      </c>
      <c r="AF44" s="351">
        <f t="shared" si="33"/>
        <v>2922.9483234564659</v>
      </c>
      <c r="AG44" s="351">
        <f t="shared" si="33"/>
        <v>2412.3397381649852</v>
      </c>
      <c r="AH44" s="351">
        <f t="shared" si="11"/>
        <v>-17.5</v>
      </c>
      <c r="AI44" s="351"/>
      <c r="AJ44" s="449"/>
      <c r="AK44" s="351"/>
    </row>
    <row r="45" spans="1:37" s="363" customFormat="1" ht="18.75" customHeight="1" x14ac:dyDescent="0.3">
      <c r="A45" s="427" t="s">
        <v>277</v>
      </c>
      <c r="B45" s="529"/>
      <c r="C45" s="375"/>
      <c r="D45" s="277"/>
      <c r="E45" s="529"/>
      <c r="F45" s="375"/>
      <c r="G45" s="277"/>
      <c r="H45" s="529"/>
      <c r="I45" s="375"/>
      <c r="J45" s="277"/>
      <c r="K45" s="529"/>
      <c r="L45" s="375"/>
      <c r="M45" s="277"/>
      <c r="N45" s="529">
        <v>9.8931004749999989</v>
      </c>
      <c r="O45" s="375">
        <v>110.348447315</v>
      </c>
      <c r="P45" s="277">
        <f t="shared" si="27"/>
        <v>999</v>
      </c>
      <c r="Q45" s="529">
        <v>-6.08</v>
      </c>
      <c r="R45" s="375">
        <v>4</v>
      </c>
      <c r="S45" s="277">
        <f t="shared" si="28"/>
        <v>-165.8</v>
      </c>
      <c r="T45" s="529"/>
      <c r="U45" s="375"/>
      <c r="V45" s="277"/>
      <c r="W45" s="529"/>
      <c r="X45" s="375"/>
      <c r="Y45" s="277"/>
      <c r="Z45" s="529">
        <v>0</v>
      </c>
      <c r="AA45" s="375">
        <v>3.421783447265625E-9</v>
      </c>
      <c r="AB45" s="277" t="str">
        <f t="shared" si="31"/>
        <v xml:space="preserve">    ---- </v>
      </c>
      <c r="AC45" s="529"/>
      <c r="AD45" s="375"/>
      <c r="AE45" s="277"/>
      <c r="AF45" s="277">
        <f t="shared" si="33"/>
        <v>3.8131004749999988</v>
      </c>
      <c r="AG45" s="277">
        <f t="shared" si="33"/>
        <v>114.34844731842179</v>
      </c>
      <c r="AH45" s="277">
        <f t="shared" si="11"/>
        <v>999</v>
      </c>
      <c r="AI45" s="277"/>
      <c r="AJ45" s="448"/>
      <c r="AK45" s="277"/>
    </row>
    <row r="46" spans="1:37" s="450" customFormat="1" ht="18.75" customHeight="1" x14ac:dyDescent="0.3">
      <c r="A46" s="438" t="s">
        <v>278</v>
      </c>
      <c r="B46" s="530">
        <f>B44+B45</f>
        <v>427.649</v>
      </c>
      <c r="C46" s="381">
        <f>C44+C45</f>
        <v>481.22100000000262</v>
      </c>
      <c r="D46" s="358">
        <f>IF(B46=0, "    ---- ", IF(ABS(ROUND(100/B46*C46-100,1))&lt;999,ROUND(100/B46*C46-100,1),IF(ROUND(100/B46*C46-100,1)&gt;999,999,-999)))</f>
        <v>12.5</v>
      </c>
      <c r="E46" s="530">
        <f>E44+E45</f>
        <v>217.39566038999965</v>
      </c>
      <c r="F46" s="381">
        <f>F44+F45</f>
        <v>164.31371277000022</v>
      </c>
      <c r="G46" s="358">
        <f>IF(E46=0, "    ---- ", IF(ABS(ROUND(100/E46*F46-100,1))&lt;999,ROUND(100/E46*F46-100,1),IF(ROUND(100/E46*F46-100,1)&gt;999,999,-999)))</f>
        <v>-24.4</v>
      </c>
      <c r="H46" s="530">
        <f>H44+H45</f>
        <v>14.648999999999866</v>
      </c>
      <c r="I46" s="381">
        <f>I44+I45</f>
        <v>20.131999999999959</v>
      </c>
      <c r="J46" s="358">
        <f>IF(H46=0, "    ---- ", IF(ABS(ROUND(100/H46*I46-100,1))&lt;999,ROUND(100/H46*I46-100,1),IF(ROUND(100/H46*I46-100,1)&gt;999,999,-999)))</f>
        <v>37.4</v>
      </c>
      <c r="K46" s="530">
        <f>K44+K45</f>
        <v>50</v>
      </c>
      <c r="L46" s="381">
        <f>L44+L45</f>
        <v>68</v>
      </c>
      <c r="M46" s="358">
        <f>IF(K46=0, "    ---- ", IF(ABS(ROUND(100/K46*L46-100,1))&lt;999,ROUND(100/K46*L46-100,1),IF(ROUND(100/K46*L46-100,1)&gt;999,999,-999)))</f>
        <v>36</v>
      </c>
      <c r="N46" s="530">
        <v>159.70112475999963</v>
      </c>
      <c r="O46" s="381">
        <v>225.78151473999577</v>
      </c>
      <c r="P46" s="358">
        <f>IF(N46=0, "    ---- ", IF(ABS(ROUND(100/N46*O46-100,1))&lt;999,ROUND(100/N46*O46-100,1),IF(ROUND(100/N46*O46-100,1)&gt;999,999,-999)))</f>
        <v>41.4</v>
      </c>
      <c r="Q46" s="530">
        <f>Q44+Q45</f>
        <v>260.82530714999825</v>
      </c>
      <c r="R46" s="381">
        <f>R44+R45</f>
        <v>330.99999999999955</v>
      </c>
      <c r="S46" s="358">
        <f>IF(Q46=0, "    ---- ", IF(ABS(ROUND(100/Q46*R46-100,1))&lt;999,ROUND(100/Q46*R46-100,1),IF(ROUND(100/Q46*R46-100,1)&gt;999,999,-999)))</f>
        <v>26.9</v>
      </c>
      <c r="T46" s="530">
        <v>137</v>
      </c>
      <c r="U46" s="381">
        <f>U44+U45</f>
        <v>90</v>
      </c>
      <c r="V46" s="358">
        <f>IF(T46=0, "    ---- ", IF(ABS(ROUND(100/T46*U46-100,1))&lt;999,ROUND(100/T46*U46-100,1),IF(ROUND(100/T46*U46-100,1)&gt;999,999,-999)))</f>
        <v>-34.299999999999997</v>
      </c>
      <c r="W46" s="530">
        <f>W44+W45</f>
        <v>66.806948559990389</v>
      </c>
      <c r="X46" s="381">
        <f>X44+X45</f>
        <v>31.975881279997594</v>
      </c>
      <c r="Y46" s="358">
        <f>IF(W46=0, "    ---- ", IF(ABS(ROUND(100/W46*X46-100,1))&lt;999,ROUND(100/W46*X46-100,1),IF(ROUND(100/W46*X46-100,1)&gt;999,999,-999)))</f>
        <v>-52.1</v>
      </c>
      <c r="Z46" s="530">
        <f>Z44+Z45</f>
        <v>1592.7343830714781</v>
      </c>
      <c r="AA46" s="381">
        <f>AA44+AA45</f>
        <v>1114.2640766934112</v>
      </c>
      <c r="AB46" s="358">
        <f>IF(Z46=0, "    ---- ", IF(ABS(ROUND(100/Z46*AA46-100,1))&lt;999,ROUND(100/Z46*AA46-100,1),IF(ROUND(100/Z46*AA46-100,1)&gt;999,999,-999)))</f>
        <v>-30</v>
      </c>
      <c r="AC46" s="530">
        <f>AC44+AC45</f>
        <v>-1</v>
      </c>
      <c r="AD46" s="381">
        <f>AD44+AD45</f>
        <v>0</v>
      </c>
      <c r="AE46" s="358">
        <f>IF(AC46=0, "    ---- ", IF(ABS(ROUND(100/AC46*AD46-100,1))&lt;999,ROUND(100/AC46*AD46-100,1),IF(ROUND(100/AC46*AD46-100,1)&gt;999,999,-999)))</f>
        <v>-100</v>
      </c>
      <c r="AF46" s="351">
        <f t="shared" si="33"/>
        <v>2926.7614239314657</v>
      </c>
      <c r="AG46" s="351">
        <f t="shared" si="33"/>
        <v>2526.6881854834069</v>
      </c>
      <c r="AH46" s="358">
        <f t="shared" si="11"/>
        <v>-13.7</v>
      </c>
      <c r="AI46" s="451"/>
      <c r="AJ46" s="452"/>
      <c r="AK46" s="453"/>
    </row>
    <row r="47" spans="1:37" s="450" customFormat="1" ht="18.75" customHeight="1" x14ac:dyDescent="0.3">
      <c r="A47" s="454"/>
      <c r="B47" s="455"/>
      <c r="C47" s="455"/>
      <c r="D47" s="440"/>
      <c r="E47" s="455"/>
      <c r="F47" s="455"/>
      <c r="G47" s="440"/>
      <c r="H47" s="455"/>
      <c r="I47" s="455"/>
      <c r="J47" s="440"/>
      <c r="K47" s="455"/>
      <c r="L47" s="455"/>
      <c r="M47" s="456"/>
      <c r="N47" s="455"/>
      <c r="O47" s="455"/>
      <c r="P47" s="440"/>
      <c r="Q47" s="455"/>
      <c r="R47" s="455"/>
      <c r="S47" s="440"/>
      <c r="T47" s="455"/>
      <c r="U47" s="455"/>
      <c r="V47" s="440"/>
      <c r="W47" s="455"/>
      <c r="X47" s="455"/>
      <c r="Y47" s="440"/>
      <c r="Z47" s="455"/>
      <c r="AA47" s="455"/>
      <c r="AB47" s="440"/>
      <c r="AC47" s="455"/>
      <c r="AD47" s="455"/>
      <c r="AE47" s="440"/>
      <c r="AF47" s="456"/>
      <c r="AG47" s="456"/>
      <c r="AH47" s="440"/>
      <c r="AI47" s="457"/>
      <c r="AJ47" s="457"/>
      <c r="AK47" s="458"/>
    </row>
    <row r="48" spans="1:37" s="450" customFormat="1" ht="18.75" customHeight="1" x14ac:dyDescent="0.3">
      <c r="A48" s="384" t="s">
        <v>279</v>
      </c>
      <c r="B48" s="459"/>
      <c r="C48" s="459"/>
      <c r="D48" s="459"/>
      <c r="E48" s="459"/>
      <c r="F48" s="459"/>
      <c r="G48" s="459"/>
      <c r="H48" s="459"/>
      <c r="I48" s="459"/>
      <c r="J48" s="459"/>
      <c r="K48" s="459"/>
      <c r="L48" s="459"/>
      <c r="M48" s="459"/>
      <c r="N48" s="459"/>
      <c r="O48" s="459"/>
      <c r="P48" s="459"/>
      <c r="Q48" s="459"/>
      <c r="R48" s="459"/>
      <c r="S48" s="459"/>
      <c r="T48" s="459"/>
      <c r="U48" s="459"/>
      <c r="V48" s="459"/>
      <c r="W48" s="459"/>
      <c r="X48" s="459"/>
      <c r="Y48" s="459"/>
      <c r="Z48" s="459"/>
      <c r="AA48" s="459"/>
      <c r="AB48" s="459"/>
      <c r="AC48" s="459"/>
      <c r="AD48" s="459"/>
      <c r="AE48" s="459"/>
      <c r="AF48" s="459"/>
      <c r="AG48" s="459"/>
      <c r="AH48" s="459"/>
      <c r="AI48" s="459"/>
      <c r="AJ48" s="459"/>
      <c r="AK48" s="459"/>
    </row>
    <row r="49" spans="1:37" s="363" customFormat="1" ht="18.75" customHeight="1" x14ac:dyDescent="0.3">
      <c r="A49" s="459" t="s">
        <v>280</v>
      </c>
      <c r="B49" s="459"/>
      <c r="C49" s="459"/>
      <c r="D49" s="459"/>
      <c r="E49" s="459"/>
      <c r="F49" s="459"/>
      <c r="G49" s="459"/>
      <c r="H49" s="459"/>
      <c r="I49" s="459"/>
      <c r="J49" s="459"/>
      <c r="K49" s="459"/>
      <c r="L49" s="459"/>
      <c r="M49" s="459"/>
      <c r="N49" s="459"/>
      <c r="O49" s="459"/>
      <c r="P49" s="459"/>
      <c r="Q49" s="459"/>
      <c r="R49" s="459"/>
      <c r="S49" s="459"/>
      <c r="T49" s="459"/>
      <c r="U49" s="459"/>
      <c r="V49" s="459"/>
      <c r="W49" s="459"/>
      <c r="X49" s="459"/>
      <c r="Y49" s="459"/>
      <c r="Z49" s="459"/>
      <c r="AA49" s="459"/>
      <c r="AB49" s="459"/>
      <c r="AC49" s="459"/>
      <c r="AD49" s="459"/>
      <c r="AE49" s="459"/>
      <c r="AF49" s="459"/>
      <c r="AG49" s="459"/>
      <c r="AH49" s="459"/>
      <c r="AI49" s="459"/>
      <c r="AJ49" s="459"/>
      <c r="AK49" s="459"/>
    </row>
    <row r="50" spans="1:37" s="363" customFormat="1" ht="18.75" customHeight="1" x14ac:dyDescent="0.3">
      <c r="A50" s="459" t="s">
        <v>281</v>
      </c>
      <c r="B50" s="459"/>
      <c r="C50" s="459"/>
      <c r="D50" s="459"/>
      <c r="E50" s="459"/>
      <c r="F50" s="459"/>
      <c r="G50" s="459"/>
      <c r="H50" s="459"/>
      <c r="I50" s="459"/>
      <c r="J50" s="459"/>
      <c r="K50" s="459"/>
      <c r="L50" s="459"/>
      <c r="M50" s="459"/>
      <c r="N50" s="459"/>
      <c r="O50" s="459"/>
      <c r="P50" s="459"/>
      <c r="Q50" s="459"/>
      <c r="R50" s="459"/>
      <c r="S50" s="459"/>
      <c r="T50" s="459"/>
      <c r="U50" s="459"/>
      <c r="V50" s="459"/>
      <c r="W50" s="459"/>
      <c r="X50" s="459"/>
      <c r="Y50" s="459"/>
      <c r="Z50" s="459"/>
      <c r="AA50" s="459"/>
      <c r="AB50" s="459"/>
      <c r="AC50" s="459"/>
      <c r="AD50" s="459"/>
      <c r="AE50" s="459"/>
      <c r="AF50" s="459"/>
      <c r="AG50" s="459"/>
      <c r="AH50" s="459"/>
      <c r="AI50" s="459"/>
      <c r="AJ50" s="459"/>
      <c r="AK50" s="459"/>
    </row>
    <row r="51" spans="1:37" s="363" customFormat="1" ht="18.75" customHeight="1" x14ac:dyDescent="0.3">
      <c r="A51" s="459" t="s">
        <v>282</v>
      </c>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row>
    <row r="52" spans="1:37" s="363" customFormat="1" ht="18.75" customHeight="1" x14ac:dyDescent="0.3">
      <c r="A52" s="459" t="s">
        <v>283</v>
      </c>
      <c r="B52" s="459"/>
      <c r="C52" s="459"/>
      <c r="D52" s="459"/>
      <c r="E52" s="459"/>
      <c r="F52" s="459"/>
      <c r="G52" s="459"/>
      <c r="H52" s="459"/>
      <c r="I52" s="459"/>
      <c r="J52" s="459"/>
      <c r="K52" s="459"/>
      <c r="L52" s="459"/>
      <c r="M52" s="459"/>
      <c r="N52" s="459"/>
      <c r="O52" s="459"/>
      <c r="P52" s="459"/>
      <c r="Q52" s="459"/>
      <c r="R52" s="459"/>
      <c r="S52" s="459"/>
      <c r="T52" s="459"/>
      <c r="U52" s="459"/>
      <c r="V52" s="459"/>
      <c r="W52" s="459"/>
      <c r="X52" s="459"/>
      <c r="Y52" s="459"/>
      <c r="Z52" s="459"/>
      <c r="AA52" s="459"/>
      <c r="AB52" s="459"/>
      <c r="AC52" s="459"/>
      <c r="AD52" s="459"/>
      <c r="AE52" s="459"/>
      <c r="AF52" s="459"/>
      <c r="AG52" s="459"/>
      <c r="AH52" s="459"/>
      <c r="AI52" s="459"/>
      <c r="AJ52" s="459"/>
      <c r="AK52" s="459"/>
    </row>
    <row r="53" spans="1:37" s="363" customFormat="1" ht="18.75" customHeight="1" x14ac:dyDescent="0.3">
      <c r="A53" s="459" t="s">
        <v>284</v>
      </c>
      <c r="B53" s="459"/>
      <c r="C53" s="459"/>
      <c r="D53" s="459"/>
      <c r="E53" s="459"/>
      <c r="F53" s="459"/>
      <c r="G53" s="459"/>
      <c r="H53" s="459"/>
      <c r="I53" s="459"/>
      <c r="J53" s="459"/>
      <c r="K53" s="459"/>
      <c r="L53" s="459"/>
      <c r="M53" s="459"/>
      <c r="N53" s="459"/>
      <c r="O53" s="459"/>
      <c r="P53" s="459"/>
      <c r="Q53" s="459"/>
      <c r="R53" s="459"/>
      <c r="S53" s="459"/>
      <c r="T53" s="459"/>
      <c r="U53" s="459"/>
      <c r="V53" s="459"/>
      <c r="W53" s="459"/>
      <c r="X53" s="459"/>
      <c r="Y53" s="459"/>
      <c r="Z53" s="459"/>
      <c r="AA53" s="459"/>
      <c r="AB53" s="459"/>
      <c r="AC53" s="459"/>
      <c r="AD53" s="459"/>
      <c r="AE53" s="459"/>
      <c r="AF53" s="459"/>
      <c r="AG53" s="459"/>
      <c r="AH53" s="459"/>
      <c r="AI53" s="459"/>
      <c r="AJ53" s="459"/>
      <c r="AK53" s="459"/>
    </row>
    <row r="54" spans="1:37" s="363" customFormat="1" ht="18.75" customHeight="1" x14ac:dyDescent="0.3">
      <c r="A54" s="459" t="s">
        <v>285</v>
      </c>
      <c r="B54" s="459"/>
      <c r="C54" s="459"/>
      <c r="D54" s="459"/>
      <c r="E54" s="459"/>
      <c r="F54" s="459"/>
      <c r="G54" s="459"/>
      <c r="H54" s="459"/>
      <c r="I54" s="459"/>
      <c r="J54" s="459"/>
      <c r="K54" s="459"/>
      <c r="L54" s="459"/>
      <c r="M54" s="459"/>
      <c r="N54" s="459"/>
      <c r="O54" s="459"/>
      <c r="P54" s="459"/>
      <c r="Q54" s="459"/>
      <c r="R54" s="459"/>
      <c r="S54" s="459"/>
      <c r="T54" s="459"/>
      <c r="U54" s="459"/>
      <c r="V54" s="459"/>
      <c r="W54" s="459"/>
      <c r="X54" s="459"/>
      <c r="Y54" s="459"/>
      <c r="Z54" s="459"/>
      <c r="AA54" s="459"/>
      <c r="AB54" s="459"/>
      <c r="AC54" s="459"/>
      <c r="AD54" s="459"/>
      <c r="AE54" s="459"/>
      <c r="AF54" s="459"/>
      <c r="AG54" s="459"/>
      <c r="AH54" s="459"/>
      <c r="AI54" s="459"/>
      <c r="AJ54" s="459"/>
      <c r="AK54" s="459"/>
    </row>
    <row r="55" spans="1:37" s="363" customFormat="1" ht="18.75" customHeight="1" x14ac:dyDescent="0.3">
      <c r="A55" s="459" t="s">
        <v>286</v>
      </c>
      <c r="B55" s="459"/>
      <c r="C55" s="459"/>
      <c r="D55" s="459"/>
      <c r="E55" s="459"/>
      <c r="F55" s="459"/>
      <c r="G55" s="459"/>
      <c r="H55" s="459"/>
      <c r="I55" s="459"/>
      <c r="J55" s="459"/>
      <c r="K55" s="459"/>
      <c r="L55" s="459"/>
      <c r="M55" s="459"/>
      <c r="N55" s="459"/>
      <c r="O55" s="459"/>
      <c r="P55" s="459"/>
      <c r="Q55" s="459"/>
      <c r="R55" s="459"/>
      <c r="S55" s="459"/>
      <c r="T55" s="459"/>
      <c r="U55" s="459"/>
      <c r="V55" s="459"/>
      <c r="W55" s="459"/>
      <c r="X55" s="459"/>
      <c r="Y55" s="459"/>
      <c r="Z55" s="459"/>
      <c r="AA55" s="459"/>
      <c r="AB55" s="459"/>
      <c r="AC55" s="459"/>
      <c r="AD55" s="459"/>
      <c r="AE55" s="459"/>
      <c r="AF55" s="459"/>
      <c r="AG55" s="459"/>
      <c r="AH55" s="459"/>
      <c r="AI55" s="459"/>
      <c r="AJ55" s="459"/>
      <c r="AK55" s="459"/>
    </row>
    <row r="56" spans="1:37" s="363" customFormat="1" ht="18.75" customHeight="1" x14ac:dyDescent="0.3">
      <c r="A56" s="459" t="s">
        <v>287</v>
      </c>
      <c r="B56" s="459"/>
      <c r="C56" s="459"/>
      <c r="D56" s="459"/>
      <c r="E56" s="459"/>
      <c r="F56" s="459"/>
      <c r="G56" s="459"/>
      <c r="H56" s="459"/>
      <c r="I56" s="459"/>
      <c r="J56" s="459"/>
      <c r="K56" s="459"/>
      <c r="L56" s="459"/>
      <c r="M56" s="459"/>
      <c r="N56" s="459"/>
      <c r="O56" s="459"/>
      <c r="P56" s="459"/>
      <c r="Q56" s="459"/>
      <c r="R56" s="459"/>
      <c r="S56" s="459"/>
      <c r="T56" s="459"/>
      <c r="U56" s="459"/>
      <c r="V56" s="459"/>
      <c r="W56" s="459"/>
      <c r="X56" s="459"/>
      <c r="Y56" s="459"/>
      <c r="Z56" s="459"/>
      <c r="AA56" s="459"/>
      <c r="AB56" s="459"/>
      <c r="AC56" s="459"/>
      <c r="AD56" s="459"/>
      <c r="AE56" s="459"/>
      <c r="AF56" s="459"/>
      <c r="AG56" s="459"/>
      <c r="AH56" s="459"/>
      <c r="AI56" s="459"/>
      <c r="AJ56" s="459"/>
      <c r="AK56" s="459"/>
    </row>
    <row r="57" spans="1:37" s="363" customFormat="1" ht="18.75" customHeight="1" x14ac:dyDescent="0.3">
      <c r="A57" s="459" t="s">
        <v>288</v>
      </c>
      <c r="B57" s="459"/>
      <c r="C57" s="459"/>
      <c r="D57" s="459"/>
      <c r="E57" s="459"/>
      <c r="F57" s="459"/>
      <c r="G57" s="459"/>
      <c r="H57" s="459"/>
      <c r="I57" s="459"/>
      <c r="J57" s="459"/>
      <c r="K57" s="459"/>
      <c r="L57" s="459"/>
      <c r="M57" s="459"/>
      <c r="N57" s="459"/>
      <c r="O57" s="459"/>
      <c r="P57" s="459"/>
      <c r="Q57" s="459"/>
      <c r="R57" s="459"/>
      <c r="S57" s="459"/>
      <c r="T57" s="459"/>
      <c r="U57" s="459"/>
      <c r="V57" s="459"/>
      <c r="W57" s="459"/>
      <c r="X57" s="459"/>
      <c r="Y57" s="459"/>
      <c r="Z57" s="459"/>
      <c r="AA57" s="459"/>
      <c r="AB57" s="459"/>
      <c r="AC57" s="459"/>
      <c r="AD57" s="459"/>
      <c r="AE57" s="459"/>
      <c r="AF57" s="459"/>
      <c r="AG57" s="459"/>
      <c r="AH57" s="459"/>
      <c r="AI57" s="459"/>
      <c r="AJ57" s="459"/>
      <c r="AK57" s="459"/>
    </row>
    <row r="58" spans="1:37" s="450" customFormat="1" ht="18.75" customHeight="1" x14ac:dyDescent="0.3">
      <c r="A58" s="385" t="s">
        <v>289</v>
      </c>
      <c r="B58" s="460"/>
      <c r="C58" s="460"/>
      <c r="D58" s="460"/>
      <c r="E58" s="460"/>
      <c r="F58" s="460"/>
      <c r="G58" s="460"/>
      <c r="H58" s="460"/>
      <c r="I58" s="460"/>
      <c r="J58" s="460"/>
      <c r="K58" s="460"/>
      <c r="L58" s="460"/>
      <c r="M58" s="460"/>
      <c r="N58" s="460"/>
      <c r="O58" s="460"/>
      <c r="P58" s="460"/>
      <c r="Q58" s="460"/>
      <c r="R58" s="460"/>
      <c r="S58" s="460"/>
      <c r="T58" s="460"/>
      <c r="U58" s="460"/>
      <c r="V58" s="460"/>
      <c r="W58" s="460"/>
      <c r="X58" s="460"/>
      <c r="Y58" s="460"/>
      <c r="Z58" s="460"/>
      <c r="AA58" s="460"/>
      <c r="AB58" s="460"/>
      <c r="AC58" s="460"/>
      <c r="AD58" s="460"/>
      <c r="AE58" s="460"/>
      <c r="AF58" s="460"/>
      <c r="AG58" s="460"/>
      <c r="AH58" s="460"/>
      <c r="AI58" s="460"/>
      <c r="AJ58" s="460"/>
      <c r="AK58" s="460"/>
    </row>
    <row r="59" spans="1:37" s="366" customFormat="1" ht="18.75" customHeight="1" x14ac:dyDescent="0.3">
      <c r="A59" s="363" t="s">
        <v>290</v>
      </c>
    </row>
    <row r="60" spans="1:37" s="366" customFormat="1" ht="18.75" customHeight="1" x14ac:dyDescent="0.3">
      <c r="A60" s="363" t="s">
        <v>291</v>
      </c>
    </row>
    <row r="61" spans="1:37" s="366" customFormat="1" ht="18.75" customHeight="1" x14ac:dyDescent="0.3">
      <c r="A61" s="363" t="s">
        <v>292</v>
      </c>
    </row>
    <row r="62" spans="1:37" s="366" customFormat="1" ht="18.75" x14ac:dyDescent="0.3"/>
  </sheetData>
  <mergeCells count="23">
    <mergeCell ref="AI6:AK6"/>
    <mergeCell ref="Q6:S6"/>
    <mergeCell ref="T6:V6"/>
    <mergeCell ref="W6:Y6"/>
    <mergeCell ref="Z6:AB6"/>
    <mergeCell ref="AC6:AE6"/>
    <mergeCell ref="AF6:AH6"/>
    <mergeCell ref="W5:Y5"/>
    <mergeCell ref="Z5:AB5"/>
    <mergeCell ref="AC5:AE5"/>
    <mergeCell ref="AF5:AH5"/>
    <mergeCell ref="AI5:AK5"/>
    <mergeCell ref="B6:D6"/>
    <mergeCell ref="E6:G6"/>
    <mergeCell ref="H6:J6"/>
    <mergeCell ref="K6:M6"/>
    <mergeCell ref="N6:P6"/>
    <mergeCell ref="T5:V5"/>
    <mergeCell ref="B5:D5"/>
    <mergeCell ref="E5:G5"/>
    <mergeCell ref="H5:J5"/>
    <mergeCell ref="K5:M5"/>
    <mergeCell ref="N5:P5"/>
  </mergeCells>
  <conditionalFormatting sqref="B30">
    <cfRule type="expression" dxfId="176" priority="62">
      <formula>#REF! ="30≠24+25+26+27+28+29"</formula>
    </cfRule>
  </conditionalFormatting>
  <conditionalFormatting sqref="B14:C14">
    <cfRule type="expression" dxfId="175" priority="63">
      <formula>#REF! ="14≠11+12+13"</formula>
    </cfRule>
  </conditionalFormatting>
  <conditionalFormatting sqref="B21:C21">
    <cfRule type="expression" dxfId="174" priority="64">
      <formula>#REF! ="22≠19+20+21"</formula>
    </cfRule>
  </conditionalFormatting>
  <conditionalFormatting sqref="B35:C35">
    <cfRule type="expression" dxfId="173" priority="65">
      <formula>#REF! ="35≠14+15+16+17+22+30+31+32+33+34"</formula>
    </cfRule>
  </conditionalFormatting>
  <conditionalFormatting sqref="B46:C46">
    <cfRule type="expression" dxfId="172" priority="61">
      <formula>#REF! ="46≠35+38+39+40+43+45"</formula>
    </cfRule>
  </conditionalFormatting>
  <conditionalFormatting sqref="E14:F14">
    <cfRule type="expression" dxfId="171" priority="1">
      <formula>#REF! ="14≠11+12+13"</formula>
    </cfRule>
  </conditionalFormatting>
  <conditionalFormatting sqref="E21:F21">
    <cfRule type="expression" dxfId="170" priority="2">
      <formula>#REF! ="22≠19+20+21"</formula>
    </cfRule>
  </conditionalFormatting>
  <conditionalFormatting sqref="E30:F30">
    <cfRule type="expression" dxfId="169" priority="3">
      <formula>#REF! ="30≠24+25+26+27+28+29"</formula>
    </cfRule>
  </conditionalFormatting>
  <conditionalFormatting sqref="E35:F35">
    <cfRule type="expression" dxfId="168" priority="5">
      <formula>#REF! ="35≠14+15+16+17+22+30+31+32+33+34"</formula>
    </cfRule>
  </conditionalFormatting>
  <conditionalFormatting sqref="E46:F46">
    <cfRule type="expression" dxfId="167" priority="4">
      <formula>#REF! ="46≠35+38+39+40+43+45"</formula>
    </cfRule>
  </conditionalFormatting>
  <conditionalFormatting sqref="H14:I14">
    <cfRule type="expression" dxfId="166" priority="12">
      <formula>#REF! ="14≠11+12+13"</formula>
    </cfRule>
  </conditionalFormatting>
  <conditionalFormatting sqref="H21:I21">
    <cfRule type="expression" dxfId="165" priority="13">
      <formula>#REF! ="22≠19+20+21"</formula>
    </cfRule>
  </conditionalFormatting>
  <conditionalFormatting sqref="H30:I30">
    <cfRule type="expression" dxfId="164" priority="11">
      <formula>#REF! ="30≠24+25+26+27+28+29"</formula>
    </cfRule>
  </conditionalFormatting>
  <conditionalFormatting sqref="H35:I35">
    <cfRule type="expression" dxfId="163" priority="14">
      <formula>#REF! ="35≠14+15+16+17+22+30+31+32+33+34"</formula>
    </cfRule>
  </conditionalFormatting>
  <conditionalFormatting sqref="H46:I46">
    <cfRule type="expression" dxfId="162" priority="15">
      <formula>#REF! ="46≠35+38+39+40+43+45"</formula>
    </cfRule>
  </conditionalFormatting>
  <conditionalFormatting sqref="K14:L14">
    <cfRule type="expression" dxfId="161" priority="52">
      <formula>#REF! ="14≠11+12+13"</formula>
    </cfRule>
  </conditionalFormatting>
  <conditionalFormatting sqref="K21:L21">
    <cfRule type="expression" dxfId="160" priority="53">
      <formula>#REF! ="22≠19+20+21"</formula>
    </cfRule>
  </conditionalFormatting>
  <conditionalFormatting sqref="K30:L30">
    <cfRule type="expression" dxfId="159" priority="51">
      <formula>#REF! ="30≠24+25+26+27+28+29"</formula>
    </cfRule>
  </conditionalFormatting>
  <conditionalFormatting sqref="K35:L35">
    <cfRule type="expression" dxfId="158" priority="54">
      <formula>#REF! ="35≠14+15+16+17+22+30+31+32+33+34"</formula>
    </cfRule>
  </conditionalFormatting>
  <conditionalFormatting sqref="K46:L46">
    <cfRule type="expression" dxfId="157" priority="55">
      <formula>#REF! ="46≠35+38+39+40+43+45"</formula>
    </cfRule>
  </conditionalFormatting>
  <conditionalFormatting sqref="N14:O14">
    <cfRule type="expression" dxfId="156" priority="22">
      <formula>#REF! ="14≠11+12+13"</formula>
    </cfRule>
  </conditionalFormatting>
  <conditionalFormatting sqref="N21:O21">
    <cfRule type="expression" dxfId="155" priority="23">
      <formula>#REF! ="22≠19+20+21"</formula>
    </cfRule>
  </conditionalFormatting>
  <conditionalFormatting sqref="N30:O30">
    <cfRule type="expression" dxfId="154" priority="21">
      <formula>#REF! ="30≠24+25+26+27+28+29"</formula>
    </cfRule>
  </conditionalFormatting>
  <conditionalFormatting sqref="N35:O35">
    <cfRule type="expression" dxfId="153" priority="24">
      <formula>#REF! ="35≠14+15+16+17+22+30+31+32+33+34"</formula>
    </cfRule>
  </conditionalFormatting>
  <conditionalFormatting sqref="N46:O46">
    <cfRule type="expression" dxfId="152" priority="25">
      <formula>#REF! ="46≠35+38+39+40+43+45"</formula>
    </cfRule>
  </conditionalFormatting>
  <conditionalFormatting sqref="Q14:R14">
    <cfRule type="expression" dxfId="151" priority="81">
      <formula>#REF! ="14≠11+12+13"</formula>
    </cfRule>
  </conditionalFormatting>
  <conditionalFormatting sqref="Q21:R21">
    <cfRule type="expression" dxfId="150" priority="82">
      <formula>#REF! ="22≠19+20+21"</formula>
    </cfRule>
  </conditionalFormatting>
  <conditionalFormatting sqref="Q30:R30">
    <cfRule type="expression" dxfId="149" priority="80">
      <formula>#REF! ="30≠24+25+26+27+28+29"</formula>
    </cfRule>
  </conditionalFormatting>
  <conditionalFormatting sqref="Q35:R35">
    <cfRule type="expression" dxfId="148" priority="83">
      <formula>#REF! ="35≠14+15+16+17+22+30+31+32+33+34"</formula>
    </cfRule>
  </conditionalFormatting>
  <conditionalFormatting sqref="Q46:R46">
    <cfRule type="expression" dxfId="147" priority="84">
      <formula>#REF! ="46≠35+38+39+40+43+45"</formula>
    </cfRule>
  </conditionalFormatting>
  <conditionalFormatting sqref="T14:U14">
    <cfRule type="expression" dxfId="146" priority="34">
      <formula>#REF! ="14≠11+12+13"</formula>
    </cfRule>
  </conditionalFormatting>
  <conditionalFormatting sqref="T21:U21">
    <cfRule type="expression" dxfId="145" priority="35">
      <formula>#REF! ="22≠19+20+21"</formula>
    </cfRule>
  </conditionalFormatting>
  <conditionalFormatting sqref="T30:U30">
    <cfRule type="expression" dxfId="144" priority="31">
      <formula>#REF! ="30≠24+25+26+27+28+29"</formula>
    </cfRule>
  </conditionalFormatting>
  <conditionalFormatting sqref="T35:U35">
    <cfRule type="expression" dxfId="143" priority="32">
      <formula>#REF! ="35≠14+15+16+17+22+30+31+32+33+34"</formula>
    </cfRule>
  </conditionalFormatting>
  <conditionalFormatting sqref="T46:U46">
    <cfRule type="expression" dxfId="142" priority="33">
      <formula>#REF! ="46≠35+38+39+40+43+45"</formula>
    </cfRule>
  </conditionalFormatting>
  <conditionalFormatting sqref="W14:X14">
    <cfRule type="expression" dxfId="141" priority="91">
      <formula>#REF! ="14≠11+12+13"</formula>
    </cfRule>
  </conditionalFormatting>
  <conditionalFormatting sqref="W21:X21">
    <cfRule type="expression" dxfId="140" priority="92">
      <formula>#REF! ="22≠19+20+21"</formula>
    </cfRule>
  </conditionalFormatting>
  <conditionalFormatting sqref="W30:X30">
    <cfRule type="expression" dxfId="139" priority="90">
      <formula>#REF! ="30≠24+25+26+27+28+29"</formula>
    </cfRule>
  </conditionalFormatting>
  <conditionalFormatting sqref="W35:X35">
    <cfRule type="expression" dxfId="138" priority="93">
      <formula>#REF! ="35≠14+15+16+17+22+30+31+32+33+34"</formula>
    </cfRule>
  </conditionalFormatting>
  <conditionalFormatting sqref="W46:X46">
    <cfRule type="expression" dxfId="137" priority="94">
      <formula>#REF! ="46≠35+38+39+40+43+45"</formula>
    </cfRule>
  </conditionalFormatting>
  <conditionalFormatting sqref="Z14:AA14">
    <cfRule type="expression" dxfId="136" priority="71">
      <formula>#REF! ="14≠11+12+13"</formula>
    </cfRule>
  </conditionalFormatting>
  <conditionalFormatting sqref="Z21:AA21">
    <cfRule type="expression" dxfId="135" priority="72">
      <formula>#REF! ="22≠19+20+21"</formula>
    </cfRule>
  </conditionalFormatting>
  <conditionalFormatting sqref="Z30:AA30">
    <cfRule type="expression" dxfId="134" priority="70">
      <formula>#REF! ="30≠24+25+26+27+28+29"</formula>
    </cfRule>
  </conditionalFormatting>
  <conditionalFormatting sqref="Z35:AA35">
    <cfRule type="expression" dxfId="133" priority="73">
      <formula>#REF! ="35≠14+15+16+17+22+30+31+32+33+34"</formula>
    </cfRule>
  </conditionalFormatting>
  <conditionalFormatting sqref="Z46:AA46">
    <cfRule type="expression" dxfId="132" priority="74">
      <formula>#REF! ="46≠35+38+39+40+43+45"</formula>
    </cfRule>
  </conditionalFormatting>
  <conditionalFormatting sqref="AC14:AD14">
    <cfRule type="expression" dxfId="131" priority="42">
      <formula>#REF! ="14≠11+12+13"</formula>
    </cfRule>
  </conditionalFormatting>
  <conditionalFormatting sqref="AC21:AD21">
    <cfRule type="expression" dxfId="130" priority="43">
      <formula>#REF! ="22≠19+20+21"</formula>
    </cfRule>
  </conditionalFormatting>
  <conditionalFormatting sqref="AC30:AD30">
    <cfRule type="expression" dxfId="129" priority="41">
      <formula>#REF! ="30≠24+25+26+27+28+29"</formula>
    </cfRule>
  </conditionalFormatting>
  <conditionalFormatting sqref="AC35:AD35">
    <cfRule type="expression" dxfId="128" priority="44">
      <formula>#REF! ="35≠14+15+16+17+22+30+31+32+33+34"</formula>
    </cfRule>
  </conditionalFormatting>
  <conditionalFormatting sqref="AC46:AD46">
    <cfRule type="expression" dxfId="127" priority="45">
      <formula>#REF! ="46≠35+38+39+40+43+45"</formula>
    </cfRule>
  </conditionalFormatting>
  <conditionalFormatting sqref="AF35:AG35 AI35:AJ35">
    <cfRule type="expression" dxfId="126" priority="427">
      <formula>#REF! ="35≠14+15+16+17+22+30+31+32+33+34"</formula>
    </cfRule>
  </conditionalFormatting>
  <conditionalFormatting sqref="AI30:AJ30">
    <cfRule type="expression" dxfId="125" priority="426">
      <formula>#REF! ="30≠24+25+26+27+28+29"</formula>
    </cfRule>
  </conditionalFormatting>
  <conditionalFormatting sqref="AI46:AJ46">
    <cfRule type="expression" dxfId="124" priority="429">
      <formula>#REF! ="46≠35+38+39+40+43+45"</formula>
    </cfRule>
  </conditionalFormatting>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BA444-C37C-499D-8F4D-6A034CA46052}">
  <sheetPr codeName="Ark39"/>
  <dimension ref="A1:AY114"/>
  <sheetViews>
    <sheetView showGridLines="0" zoomScale="70" zoomScaleNormal="70" workbookViewId="0">
      <pane xSplit="1" ySplit="8" topLeftCell="B9" activePane="bottomRight" state="frozen"/>
      <selection pane="topRight" activeCell="A42" sqref="A42"/>
      <selection pane="bottomLeft" activeCell="A42" sqref="A42"/>
      <selection pane="bottomRight" activeCell="A4" sqref="A4"/>
    </sheetView>
  </sheetViews>
  <sheetFormatPr baseColWidth="10" defaultColWidth="11.42578125" defaultRowHeight="12.75" x14ac:dyDescent="0.2"/>
  <cols>
    <col min="1" max="1" width="111.28515625" style="364" customWidth="1"/>
    <col min="2" max="31" width="11.7109375" style="364" customWidth="1"/>
    <col min="32" max="32" width="15.140625" style="364" customWidth="1"/>
    <col min="33" max="33" width="13" style="364" customWidth="1"/>
    <col min="34" max="34" width="11.7109375" style="364" customWidth="1"/>
    <col min="35" max="36" width="13" style="364" customWidth="1"/>
    <col min="37" max="37" width="11.7109375" style="364" customWidth="1"/>
    <col min="38" max="16384" width="11.42578125" style="364"/>
  </cols>
  <sheetData>
    <row r="1" spans="1:51" ht="20.25" customHeight="1" x14ac:dyDescent="0.3">
      <c r="A1" s="367" t="s">
        <v>293</v>
      </c>
      <c r="B1" s="368"/>
      <c r="C1" s="368"/>
      <c r="D1" s="368"/>
      <c r="E1" s="368"/>
      <c r="F1" s="368"/>
      <c r="G1" s="368"/>
      <c r="H1" s="368"/>
      <c r="I1" s="368"/>
      <c r="J1" s="368"/>
    </row>
    <row r="2" spans="1:51" ht="20.100000000000001" customHeight="1" x14ac:dyDescent="0.3">
      <c r="A2" s="367" t="s">
        <v>35</v>
      </c>
      <c r="C2" s="485"/>
      <c r="D2" s="486"/>
      <c r="E2" s="486"/>
    </row>
    <row r="3" spans="1:51" ht="20.100000000000001" customHeight="1" x14ac:dyDescent="0.3">
      <c r="A3" s="369" t="s">
        <v>296</v>
      </c>
      <c r="B3" s="498"/>
      <c r="C3" s="498"/>
      <c r="D3" s="498"/>
      <c r="E3" s="498"/>
      <c r="F3" s="498"/>
      <c r="G3" s="498"/>
      <c r="H3" s="498"/>
      <c r="I3" s="498"/>
      <c r="J3" s="498"/>
    </row>
    <row r="4" spans="1:51" ht="18.75" customHeight="1" x14ac:dyDescent="0.25">
      <c r="A4" s="490" t="s">
        <v>153</v>
      </c>
      <c r="B4" s="499"/>
      <c r="C4" s="499"/>
      <c r="D4" s="500"/>
      <c r="E4" s="501"/>
      <c r="F4" s="499"/>
      <c r="G4" s="500"/>
      <c r="H4" s="501"/>
      <c r="I4" s="499"/>
      <c r="J4" s="500"/>
      <c r="K4" s="370"/>
      <c r="L4" s="370"/>
      <c r="M4" s="370"/>
      <c r="N4" s="371"/>
      <c r="O4" s="370"/>
      <c r="P4" s="372"/>
      <c r="Q4" s="371"/>
      <c r="R4" s="370"/>
      <c r="S4" s="372"/>
      <c r="T4" s="371"/>
      <c r="U4" s="370"/>
      <c r="V4" s="372"/>
      <c r="W4" s="371"/>
      <c r="X4" s="370"/>
      <c r="Y4" s="372"/>
      <c r="Z4" s="371"/>
      <c r="AA4" s="370"/>
      <c r="AB4" s="372"/>
      <c r="AC4" s="371"/>
      <c r="AD4" s="370"/>
      <c r="AE4" s="372"/>
      <c r="AF4" s="371"/>
      <c r="AG4" s="370"/>
      <c r="AH4" s="372"/>
      <c r="AI4" s="371"/>
      <c r="AJ4" s="370"/>
      <c r="AK4" s="372"/>
      <c r="AL4" s="502"/>
      <c r="AM4" s="502"/>
      <c r="AN4" s="502"/>
      <c r="AO4" s="502"/>
      <c r="AP4" s="502"/>
      <c r="AQ4" s="502"/>
      <c r="AR4" s="502"/>
      <c r="AS4" s="502"/>
      <c r="AT4" s="502"/>
      <c r="AU4" s="502"/>
      <c r="AV4" s="502"/>
      <c r="AW4" s="502"/>
      <c r="AX4" s="502"/>
      <c r="AY4" s="502"/>
    </row>
    <row r="5" spans="1:51" ht="18.75" customHeight="1" x14ac:dyDescent="0.3">
      <c r="A5" s="428" t="s">
        <v>119</v>
      </c>
      <c r="B5" s="596" t="s">
        <v>228</v>
      </c>
      <c r="C5" s="597"/>
      <c r="D5" s="598"/>
      <c r="E5" s="596"/>
      <c r="F5" s="597"/>
      <c r="G5" s="598"/>
      <c r="H5" s="596" t="s">
        <v>229</v>
      </c>
      <c r="I5" s="597"/>
      <c r="J5" s="598"/>
      <c r="K5" s="596" t="s">
        <v>230</v>
      </c>
      <c r="L5" s="597"/>
      <c r="M5" s="598"/>
      <c r="N5" s="533" t="s">
        <v>294</v>
      </c>
      <c r="O5" s="534"/>
      <c r="P5" s="535"/>
      <c r="Q5" s="533"/>
      <c r="R5" s="534"/>
      <c r="S5" s="535"/>
      <c r="T5" s="596" t="s">
        <v>231</v>
      </c>
      <c r="U5" s="597"/>
      <c r="V5" s="598"/>
      <c r="W5" s="596" t="s">
        <v>239</v>
      </c>
      <c r="X5" s="597"/>
      <c r="Y5" s="598"/>
      <c r="Z5" s="596" t="s">
        <v>232</v>
      </c>
      <c r="AA5" s="597"/>
      <c r="AB5" s="598"/>
      <c r="AC5" s="596" t="s">
        <v>233</v>
      </c>
      <c r="AD5" s="597"/>
      <c r="AE5" s="598"/>
      <c r="AF5" s="596" t="s">
        <v>120</v>
      </c>
      <c r="AG5" s="597"/>
      <c r="AH5" s="598"/>
      <c r="AI5" s="596" t="s">
        <v>120</v>
      </c>
      <c r="AJ5" s="597"/>
      <c r="AK5" s="598"/>
      <c r="AL5" s="512"/>
      <c r="AM5" s="512"/>
      <c r="AN5" s="602"/>
      <c r="AO5" s="602"/>
      <c r="AP5" s="602"/>
      <c r="AQ5" s="602"/>
      <c r="AR5" s="602"/>
      <c r="AS5" s="602"/>
      <c r="AT5" s="602"/>
      <c r="AU5" s="602"/>
      <c r="AV5" s="602"/>
      <c r="AW5" s="602"/>
      <c r="AX5" s="602"/>
      <c r="AY5" s="602"/>
    </row>
    <row r="6" spans="1:51" ht="21" customHeight="1" x14ac:dyDescent="0.3">
      <c r="A6" s="429"/>
      <c r="B6" s="599" t="s">
        <v>235</v>
      </c>
      <c r="C6" s="600"/>
      <c r="D6" s="601"/>
      <c r="E6" s="599" t="s">
        <v>236</v>
      </c>
      <c r="F6" s="600"/>
      <c r="G6" s="601"/>
      <c r="H6" s="599" t="s">
        <v>235</v>
      </c>
      <c r="I6" s="600"/>
      <c r="J6" s="601"/>
      <c r="K6" s="599" t="s">
        <v>237</v>
      </c>
      <c r="L6" s="600"/>
      <c r="M6" s="601"/>
      <c r="N6" s="599" t="s">
        <v>54</v>
      </c>
      <c r="O6" s="600"/>
      <c r="P6" s="601"/>
      <c r="Q6" s="599" t="s">
        <v>59</v>
      </c>
      <c r="R6" s="600"/>
      <c r="S6" s="601"/>
      <c r="T6" s="599" t="s">
        <v>238</v>
      </c>
      <c r="U6" s="600"/>
      <c r="V6" s="601"/>
      <c r="W6" s="599" t="s">
        <v>295</v>
      </c>
      <c r="X6" s="600"/>
      <c r="Y6" s="601"/>
      <c r="Z6" s="599" t="s">
        <v>235</v>
      </c>
      <c r="AA6" s="600"/>
      <c r="AB6" s="601"/>
      <c r="AC6" s="599" t="s">
        <v>235</v>
      </c>
      <c r="AD6" s="600"/>
      <c r="AE6" s="601"/>
      <c r="AF6" s="599" t="s">
        <v>297</v>
      </c>
      <c r="AG6" s="600"/>
      <c r="AH6" s="601"/>
      <c r="AI6" s="599" t="s">
        <v>298</v>
      </c>
      <c r="AJ6" s="600"/>
      <c r="AK6" s="601"/>
      <c r="AL6" s="512"/>
      <c r="AM6" s="512"/>
      <c r="AN6" s="602"/>
      <c r="AO6" s="602"/>
      <c r="AP6" s="602"/>
      <c r="AQ6" s="602"/>
      <c r="AR6" s="602"/>
      <c r="AS6" s="602"/>
      <c r="AT6" s="602"/>
      <c r="AU6" s="602"/>
      <c r="AV6" s="602"/>
      <c r="AW6" s="602"/>
      <c r="AX6" s="602"/>
      <c r="AY6" s="602"/>
    </row>
    <row r="7" spans="1:51" ht="18.75" customHeight="1" x14ac:dyDescent="0.3">
      <c r="A7" s="429"/>
      <c r="B7" s="503"/>
      <c r="C7" s="503"/>
      <c r="D7" s="430" t="s">
        <v>84</v>
      </c>
      <c r="E7" s="503"/>
      <c r="F7" s="503"/>
      <c r="G7" s="430" t="s">
        <v>84</v>
      </c>
      <c r="H7" s="503"/>
      <c r="I7" s="503"/>
      <c r="J7" s="430" t="s">
        <v>84</v>
      </c>
      <c r="K7" s="503"/>
      <c r="L7" s="503"/>
      <c r="M7" s="430" t="s">
        <v>84</v>
      </c>
      <c r="N7" s="503"/>
      <c r="O7" s="503"/>
      <c r="P7" s="430" t="s">
        <v>84</v>
      </c>
      <c r="Q7" s="503"/>
      <c r="R7" s="503"/>
      <c r="S7" s="430" t="s">
        <v>84</v>
      </c>
      <c r="T7" s="503"/>
      <c r="U7" s="503"/>
      <c r="V7" s="430" t="s">
        <v>84</v>
      </c>
      <c r="W7" s="503"/>
      <c r="X7" s="503"/>
      <c r="Y7" s="430" t="s">
        <v>84</v>
      </c>
      <c r="Z7" s="503"/>
      <c r="AA7" s="503"/>
      <c r="AB7" s="430" t="s">
        <v>84</v>
      </c>
      <c r="AC7" s="503"/>
      <c r="AD7" s="503"/>
      <c r="AE7" s="430" t="s">
        <v>84</v>
      </c>
      <c r="AF7" s="503"/>
      <c r="AG7" s="503"/>
      <c r="AH7" s="430" t="s">
        <v>84</v>
      </c>
      <c r="AI7" s="503"/>
      <c r="AJ7" s="503"/>
      <c r="AK7" s="430" t="s">
        <v>84</v>
      </c>
      <c r="AL7" s="512"/>
      <c r="AM7" s="512"/>
      <c r="AN7" s="512"/>
      <c r="AO7" s="512"/>
      <c r="AP7" s="512"/>
      <c r="AQ7" s="512"/>
      <c r="AR7" s="512"/>
      <c r="AS7" s="512"/>
      <c r="AT7" s="512"/>
      <c r="AU7" s="512"/>
      <c r="AV7" s="512"/>
      <c r="AW7" s="512"/>
      <c r="AX7" s="512"/>
      <c r="AY7" s="512"/>
    </row>
    <row r="8" spans="1:51" ht="18.75" customHeight="1" x14ac:dyDescent="0.25">
      <c r="A8" s="360" t="s">
        <v>299</v>
      </c>
      <c r="B8" s="418">
        <v>2025</v>
      </c>
      <c r="C8" s="418">
        <v>2026</v>
      </c>
      <c r="D8" s="432" t="s">
        <v>87</v>
      </c>
      <c r="E8" s="418">
        <f>B8</f>
        <v>2025</v>
      </c>
      <c r="F8" s="418">
        <f>C8</f>
        <v>2026</v>
      </c>
      <c r="G8" s="432" t="s">
        <v>87</v>
      </c>
      <c r="H8" s="418">
        <f>E8</f>
        <v>2025</v>
      </c>
      <c r="I8" s="418">
        <f>F8</f>
        <v>2026</v>
      </c>
      <c r="J8" s="432" t="s">
        <v>87</v>
      </c>
      <c r="K8" s="418">
        <f>H8</f>
        <v>2025</v>
      </c>
      <c r="L8" s="418">
        <f>I8</f>
        <v>2026</v>
      </c>
      <c r="M8" s="432" t="s">
        <v>87</v>
      </c>
      <c r="N8" s="418">
        <f>K8</f>
        <v>2025</v>
      </c>
      <c r="O8" s="418">
        <f>L8</f>
        <v>2026</v>
      </c>
      <c r="P8" s="432" t="s">
        <v>87</v>
      </c>
      <c r="Q8" s="418">
        <f>N8</f>
        <v>2025</v>
      </c>
      <c r="R8" s="418">
        <f>O8</f>
        <v>2026</v>
      </c>
      <c r="S8" s="432" t="s">
        <v>87</v>
      </c>
      <c r="T8" s="418">
        <f>Q8</f>
        <v>2025</v>
      </c>
      <c r="U8" s="418">
        <f>R8</f>
        <v>2026</v>
      </c>
      <c r="V8" s="432" t="s">
        <v>87</v>
      </c>
      <c r="W8" s="418">
        <f>T8</f>
        <v>2025</v>
      </c>
      <c r="X8" s="418">
        <f>U8</f>
        <v>2026</v>
      </c>
      <c r="Y8" s="432" t="s">
        <v>87</v>
      </c>
      <c r="Z8" s="418">
        <f>W8</f>
        <v>2025</v>
      </c>
      <c r="AA8" s="418">
        <f>X8</f>
        <v>2026</v>
      </c>
      <c r="AB8" s="432" t="s">
        <v>87</v>
      </c>
      <c r="AC8" s="418">
        <f>Z8</f>
        <v>2025</v>
      </c>
      <c r="AD8" s="418">
        <f>AA8</f>
        <v>2026</v>
      </c>
      <c r="AE8" s="432" t="s">
        <v>87</v>
      </c>
      <c r="AF8" s="418">
        <f>AC8</f>
        <v>2025</v>
      </c>
      <c r="AG8" s="418">
        <f>AD8</f>
        <v>2026</v>
      </c>
      <c r="AH8" s="432" t="s">
        <v>87</v>
      </c>
      <c r="AI8" s="418">
        <f>AF8</f>
        <v>2025</v>
      </c>
      <c r="AJ8" s="418">
        <f>AG8</f>
        <v>2026</v>
      </c>
      <c r="AK8" s="432" t="s">
        <v>87</v>
      </c>
      <c r="AL8" s="504"/>
      <c r="AM8" s="505"/>
      <c r="AN8" s="504"/>
      <c r="AO8" s="504"/>
      <c r="AP8" s="505"/>
      <c r="AQ8" s="504"/>
      <c r="AR8" s="504"/>
      <c r="AS8" s="505"/>
      <c r="AT8" s="504"/>
      <c r="AU8" s="504"/>
      <c r="AV8" s="505"/>
      <c r="AW8" s="504"/>
      <c r="AX8" s="504"/>
      <c r="AY8" s="505"/>
    </row>
    <row r="9" spans="1:51" ht="18.75" customHeight="1" x14ac:dyDescent="0.3">
      <c r="A9" s="361"/>
      <c r="B9" s="461"/>
      <c r="C9" s="351"/>
      <c r="D9" s="349"/>
      <c r="E9" s="461"/>
      <c r="F9" s="349"/>
      <c r="G9" s="349"/>
      <c r="H9" s="461"/>
      <c r="I9" s="349"/>
      <c r="J9" s="349"/>
      <c r="K9" s="434"/>
      <c r="L9" s="350"/>
      <c r="M9" s="350"/>
      <c r="N9" s="434"/>
      <c r="O9" s="350"/>
      <c r="P9" s="277"/>
      <c r="Q9" s="434"/>
      <c r="R9" s="350"/>
      <c r="S9" s="277"/>
      <c r="T9" s="434"/>
      <c r="U9" s="350"/>
      <c r="V9" s="277"/>
      <c r="W9" s="434"/>
      <c r="X9" s="350"/>
      <c r="Y9" s="277"/>
      <c r="Z9" s="434"/>
      <c r="AA9" s="350"/>
      <c r="AB9" s="277"/>
      <c r="AC9" s="434"/>
      <c r="AD9" s="350"/>
      <c r="AE9" s="277"/>
      <c r="AF9" s="350"/>
      <c r="AG9" s="350"/>
      <c r="AH9" s="277"/>
      <c r="AI9" s="350"/>
      <c r="AJ9" s="350"/>
      <c r="AK9" s="277"/>
    </row>
    <row r="10" spans="1:51" s="365" customFormat="1" ht="18.75" customHeight="1" x14ac:dyDescent="0.3">
      <c r="A10" s="439" t="s">
        <v>300</v>
      </c>
      <c r="B10" s="462"/>
      <c r="C10" s="351"/>
      <c r="D10" s="351"/>
      <c r="E10" s="462"/>
      <c r="F10" s="351"/>
      <c r="G10" s="351"/>
      <c r="H10" s="462"/>
      <c r="I10" s="351"/>
      <c r="J10" s="351"/>
      <c r="K10" s="434"/>
      <c r="L10" s="350"/>
      <c r="M10" s="350"/>
      <c r="N10" s="434"/>
      <c r="O10" s="350"/>
      <c r="P10" s="277"/>
      <c r="Q10" s="434"/>
      <c r="R10" s="350"/>
      <c r="S10" s="277"/>
      <c r="T10" s="434"/>
      <c r="U10" s="350"/>
      <c r="V10" s="277"/>
      <c r="W10" s="434"/>
      <c r="X10" s="350"/>
      <c r="Y10" s="277"/>
      <c r="Z10" s="434"/>
      <c r="AA10" s="350"/>
      <c r="AB10" s="277"/>
      <c r="AC10" s="434"/>
      <c r="AD10" s="350"/>
      <c r="AE10" s="277"/>
      <c r="AF10" s="350"/>
      <c r="AG10" s="350"/>
      <c r="AH10" s="277"/>
      <c r="AI10" s="350"/>
      <c r="AJ10" s="350"/>
      <c r="AK10" s="277"/>
    </row>
    <row r="11" spans="1:51" s="365" customFormat="1" ht="18.75" customHeight="1" x14ac:dyDescent="0.3">
      <c r="A11" s="362"/>
      <c r="B11" s="462"/>
      <c r="C11" s="351"/>
      <c r="D11" s="351"/>
      <c r="E11" s="462"/>
      <c r="F11" s="351"/>
      <c r="G11" s="351"/>
      <c r="H11" s="462"/>
      <c r="I11" s="351"/>
      <c r="J11" s="351"/>
      <c r="K11" s="434"/>
      <c r="L11" s="350"/>
      <c r="M11" s="350"/>
      <c r="N11" s="434"/>
      <c r="O11" s="350"/>
      <c r="P11" s="277"/>
      <c r="Q11" s="434"/>
      <c r="R11" s="350"/>
      <c r="S11" s="277"/>
      <c r="T11" s="434"/>
      <c r="U11" s="350"/>
      <c r="V11" s="277"/>
      <c r="W11" s="434"/>
      <c r="X11" s="350"/>
      <c r="Y11" s="277"/>
      <c r="Z11" s="434"/>
      <c r="AA11" s="350"/>
      <c r="AB11" s="277"/>
      <c r="AC11" s="434"/>
      <c r="AD11" s="350"/>
      <c r="AE11" s="277"/>
      <c r="AF11" s="350"/>
      <c r="AG11" s="350"/>
      <c r="AH11" s="277"/>
      <c r="AI11" s="350"/>
      <c r="AJ11" s="350"/>
      <c r="AK11" s="277"/>
    </row>
    <row r="12" spans="1:51" s="365" customFormat="1" ht="20.100000000000001" customHeight="1" x14ac:dyDescent="0.3">
      <c r="A12" s="439" t="s">
        <v>301</v>
      </c>
      <c r="B12" s="149"/>
      <c r="C12" s="352"/>
      <c r="D12" s="352"/>
      <c r="E12" s="149"/>
      <c r="F12" s="352"/>
      <c r="G12" s="352"/>
      <c r="H12" s="149"/>
      <c r="I12" s="352"/>
      <c r="J12" s="352"/>
      <c r="K12" s="434"/>
      <c r="L12" s="350"/>
      <c r="M12" s="350"/>
      <c r="N12" s="434"/>
      <c r="O12" s="350"/>
      <c r="P12" s="277"/>
      <c r="Q12" s="434"/>
      <c r="R12" s="350"/>
      <c r="S12" s="277"/>
      <c r="T12" s="434"/>
      <c r="U12" s="350"/>
      <c r="V12" s="277"/>
      <c r="W12" s="434"/>
      <c r="X12" s="350"/>
      <c r="Y12" s="277"/>
      <c r="Z12" s="434"/>
      <c r="AA12" s="350"/>
      <c r="AB12" s="277"/>
      <c r="AC12" s="434"/>
      <c r="AD12" s="350"/>
      <c r="AE12" s="277"/>
      <c r="AF12" s="350"/>
      <c r="AG12" s="350"/>
      <c r="AH12" s="277"/>
      <c r="AI12" s="350"/>
      <c r="AJ12" s="350"/>
      <c r="AK12" s="277"/>
    </row>
    <row r="13" spans="1:51" s="365" customFormat="1" ht="20.100000000000001" customHeight="1" x14ac:dyDescent="0.3">
      <c r="A13" s="439" t="s">
        <v>302</v>
      </c>
      <c r="B13" s="149"/>
      <c r="C13" s="352"/>
      <c r="D13" s="352"/>
      <c r="E13" s="149"/>
      <c r="F13" s="352"/>
      <c r="G13" s="352"/>
      <c r="H13" s="149"/>
      <c r="I13" s="352"/>
      <c r="J13" s="352"/>
      <c r="K13" s="76"/>
      <c r="L13" s="394"/>
      <c r="M13" s="394"/>
      <c r="N13" s="76"/>
      <c r="O13" s="394"/>
      <c r="P13" s="353"/>
      <c r="Q13" s="76"/>
      <c r="R13" s="394"/>
      <c r="S13" s="353"/>
      <c r="T13" s="76"/>
      <c r="U13" s="394"/>
      <c r="V13" s="353"/>
      <c r="W13" s="76"/>
      <c r="X13" s="394"/>
      <c r="Y13" s="353"/>
      <c r="Z13" s="76"/>
      <c r="AA13" s="394"/>
      <c r="AB13" s="353"/>
      <c r="AC13" s="76"/>
      <c r="AD13" s="394"/>
      <c r="AE13" s="353"/>
      <c r="AF13" s="394"/>
      <c r="AG13" s="394"/>
      <c r="AH13" s="353"/>
      <c r="AI13" s="394"/>
      <c r="AJ13" s="394"/>
      <c r="AK13" s="353"/>
    </row>
    <row r="14" spans="1:51" s="365" customFormat="1" ht="20.100000000000001" customHeight="1" x14ac:dyDescent="0.3">
      <c r="A14" s="427" t="s">
        <v>303</v>
      </c>
      <c r="B14" s="147"/>
      <c r="C14" s="353"/>
      <c r="D14" s="353"/>
      <c r="E14" s="147"/>
      <c r="F14" s="353"/>
      <c r="G14" s="353"/>
      <c r="H14" s="147"/>
      <c r="I14" s="353"/>
      <c r="J14" s="353"/>
      <c r="K14" s="76">
        <v>25</v>
      </c>
      <c r="L14" s="394">
        <v>84</v>
      </c>
      <c r="M14" s="394">
        <f t="shared" ref="M14" si="0">IF(K14=0, "    ---- ", IF(ABS(ROUND(100/K14*L14-100,1))&lt;999,ROUND(100/K14*L14-100,1),IF(ROUND(100/K14*L14-100,1)&gt;999,999,-999)))</f>
        <v>236</v>
      </c>
      <c r="N14" s="76">
        <v>1322.1865066300002</v>
      </c>
      <c r="O14" s="394">
        <v>1404.3456136300001</v>
      </c>
      <c r="P14" s="353">
        <f t="shared" ref="P14:P28" si="1">IF(N14=0, "    ---- ", IF(ABS(ROUND(100/N14*O14-100,1))&lt;999,ROUND(100/N14*O14-100,1),IF(ROUND(100/N14*O14-100,1)&gt;999,999,-999)))</f>
        <v>6.2</v>
      </c>
      <c r="Q14" s="76"/>
      <c r="R14" s="394"/>
      <c r="S14" s="353"/>
      <c r="T14" s="76"/>
      <c r="U14" s="394"/>
      <c r="V14" s="353"/>
      <c r="W14" s="76"/>
      <c r="X14" s="394"/>
      <c r="Y14" s="353" t="str">
        <f t="shared" ref="Y14:Y28" si="2">IF(W14=0, "    ---- ", IF(ABS(ROUND(100/W14*X14-100,1))&lt;999,ROUND(100/W14*X14-100,1),IF(ROUND(100/W14*X14-100,1)&gt;999,999,-999)))</f>
        <v xml:space="preserve">    ---- </v>
      </c>
      <c r="Z14" s="76"/>
      <c r="AA14" s="394"/>
      <c r="AB14" s="353"/>
      <c r="AC14" s="76"/>
      <c r="AD14" s="394"/>
      <c r="AE14" s="353"/>
      <c r="AF14" s="394">
        <f t="shared" ref="AF14:AG22" si="3">B14+E14+H14+K14+N14+Q14+T14+W14+Z14</f>
        <v>1347.1865066300002</v>
      </c>
      <c r="AG14" s="394">
        <f t="shared" si="3"/>
        <v>1488.3456136300001</v>
      </c>
      <c r="AH14" s="353">
        <f t="shared" ref="AH14:AH28" si="4">IF(AF14=0, "    ---- ", IF(ABS(ROUND(100/AF14*AG14-100,1))&lt;999,ROUND(100/AF14*AG14-100,1),IF(ROUND(100/AF14*AG14-100,1)&gt;999,999,-999)))</f>
        <v>10.5</v>
      </c>
      <c r="AI14" s="394">
        <f t="shared" ref="AI14:AJ22" si="5">B14+E14+H14+K14+N14+Q14+T14+W14+Z14+AC14</f>
        <v>1347.1865066300002</v>
      </c>
      <c r="AJ14" s="394">
        <f t="shared" si="5"/>
        <v>1488.3456136300001</v>
      </c>
      <c r="AK14" s="353">
        <f t="shared" ref="AK14:AK29" si="6">IF(AI14=0, "    ---- ", IF(ABS(ROUND(100/AI14*AJ14-100,1))&lt;999,ROUND(100/AI14*AJ14-100,1),IF(ROUND(100/AI14*AJ14-100,1)&gt;999,999,-999)))</f>
        <v>10.5</v>
      </c>
    </row>
    <row r="15" spans="1:51" s="365" customFormat="1" ht="20.100000000000001" customHeight="1" x14ac:dyDescent="0.3">
      <c r="A15" s="427" t="s">
        <v>304</v>
      </c>
      <c r="B15" s="147">
        <v>1232.5510312799997</v>
      </c>
      <c r="C15" s="353">
        <v>1215</v>
      </c>
      <c r="D15" s="353">
        <f t="shared" ref="D15:D28" si="7">IF(B15=0, "    ---- ", IF(ABS(ROUND(100/B15*C15-100,1))&lt;999,ROUND(100/B15*C15-100,1),IF(ROUND(100/B15*C15-100,1)&gt;999,999,-999)))</f>
        <v>-1.4</v>
      </c>
      <c r="E15" s="147"/>
      <c r="F15" s="353"/>
      <c r="G15" s="353"/>
      <c r="H15" s="147"/>
      <c r="I15" s="353"/>
      <c r="J15" s="353"/>
      <c r="K15" s="76"/>
      <c r="L15" s="394"/>
      <c r="M15" s="394"/>
      <c r="N15" s="76">
        <v>9956.8825838600005</v>
      </c>
      <c r="O15" s="394">
        <v>10646.205712610001</v>
      </c>
      <c r="P15" s="353">
        <f t="shared" si="1"/>
        <v>6.9</v>
      </c>
      <c r="Q15" s="76">
        <v>4</v>
      </c>
      <c r="R15" s="394">
        <v>4</v>
      </c>
      <c r="S15" s="353">
        <f t="shared" ref="S15:S18" si="8">IF(Q15=0, "    ---- ", IF(ABS(ROUND(100/Q15*R15-100,1))&lt;999,ROUND(100/Q15*R15-100,1),IF(ROUND(100/Q15*R15-100,1)&gt;999,999,-999)))</f>
        <v>0</v>
      </c>
      <c r="T15" s="76">
        <v>1384</v>
      </c>
      <c r="U15" s="394">
        <f>1178+377</f>
        <v>1555</v>
      </c>
      <c r="V15" s="353">
        <f t="shared" ref="V15:V28" si="9">IF(T15=0, "    ---- ", IF(ABS(ROUND(100/T15*U15-100,1))&lt;999,ROUND(100/T15*U15-100,1),IF(ROUND(100/T15*U15-100,1)&gt;999,999,-999)))</f>
        <v>12.4</v>
      </c>
      <c r="W15" s="76">
        <v>1401.992</v>
      </c>
      <c r="X15" s="394">
        <v>1353.6475674099997</v>
      </c>
      <c r="Y15" s="353">
        <f t="shared" si="2"/>
        <v>-3.4</v>
      </c>
      <c r="Z15" s="76">
        <v>13573.2936778</v>
      </c>
      <c r="AA15" s="394">
        <v>13197.420992729998</v>
      </c>
      <c r="AB15" s="353">
        <f t="shared" ref="AB15:AB28" si="10">IF(Z15=0, "    ---- ", IF(ABS(ROUND(100/Z15*AA15-100,1))&lt;999,ROUND(100/Z15*AA15-100,1),IF(ROUND(100/Z15*AA15-100,1)&gt;999,999,-999)))</f>
        <v>-2.8</v>
      </c>
      <c r="AC15" s="76"/>
      <c r="AD15" s="394"/>
      <c r="AE15" s="353"/>
      <c r="AF15" s="394">
        <f t="shared" si="3"/>
        <v>27552.719292940001</v>
      </c>
      <c r="AG15" s="394">
        <f t="shared" si="3"/>
        <v>27971.274272750001</v>
      </c>
      <c r="AH15" s="353">
        <f t="shared" si="4"/>
        <v>1.5</v>
      </c>
      <c r="AI15" s="394">
        <f t="shared" si="5"/>
        <v>27552.719292940001</v>
      </c>
      <c r="AJ15" s="394">
        <f t="shared" si="5"/>
        <v>27971.274272750001</v>
      </c>
      <c r="AK15" s="353">
        <f t="shared" si="6"/>
        <v>1.5</v>
      </c>
    </row>
    <row r="16" spans="1:51" s="365" customFormat="1" ht="20.100000000000001" customHeight="1" x14ac:dyDescent="0.3">
      <c r="A16" s="427" t="s">
        <v>305</v>
      </c>
      <c r="B16" s="147">
        <v>16822.52686432</v>
      </c>
      <c r="C16" s="353">
        <f>SUM(C17+C19)</f>
        <v>12132.175999999999</v>
      </c>
      <c r="D16" s="353"/>
      <c r="E16" s="147">
        <f>SUM(E17+E19)</f>
        <v>753.24641009000004</v>
      </c>
      <c r="F16" s="353">
        <f>SUM(F17+F19)</f>
        <v>856.66541709000001</v>
      </c>
      <c r="G16" s="353">
        <f t="shared" ref="G16:G18" si="11">IF(E16=0, "    ---- ", IF(ABS(ROUND(100/E16*F16-100,1))&lt;999,ROUND(100/E16*F16-100,1),IF(ROUND(100/E16*F16-100,1)&gt;999,999,-999)))</f>
        <v>13.7</v>
      </c>
      <c r="H16" s="147"/>
      <c r="I16" s="353"/>
      <c r="J16" s="353"/>
      <c r="K16" s="76">
        <f>SUM(K17+K19)</f>
        <v>139</v>
      </c>
      <c r="L16" s="394">
        <f>SUM(L17+L19)</f>
        <v>127</v>
      </c>
      <c r="M16" s="394">
        <f t="shared" ref="M16" si="12">IF(K16=0, "    ---- ", IF(ABS(ROUND(100/K16*L16-100,1))&lt;999,ROUND(100/K16*L16-100,1),IF(ROUND(100/K16*L16-100,1)&gt;999,999,-999)))</f>
        <v>-8.6</v>
      </c>
      <c r="N16" s="76">
        <v>19875.926415040001</v>
      </c>
      <c r="O16" s="394">
        <v>17265.2838348</v>
      </c>
      <c r="P16" s="353">
        <f t="shared" si="1"/>
        <v>-13.1</v>
      </c>
      <c r="Q16" s="76">
        <f>SUM(Q17+Q19)</f>
        <v>8835.39</v>
      </c>
      <c r="R16" s="394">
        <f>SUM(R17+R19)</f>
        <v>8046.41</v>
      </c>
      <c r="S16" s="353">
        <f t="shared" si="8"/>
        <v>-8.9</v>
      </c>
      <c r="T16" s="76">
        <v>5458</v>
      </c>
      <c r="U16" s="394">
        <f>SUM(U17+U19)</f>
        <v>5697</v>
      </c>
      <c r="V16" s="353">
        <f t="shared" si="9"/>
        <v>4.4000000000000004</v>
      </c>
      <c r="W16" s="76">
        <f>SUM(W17+W19)</f>
        <v>1342.347</v>
      </c>
      <c r="X16" s="394">
        <f>SUM(X17+X19)</f>
        <v>1282.7890243599998</v>
      </c>
      <c r="Y16" s="353">
        <f t="shared" si="2"/>
        <v>-4.4000000000000004</v>
      </c>
      <c r="Z16" s="76">
        <f>SUM(Z17+Z19)</f>
        <v>15185.346501960001</v>
      </c>
      <c r="AA16" s="394">
        <f>SUM(AA17+AA19)</f>
        <v>12143.975472119999</v>
      </c>
      <c r="AB16" s="353">
        <f t="shared" si="10"/>
        <v>-20</v>
      </c>
      <c r="AC16" s="76"/>
      <c r="AD16" s="394"/>
      <c r="AE16" s="353"/>
      <c r="AF16" s="394">
        <f t="shared" si="3"/>
        <v>68411.78319141001</v>
      </c>
      <c r="AG16" s="394">
        <f t="shared" si="3"/>
        <v>57551.299748370002</v>
      </c>
      <c r="AH16" s="353">
        <f t="shared" si="4"/>
        <v>-15.9</v>
      </c>
      <c r="AI16" s="394">
        <f t="shared" si="5"/>
        <v>68411.78319141001</v>
      </c>
      <c r="AJ16" s="394">
        <f t="shared" si="5"/>
        <v>57551.299748370002</v>
      </c>
      <c r="AK16" s="353">
        <f t="shared" si="6"/>
        <v>-15.9</v>
      </c>
    </row>
    <row r="17" spans="1:37" s="365" customFormat="1" ht="20.100000000000001" customHeight="1" x14ac:dyDescent="0.3">
      <c r="A17" s="427" t="s">
        <v>306</v>
      </c>
      <c r="B17" s="147">
        <v>16218.156999999999</v>
      </c>
      <c r="C17" s="353">
        <v>12132.175999999999</v>
      </c>
      <c r="D17" s="353"/>
      <c r="E17" s="147">
        <v>753.24641009000004</v>
      </c>
      <c r="F17" s="353">
        <v>856.66541709000001</v>
      </c>
      <c r="G17" s="353">
        <f t="shared" si="11"/>
        <v>13.7</v>
      </c>
      <c r="H17" s="147"/>
      <c r="I17" s="353"/>
      <c r="J17" s="353"/>
      <c r="K17" s="76"/>
      <c r="L17" s="394"/>
      <c r="M17" s="394"/>
      <c r="N17" s="76">
        <v>5439.4116815899997</v>
      </c>
      <c r="O17" s="394">
        <v>767.99054748000003</v>
      </c>
      <c r="P17" s="353">
        <f t="shared" si="1"/>
        <v>-85.9</v>
      </c>
      <c r="Q17" s="76">
        <v>8835.39</v>
      </c>
      <c r="R17" s="394">
        <v>8046.41</v>
      </c>
      <c r="S17" s="353">
        <f t="shared" si="8"/>
        <v>-8.9</v>
      </c>
      <c r="T17" s="76"/>
      <c r="U17" s="394"/>
      <c r="V17" s="353"/>
      <c r="W17" s="76">
        <v>1342.347</v>
      </c>
      <c r="X17" s="394">
        <v>1282.7890243599998</v>
      </c>
      <c r="Y17" s="353">
        <f t="shared" si="2"/>
        <v>-4.4000000000000004</v>
      </c>
      <c r="Z17" s="76"/>
      <c r="AA17" s="394"/>
      <c r="AB17" s="353" t="str">
        <f t="shared" si="10"/>
        <v xml:space="preserve">    ---- </v>
      </c>
      <c r="AC17" s="76"/>
      <c r="AD17" s="394"/>
      <c r="AE17" s="353"/>
      <c r="AF17" s="394">
        <f t="shared" si="3"/>
        <v>32588.552091680001</v>
      </c>
      <c r="AG17" s="394">
        <f t="shared" si="3"/>
        <v>23086.030988930001</v>
      </c>
      <c r="AH17" s="353">
        <f t="shared" si="4"/>
        <v>-29.2</v>
      </c>
      <c r="AI17" s="394">
        <f t="shared" si="5"/>
        <v>32588.552091680001</v>
      </c>
      <c r="AJ17" s="394">
        <f t="shared" si="5"/>
        <v>23086.030988930001</v>
      </c>
      <c r="AK17" s="353">
        <f t="shared" si="6"/>
        <v>-29.2</v>
      </c>
    </row>
    <row r="18" spans="1:37" s="365" customFormat="1" ht="20.100000000000001" customHeight="1" x14ac:dyDescent="0.3">
      <c r="A18" s="427" t="s">
        <v>307</v>
      </c>
      <c r="B18" s="147">
        <v>16218.156999999999</v>
      </c>
      <c r="C18" s="353">
        <v>12132.175999999999</v>
      </c>
      <c r="D18" s="353"/>
      <c r="E18" s="147">
        <v>753.24641009000004</v>
      </c>
      <c r="F18" s="353">
        <v>856.66541709000001</v>
      </c>
      <c r="G18" s="353">
        <f t="shared" si="11"/>
        <v>13.7</v>
      </c>
      <c r="H18" s="147"/>
      <c r="I18" s="353"/>
      <c r="J18" s="353"/>
      <c r="K18" s="76"/>
      <c r="L18" s="394"/>
      <c r="M18" s="394"/>
      <c r="N18" s="76">
        <v>5439.4116815899997</v>
      </c>
      <c r="O18" s="394">
        <v>767.99054748000003</v>
      </c>
      <c r="P18" s="353">
        <f t="shared" si="1"/>
        <v>-85.9</v>
      </c>
      <c r="Q18" s="76">
        <v>8835.39</v>
      </c>
      <c r="R18" s="394">
        <v>8046.41</v>
      </c>
      <c r="S18" s="353">
        <f t="shared" si="8"/>
        <v>-8.9</v>
      </c>
      <c r="T18" s="76"/>
      <c r="U18" s="394"/>
      <c r="V18" s="353"/>
      <c r="W18" s="76">
        <v>9.8894178599996696</v>
      </c>
      <c r="X18" s="394">
        <v>1282.7890243599998</v>
      </c>
      <c r="Y18" s="353">
        <f t="shared" si="2"/>
        <v>999</v>
      </c>
      <c r="Z18" s="76"/>
      <c r="AA18" s="394"/>
      <c r="AB18" s="353" t="str">
        <f t="shared" si="10"/>
        <v xml:space="preserve">    ---- </v>
      </c>
      <c r="AC18" s="76"/>
      <c r="AD18" s="394"/>
      <c r="AE18" s="353"/>
      <c r="AF18" s="394">
        <f t="shared" si="3"/>
        <v>31256.094509539998</v>
      </c>
      <c r="AG18" s="394">
        <f t="shared" si="3"/>
        <v>23086.030988930001</v>
      </c>
      <c r="AH18" s="353">
        <f t="shared" si="4"/>
        <v>-26.1</v>
      </c>
      <c r="AI18" s="394">
        <f t="shared" si="5"/>
        <v>31256.094509539998</v>
      </c>
      <c r="AJ18" s="394">
        <f t="shared" si="5"/>
        <v>23086.030988930001</v>
      </c>
      <c r="AK18" s="353">
        <f t="shared" si="6"/>
        <v>-26.1</v>
      </c>
    </row>
    <row r="19" spans="1:37" s="365" customFormat="1" ht="20.100000000000001" customHeight="1" x14ac:dyDescent="0.3">
      <c r="A19" s="427" t="s">
        <v>308</v>
      </c>
      <c r="B19" s="147">
        <v>604.37</v>
      </c>
      <c r="C19" s="353">
        <v>0</v>
      </c>
      <c r="D19" s="353"/>
      <c r="E19" s="147"/>
      <c r="F19" s="353">
        <v>0</v>
      </c>
      <c r="G19" s="353"/>
      <c r="H19" s="147"/>
      <c r="I19" s="353"/>
      <c r="J19" s="353"/>
      <c r="K19" s="76">
        <v>139</v>
      </c>
      <c r="L19" s="394">
        <v>127</v>
      </c>
      <c r="M19" s="394">
        <f t="shared" ref="M19:M28" si="13">IF(K19=0, "    ---- ", IF(ABS(ROUND(100/K19*L19-100,1))&lt;999,ROUND(100/K19*L19-100,1),IF(ROUND(100/K19*L19-100,1)&gt;999,999,-999)))</f>
        <v>-8.6</v>
      </c>
      <c r="N19" s="76">
        <v>14436.514733450002</v>
      </c>
      <c r="O19" s="394">
        <v>16497.293287320001</v>
      </c>
      <c r="P19" s="353">
        <f t="shared" si="1"/>
        <v>14.3</v>
      </c>
      <c r="Q19" s="76"/>
      <c r="R19" s="394"/>
      <c r="S19" s="353"/>
      <c r="T19" s="76">
        <v>5458</v>
      </c>
      <c r="U19" s="394">
        <v>5697</v>
      </c>
      <c r="V19" s="353">
        <f t="shared" si="9"/>
        <v>4.4000000000000004</v>
      </c>
      <c r="W19" s="76"/>
      <c r="X19" s="394"/>
      <c r="Y19" s="353" t="str">
        <f t="shared" si="2"/>
        <v xml:space="preserve">    ---- </v>
      </c>
      <c r="Z19" s="76">
        <v>15185.346501960001</v>
      </c>
      <c r="AA19" s="394">
        <v>12143.975472119999</v>
      </c>
      <c r="AB19" s="353">
        <f t="shared" si="10"/>
        <v>-20</v>
      </c>
      <c r="AC19" s="76"/>
      <c r="AD19" s="394"/>
      <c r="AE19" s="353"/>
      <c r="AF19" s="394">
        <f t="shared" si="3"/>
        <v>35823.231235409999</v>
      </c>
      <c r="AG19" s="394">
        <f t="shared" si="3"/>
        <v>34465.268759439998</v>
      </c>
      <c r="AH19" s="353">
        <f t="shared" si="4"/>
        <v>-3.8</v>
      </c>
      <c r="AI19" s="394">
        <f t="shared" si="5"/>
        <v>35823.231235409999</v>
      </c>
      <c r="AJ19" s="394">
        <f t="shared" si="5"/>
        <v>34465.268759439998</v>
      </c>
      <c r="AK19" s="353">
        <f t="shared" si="6"/>
        <v>-3.8</v>
      </c>
    </row>
    <row r="20" spans="1:37" s="365" customFormat="1" ht="20.100000000000001" customHeight="1" x14ac:dyDescent="0.3">
      <c r="A20" s="427" t="s">
        <v>309</v>
      </c>
      <c r="B20" s="147">
        <f>B21+B22+B23+B24+B25</f>
        <v>11516.511999999999</v>
      </c>
      <c r="C20" s="353">
        <f>C21+C22+C23+C24+C25</f>
        <v>13991.004835639998</v>
      </c>
      <c r="D20" s="353">
        <f t="shared" si="7"/>
        <v>21.5</v>
      </c>
      <c r="E20" s="147">
        <v>2855.3140137400001</v>
      </c>
      <c r="F20" s="353">
        <f>F21+F22+F23+F24+F25</f>
        <v>2625.1689994500007</v>
      </c>
      <c r="G20" s="353">
        <f>IF(E20=0, "    ---- ", IF(ABS(ROUND(100/E20*F20-100,1))&lt;999,ROUND(100/E20*F20-100,1),IF(ROUND(100/E20*F20-100,1)&gt;999,999,-999)))</f>
        <v>-8.1</v>
      </c>
      <c r="H20" s="147">
        <f>H21+H22+H23+H24+H25</f>
        <v>404.14499999999998</v>
      </c>
      <c r="I20" s="353">
        <f>I21+I22+I23+I24+I25</f>
        <v>454.41699999999997</v>
      </c>
      <c r="J20" s="353">
        <f t="shared" ref="J20:J28" si="14">IF(H20=0, "    ---- ", IF(ABS(ROUND(100/H20*I20-100,1))&lt;999,ROUND(100/H20*I20-100,1),IF(ROUND(100/H20*I20-100,1)&gt;999,999,-999)))</f>
        <v>12.4</v>
      </c>
      <c r="K20" s="147">
        <f>K21+K22+K23+K24+K25</f>
        <v>1183</v>
      </c>
      <c r="L20" s="353">
        <f>L21+L22+L23+L24+L25</f>
        <v>1714</v>
      </c>
      <c r="M20" s="394">
        <f t="shared" si="13"/>
        <v>44.9</v>
      </c>
      <c r="N20" s="147">
        <v>17214.598285830001</v>
      </c>
      <c r="O20" s="353">
        <v>17109.267429309999</v>
      </c>
      <c r="P20" s="353">
        <f t="shared" si="1"/>
        <v>-0.6</v>
      </c>
      <c r="Q20" s="147">
        <f>Q21+Q22+Q23+Q24+Q25</f>
        <v>1184.55</v>
      </c>
      <c r="R20" s="353">
        <f>R21+R22+R23+R24+R25</f>
        <v>1107.2500000000002</v>
      </c>
      <c r="S20" s="353">
        <f t="shared" ref="S20:S28" si="15">IF(Q20=0, "    ---- ", IF(ABS(ROUND(100/Q20*R20-100,1))&lt;999,ROUND(100/Q20*R20-100,1),IF(ROUND(100/Q20*R20-100,1)&gt;999,999,-999)))</f>
        <v>-6.5</v>
      </c>
      <c r="T20" s="147">
        <v>4601</v>
      </c>
      <c r="U20" s="353">
        <f>U21+U22+U23+U24+U25</f>
        <v>5100</v>
      </c>
      <c r="V20" s="353">
        <f t="shared" si="9"/>
        <v>10.8</v>
      </c>
      <c r="W20" s="147">
        <f>W21+W22+W23+W24+W25</f>
        <v>3639.6419999999998</v>
      </c>
      <c r="X20" s="353">
        <f>X21+X22+X23+X24+X25</f>
        <v>3231.2805542398519</v>
      </c>
      <c r="Y20" s="353">
        <f t="shared" si="2"/>
        <v>-11.2</v>
      </c>
      <c r="Z20" s="147">
        <f>Z21+Z22+Z23+Z24+Z25</f>
        <v>4448.0215789900003</v>
      </c>
      <c r="AA20" s="353">
        <f>AA21+AA22+AA23+AA24+AA25</f>
        <v>5122.9991887999995</v>
      </c>
      <c r="AB20" s="353">
        <f t="shared" si="10"/>
        <v>15.2</v>
      </c>
      <c r="AC20" s="147">
        <f>AC21+AC22+AC23+AC24+AC25</f>
        <v>66</v>
      </c>
      <c r="AD20" s="353">
        <f>AD21+AD22+AD23+AD24+AD25</f>
        <v>97</v>
      </c>
      <c r="AE20" s="353">
        <f t="shared" ref="AE20:AE23" si="16">IF(AC20=0, "    ---- ", IF(ABS(ROUND(100/AC20*AD20-100,1))&lt;999,ROUND(100/AC20*AD20-100,1),IF(ROUND(100/AC20*AD20-100,1)&gt;999,999,-999)))</f>
        <v>47</v>
      </c>
      <c r="AF20" s="394">
        <f t="shared" si="3"/>
        <v>47046.782878560007</v>
      </c>
      <c r="AG20" s="394">
        <f t="shared" si="3"/>
        <v>50455.388007439848</v>
      </c>
      <c r="AH20" s="353">
        <f t="shared" si="4"/>
        <v>7.2</v>
      </c>
      <c r="AI20" s="394">
        <f t="shared" si="5"/>
        <v>47112.782878560007</v>
      </c>
      <c r="AJ20" s="394">
        <f t="shared" si="5"/>
        <v>50552.388007439848</v>
      </c>
      <c r="AK20" s="353">
        <f t="shared" si="6"/>
        <v>7.3</v>
      </c>
    </row>
    <row r="21" spans="1:37" s="365" customFormat="1" ht="20.100000000000001" customHeight="1" x14ac:dyDescent="0.3">
      <c r="A21" s="427" t="s">
        <v>310</v>
      </c>
      <c r="B21" s="147">
        <v>1178.2570000000001</v>
      </c>
      <c r="C21" s="353">
        <v>1151.56900421</v>
      </c>
      <c r="D21" s="353">
        <f t="shared" si="7"/>
        <v>-2.2999999999999998</v>
      </c>
      <c r="E21" s="147"/>
      <c r="F21" s="353">
        <v>0</v>
      </c>
      <c r="G21" s="353"/>
      <c r="H21" s="147">
        <v>61.305999999999997</v>
      </c>
      <c r="I21" s="353">
        <v>69.2</v>
      </c>
      <c r="J21" s="353">
        <f t="shared" si="14"/>
        <v>12.9</v>
      </c>
      <c r="K21" s="76">
        <v>18</v>
      </c>
      <c r="L21" s="394">
        <v>5</v>
      </c>
      <c r="M21" s="394">
        <f t="shared" si="13"/>
        <v>-72.2</v>
      </c>
      <c r="N21" s="76">
        <v>1419.4277886199998</v>
      </c>
      <c r="O21" s="394">
        <v>1610.00231153</v>
      </c>
      <c r="P21" s="353">
        <f t="shared" si="1"/>
        <v>13.4</v>
      </c>
      <c r="Q21" s="76">
        <v>9.84</v>
      </c>
      <c r="R21" s="394">
        <v>0.92</v>
      </c>
      <c r="S21" s="353">
        <f t="shared" si="15"/>
        <v>-90.7</v>
      </c>
      <c r="T21" s="76">
        <v>2130</v>
      </c>
      <c r="U21" s="394">
        <v>2326</v>
      </c>
      <c r="V21" s="353">
        <f t="shared" si="9"/>
        <v>9.1999999999999993</v>
      </c>
      <c r="W21" s="76">
        <v>2.2410000000000001</v>
      </c>
      <c r="X21" s="394">
        <v>2.3954883099999997</v>
      </c>
      <c r="Y21" s="353">
        <f t="shared" si="2"/>
        <v>6.9</v>
      </c>
      <c r="Z21" s="76">
        <v>393.09831654000016</v>
      </c>
      <c r="AA21" s="394">
        <v>482.70818831999998</v>
      </c>
      <c r="AB21" s="353">
        <f t="shared" si="10"/>
        <v>22.8</v>
      </c>
      <c r="AC21" s="76"/>
      <c r="AD21" s="394"/>
      <c r="AE21" s="353"/>
      <c r="AF21" s="394">
        <f t="shared" si="3"/>
        <v>5212.1701051600003</v>
      </c>
      <c r="AG21" s="394">
        <f t="shared" si="3"/>
        <v>5647.7949923699998</v>
      </c>
      <c r="AH21" s="353">
        <f t="shared" si="4"/>
        <v>8.4</v>
      </c>
      <c r="AI21" s="394">
        <f t="shared" si="5"/>
        <v>5212.1701051600003</v>
      </c>
      <c r="AJ21" s="394">
        <f t="shared" si="5"/>
        <v>5647.7949923699998</v>
      </c>
      <c r="AK21" s="353">
        <f t="shared" si="6"/>
        <v>8.4</v>
      </c>
    </row>
    <row r="22" spans="1:37" s="365" customFormat="1" ht="20.100000000000001" customHeight="1" x14ac:dyDescent="0.3">
      <c r="A22" s="427" t="s">
        <v>311</v>
      </c>
      <c r="B22" s="147">
        <v>10219.703</v>
      </c>
      <c r="C22" s="353">
        <v>12766.829215969998</v>
      </c>
      <c r="D22" s="353">
        <f t="shared" si="7"/>
        <v>24.9</v>
      </c>
      <c r="E22" s="147">
        <v>2753.1519692600004</v>
      </c>
      <c r="F22" s="353">
        <v>2691.1236480000007</v>
      </c>
      <c r="G22" s="353">
        <f>IF(E22=0, "    ---- ", IF(ABS(ROUND(100/E22*F22-100,1))&lt;999,ROUND(100/E22*F22-100,1),IF(ROUND(100/E22*F22-100,1)&gt;999,999,-999)))</f>
        <v>-2.2999999999999998</v>
      </c>
      <c r="H22" s="147">
        <v>246.364</v>
      </c>
      <c r="I22" s="353">
        <v>275.846</v>
      </c>
      <c r="J22" s="353">
        <f t="shared" si="14"/>
        <v>12</v>
      </c>
      <c r="K22" s="76">
        <v>1165</v>
      </c>
      <c r="L22" s="394">
        <v>1709</v>
      </c>
      <c r="M22" s="394">
        <f t="shared" si="13"/>
        <v>46.7</v>
      </c>
      <c r="N22" s="76">
        <v>13523.459092219999</v>
      </c>
      <c r="O22" s="394">
        <v>14240.868545920001</v>
      </c>
      <c r="P22" s="353">
        <f t="shared" si="1"/>
        <v>5.3</v>
      </c>
      <c r="Q22" s="76">
        <v>725.75</v>
      </c>
      <c r="R22" s="394">
        <v>1103.8800000000001</v>
      </c>
      <c r="S22" s="353">
        <f t="shared" si="15"/>
        <v>52.1</v>
      </c>
      <c r="T22" s="76">
        <v>2426</v>
      </c>
      <c r="U22" s="394">
        <v>2734</v>
      </c>
      <c r="V22" s="353">
        <f t="shared" si="9"/>
        <v>12.7</v>
      </c>
      <c r="W22" s="76">
        <v>2800.2269999999999</v>
      </c>
      <c r="X22" s="394">
        <v>2893.9817377099944</v>
      </c>
      <c r="Y22" s="353">
        <f t="shared" si="2"/>
        <v>3.3</v>
      </c>
      <c r="Z22" s="76">
        <v>3979.8464881900004</v>
      </c>
      <c r="AA22" s="394">
        <v>3998.9577989999993</v>
      </c>
      <c r="AB22" s="353">
        <f t="shared" si="10"/>
        <v>0.5</v>
      </c>
      <c r="AC22" s="76"/>
      <c r="AD22" s="394">
        <v>97</v>
      </c>
      <c r="AE22" s="353" t="str">
        <f t="shared" si="16"/>
        <v xml:space="preserve">    ---- </v>
      </c>
      <c r="AF22" s="394">
        <f t="shared" si="3"/>
        <v>37839.50154967</v>
      </c>
      <c r="AG22" s="394">
        <f t="shared" si="3"/>
        <v>42414.486946599987</v>
      </c>
      <c r="AH22" s="353">
        <f t="shared" si="4"/>
        <v>12.1</v>
      </c>
      <c r="AI22" s="394">
        <f t="shared" si="5"/>
        <v>37839.50154967</v>
      </c>
      <c r="AJ22" s="394">
        <f t="shared" si="5"/>
        <v>42511.486946599987</v>
      </c>
      <c r="AK22" s="353">
        <f t="shared" si="6"/>
        <v>12.3</v>
      </c>
    </row>
    <row r="23" spans="1:37" s="365" customFormat="1" ht="20.100000000000001" customHeight="1" x14ac:dyDescent="0.3">
      <c r="A23" s="427" t="s">
        <v>312</v>
      </c>
      <c r="B23" s="147">
        <v>1.9470000000000001</v>
      </c>
      <c r="C23" s="353">
        <v>63.335472090000003</v>
      </c>
      <c r="D23" s="353">
        <f t="shared" si="7"/>
        <v>999</v>
      </c>
      <c r="E23" s="147">
        <v>51.080043020000012</v>
      </c>
      <c r="F23" s="353">
        <v>-68.967160509999999</v>
      </c>
      <c r="G23" s="353">
        <f>IF(E23=0, "    ---- ", IF(ABS(ROUND(100/E23*F23-100,1))&lt;999,ROUND(100/E23*F23-100,1),IF(ROUND(100/E23*F23-100,1)&gt;999,999,-999)))</f>
        <v>-235</v>
      </c>
      <c r="H23" s="147"/>
      <c r="I23" s="353"/>
      <c r="J23" s="353"/>
      <c r="K23" s="76"/>
      <c r="L23" s="394"/>
      <c r="M23" s="394"/>
      <c r="N23" s="76">
        <v>1735.19069055</v>
      </c>
      <c r="O23" s="394">
        <v>1200.2213393</v>
      </c>
      <c r="P23" s="353">
        <f t="shared" si="1"/>
        <v>-30.8</v>
      </c>
      <c r="Q23" s="76">
        <v>0.1</v>
      </c>
      <c r="R23" s="394">
        <v>0.1</v>
      </c>
      <c r="S23" s="353">
        <f t="shared" si="15"/>
        <v>0</v>
      </c>
      <c r="T23" s="76"/>
      <c r="U23" s="394"/>
      <c r="V23" s="353"/>
      <c r="W23" s="76">
        <v>50.872</v>
      </c>
      <c r="X23" s="394">
        <v>79.715459899998308</v>
      </c>
      <c r="Y23" s="353">
        <f t="shared" si="2"/>
        <v>56.7</v>
      </c>
      <c r="Z23" s="76"/>
      <c r="AA23" s="394"/>
      <c r="AB23" s="353" t="str">
        <f t="shared" si="10"/>
        <v xml:space="preserve">    ---- </v>
      </c>
      <c r="AC23" s="76">
        <v>66</v>
      </c>
      <c r="AD23" s="394"/>
      <c r="AE23" s="353">
        <f t="shared" si="16"/>
        <v>-100</v>
      </c>
      <c r="AF23" s="394">
        <f>B23+E23+H23+K23+N23+Q23+T23+W23+Z23</f>
        <v>1839.18973357</v>
      </c>
      <c r="AG23" s="394">
        <f>C23+F23+I23+L23+O23+R23+U23+X23+AA23</f>
        <v>1274.405110779998</v>
      </c>
      <c r="AH23" s="353">
        <f t="shared" si="4"/>
        <v>-30.7</v>
      </c>
      <c r="AI23" s="394">
        <f>B23+E23+H23+K23+N23+Q23+T23+W23+Z23+AC23</f>
        <v>1905.18973357</v>
      </c>
      <c r="AJ23" s="394">
        <f>C23+F23+I23+L23+O23+R23+U23+X23+AA23+AD23</f>
        <v>1274.405110779998</v>
      </c>
      <c r="AK23" s="353">
        <f t="shared" si="6"/>
        <v>-33.1</v>
      </c>
    </row>
    <row r="24" spans="1:37" s="365" customFormat="1" ht="20.100000000000001" customHeight="1" x14ac:dyDescent="0.3">
      <c r="A24" s="427" t="s">
        <v>313</v>
      </c>
      <c r="B24" s="147">
        <v>45.134</v>
      </c>
      <c r="C24" s="353">
        <v>6.4223448399999974</v>
      </c>
      <c r="D24" s="353">
        <f t="shared" si="7"/>
        <v>-85.8</v>
      </c>
      <c r="E24" s="147"/>
      <c r="F24" s="353">
        <v>0</v>
      </c>
      <c r="G24" s="353"/>
      <c r="H24" s="147"/>
      <c r="I24" s="353"/>
      <c r="J24" s="353"/>
      <c r="K24" s="76"/>
      <c r="L24" s="394"/>
      <c r="M24" s="394"/>
      <c r="N24" s="76">
        <v>536.51993252</v>
      </c>
      <c r="O24" s="394">
        <v>57.435965250000002</v>
      </c>
      <c r="P24" s="353">
        <f t="shared" si="1"/>
        <v>-89.3</v>
      </c>
      <c r="Q24" s="76">
        <v>2.02</v>
      </c>
      <c r="R24" s="394">
        <v>0.42</v>
      </c>
      <c r="S24" s="353">
        <f t="shared" si="15"/>
        <v>-79.2</v>
      </c>
      <c r="T24" s="76">
        <v>45</v>
      </c>
      <c r="U24" s="394">
        <v>40</v>
      </c>
      <c r="V24" s="353">
        <f t="shared" si="9"/>
        <v>-11.1</v>
      </c>
      <c r="W24" s="76">
        <v>12.705</v>
      </c>
      <c r="X24" s="394">
        <v>10.158600079999998</v>
      </c>
      <c r="Y24" s="353"/>
      <c r="Z24" s="76">
        <v>75.076774259999951</v>
      </c>
      <c r="AA24" s="394">
        <v>641.33320147999984</v>
      </c>
      <c r="AB24" s="353">
        <f t="shared" si="10"/>
        <v>754.2</v>
      </c>
      <c r="AC24" s="76"/>
      <c r="AD24" s="394"/>
      <c r="AE24" s="353"/>
      <c r="AF24" s="394">
        <f t="shared" ref="AF24:AG29" si="17">B24+E24+H24+K24+N24+Q24+T24+W24+Z24</f>
        <v>716.45570678000001</v>
      </c>
      <c r="AG24" s="394">
        <f t="shared" si="17"/>
        <v>755.77011164999988</v>
      </c>
      <c r="AH24" s="353">
        <f t="shared" si="4"/>
        <v>5.5</v>
      </c>
      <c r="AI24" s="394">
        <f t="shared" ref="AI24:AJ29" si="18">B24+E24+H24+K24+N24+Q24+T24+W24+Z24+AC24</f>
        <v>716.45570678000001</v>
      </c>
      <c r="AJ24" s="394">
        <f t="shared" si="18"/>
        <v>755.77011164999988</v>
      </c>
      <c r="AK24" s="353">
        <f t="shared" si="6"/>
        <v>5.5</v>
      </c>
    </row>
    <row r="25" spans="1:37" s="365" customFormat="1" ht="20.100000000000001" customHeight="1" x14ac:dyDescent="0.3">
      <c r="A25" s="427" t="s">
        <v>314</v>
      </c>
      <c r="B25" s="147">
        <v>71.471000000000004</v>
      </c>
      <c r="C25" s="353">
        <v>2.8487985300000478</v>
      </c>
      <c r="D25" s="353">
        <f t="shared" si="7"/>
        <v>-96</v>
      </c>
      <c r="E25" s="147">
        <v>51.082001459999994</v>
      </c>
      <c r="F25" s="353">
        <v>3.0125119599999985</v>
      </c>
      <c r="G25" s="353">
        <f>IF(E25=0, "    ---- ", IF(ABS(ROUND(100/E25*F25-100,1))&lt;999,ROUND(100/E25*F25-100,1),IF(ROUND(100/E25*F25-100,1)&gt;999,999,-999)))</f>
        <v>-94.1</v>
      </c>
      <c r="H25" s="147">
        <v>96.474999999999994</v>
      </c>
      <c r="I25" s="353">
        <v>109.371</v>
      </c>
      <c r="J25" s="353">
        <f t="shared" si="14"/>
        <v>13.4</v>
      </c>
      <c r="K25" s="76"/>
      <c r="L25" s="394"/>
      <c r="M25" s="394"/>
      <c r="N25" s="76">
        <v>7.8191999999999997E-4</v>
      </c>
      <c r="O25" s="394">
        <v>0.73926731000000001</v>
      </c>
      <c r="P25" s="353">
        <f t="shared" si="1"/>
        <v>999</v>
      </c>
      <c r="Q25" s="76">
        <v>446.84</v>
      </c>
      <c r="R25" s="394">
        <v>1.93</v>
      </c>
      <c r="S25" s="353">
        <f t="shared" si="15"/>
        <v>-99.6</v>
      </c>
      <c r="T25" s="76"/>
      <c r="U25" s="394"/>
      <c r="V25" s="353"/>
      <c r="W25" s="76">
        <v>773.59699999999998</v>
      </c>
      <c r="X25" s="394">
        <v>245.02926823985965</v>
      </c>
      <c r="Y25" s="353">
        <f t="shared" si="2"/>
        <v>-68.3</v>
      </c>
      <c r="Z25" s="76"/>
      <c r="AA25" s="394"/>
      <c r="AB25" s="353" t="str">
        <f t="shared" si="10"/>
        <v xml:space="preserve">    ---- </v>
      </c>
      <c r="AC25" s="76"/>
      <c r="AD25" s="394"/>
      <c r="AE25" s="353"/>
      <c r="AF25" s="394">
        <f t="shared" si="17"/>
        <v>1439.4657833799999</v>
      </c>
      <c r="AG25" s="394">
        <f t="shared" si="17"/>
        <v>362.93084603985972</v>
      </c>
      <c r="AH25" s="353">
        <f t="shared" si="4"/>
        <v>-74.8</v>
      </c>
      <c r="AI25" s="394">
        <f t="shared" si="18"/>
        <v>1439.4657833799999</v>
      </c>
      <c r="AJ25" s="394">
        <f t="shared" si="18"/>
        <v>362.93084603985972</v>
      </c>
      <c r="AK25" s="353">
        <f t="shared" si="6"/>
        <v>-74.8</v>
      </c>
    </row>
    <row r="26" spans="1:37" s="365" customFormat="1" ht="20.100000000000001" customHeight="1" x14ac:dyDescent="0.3">
      <c r="A26" s="427" t="s">
        <v>315</v>
      </c>
      <c r="B26" s="147"/>
      <c r="C26" s="353"/>
      <c r="D26" s="353"/>
      <c r="E26" s="147"/>
      <c r="F26" s="353"/>
      <c r="G26" s="353"/>
      <c r="H26" s="147"/>
      <c r="I26" s="353"/>
      <c r="J26" s="353"/>
      <c r="K26" s="76"/>
      <c r="L26" s="394"/>
      <c r="M26" s="394"/>
      <c r="N26" s="76"/>
      <c r="O26" s="394"/>
      <c r="P26" s="353"/>
      <c r="Q26" s="76"/>
      <c r="R26" s="394"/>
      <c r="S26" s="353"/>
      <c r="T26" s="76"/>
      <c r="U26" s="394"/>
      <c r="V26" s="353"/>
      <c r="W26" s="76"/>
      <c r="X26" s="394">
        <v>0</v>
      </c>
      <c r="Y26" s="353"/>
      <c r="Z26" s="76"/>
      <c r="AA26" s="394"/>
      <c r="AB26" s="353"/>
      <c r="AC26" s="76"/>
      <c r="AD26" s="394"/>
      <c r="AE26" s="353"/>
      <c r="AF26" s="394">
        <f t="shared" si="17"/>
        <v>0</v>
      </c>
      <c r="AG26" s="394">
        <f t="shared" si="17"/>
        <v>0</v>
      </c>
      <c r="AH26" s="353" t="str">
        <f t="shared" si="4"/>
        <v xml:space="preserve">    ---- </v>
      </c>
      <c r="AI26" s="394">
        <f t="shared" si="18"/>
        <v>0</v>
      </c>
      <c r="AJ26" s="394">
        <f t="shared" si="18"/>
        <v>0</v>
      </c>
      <c r="AK26" s="353" t="str">
        <f t="shared" si="6"/>
        <v xml:space="preserve">    ---- </v>
      </c>
    </row>
    <row r="27" spans="1:37" s="365" customFormat="1" ht="20.100000000000001" customHeight="1" x14ac:dyDescent="0.3">
      <c r="A27" s="463" t="s">
        <v>316</v>
      </c>
      <c r="B27" s="147">
        <f>SUM(B14+B15+B16+B20+B26)</f>
        <v>29571.589895599998</v>
      </c>
      <c r="C27" s="353">
        <f>SUM(C14+C15+C16+C20+C26)</f>
        <v>27338.18083564</v>
      </c>
      <c r="D27" s="353">
        <f t="shared" si="7"/>
        <v>-7.6</v>
      </c>
      <c r="E27" s="147">
        <f>SUM(E14+E15+E16+E20+E26)</f>
        <v>3608.5604238300002</v>
      </c>
      <c r="F27" s="353">
        <f>SUM(F14+F15+F16+F20+F26)</f>
        <v>3481.8344165400008</v>
      </c>
      <c r="G27" s="353">
        <f>IF(E27=0, "    ---- ", IF(ABS(ROUND(100/E27*F27-100,1))&lt;999,ROUND(100/E27*F27-100,1),IF(ROUND(100/E27*F27-100,1)&gt;999,999,-999)))</f>
        <v>-3.5</v>
      </c>
      <c r="H27" s="147">
        <f>SUM(H14+H15+H16+H20+H26)</f>
        <v>404.14499999999998</v>
      </c>
      <c r="I27" s="353">
        <f>SUM(I14+I15+I16+I20+I26)</f>
        <v>454.41699999999997</v>
      </c>
      <c r="J27" s="353">
        <f t="shared" si="14"/>
        <v>12.4</v>
      </c>
      <c r="K27" s="76">
        <f>SUM(K14+K15+K16+K20+K26)</f>
        <v>1347</v>
      </c>
      <c r="L27" s="394">
        <f>SUM(L14+L15+L16+L20+L26)</f>
        <v>1925</v>
      </c>
      <c r="M27" s="394">
        <f t="shared" si="13"/>
        <v>42.9</v>
      </c>
      <c r="N27" s="76">
        <v>48369.593791360006</v>
      </c>
      <c r="O27" s="394">
        <v>46425.102590349998</v>
      </c>
      <c r="P27" s="353">
        <f t="shared" si="1"/>
        <v>-4</v>
      </c>
      <c r="Q27" s="76">
        <f>SUM(Q14+Q15+Q16+Q20+Q26)</f>
        <v>10023.939999999999</v>
      </c>
      <c r="R27" s="394">
        <f>SUM(R14+R15+R16+R20+R26)</f>
        <v>9157.66</v>
      </c>
      <c r="S27" s="353">
        <f t="shared" si="15"/>
        <v>-8.6</v>
      </c>
      <c r="T27" s="76">
        <v>11443</v>
      </c>
      <c r="U27" s="394">
        <f>SUM(U14+U15+U16+U20+U26)</f>
        <v>12352</v>
      </c>
      <c r="V27" s="353">
        <f t="shared" si="9"/>
        <v>7.9</v>
      </c>
      <c r="W27" s="76">
        <f>SUM(W14+W15+W16+W20+W26)</f>
        <v>6383.9809999999998</v>
      </c>
      <c r="X27" s="394">
        <f>SUM(X14+X15+X16+X20+X26)</f>
        <v>5867.7171460098516</v>
      </c>
      <c r="Y27" s="353">
        <f t="shared" si="2"/>
        <v>-8.1</v>
      </c>
      <c r="Z27" s="76">
        <f>SUM(Z14+Z15+Z16+Z20+Z26)</f>
        <v>33206.66175875</v>
      </c>
      <c r="AA27" s="394">
        <f>SUM(AA14+AA15+AA16+AA20+AA26)</f>
        <v>30464.395653649997</v>
      </c>
      <c r="AB27" s="353">
        <f t="shared" si="10"/>
        <v>-8.3000000000000007</v>
      </c>
      <c r="AC27" s="76">
        <f>SUM(AC14+AC15+AC16+AC20+AC26)</f>
        <v>66</v>
      </c>
      <c r="AD27" s="394">
        <f>SUM(AD14+AD15+AD16+AD20+AD26)</f>
        <v>97</v>
      </c>
      <c r="AE27" s="353">
        <f>IF(AC27=0, "    ---- ", IF(ABS(ROUND(100/AC27*AD27-100,1))&lt;999,ROUND(100/AC27*AD27-100,1),IF(ROUND(100/AC27*AD27-100,1)&gt;999,999,-999)))</f>
        <v>47</v>
      </c>
      <c r="AF27" s="394">
        <f t="shared" si="17"/>
        <v>144358.47186954002</v>
      </c>
      <c r="AG27" s="394">
        <f t="shared" si="17"/>
        <v>137466.30764218984</v>
      </c>
      <c r="AH27" s="353">
        <f t="shared" si="4"/>
        <v>-4.8</v>
      </c>
      <c r="AI27" s="394">
        <f t="shared" si="18"/>
        <v>144424.47186954002</v>
      </c>
      <c r="AJ27" s="394">
        <f t="shared" si="18"/>
        <v>137563.30764218984</v>
      </c>
      <c r="AK27" s="353">
        <f t="shared" si="6"/>
        <v>-4.8</v>
      </c>
    </row>
    <row r="28" spans="1:37" s="365" customFormat="1" ht="20.100000000000001" customHeight="1" x14ac:dyDescent="0.3">
      <c r="A28" s="427" t="s">
        <v>317</v>
      </c>
      <c r="B28" s="147">
        <v>1451.306241369999</v>
      </c>
      <c r="C28" s="353">
        <v>1708.7438409500062</v>
      </c>
      <c r="D28" s="353">
        <f t="shared" si="7"/>
        <v>17.7</v>
      </c>
      <c r="E28" s="147">
        <v>863.22528557999988</v>
      </c>
      <c r="F28" s="353">
        <v>541.59399704000009</v>
      </c>
      <c r="G28" s="353">
        <f>IF(E28=0, "    ---- ", IF(ABS(ROUND(100/E28*F28-100,1))&lt;999,ROUND(100/E28*F28-100,1),IF(ROUND(100/E28*F28-100,1)&gt;999,999,-999)))</f>
        <v>-37.299999999999997</v>
      </c>
      <c r="H28" s="147">
        <v>896.92899999999997</v>
      </c>
      <c r="I28" s="353">
        <v>973.41800000000001</v>
      </c>
      <c r="J28" s="353">
        <f t="shared" si="14"/>
        <v>8.5</v>
      </c>
      <c r="K28" s="76">
        <v>378</v>
      </c>
      <c r="L28" s="394">
        <v>256</v>
      </c>
      <c r="M28" s="394">
        <f t="shared" si="13"/>
        <v>-32.299999999999997</v>
      </c>
      <c r="N28" s="76">
        <v>9160.2725991900006</v>
      </c>
      <c r="O28" s="394">
        <v>5650.5804013300003</v>
      </c>
      <c r="P28" s="353">
        <f t="shared" si="1"/>
        <v>-38.299999999999997</v>
      </c>
      <c r="Q28" s="76">
        <v>1513.56</v>
      </c>
      <c r="R28" s="394">
        <v>1154.27</v>
      </c>
      <c r="S28" s="353">
        <f t="shared" si="15"/>
        <v>-23.7</v>
      </c>
      <c r="T28" s="76">
        <v>980</v>
      </c>
      <c r="U28" s="394">
        <f>102+587+73+10</f>
        <v>772</v>
      </c>
      <c r="V28" s="353">
        <f t="shared" si="9"/>
        <v>-21.2</v>
      </c>
      <c r="W28" s="76">
        <v>1229.723</v>
      </c>
      <c r="X28" s="394">
        <v>1548.0087996199782</v>
      </c>
      <c r="Y28" s="353">
        <f t="shared" si="2"/>
        <v>25.9</v>
      </c>
      <c r="Z28" s="76">
        <v>31321.184307259966</v>
      </c>
      <c r="AA28" s="394">
        <v>11279.438525370002</v>
      </c>
      <c r="AB28" s="353">
        <f t="shared" si="10"/>
        <v>-64</v>
      </c>
      <c r="AC28" s="76">
        <v>151</v>
      </c>
      <c r="AD28" s="394">
        <v>127</v>
      </c>
      <c r="AE28" s="353">
        <f>IF(AC28=0, "    ---- ", IF(ABS(ROUND(100/AC28*AD28-100,1))&lt;999,ROUND(100/AC28*AD28-100,1),IF(ROUND(100/AC28*AD28-100,1)&gt;999,999,-999)))</f>
        <v>-15.9</v>
      </c>
      <c r="AF28" s="394">
        <f t="shared" si="17"/>
        <v>47794.200433399965</v>
      </c>
      <c r="AG28" s="394">
        <f t="shared" si="17"/>
        <v>23884.053564309987</v>
      </c>
      <c r="AH28" s="353">
        <f t="shared" si="4"/>
        <v>-50</v>
      </c>
      <c r="AI28" s="394">
        <f t="shared" si="18"/>
        <v>47945.200433399965</v>
      </c>
      <c r="AJ28" s="394">
        <f t="shared" si="18"/>
        <v>24011.053564309987</v>
      </c>
      <c r="AK28" s="353">
        <f t="shared" si="6"/>
        <v>-49.9</v>
      </c>
    </row>
    <row r="29" spans="1:37" s="365" customFormat="1" ht="20.100000000000001" customHeight="1" x14ac:dyDescent="0.3">
      <c r="A29" s="427" t="s">
        <v>318</v>
      </c>
      <c r="B29" s="147">
        <f>SUM(B27+B28)</f>
        <v>31022.896136969997</v>
      </c>
      <c r="C29" s="353">
        <f>SUM(C27+C28)</f>
        <v>29046.924676590006</v>
      </c>
      <c r="D29" s="353">
        <f>IF(B29=0, "    ---- ", IF(ABS(ROUND(100/B29*C29-100,1))&lt;999,ROUND(100/B29*C29-100,1),IF(ROUND(100/B29*C29-100,1)&gt;999,999,-999)))</f>
        <v>-6.4</v>
      </c>
      <c r="E29" s="147">
        <f>SUM(E27+E28)</f>
        <v>4471.78570941</v>
      </c>
      <c r="F29" s="353">
        <f>SUM(F27+F28)</f>
        <v>4023.4284135800008</v>
      </c>
      <c r="G29" s="353">
        <f>IF(E29=0, "    ---- ", IF(ABS(ROUND(100/E29*F29-100,1))&lt;999,ROUND(100/E29*F29-100,1),IF(ROUND(100/E29*F29-100,1)&gt;999,999,-999)))</f>
        <v>-10</v>
      </c>
      <c r="H29" s="147">
        <f>SUM(H27+H28)</f>
        <v>1301.0740000000001</v>
      </c>
      <c r="I29" s="353">
        <f>SUM(I27+I28)</f>
        <v>1427.835</v>
      </c>
      <c r="J29" s="353">
        <f>IF(H29=0, "    ---- ", IF(ABS(ROUND(100/H29*I29-100,1))&lt;999,ROUND(100/H29*I29-100,1),IF(ROUND(100/H29*I29-100,1)&gt;999,999,-999)))</f>
        <v>9.6999999999999993</v>
      </c>
      <c r="K29" s="147">
        <f>SUM(K27+K28)</f>
        <v>1725</v>
      </c>
      <c r="L29" s="353">
        <f>SUM(L27+L28)</f>
        <v>2181</v>
      </c>
      <c r="M29" s="353">
        <f>IF(K29=0, "    ---- ", IF(ABS(ROUND(100/K29*L29-100,1))&lt;999,ROUND(100/K29*L29-100,1),IF(ROUND(100/K29*L29-100,1)&gt;999,999,-999)))</f>
        <v>26.4</v>
      </c>
      <c r="N29" s="147">
        <v>57529.866390550007</v>
      </c>
      <c r="O29" s="353">
        <v>52075.682991679998</v>
      </c>
      <c r="P29" s="353">
        <f>IF(N29=0, "    ---- ", IF(ABS(ROUND(100/N29*O29-100,1))&lt;999,ROUND(100/N29*O29-100,1),IF(ROUND(100/N29*O29-100,1)&gt;999,999,-999)))</f>
        <v>-9.5</v>
      </c>
      <c r="Q29" s="147">
        <f>SUM(Q27+Q28)</f>
        <v>11537.499999999998</v>
      </c>
      <c r="R29" s="353">
        <f>SUM(R27+R28)</f>
        <v>10311.93</v>
      </c>
      <c r="S29" s="353">
        <f>IF(Q29=0, "    ---- ", IF(ABS(ROUND(100/Q29*R29-100,1))&lt;999,ROUND(100/Q29*R29-100,1),IF(ROUND(100/Q29*R29-100,1)&gt;999,999,-999)))</f>
        <v>-10.6</v>
      </c>
      <c r="T29" s="147">
        <v>12423</v>
      </c>
      <c r="U29" s="353">
        <f>SUM(U27+U28)</f>
        <v>13124</v>
      </c>
      <c r="V29" s="353">
        <f>IF(T29=0, "    ---- ", IF(ABS(ROUND(100/T29*U29-100,1))&lt;999,ROUND(100/T29*U29-100,1),IF(ROUND(100/T29*U29-100,1)&gt;999,999,-999)))</f>
        <v>5.6</v>
      </c>
      <c r="W29" s="147">
        <f>SUM(W27+W28)</f>
        <v>7613.7039999999997</v>
      </c>
      <c r="X29" s="353">
        <f>SUM(X27+X28)</f>
        <v>7415.7259456298298</v>
      </c>
      <c r="Y29" s="353">
        <f>IF(W29=0, "    ---- ", IF(ABS(ROUND(100/W29*X29-100,1))&lt;999,ROUND(100/W29*X29-100,1),IF(ROUND(100/W29*X29-100,1)&gt;999,999,-999)))</f>
        <v>-2.6</v>
      </c>
      <c r="Z29" s="147">
        <f>SUM(Z27+Z28)</f>
        <v>64527.846066009966</v>
      </c>
      <c r="AA29" s="353">
        <f>SUM(AA27+AA28)</f>
        <v>41743.834179019999</v>
      </c>
      <c r="AB29" s="353">
        <f>IF(Z29=0, "    ---- ", IF(ABS(ROUND(100/Z29*AA29-100,1))&lt;999,ROUND(100/Z29*AA29-100,1),IF(ROUND(100/Z29*AA29-100,1)&gt;999,999,-999)))</f>
        <v>-35.299999999999997</v>
      </c>
      <c r="AC29" s="147">
        <f>SUM(AC27+AC28)</f>
        <v>217</v>
      </c>
      <c r="AD29" s="353">
        <f>SUM(AD27+AD28)</f>
        <v>224</v>
      </c>
      <c r="AE29" s="353">
        <f>IF(AC29=0, "    ---- ", IF(ABS(ROUND(100/AC29*AD29-100,1))&lt;999,ROUND(100/AC29*AD29-100,1),IF(ROUND(100/AC29*AD29-100,1)&gt;999,999,-999)))</f>
        <v>3.2</v>
      </c>
      <c r="AF29" s="394">
        <f t="shared" si="17"/>
        <v>192152.67230293999</v>
      </c>
      <c r="AG29" s="394">
        <f t="shared" si="17"/>
        <v>161350.36120649983</v>
      </c>
      <c r="AH29" s="353">
        <f>IF(AF29=0, "    ---- ", IF(ABS(ROUND(100/AF29*AG29-100,1))&lt;999,ROUND(100/AF29*AG29-100,1),IF(ROUND(100/AF29*AG29-100,1)&gt;999,999,-999)))</f>
        <v>-16</v>
      </c>
      <c r="AI29" s="394">
        <f t="shared" si="18"/>
        <v>192369.67230293999</v>
      </c>
      <c r="AJ29" s="394">
        <f t="shared" si="18"/>
        <v>161574.36120649983</v>
      </c>
      <c r="AK29" s="464">
        <f t="shared" si="6"/>
        <v>-16</v>
      </c>
    </row>
    <row r="30" spans="1:37" s="365" customFormat="1" ht="20.100000000000001" customHeight="1" x14ac:dyDescent="0.3">
      <c r="A30" s="427"/>
      <c r="B30" s="434"/>
      <c r="C30" s="350"/>
      <c r="D30" s="353"/>
      <c r="E30" s="434"/>
      <c r="F30" s="350"/>
      <c r="G30" s="353"/>
      <c r="H30" s="434"/>
      <c r="I30" s="350"/>
      <c r="J30" s="353"/>
      <c r="K30" s="147"/>
      <c r="L30" s="353"/>
      <c r="M30" s="350"/>
      <c r="N30" s="434"/>
      <c r="O30" s="350"/>
      <c r="P30" s="277"/>
      <c r="Q30" s="434"/>
      <c r="R30" s="350"/>
      <c r="S30" s="277"/>
      <c r="T30" s="434"/>
      <c r="U30" s="350"/>
      <c r="V30" s="277"/>
      <c r="W30" s="434"/>
      <c r="X30" s="350"/>
      <c r="Y30" s="277"/>
      <c r="Z30" s="434"/>
      <c r="AA30" s="350"/>
      <c r="AB30" s="277"/>
      <c r="AC30" s="434"/>
      <c r="AD30" s="350"/>
      <c r="AE30" s="277"/>
      <c r="AF30" s="350"/>
      <c r="AG30" s="350"/>
      <c r="AH30" s="277"/>
      <c r="AI30" s="350"/>
      <c r="AJ30" s="350"/>
      <c r="AK30" s="354"/>
    </row>
    <row r="31" spans="1:37" s="365" customFormat="1" ht="20.100000000000001" customHeight="1" x14ac:dyDescent="0.3">
      <c r="A31" s="439" t="s">
        <v>319</v>
      </c>
      <c r="B31" s="147"/>
      <c r="C31" s="353"/>
      <c r="D31" s="353"/>
      <c r="E31" s="147"/>
      <c r="F31" s="353"/>
      <c r="G31" s="353"/>
      <c r="H31" s="147"/>
      <c r="I31" s="353"/>
      <c r="J31" s="353"/>
      <c r="K31" s="147"/>
      <c r="L31" s="353"/>
      <c r="M31" s="350"/>
      <c r="N31" s="147"/>
      <c r="O31" s="353"/>
      <c r="P31" s="277"/>
      <c r="Q31" s="147"/>
      <c r="R31" s="353"/>
      <c r="S31" s="277"/>
      <c r="T31" s="147"/>
      <c r="U31" s="353"/>
      <c r="V31" s="277"/>
      <c r="W31" s="147"/>
      <c r="X31" s="353"/>
      <c r="Y31" s="277"/>
      <c r="Z31" s="147"/>
      <c r="AA31" s="353"/>
      <c r="AB31" s="277"/>
      <c r="AC31" s="147"/>
      <c r="AD31" s="353"/>
      <c r="AE31" s="277"/>
      <c r="AF31" s="350"/>
      <c r="AG31" s="350"/>
      <c r="AH31" s="277"/>
      <c r="AI31" s="350"/>
      <c r="AJ31" s="350"/>
      <c r="AK31" s="354"/>
    </row>
    <row r="32" spans="1:37" s="365" customFormat="1" ht="20.100000000000001" customHeight="1" x14ac:dyDescent="0.3">
      <c r="A32" s="439" t="s">
        <v>320</v>
      </c>
      <c r="B32" s="147"/>
      <c r="C32" s="353"/>
      <c r="D32" s="277"/>
      <c r="E32" s="147"/>
      <c r="F32" s="353"/>
      <c r="G32" s="277"/>
      <c r="H32" s="147"/>
      <c r="I32" s="353"/>
      <c r="J32" s="277"/>
      <c r="K32" s="147"/>
      <c r="L32" s="353"/>
      <c r="M32" s="350"/>
      <c r="N32" s="147"/>
      <c r="O32" s="353"/>
      <c r="P32" s="277"/>
      <c r="Q32" s="147"/>
      <c r="R32" s="353"/>
      <c r="S32" s="277"/>
      <c r="T32" s="147"/>
      <c r="U32" s="353"/>
      <c r="V32" s="277"/>
      <c r="W32" s="147"/>
      <c r="X32" s="353"/>
      <c r="Y32" s="277"/>
      <c r="Z32" s="147"/>
      <c r="AA32" s="353"/>
      <c r="AB32" s="277"/>
      <c r="AC32" s="147"/>
      <c r="AD32" s="353"/>
      <c r="AE32" s="277"/>
      <c r="AF32" s="350"/>
      <c r="AG32" s="350"/>
      <c r="AH32" s="277"/>
      <c r="AI32" s="350"/>
      <c r="AJ32" s="350"/>
      <c r="AK32" s="354"/>
    </row>
    <row r="33" spans="1:37" s="365" customFormat="1" ht="20.100000000000001" customHeight="1" x14ac:dyDescent="0.3">
      <c r="A33" s="427" t="s">
        <v>321</v>
      </c>
      <c r="B33" s="147">
        <v>14.226000000000001</v>
      </c>
      <c r="C33" s="353">
        <v>14.226000000000001</v>
      </c>
      <c r="D33" s="353">
        <f t="shared" ref="D33:D93" si="19">IF(B33=0, "    ---- ", IF(ABS(ROUND(100/B33*C33-100,1))&lt;999,ROUND(100/B33*C33-100,1),IF(ROUND(100/B33*C33-100,1)&gt;999,999,-999)))</f>
        <v>0</v>
      </c>
      <c r="E33" s="147"/>
      <c r="F33" s="353"/>
      <c r="G33" s="353"/>
      <c r="H33" s="147"/>
      <c r="I33" s="353"/>
      <c r="J33" s="353"/>
      <c r="K33" s="147"/>
      <c r="L33" s="353"/>
      <c r="M33" s="350"/>
      <c r="N33" s="147"/>
      <c r="O33" s="353"/>
      <c r="P33" s="277"/>
      <c r="Q33" s="147"/>
      <c r="R33" s="353"/>
      <c r="S33" s="277"/>
      <c r="T33" s="147"/>
      <c r="U33" s="353"/>
      <c r="V33" s="277"/>
      <c r="W33" s="147"/>
      <c r="X33" s="353"/>
      <c r="Y33" s="277" t="str">
        <f t="shared" ref="Y33:Y93" si="20">IF(W33=0, "    ---- ", IF(ABS(ROUND(100/W33*X33-100,1))&lt;999,ROUND(100/W33*X33-100,1),IF(ROUND(100/W33*X33-100,1)&gt;999,999,-999)))</f>
        <v xml:space="preserve">    ---- </v>
      </c>
      <c r="Z33" s="147"/>
      <c r="AA33" s="353"/>
      <c r="AB33" s="277"/>
      <c r="AC33" s="147"/>
      <c r="AD33" s="353"/>
      <c r="AE33" s="277"/>
      <c r="AF33" s="394">
        <f t="shared" ref="AF33:AG46" si="21">B33+E33+H33+K33+N33+Q33+T33+W33+Z33</f>
        <v>14.226000000000001</v>
      </c>
      <c r="AG33" s="394">
        <f t="shared" si="21"/>
        <v>14.226000000000001</v>
      </c>
      <c r="AH33" s="277">
        <f t="shared" ref="AH33:AH93" si="22">IF(AF33=0, "    ---- ", IF(ABS(ROUND(100/AF33*AG33-100,1))&lt;999,ROUND(100/AF33*AG33-100,1),IF(ROUND(100/AF33*AG33-100,1)&gt;999,999,-999)))</f>
        <v>0</v>
      </c>
      <c r="AI33" s="394">
        <f t="shared" ref="AI33:AJ46" si="23">B33+E33+H33+K33+N33+Q33+T33+W33+Z33+AC33</f>
        <v>14.226000000000001</v>
      </c>
      <c r="AJ33" s="394">
        <f t="shared" si="23"/>
        <v>14.226000000000001</v>
      </c>
      <c r="AK33" s="354">
        <f t="shared" ref="AK33:AK93" si="24">IF(AI33=0, "    ---- ", IF(ABS(ROUND(100/AI33*AJ33-100,1))&lt;999,ROUND(100/AI33*AJ33-100,1),IF(ROUND(100/AI33*AJ33-100,1)&gt;999,999,-999)))</f>
        <v>0</v>
      </c>
    </row>
    <row r="34" spans="1:37" s="365" customFormat="1" ht="20.100000000000001" customHeight="1" x14ac:dyDescent="0.3">
      <c r="A34" s="427" t="s">
        <v>322</v>
      </c>
      <c r="B34" s="147">
        <v>17288.885999999999</v>
      </c>
      <c r="C34" s="353">
        <v>15748.124</v>
      </c>
      <c r="D34" s="353">
        <f t="shared" si="19"/>
        <v>-8.9</v>
      </c>
      <c r="E34" s="147">
        <v>446.18724366999993</v>
      </c>
      <c r="F34" s="353">
        <v>995.33742342999994</v>
      </c>
      <c r="G34" s="353">
        <f t="shared" ref="G34:G37" si="25">IF(E34=0, "    ---- ", IF(ABS(ROUND(100/E34*F34-100,1))&lt;999,ROUND(100/E34*F34-100,1),IF(ROUND(100/E34*F34-100,1)&gt;999,999,-999)))</f>
        <v>123.1</v>
      </c>
      <c r="H34" s="147"/>
      <c r="I34" s="353"/>
      <c r="J34" s="353"/>
      <c r="K34" s="147">
        <v>320</v>
      </c>
      <c r="L34" s="353">
        <v>485</v>
      </c>
      <c r="M34" s="350">
        <f>IF(K34=0, "    ---- ", IF(ABS(ROUND(100/K34*L34-100,1))&lt;999,ROUND(100/K34*L34-100,1),IF(ROUND(100/K34*L34-100,1)&gt;999,999,-999)))</f>
        <v>51.6</v>
      </c>
      <c r="N34" s="147">
        <v>99949.936962079999</v>
      </c>
      <c r="O34" s="353">
        <v>112762.33413491999</v>
      </c>
      <c r="P34" s="277">
        <f>IF(N34=0, "    ---- ", IF(ABS(ROUND(100/N34*O34-100,1))&lt;999,ROUND(100/N34*O34-100,1),IF(ROUND(100/N34*O34-100,1)&gt;999,999,-999)))</f>
        <v>12.8</v>
      </c>
      <c r="Q34" s="147">
        <v>6315.158501240001</v>
      </c>
      <c r="R34" s="353">
        <v>7004.3823807899998</v>
      </c>
      <c r="S34" s="277">
        <f t="shared" ref="S34:S93" si="26">IF(Q34=0, "    ---- ", IF(ABS(ROUND(100/Q34*R34-100,1))&lt;999,ROUND(100/Q34*R34-100,1),IF(ROUND(100/Q34*R34-100,1)&gt;999,999,-999)))</f>
        <v>10.9</v>
      </c>
      <c r="T34" s="147">
        <v>20661</v>
      </c>
      <c r="U34" s="353">
        <v>22526</v>
      </c>
      <c r="V34" s="277">
        <f t="shared" ref="V34:V42" si="27">IF(T34=0, "    ---- ", IF(ABS(ROUND(100/T34*U34-100,1))&lt;999,ROUND(100/T34*U34-100,1),IF(ROUND(100/T34*U34-100,1)&gt;999,999,-999)))</f>
        <v>9</v>
      </c>
      <c r="W34" s="147">
        <v>4263.4690000000001</v>
      </c>
      <c r="X34" s="353">
        <v>4222.6042482599996</v>
      </c>
      <c r="Y34" s="277">
        <f t="shared" si="20"/>
        <v>-1</v>
      </c>
      <c r="Z34" s="147">
        <v>21863.984999050001</v>
      </c>
      <c r="AA34" s="353">
        <v>23509.899477719991</v>
      </c>
      <c r="AB34" s="277">
        <f t="shared" ref="AB34:AB93" si="28">IF(Z34=0, "    ---- ", IF(ABS(ROUND(100/Z34*AA34-100,1))&lt;999,ROUND(100/Z34*AA34-100,1),IF(ROUND(100/Z34*AA34-100,1)&gt;999,999,-999)))</f>
        <v>7.5</v>
      </c>
      <c r="AC34" s="147"/>
      <c r="AD34" s="353"/>
      <c r="AE34" s="277"/>
      <c r="AF34" s="394">
        <f t="shared" si="21"/>
        <v>171108.62270604004</v>
      </c>
      <c r="AG34" s="394">
        <f t="shared" si="21"/>
        <v>187253.68166511998</v>
      </c>
      <c r="AH34" s="277">
        <f t="shared" si="22"/>
        <v>9.4</v>
      </c>
      <c r="AI34" s="394">
        <f t="shared" si="23"/>
        <v>171108.62270604004</v>
      </c>
      <c r="AJ34" s="394">
        <f t="shared" si="23"/>
        <v>187253.68166511998</v>
      </c>
      <c r="AK34" s="354">
        <f t="shared" si="24"/>
        <v>9.4</v>
      </c>
    </row>
    <row r="35" spans="1:37" s="365" customFormat="1" ht="20.100000000000001" customHeight="1" x14ac:dyDescent="0.3">
      <c r="A35" s="427" t="s">
        <v>323</v>
      </c>
      <c r="B35" s="147">
        <f>SUM(B36+B38)</f>
        <v>133117.60399999999</v>
      </c>
      <c r="C35" s="353">
        <f>SUM(C36+C38)</f>
        <v>134922.81193312004</v>
      </c>
      <c r="D35" s="353">
        <f t="shared" si="19"/>
        <v>1.4</v>
      </c>
      <c r="E35" s="147">
        <v>5679.011071410001</v>
      </c>
      <c r="F35" s="353">
        <f>SUM(F36+F38)</f>
        <v>6141.9814338600008</v>
      </c>
      <c r="G35" s="353">
        <f t="shared" si="25"/>
        <v>8.1999999999999993</v>
      </c>
      <c r="H35" s="147">
        <f>SUM(H36+H38)</f>
        <v>776.70799999999997</v>
      </c>
      <c r="I35" s="353">
        <f>SUM(I36+I38)</f>
        <v>931.52599999999995</v>
      </c>
      <c r="J35" s="353">
        <f t="shared" ref="J35:J36" si="29">IF(H35=0, "    ---- ", IF(ABS(ROUND(100/H35*I35-100,1))&lt;999,ROUND(100/H35*I35-100,1),IF(ROUND(100/H35*I35-100,1)&gt;999,999,-999)))</f>
        <v>19.899999999999999</v>
      </c>
      <c r="K35" s="147">
        <f>SUM(K36+K38)</f>
        <v>9093</v>
      </c>
      <c r="L35" s="353">
        <f>SUM(L36+L38)</f>
        <v>10496</v>
      </c>
      <c r="M35" s="350">
        <f>IF(K35=0, "    ---- ", IF(ABS(ROUND(100/K35*L35-100,1))&lt;999,ROUND(100/K35*L35-100,1),IF(ROUND(100/K35*L35-100,1)&gt;999,999,-999)))</f>
        <v>15.4</v>
      </c>
      <c r="N35" s="147">
        <v>296169.89553109999</v>
      </c>
      <c r="O35" s="353">
        <v>302578.32413915999</v>
      </c>
      <c r="P35" s="277">
        <f>IF(N35=0, "    ---- ", IF(ABS(ROUND(100/N35*O35-100,1))&lt;999,ROUND(100/N35*O35-100,1),IF(ROUND(100/N35*O35-100,1)&gt;999,999,-999)))</f>
        <v>2.2000000000000002</v>
      </c>
      <c r="Q35" s="147">
        <f>SUM(Q36+Q38)</f>
        <v>38395.3455185899</v>
      </c>
      <c r="R35" s="353">
        <f>SUM(R36+R38)</f>
        <v>36381.424958429998</v>
      </c>
      <c r="S35" s="277">
        <f t="shared" si="26"/>
        <v>-5.2</v>
      </c>
      <c r="T35" s="147">
        <v>31725</v>
      </c>
      <c r="U35" s="353">
        <f>SUM(U36+U38)</f>
        <v>32692</v>
      </c>
      <c r="V35" s="277">
        <f t="shared" si="27"/>
        <v>3</v>
      </c>
      <c r="W35" s="147">
        <f>SUM(W36+W38)</f>
        <v>12373.178</v>
      </c>
      <c r="X35" s="353">
        <f>SUM(X36+X38)</f>
        <v>12983.992425170009</v>
      </c>
      <c r="Y35" s="277">
        <f t="shared" si="20"/>
        <v>4.9000000000000004</v>
      </c>
      <c r="Z35" s="147">
        <f>SUM(Z36+Z38)</f>
        <v>171593.79561246015</v>
      </c>
      <c r="AA35" s="353">
        <f>SUM(AA36+AA38)</f>
        <v>170749.98627574</v>
      </c>
      <c r="AB35" s="277">
        <f t="shared" si="28"/>
        <v>-0.5</v>
      </c>
      <c r="AC35" s="147"/>
      <c r="AD35" s="353"/>
      <c r="AE35" s="277"/>
      <c r="AF35" s="394">
        <f t="shared" si="21"/>
        <v>698923.53773355996</v>
      </c>
      <c r="AG35" s="394">
        <f t="shared" si="21"/>
        <v>707878.04716547998</v>
      </c>
      <c r="AH35" s="277">
        <f t="shared" si="22"/>
        <v>1.3</v>
      </c>
      <c r="AI35" s="394">
        <f t="shared" si="23"/>
        <v>698923.53773355996</v>
      </c>
      <c r="AJ35" s="394">
        <f t="shared" si="23"/>
        <v>707878.04716547998</v>
      </c>
      <c r="AK35" s="354">
        <f t="shared" si="24"/>
        <v>1.3</v>
      </c>
    </row>
    <row r="36" spans="1:37" s="365" customFormat="1" ht="20.100000000000001" customHeight="1" x14ac:dyDescent="0.3">
      <c r="A36" s="427" t="s">
        <v>324</v>
      </c>
      <c r="B36" s="147">
        <v>129135.90700000001</v>
      </c>
      <c r="C36" s="353">
        <v>131464.30199109003</v>
      </c>
      <c r="D36" s="277">
        <f t="shared" si="19"/>
        <v>1.8</v>
      </c>
      <c r="E36" s="147">
        <v>5679.011071410001</v>
      </c>
      <c r="F36" s="353">
        <v>6141.9814338600008</v>
      </c>
      <c r="G36" s="353">
        <f t="shared" si="25"/>
        <v>8.1999999999999993</v>
      </c>
      <c r="H36" s="147">
        <v>776.70799999999997</v>
      </c>
      <c r="I36" s="353">
        <v>931.52599999999995</v>
      </c>
      <c r="J36" s="353">
        <f t="shared" si="29"/>
        <v>19.899999999999999</v>
      </c>
      <c r="K36" s="147"/>
      <c r="L36" s="353"/>
      <c r="M36" s="350"/>
      <c r="N36" s="147"/>
      <c r="O36" s="353"/>
      <c r="P36" s="277"/>
      <c r="Q36" s="147">
        <v>38395.3455185899</v>
      </c>
      <c r="R36" s="353">
        <v>36381.424958429998</v>
      </c>
      <c r="S36" s="277">
        <f t="shared" si="26"/>
        <v>-5.2</v>
      </c>
      <c r="T36" s="147"/>
      <c r="U36" s="353"/>
      <c r="V36" s="277"/>
      <c r="W36" s="147">
        <v>12373.178</v>
      </c>
      <c r="X36" s="353">
        <v>12983.992425170009</v>
      </c>
      <c r="Y36" s="277">
        <f t="shared" si="20"/>
        <v>4.9000000000000004</v>
      </c>
      <c r="Z36" s="147"/>
      <c r="AA36" s="353"/>
      <c r="AB36" s="277" t="str">
        <f t="shared" si="28"/>
        <v xml:space="preserve">    ---- </v>
      </c>
      <c r="AC36" s="147"/>
      <c r="AD36" s="353"/>
      <c r="AE36" s="277"/>
      <c r="AF36" s="394">
        <f t="shared" si="21"/>
        <v>186360.14958999993</v>
      </c>
      <c r="AG36" s="394">
        <f t="shared" si="21"/>
        <v>187903.22680855004</v>
      </c>
      <c r="AH36" s="277">
        <f t="shared" si="22"/>
        <v>0.8</v>
      </c>
      <c r="AI36" s="394">
        <f t="shared" si="23"/>
        <v>186360.14958999993</v>
      </c>
      <c r="AJ36" s="394">
        <f t="shared" si="23"/>
        <v>187903.22680855004</v>
      </c>
      <c r="AK36" s="354">
        <f t="shared" si="24"/>
        <v>0.8</v>
      </c>
    </row>
    <row r="37" spans="1:37" s="365" customFormat="1" ht="20.100000000000001" customHeight="1" x14ac:dyDescent="0.3">
      <c r="A37" s="427" t="s">
        <v>307</v>
      </c>
      <c r="B37" s="147">
        <v>129135.90700000001</v>
      </c>
      <c r="C37" s="353">
        <v>131464.30199109003</v>
      </c>
      <c r="D37" s="353">
        <f t="shared" si="19"/>
        <v>1.8</v>
      </c>
      <c r="E37" s="147">
        <v>5679.011071410001</v>
      </c>
      <c r="F37" s="353">
        <v>6141.9814338600008</v>
      </c>
      <c r="G37" s="353">
        <f t="shared" si="25"/>
        <v>8.1999999999999993</v>
      </c>
      <c r="H37" s="147"/>
      <c r="I37" s="353"/>
      <c r="J37" s="353"/>
      <c r="K37" s="147"/>
      <c r="L37" s="353"/>
      <c r="M37" s="350"/>
      <c r="N37" s="147"/>
      <c r="O37" s="353"/>
      <c r="P37" s="277"/>
      <c r="Q37" s="147">
        <v>38395.3455185899</v>
      </c>
      <c r="R37" s="353">
        <v>36381.424958429998</v>
      </c>
      <c r="S37" s="277">
        <f t="shared" si="26"/>
        <v>-5.2</v>
      </c>
      <c r="T37" s="147"/>
      <c r="U37" s="353"/>
      <c r="V37" s="277"/>
      <c r="W37" s="147">
        <v>33.752145900000102</v>
      </c>
      <c r="X37" s="353">
        <v>12983.992425170009</v>
      </c>
      <c r="Y37" s="277">
        <f t="shared" si="20"/>
        <v>999</v>
      </c>
      <c r="Z37" s="147"/>
      <c r="AA37" s="353"/>
      <c r="AB37" s="277" t="str">
        <f t="shared" si="28"/>
        <v xml:space="preserve">    ---- </v>
      </c>
      <c r="AC37" s="147"/>
      <c r="AD37" s="353"/>
      <c r="AE37" s="277"/>
      <c r="AF37" s="394">
        <f t="shared" si="21"/>
        <v>173244.01573589991</v>
      </c>
      <c r="AG37" s="394">
        <f t="shared" si="21"/>
        <v>186971.70080855003</v>
      </c>
      <c r="AH37" s="277">
        <f t="shared" si="22"/>
        <v>7.9</v>
      </c>
      <c r="AI37" s="394">
        <f t="shared" si="23"/>
        <v>173244.01573589991</v>
      </c>
      <c r="AJ37" s="394">
        <f t="shared" si="23"/>
        <v>186971.70080855003</v>
      </c>
      <c r="AK37" s="354">
        <f t="shared" si="24"/>
        <v>7.9</v>
      </c>
    </row>
    <row r="38" spans="1:37" s="365" customFormat="1" ht="20.100000000000001" customHeight="1" x14ac:dyDescent="0.3">
      <c r="A38" s="427" t="s">
        <v>325</v>
      </c>
      <c r="B38" s="147">
        <v>3981.6970000000001</v>
      </c>
      <c r="C38" s="353">
        <v>3458.5099420299998</v>
      </c>
      <c r="D38" s="353"/>
      <c r="E38" s="147"/>
      <c r="F38" s="353"/>
      <c r="G38" s="353"/>
      <c r="H38" s="147"/>
      <c r="I38" s="353"/>
      <c r="J38" s="353"/>
      <c r="K38" s="147">
        <v>9093</v>
      </c>
      <c r="L38" s="353">
        <v>10496</v>
      </c>
      <c r="M38" s="350">
        <f>IF(K38=0, "    ---- ", IF(ABS(ROUND(100/K38*L38-100,1))&lt;999,ROUND(100/K38*L38-100,1),IF(ROUND(100/K38*L38-100,1)&gt;999,999,-999)))</f>
        <v>15.4</v>
      </c>
      <c r="N38" s="147">
        <v>296169.89553109999</v>
      </c>
      <c r="O38" s="353">
        <v>302578.32413915999</v>
      </c>
      <c r="P38" s="277">
        <f t="shared" ref="P38:P45" si="30">IF(N38=0, "    ---- ", IF(ABS(ROUND(100/N38*O38-100,1))&lt;999,ROUND(100/N38*O38-100,1),IF(ROUND(100/N38*O38-100,1)&gt;999,999,-999)))</f>
        <v>2.2000000000000002</v>
      </c>
      <c r="Q38" s="147"/>
      <c r="R38" s="353"/>
      <c r="S38" s="277"/>
      <c r="T38" s="147">
        <v>31725</v>
      </c>
      <c r="U38" s="353">
        <v>32692</v>
      </c>
      <c r="V38" s="277">
        <f t="shared" si="27"/>
        <v>3</v>
      </c>
      <c r="W38" s="147"/>
      <c r="X38" s="353"/>
      <c r="Y38" s="277" t="str">
        <f t="shared" si="20"/>
        <v xml:space="preserve">    ---- </v>
      </c>
      <c r="Z38" s="147">
        <v>171593.79561246015</v>
      </c>
      <c r="AA38" s="353">
        <v>170749.98627574</v>
      </c>
      <c r="AB38" s="277">
        <f t="shared" si="28"/>
        <v>-0.5</v>
      </c>
      <c r="AC38" s="147"/>
      <c r="AD38" s="353"/>
      <c r="AE38" s="277"/>
      <c r="AF38" s="394">
        <f t="shared" si="21"/>
        <v>512563.38814356015</v>
      </c>
      <c r="AG38" s="394">
        <f t="shared" si="21"/>
        <v>519974.82035693002</v>
      </c>
      <c r="AH38" s="277">
        <f t="shared" si="22"/>
        <v>1.4</v>
      </c>
      <c r="AI38" s="394">
        <f t="shared" si="23"/>
        <v>512563.38814356015</v>
      </c>
      <c r="AJ38" s="394">
        <f t="shared" si="23"/>
        <v>519974.82035693002</v>
      </c>
      <c r="AK38" s="354">
        <f t="shared" si="24"/>
        <v>1.4</v>
      </c>
    </row>
    <row r="39" spans="1:37" s="365" customFormat="1" ht="20.100000000000001" customHeight="1" x14ac:dyDescent="0.3">
      <c r="A39" s="427" t="s">
        <v>326</v>
      </c>
      <c r="B39" s="147">
        <f>SUM(B40+B41+B42+B43+B44)</f>
        <v>39599.193000000007</v>
      </c>
      <c r="C39" s="353">
        <f>SUM(C40+C41+C42+C43+C44)</f>
        <v>35205.823215939905</v>
      </c>
      <c r="D39" s="353">
        <f t="shared" si="19"/>
        <v>-11.1</v>
      </c>
      <c r="E39" s="147">
        <f>SUM(E40+E41+E42+E43+E44)</f>
        <v>3700.6552430099996</v>
      </c>
      <c r="F39" s="353">
        <f>SUM(F40+F41+F42+F43+F44)</f>
        <v>3518.6320637400004</v>
      </c>
      <c r="G39" s="353">
        <f>IF(E39=0, "    ---- ", IF(ABS(ROUND(100/E39*F39-100,1))&lt;999,ROUND(100/E39*F39-100,1),IF(ROUND(100/E39*F39-100,1)&gt;999,999,-999)))</f>
        <v>-4.9000000000000004</v>
      </c>
      <c r="H39" s="147">
        <f>SUM(H40+H41+H42+H43+H44)</f>
        <v>1385.0989999999999</v>
      </c>
      <c r="I39" s="353">
        <f>SUM(I40+I41+I42+I43+I44)</f>
        <v>1563.9450000000002</v>
      </c>
      <c r="J39" s="353">
        <f t="shared" ref="J39:J46" si="31">IF(H39=0, "    ---- ", IF(ABS(ROUND(100/H39*I39-100,1))&lt;999,ROUND(100/H39*I39-100,1),IF(ROUND(100/H39*I39-100,1)&gt;999,999,-999)))</f>
        <v>12.9</v>
      </c>
      <c r="K39" s="147">
        <f>SUM(K40+K41+K42+K43+K44)</f>
        <v>865</v>
      </c>
      <c r="L39" s="353">
        <f>SUM(L40+L41+L42+L43+L44)</f>
        <v>1213</v>
      </c>
      <c r="M39" s="394">
        <f>IF(K39=0, "    ---- ", IF(ABS(ROUND(100/K39*L39-100,1))&lt;999,ROUND(100/K39*L39-100,1),IF(ROUND(100/K39*L39-100,1)&gt;999,999,-999)))</f>
        <v>40.200000000000003</v>
      </c>
      <c r="N39" s="147">
        <v>409228.83408526995</v>
      </c>
      <c r="O39" s="353">
        <v>476197.97318550997</v>
      </c>
      <c r="P39" s="353">
        <f t="shared" si="30"/>
        <v>16.399999999999999</v>
      </c>
      <c r="Q39" s="147">
        <f>SUM(Q40+Q41+Q42+Q43+Q44)</f>
        <v>10791.754822890001</v>
      </c>
      <c r="R39" s="353">
        <f>SUM(R40+R41+R42+R43+R44)</f>
        <v>13656.832643810001</v>
      </c>
      <c r="S39" s="353">
        <f t="shared" si="26"/>
        <v>26.5</v>
      </c>
      <c r="T39" s="147">
        <v>80903</v>
      </c>
      <c r="U39" s="353">
        <f>SUM(U40+U41+U42+U43+U44)</f>
        <v>87728</v>
      </c>
      <c r="V39" s="353">
        <f t="shared" si="27"/>
        <v>8.4</v>
      </c>
      <c r="W39" s="147">
        <f>SUM(W40+W41+W42+W43+W44)</f>
        <v>9126.6010000000006</v>
      </c>
      <c r="X39" s="353">
        <f>SUM(X40+X41+X42+X43+X44)</f>
        <v>9755.101036980006</v>
      </c>
      <c r="Y39" s="353">
        <f t="shared" si="20"/>
        <v>6.9</v>
      </c>
      <c r="Z39" s="147">
        <f>SUM(Z40+Z41+Z42+Z43+Z44)</f>
        <v>32387.998370570051</v>
      </c>
      <c r="AA39" s="353">
        <f>SUM(AA40+AA41+AA42+AA43+AA44)</f>
        <v>36244.473325659936</v>
      </c>
      <c r="AB39" s="353">
        <f t="shared" si="28"/>
        <v>11.9</v>
      </c>
      <c r="AC39" s="147">
        <f>SUM(AC40+AC41+AC42+AC43+AC44)</f>
        <v>20</v>
      </c>
      <c r="AD39" s="353">
        <f>SUM(AD40+AD41+AD42+AD43+AD44)</f>
        <v>23</v>
      </c>
      <c r="AE39" s="277">
        <f t="shared" ref="AE39:AE45" si="32">IF(AC39=0, "    ---- ", IF(ABS(ROUND(100/AC39*AD39-100,1))&lt;999,ROUND(100/AC39*AD39-100,1),IF(ROUND(100/AC39*AD39-100,1)&gt;999,999,-999)))</f>
        <v>15</v>
      </c>
      <c r="AF39" s="394">
        <f t="shared" si="21"/>
        <v>587988.13552173995</v>
      </c>
      <c r="AG39" s="394">
        <f t="shared" si="21"/>
        <v>665083.78047163994</v>
      </c>
      <c r="AH39" s="277">
        <f t="shared" si="22"/>
        <v>13.1</v>
      </c>
      <c r="AI39" s="394">
        <f t="shared" si="23"/>
        <v>588008.13552173995</v>
      </c>
      <c r="AJ39" s="394">
        <f t="shared" si="23"/>
        <v>665106.78047163994</v>
      </c>
      <c r="AK39" s="354">
        <f t="shared" si="24"/>
        <v>13.1</v>
      </c>
    </row>
    <row r="40" spans="1:37" s="365" customFormat="1" ht="20.100000000000001" customHeight="1" x14ac:dyDescent="0.3">
      <c r="A40" s="427" t="s">
        <v>327</v>
      </c>
      <c r="B40" s="147">
        <v>16131.687</v>
      </c>
      <c r="C40" s="353">
        <v>20673.729310810002</v>
      </c>
      <c r="D40" s="277">
        <f t="shared" si="19"/>
        <v>28.2</v>
      </c>
      <c r="E40" s="147">
        <v>1003.238535</v>
      </c>
      <c r="F40" s="353">
        <v>1159.7511365700002</v>
      </c>
      <c r="G40" s="277">
        <f>IF(E40=0, "    ---- ", IF(ABS(ROUND(100/E40*F40-100,1))&lt;999,ROUND(100/E40*F40-100,1),IF(ROUND(100/E40*F40-100,1)&gt;999,999,-999)))</f>
        <v>15.6</v>
      </c>
      <c r="H40" s="147">
        <v>210.11</v>
      </c>
      <c r="I40" s="353">
        <v>238.16300000000001</v>
      </c>
      <c r="J40" s="277">
        <f t="shared" si="31"/>
        <v>13.4</v>
      </c>
      <c r="K40" s="147">
        <v>55</v>
      </c>
      <c r="L40" s="353">
        <v>77</v>
      </c>
      <c r="M40" s="394">
        <f>IF(K40=0, "    ---- ", IF(ABS(ROUND(100/K40*L40-100,1))&lt;999,ROUND(100/K40*L40-100,1),IF(ROUND(100/K40*L40-100,1)&gt;999,999,-999)))</f>
        <v>40</v>
      </c>
      <c r="N40" s="147">
        <v>269082.68106982001</v>
      </c>
      <c r="O40" s="353">
        <v>313055.08318416995</v>
      </c>
      <c r="P40" s="277">
        <f t="shared" si="30"/>
        <v>16.3</v>
      </c>
      <c r="Q40" s="147">
        <v>8515.7063887900003</v>
      </c>
      <c r="R40" s="353">
        <v>9630.2863706799999</v>
      </c>
      <c r="S40" s="277">
        <f t="shared" si="26"/>
        <v>13.1</v>
      </c>
      <c r="T40" s="147">
        <v>45899</v>
      </c>
      <c r="U40" s="353">
        <v>52223</v>
      </c>
      <c r="V40" s="277">
        <f t="shared" si="27"/>
        <v>13.8</v>
      </c>
      <c r="W40" s="147">
        <v>3090.902</v>
      </c>
      <c r="X40" s="353">
        <v>3516.2301152799987</v>
      </c>
      <c r="Y40" s="277">
        <f t="shared" si="20"/>
        <v>13.8</v>
      </c>
      <c r="Z40" s="147">
        <v>23059.905999070048</v>
      </c>
      <c r="AA40" s="353">
        <v>28974.73787131994</v>
      </c>
      <c r="AB40" s="277">
        <f t="shared" si="28"/>
        <v>25.6</v>
      </c>
      <c r="AC40" s="147"/>
      <c r="AD40" s="353"/>
      <c r="AE40" s="277"/>
      <c r="AF40" s="394">
        <f t="shared" si="21"/>
        <v>367048.23099268001</v>
      </c>
      <c r="AG40" s="394">
        <f t="shared" si="21"/>
        <v>429547.98098882992</v>
      </c>
      <c r="AH40" s="277">
        <f t="shared" si="22"/>
        <v>17</v>
      </c>
      <c r="AI40" s="394">
        <f t="shared" si="23"/>
        <v>367048.23099268001</v>
      </c>
      <c r="AJ40" s="394">
        <f t="shared" si="23"/>
        <v>429547.98098882992</v>
      </c>
      <c r="AK40" s="354">
        <f t="shared" si="24"/>
        <v>17</v>
      </c>
    </row>
    <row r="41" spans="1:37" s="365" customFormat="1" ht="20.100000000000001" customHeight="1" x14ac:dyDescent="0.3">
      <c r="A41" s="427" t="s">
        <v>328</v>
      </c>
      <c r="B41" s="147">
        <v>18254.208999999999</v>
      </c>
      <c r="C41" s="353">
        <v>12842.143740830003</v>
      </c>
      <c r="D41" s="353">
        <f t="shared" si="19"/>
        <v>-29.6</v>
      </c>
      <c r="E41" s="147">
        <v>2707.16480065</v>
      </c>
      <c r="F41" s="353">
        <v>2279.5882725699998</v>
      </c>
      <c r="G41" s="353">
        <f>IF(E41=0, "    ---- ", IF(ABS(ROUND(100/E41*F41-100,1))&lt;999,ROUND(100/E41*F41-100,1),IF(ROUND(100/E41*F41-100,1)&gt;999,999,-999)))</f>
        <v>-15.8</v>
      </c>
      <c r="H41" s="147">
        <v>844.34699999999998</v>
      </c>
      <c r="I41" s="353">
        <v>949.36400000000003</v>
      </c>
      <c r="J41" s="353">
        <f>IF(H41=0, "    ---- ", IF(ABS(ROUND(100/H41*I41-100,1))&lt;999,ROUND(100/H41*I41-100,1),IF(ROUND(100/H41*I41-100,1)&gt;999,999,-999)))</f>
        <v>12.4</v>
      </c>
      <c r="K41" s="147">
        <v>841</v>
      </c>
      <c r="L41" s="353">
        <v>1126</v>
      </c>
      <c r="M41" s="350">
        <f>IF(K41=0, "    ---- ", IF(ABS(ROUND(100/K41*L41-100,1))&lt;999,ROUND(100/K41*L41-100,1),IF(ROUND(100/K41*L41-100,1)&gt;999,999,-999)))</f>
        <v>33.9</v>
      </c>
      <c r="N41" s="147">
        <v>110724.27841203999</v>
      </c>
      <c r="O41" s="353">
        <v>133287.73559685002</v>
      </c>
      <c r="P41" s="277">
        <f t="shared" si="30"/>
        <v>20.399999999999999</v>
      </c>
      <c r="Q41" s="147">
        <v>1565.9465416500002</v>
      </c>
      <c r="R41" s="353">
        <v>3644.9427933400002</v>
      </c>
      <c r="S41" s="277">
        <f t="shared" si="26"/>
        <v>132.80000000000001</v>
      </c>
      <c r="T41" s="147">
        <v>29672</v>
      </c>
      <c r="U41" s="353">
        <v>31330</v>
      </c>
      <c r="V41" s="277">
        <f t="shared" si="27"/>
        <v>5.6</v>
      </c>
      <c r="W41" s="147">
        <v>5838.06</v>
      </c>
      <c r="X41" s="353">
        <v>6172.8231284600088</v>
      </c>
      <c r="Y41" s="277">
        <f t="shared" si="20"/>
        <v>5.7</v>
      </c>
      <c r="Z41" s="147">
        <v>7568.5906180400025</v>
      </c>
      <c r="AA41" s="353">
        <v>5813.785842379998</v>
      </c>
      <c r="AB41" s="277">
        <f t="shared" si="28"/>
        <v>-23.2</v>
      </c>
      <c r="AC41" s="147">
        <v>20</v>
      </c>
      <c r="AD41" s="353">
        <v>23</v>
      </c>
      <c r="AE41" s="277">
        <f t="shared" si="32"/>
        <v>15</v>
      </c>
      <c r="AF41" s="394">
        <f t="shared" si="21"/>
        <v>178015.59637237998</v>
      </c>
      <c r="AG41" s="394">
        <f t="shared" si="21"/>
        <v>197446.38337443001</v>
      </c>
      <c r="AH41" s="277">
        <f t="shared" si="22"/>
        <v>10.9</v>
      </c>
      <c r="AI41" s="394">
        <f t="shared" si="23"/>
        <v>178035.59637237998</v>
      </c>
      <c r="AJ41" s="394">
        <f t="shared" si="23"/>
        <v>197469.38337443001</v>
      </c>
      <c r="AK41" s="354">
        <f t="shared" si="24"/>
        <v>10.9</v>
      </c>
    </row>
    <row r="42" spans="1:37" s="365" customFormat="1" ht="20.100000000000001" customHeight="1" x14ac:dyDescent="0.3">
      <c r="A42" s="427" t="s">
        <v>329</v>
      </c>
      <c r="B42" s="147">
        <v>3418.7240000000002</v>
      </c>
      <c r="C42" s="353">
        <v>974.94514606999996</v>
      </c>
      <c r="D42" s="353">
        <f t="shared" si="19"/>
        <v>-71.5</v>
      </c>
      <c r="E42" s="147">
        <v>-51.080043020000012</v>
      </c>
      <c r="F42" s="353">
        <v>68.967160509999999</v>
      </c>
      <c r="G42" s="353">
        <f t="shared" ref="G42" si="33">IF(E42=0, "    ---- ", IF(ABS(ROUND(100/E42*F42-100,1))&lt;999,ROUND(100/E42*F42-100,1),IF(ROUND(100/E42*F42-100,1)&gt;999,999,-999)))</f>
        <v>-235</v>
      </c>
      <c r="H42" s="147"/>
      <c r="I42" s="353"/>
      <c r="J42" s="353"/>
      <c r="K42" s="147"/>
      <c r="L42" s="353"/>
      <c r="M42" s="350"/>
      <c r="N42" s="147">
        <v>19384.606781169998</v>
      </c>
      <c r="O42" s="353">
        <v>18870.634738730001</v>
      </c>
      <c r="P42" s="277">
        <f t="shared" si="30"/>
        <v>-2.7</v>
      </c>
      <c r="Q42" s="147"/>
      <c r="R42" s="353"/>
      <c r="S42" s="277"/>
      <c r="T42" s="147">
        <v>3694</v>
      </c>
      <c r="U42" s="353">
        <v>2614</v>
      </c>
      <c r="V42" s="277">
        <f t="shared" si="27"/>
        <v>-29.2</v>
      </c>
      <c r="W42" s="147">
        <v>6.298</v>
      </c>
      <c r="X42" s="353">
        <v>-78.160361709999947</v>
      </c>
      <c r="Y42" s="277"/>
      <c r="Z42" s="147"/>
      <c r="AA42" s="353"/>
      <c r="AB42" s="277" t="str">
        <f t="shared" si="28"/>
        <v xml:space="preserve">    ---- </v>
      </c>
      <c r="AC42" s="147"/>
      <c r="AD42" s="353"/>
      <c r="AE42" s="277"/>
      <c r="AF42" s="394">
        <f t="shared" si="21"/>
        <v>26452.548738149995</v>
      </c>
      <c r="AG42" s="394">
        <f t="shared" si="21"/>
        <v>22450.386683600002</v>
      </c>
      <c r="AH42" s="277">
        <f t="shared" si="22"/>
        <v>-15.1</v>
      </c>
      <c r="AI42" s="394">
        <f t="shared" si="23"/>
        <v>26452.548738149995</v>
      </c>
      <c r="AJ42" s="394">
        <f t="shared" si="23"/>
        <v>22450.386683600002</v>
      </c>
      <c r="AK42" s="354">
        <f t="shared" si="24"/>
        <v>-15.1</v>
      </c>
    </row>
    <row r="43" spans="1:37" s="365" customFormat="1" ht="20.100000000000001" customHeight="1" x14ac:dyDescent="0.3">
      <c r="A43" s="427" t="s">
        <v>330</v>
      </c>
      <c r="B43" s="147">
        <v>1101.643</v>
      </c>
      <c r="C43" s="353">
        <v>362.33860606000007</v>
      </c>
      <c r="D43" s="353">
        <f t="shared" si="19"/>
        <v>-67.099999999999994</v>
      </c>
      <c r="E43" s="147"/>
      <c r="F43" s="353">
        <v>0</v>
      </c>
      <c r="G43" s="353"/>
      <c r="H43" s="147"/>
      <c r="I43" s="353"/>
      <c r="J43" s="353"/>
      <c r="K43" s="147"/>
      <c r="L43" s="353"/>
      <c r="M43" s="350"/>
      <c r="N43" s="147">
        <v>8000.83152986</v>
      </c>
      <c r="O43" s="353">
        <v>5389.9539863</v>
      </c>
      <c r="P43" s="277">
        <f t="shared" si="30"/>
        <v>-32.6</v>
      </c>
      <c r="Q43" s="147">
        <v>462.66757285</v>
      </c>
      <c r="R43" s="353">
        <v>159.68185762000002</v>
      </c>
      <c r="S43" s="277">
        <f t="shared" si="26"/>
        <v>-65.5</v>
      </c>
      <c r="T43" s="147">
        <v>1638</v>
      </c>
      <c r="U43" s="353">
        <v>1561</v>
      </c>
      <c r="V43" s="277">
        <f>IF(T43=0, "    ---- ", IF(ABS(ROUND(100/T43*U43-100,1))&lt;999,ROUND(100/T43*U43-100,1),IF(ROUND(100/T43*U43-100,1)&gt;999,999,-999)))</f>
        <v>-4.7</v>
      </c>
      <c r="W43" s="147">
        <v>14.923999999999999</v>
      </c>
      <c r="X43" s="353">
        <v>12.571156000000009</v>
      </c>
      <c r="Y43" s="277">
        <f t="shared" si="20"/>
        <v>-15.8</v>
      </c>
      <c r="Z43" s="147">
        <v>1759.5017534599997</v>
      </c>
      <c r="AA43" s="353">
        <v>1455.9496119600001</v>
      </c>
      <c r="AB43" s="277">
        <f t="shared" si="28"/>
        <v>-17.3</v>
      </c>
      <c r="AC43" s="147"/>
      <c r="AD43" s="353"/>
      <c r="AE43" s="277"/>
      <c r="AF43" s="394">
        <f t="shared" si="21"/>
        <v>12977.567856169999</v>
      </c>
      <c r="AG43" s="394">
        <f t="shared" si="21"/>
        <v>8941.4952179400007</v>
      </c>
      <c r="AH43" s="277">
        <f t="shared" si="22"/>
        <v>-31.1</v>
      </c>
      <c r="AI43" s="394">
        <f t="shared" si="23"/>
        <v>12977.567856169999</v>
      </c>
      <c r="AJ43" s="394">
        <f t="shared" si="23"/>
        <v>8941.4952179400007</v>
      </c>
      <c r="AK43" s="354">
        <f t="shared" si="24"/>
        <v>-31.1</v>
      </c>
    </row>
    <row r="44" spans="1:37" s="365" customFormat="1" ht="20.100000000000001" customHeight="1" x14ac:dyDescent="0.3">
      <c r="A44" s="427" t="s">
        <v>331</v>
      </c>
      <c r="B44" s="147">
        <v>692.93</v>
      </c>
      <c r="C44" s="353">
        <v>352.66641216989683</v>
      </c>
      <c r="D44" s="353">
        <f t="shared" si="19"/>
        <v>-49.1</v>
      </c>
      <c r="E44" s="147">
        <v>41.331950379999995</v>
      </c>
      <c r="F44" s="353">
        <v>10.325494090000001</v>
      </c>
      <c r="G44" s="353">
        <f>IF(E44=0, "    ---- ", IF(ABS(ROUND(100/E44*F44-100,1))&lt;999,ROUND(100/E44*F44-100,1),IF(ROUND(100/E44*F44-100,1)&gt;999,999,-999)))</f>
        <v>-75</v>
      </c>
      <c r="H44" s="147">
        <v>330.642</v>
      </c>
      <c r="I44" s="353">
        <v>376.41800000000001</v>
      </c>
      <c r="J44" s="353">
        <f t="shared" si="31"/>
        <v>13.8</v>
      </c>
      <c r="K44" s="147">
        <v>-31</v>
      </c>
      <c r="L44" s="353">
        <v>10</v>
      </c>
      <c r="M44" s="350">
        <f>IF(K44=0, "    ---- ", IF(ABS(ROUND(100/K44*L44-100,1))&lt;999,ROUND(100/K44*L44-100,1),IF(ROUND(100/K44*L44-100,1)&gt;999,999,-999)))</f>
        <v>-132.30000000000001</v>
      </c>
      <c r="N44" s="147">
        <v>2036.4362923800002</v>
      </c>
      <c r="O44" s="353">
        <v>5594.56567946</v>
      </c>
      <c r="P44" s="277">
        <f t="shared" si="30"/>
        <v>174.7</v>
      </c>
      <c r="Q44" s="147">
        <v>247.43431959999998</v>
      </c>
      <c r="R44" s="353">
        <v>221.92162216999998</v>
      </c>
      <c r="S44" s="277">
        <f t="shared" si="26"/>
        <v>-10.3</v>
      </c>
      <c r="T44" s="147"/>
      <c r="U44" s="353"/>
      <c r="V44" s="277"/>
      <c r="W44" s="147">
        <v>176.417</v>
      </c>
      <c r="X44" s="353">
        <v>131.63699894999783</v>
      </c>
      <c r="Y44" s="277">
        <f t="shared" si="20"/>
        <v>-25.4</v>
      </c>
      <c r="Z44" s="147"/>
      <c r="AA44" s="353"/>
      <c r="AB44" s="277" t="str">
        <f t="shared" si="28"/>
        <v xml:space="preserve">    ---- </v>
      </c>
      <c r="AC44" s="147"/>
      <c r="AD44" s="353"/>
      <c r="AE44" s="277"/>
      <c r="AF44" s="394">
        <f t="shared" si="21"/>
        <v>3494.1915623600003</v>
      </c>
      <c r="AG44" s="394">
        <f t="shared" si="21"/>
        <v>6697.534206839895</v>
      </c>
      <c r="AH44" s="277">
        <f t="shared" si="22"/>
        <v>91.7</v>
      </c>
      <c r="AI44" s="394">
        <f t="shared" si="23"/>
        <v>3494.1915623600003</v>
      </c>
      <c r="AJ44" s="394">
        <f t="shared" si="23"/>
        <v>6697.534206839895</v>
      </c>
      <c r="AK44" s="354">
        <f t="shared" si="24"/>
        <v>91.7</v>
      </c>
    </row>
    <row r="45" spans="1:37" s="365" customFormat="1" ht="20.100000000000001" customHeight="1" x14ac:dyDescent="0.3">
      <c r="A45" s="463" t="s">
        <v>332</v>
      </c>
      <c r="B45" s="147">
        <f>SUM(B33+B34+B35+B39)</f>
        <v>190019.90899999999</v>
      </c>
      <c r="C45" s="353">
        <f>SUM(C33+C34+C35+C39)</f>
        <v>185890.98514905997</v>
      </c>
      <c r="D45" s="277">
        <f t="shared" si="19"/>
        <v>-2.2000000000000002</v>
      </c>
      <c r="E45" s="147">
        <f>SUM(E33+E34+E35+E39)</f>
        <v>9825.8535580900007</v>
      </c>
      <c r="F45" s="353">
        <f>SUM(F33+F34+F35+F39)</f>
        <v>10655.950921030002</v>
      </c>
      <c r="G45" s="277">
        <f>IF(E45=0, "    ---- ", IF(ABS(ROUND(100/E45*F45-100,1))&lt;999,ROUND(100/E45*F45-100,1),IF(ROUND(100/E45*F45-100,1)&gt;999,999,-999)))</f>
        <v>8.4</v>
      </c>
      <c r="H45" s="147">
        <f>SUM(H33+H34+H35+H39)</f>
        <v>2161.8069999999998</v>
      </c>
      <c r="I45" s="353">
        <f>SUM(I33+I34+I35+I39)</f>
        <v>2495.471</v>
      </c>
      <c r="J45" s="277">
        <f t="shared" si="31"/>
        <v>15.4</v>
      </c>
      <c r="K45" s="147">
        <f>SUM(K33+K34+K35+K39)</f>
        <v>10278</v>
      </c>
      <c r="L45" s="353">
        <f>SUM(L33+L34+L35+L39)</f>
        <v>12194</v>
      </c>
      <c r="M45" s="350">
        <f>IF(K45=0, "    ---- ", IF(ABS(ROUND(100/K45*L45-100,1))&lt;999,ROUND(100/K45*L45-100,1),IF(ROUND(100/K45*L45-100,1)&gt;999,999,-999)))</f>
        <v>18.600000000000001</v>
      </c>
      <c r="N45" s="147">
        <v>805348.66657845001</v>
      </c>
      <c r="O45" s="353">
        <v>891538.63145958993</v>
      </c>
      <c r="P45" s="277">
        <f t="shared" si="30"/>
        <v>10.7</v>
      </c>
      <c r="Q45" s="147">
        <f>SUM(Q33+Q34+Q35+Q39)</f>
        <v>55502.258842719908</v>
      </c>
      <c r="R45" s="353">
        <f>SUM(R33+R34+R35+R39)</f>
        <v>57042.639983029992</v>
      </c>
      <c r="S45" s="277">
        <f t="shared" si="26"/>
        <v>2.8</v>
      </c>
      <c r="T45" s="147">
        <v>133289</v>
      </c>
      <c r="U45" s="353">
        <f>SUM(U33+U34+U35+U39)</f>
        <v>142946</v>
      </c>
      <c r="V45" s="277">
        <f>IF(T45=0, "    ---- ", IF(ABS(ROUND(100/T45*U45-100,1))&lt;999,ROUND(100/T45*U45-100,1),IF(ROUND(100/T45*U45-100,1)&gt;999,999,-999)))</f>
        <v>7.2</v>
      </c>
      <c r="W45" s="147">
        <f>SUM(W33+W34+W35+W39)</f>
        <v>25763.248</v>
      </c>
      <c r="X45" s="353">
        <f>SUM(X33+X34+X35+X39)</f>
        <v>26961.697710410015</v>
      </c>
      <c r="Y45" s="277">
        <f t="shared" si="20"/>
        <v>4.7</v>
      </c>
      <c r="Z45" s="147">
        <f>SUM(Z33+Z34+Z35+Z39)</f>
        <v>225845.7789820802</v>
      </c>
      <c r="AA45" s="353">
        <f>SUM(AA33+AA34+AA35+AA39)</f>
        <v>230504.35907911992</v>
      </c>
      <c r="AB45" s="277">
        <f t="shared" si="28"/>
        <v>2.1</v>
      </c>
      <c r="AC45" s="147">
        <f>SUM(AC33+AC34+AC35+AC39)</f>
        <v>20</v>
      </c>
      <c r="AD45" s="353">
        <f>SUM(AD33+AD34+AD35+AD39)</f>
        <v>23</v>
      </c>
      <c r="AE45" s="277">
        <f t="shared" si="32"/>
        <v>15</v>
      </c>
      <c r="AF45" s="394">
        <f t="shared" si="21"/>
        <v>1458034.52196134</v>
      </c>
      <c r="AG45" s="394">
        <f t="shared" si="21"/>
        <v>1560229.7353022399</v>
      </c>
      <c r="AH45" s="277">
        <f t="shared" si="22"/>
        <v>7</v>
      </c>
      <c r="AI45" s="394">
        <f t="shared" si="23"/>
        <v>1458054.52196134</v>
      </c>
      <c r="AJ45" s="394">
        <f t="shared" si="23"/>
        <v>1560252.7353022399</v>
      </c>
      <c r="AK45" s="354">
        <f t="shared" si="24"/>
        <v>7</v>
      </c>
    </row>
    <row r="46" spans="1:37" s="365" customFormat="1" ht="20.100000000000001" customHeight="1" x14ac:dyDescent="0.3">
      <c r="A46" s="439" t="s">
        <v>333</v>
      </c>
      <c r="B46" s="147">
        <v>501.91199999999998</v>
      </c>
      <c r="C46" s="353">
        <v>427.137</v>
      </c>
      <c r="D46" s="277"/>
      <c r="E46" s="147">
        <v>358.33600675000002</v>
      </c>
      <c r="F46" s="353">
        <v>326.64612302</v>
      </c>
      <c r="G46" s="277">
        <f>IF(E46=0, "    ---- ", IF(ABS(ROUND(100/E46*F46-100,1))&lt;999,ROUND(100/E46*F46-100,1),IF(ROUND(100/E46*F46-100,1)&gt;999,999,-999)))</f>
        <v>-8.8000000000000007</v>
      </c>
      <c r="H46" s="147">
        <v>142.46600000000001</v>
      </c>
      <c r="I46" s="353">
        <v>153.87899999999999</v>
      </c>
      <c r="J46" s="277">
        <f t="shared" si="31"/>
        <v>8</v>
      </c>
      <c r="K46" s="147">
        <v>1084</v>
      </c>
      <c r="L46" s="353">
        <v>0</v>
      </c>
      <c r="M46" s="350">
        <f>IF(K46=0, "    ---- ", IF(ABS(ROUND(100/K46*L46-100,1))&lt;999,ROUND(100/K46*L46-100,1),IF(ROUND(100/K46*L46-100,1)&gt;999,999,-999)))</f>
        <v>-100</v>
      </c>
      <c r="N46" s="147"/>
      <c r="O46" s="353"/>
      <c r="P46" s="277"/>
      <c r="Q46" s="147">
        <v>68.38</v>
      </c>
      <c r="R46" s="353">
        <v>78.02</v>
      </c>
      <c r="S46" s="277">
        <f t="shared" si="26"/>
        <v>14.1</v>
      </c>
      <c r="T46" s="147"/>
      <c r="U46" s="353"/>
      <c r="V46" s="277"/>
      <c r="W46" s="147">
        <v>15.951000000000001</v>
      </c>
      <c r="X46" s="353">
        <v>20.758456679999998</v>
      </c>
      <c r="Y46" s="277">
        <f t="shared" si="20"/>
        <v>30.1</v>
      </c>
      <c r="Z46" s="147"/>
      <c r="AA46" s="353">
        <v>59.542321940000022</v>
      </c>
      <c r="AB46" s="277"/>
      <c r="AC46" s="147"/>
      <c r="AD46" s="353"/>
      <c r="AE46" s="277"/>
      <c r="AF46" s="394">
        <f t="shared" si="21"/>
        <v>2171.0450067500001</v>
      </c>
      <c r="AG46" s="394">
        <f t="shared" si="21"/>
        <v>1065.9829016399999</v>
      </c>
      <c r="AH46" s="277">
        <f t="shared" si="22"/>
        <v>-50.9</v>
      </c>
      <c r="AI46" s="394">
        <f t="shared" si="23"/>
        <v>2171.0450067500001</v>
      </c>
      <c r="AJ46" s="394">
        <f t="shared" si="23"/>
        <v>1065.9829016399999</v>
      </c>
      <c r="AK46" s="354">
        <f t="shared" si="24"/>
        <v>-50.9</v>
      </c>
    </row>
    <row r="47" spans="1:37" s="365" customFormat="1" ht="20.100000000000001" customHeight="1" x14ac:dyDescent="0.3">
      <c r="A47" s="439" t="s">
        <v>334</v>
      </c>
      <c r="B47" s="147"/>
      <c r="C47" s="353"/>
      <c r="D47" s="353"/>
      <c r="E47" s="147"/>
      <c r="F47" s="353"/>
      <c r="G47" s="353"/>
      <c r="H47" s="147"/>
      <c r="I47" s="353"/>
      <c r="J47" s="353"/>
      <c r="K47" s="147"/>
      <c r="L47" s="353"/>
      <c r="M47" s="350"/>
      <c r="N47" s="147"/>
      <c r="O47" s="353"/>
      <c r="P47" s="277"/>
      <c r="Q47" s="147"/>
      <c r="R47" s="353"/>
      <c r="S47" s="277"/>
      <c r="T47" s="147"/>
      <c r="U47" s="353"/>
      <c r="V47" s="277"/>
      <c r="W47" s="147"/>
      <c r="X47" s="353"/>
      <c r="Y47" s="277"/>
      <c r="Z47" s="147"/>
      <c r="AA47" s="353"/>
      <c r="AB47" s="277"/>
      <c r="AC47" s="147"/>
      <c r="AD47" s="353"/>
      <c r="AE47" s="277"/>
      <c r="AF47" s="350"/>
      <c r="AG47" s="350"/>
      <c r="AH47" s="277"/>
      <c r="AI47" s="350"/>
      <c r="AJ47" s="350"/>
      <c r="AK47" s="354"/>
    </row>
    <row r="48" spans="1:37" s="365" customFormat="1" ht="20.100000000000001" customHeight="1" x14ac:dyDescent="0.3">
      <c r="A48" s="427" t="s">
        <v>335</v>
      </c>
      <c r="B48" s="147"/>
      <c r="C48" s="353"/>
      <c r="D48" s="353"/>
      <c r="E48" s="147"/>
      <c r="F48" s="353"/>
      <c r="G48" s="353"/>
      <c r="H48" s="147"/>
      <c r="I48" s="353"/>
      <c r="J48" s="353"/>
      <c r="K48" s="147"/>
      <c r="L48" s="353"/>
      <c r="M48" s="350"/>
      <c r="N48" s="147"/>
      <c r="O48" s="353"/>
      <c r="P48" s="277"/>
      <c r="Q48" s="147"/>
      <c r="R48" s="353"/>
      <c r="S48" s="277"/>
      <c r="T48" s="147"/>
      <c r="U48" s="353"/>
      <c r="V48" s="277"/>
      <c r="W48" s="147"/>
      <c r="X48" s="353"/>
      <c r="Y48" s="277"/>
      <c r="Z48" s="147"/>
      <c r="AA48" s="353"/>
      <c r="AB48" s="277"/>
      <c r="AC48" s="147"/>
      <c r="AD48" s="353"/>
      <c r="AE48" s="277"/>
      <c r="AF48" s="394">
        <f t="shared" ref="AF48:AG62" si="34">B48+E48+H48+K48+N48+Q48+T48+W48+Z48</f>
        <v>0</v>
      </c>
      <c r="AG48" s="394">
        <f t="shared" si="34"/>
        <v>0</v>
      </c>
      <c r="AH48" s="277" t="str">
        <f t="shared" si="22"/>
        <v xml:space="preserve">    ---- </v>
      </c>
      <c r="AI48" s="394">
        <f t="shared" ref="AI48:AJ62" si="35">B48+E48+H48+K48+N48+Q48+T48+W48+Z48+AC48</f>
        <v>0</v>
      </c>
      <c r="AJ48" s="394">
        <f t="shared" si="35"/>
        <v>0</v>
      </c>
      <c r="AK48" s="354" t="str">
        <f t="shared" si="24"/>
        <v xml:space="preserve">    ---- </v>
      </c>
    </row>
    <row r="49" spans="1:37" s="365" customFormat="1" ht="20.100000000000001" customHeight="1" x14ac:dyDescent="0.3">
      <c r="A49" s="427" t="s">
        <v>336</v>
      </c>
      <c r="B49" s="147">
        <v>6018.4560000000001</v>
      </c>
      <c r="C49" s="353">
        <v>7000.8005000000003</v>
      </c>
      <c r="D49" s="353"/>
      <c r="E49" s="147"/>
      <c r="F49" s="353"/>
      <c r="G49" s="353"/>
      <c r="H49" s="147"/>
      <c r="I49" s="353"/>
      <c r="J49" s="353"/>
      <c r="K49" s="147">
        <v>1927</v>
      </c>
      <c r="L49" s="353">
        <v>3035</v>
      </c>
      <c r="M49" s="350">
        <f>IF(K49=0, "    ---- ", IF(ABS(ROUND(100/K49*L49-100,1))&lt;999,ROUND(100/K49*L49-100,1),IF(ROUND(100/K49*L49-100,1)&gt;999,999,-999)))</f>
        <v>57.5</v>
      </c>
      <c r="N49" s="147">
        <v>387.04596483999995</v>
      </c>
      <c r="O49" s="353">
        <v>435.51000583999996</v>
      </c>
      <c r="P49" s="277">
        <f t="shared" ref="P49:P60" si="36">IF(N49=0, "    ---- ", IF(ABS(ROUND(100/N49*O49-100,1))&lt;999,ROUND(100/N49*O49-100,1),IF(ROUND(100/N49*O49-100,1)&gt;999,999,-999)))</f>
        <v>12.5</v>
      </c>
      <c r="Q49" s="147">
        <v>3537.39</v>
      </c>
      <c r="R49" s="353">
        <v>5371.17</v>
      </c>
      <c r="S49" s="277">
        <f t="shared" si="26"/>
        <v>51.8</v>
      </c>
      <c r="T49" s="147"/>
      <c r="U49" s="353"/>
      <c r="V49" s="277"/>
      <c r="W49" s="147">
        <v>1243.53</v>
      </c>
      <c r="X49" s="353">
        <v>1231.6119795799998</v>
      </c>
      <c r="Y49" s="277"/>
      <c r="Z49" s="147">
        <v>8014.5518284100017</v>
      </c>
      <c r="AA49" s="353">
        <v>8649.3460389299998</v>
      </c>
      <c r="AB49" s="277">
        <f t="shared" si="28"/>
        <v>7.9</v>
      </c>
      <c r="AC49" s="147"/>
      <c r="AD49" s="353"/>
      <c r="AE49" s="277"/>
      <c r="AF49" s="394">
        <f t="shared" si="34"/>
        <v>21127.973793249999</v>
      </c>
      <c r="AG49" s="394">
        <f t="shared" si="34"/>
        <v>25723.43852435</v>
      </c>
      <c r="AH49" s="277">
        <f t="shared" si="22"/>
        <v>21.8</v>
      </c>
      <c r="AI49" s="394">
        <f t="shared" si="35"/>
        <v>21127.973793249999</v>
      </c>
      <c r="AJ49" s="394">
        <f t="shared" si="35"/>
        <v>25723.43852435</v>
      </c>
      <c r="AK49" s="354">
        <f t="shared" si="24"/>
        <v>21.8</v>
      </c>
    </row>
    <row r="50" spans="1:37" s="365" customFormat="1" ht="20.100000000000001" customHeight="1" x14ac:dyDescent="0.3">
      <c r="A50" s="427" t="s">
        <v>337</v>
      </c>
      <c r="B50" s="147"/>
      <c r="C50" s="353">
        <f>SUM(C51+C53)</f>
        <v>0</v>
      </c>
      <c r="D50" s="353"/>
      <c r="E50" s="147"/>
      <c r="F50" s="353">
        <f>SUM(F51+F53)</f>
        <v>0</v>
      </c>
      <c r="G50" s="353"/>
      <c r="H50" s="147"/>
      <c r="I50" s="353"/>
      <c r="J50" s="353"/>
      <c r="K50" s="147"/>
      <c r="L50" s="353"/>
      <c r="M50" s="350"/>
      <c r="N50" s="147">
        <v>1024.5902577500001</v>
      </c>
      <c r="O50" s="353">
        <v>861.09902725999996</v>
      </c>
      <c r="P50" s="277">
        <f t="shared" si="36"/>
        <v>-16</v>
      </c>
      <c r="Q50" s="147"/>
      <c r="R50" s="353"/>
      <c r="S50" s="277"/>
      <c r="T50" s="147"/>
      <c r="U50" s="353"/>
      <c r="V50" s="277"/>
      <c r="W50" s="147"/>
      <c r="X50" s="353">
        <f>SUM(X51+X53)</f>
        <v>0</v>
      </c>
      <c r="Y50" s="277"/>
      <c r="Z50" s="147">
        <f>SUM(Z51+Z53)</f>
        <v>3483.0961189100012</v>
      </c>
      <c r="AA50" s="353">
        <f>SUM(AA51+AA53)</f>
        <v>3718.1777628299951</v>
      </c>
      <c r="AB50" s="277"/>
      <c r="AC50" s="147"/>
      <c r="AD50" s="353"/>
      <c r="AE50" s="277"/>
      <c r="AF50" s="394">
        <f t="shared" si="34"/>
        <v>4507.6863766600018</v>
      </c>
      <c r="AG50" s="394">
        <f t="shared" si="34"/>
        <v>4579.2767900899953</v>
      </c>
      <c r="AH50" s="277">
        <f t="shared" si="22"/>
        <v>1.6</v>
      </c>
      <c r="AI50" s="394">
        <f t="shared" si="35"/>
        <v>4507.6863766600018</v>
      </c>
      <c r="AJ50" s="394">
        <f t="shared" si="35"/>
        <v>4579.2767900899953</v>
      </c>
      <c r="AK50" s="354">
        <f t="shared" si="24"/>
        <v>1.6</v>
      </c>
    </row>
    <row r="51" spans="1:37" s="365" customFormat="1" ht="20.100000000000001" customHeight="1" x14ac:dyDescent="0.3">
      <c r="A51" s="427" t="s">
        <v>338</v>
      </c>
      <c r="B51" s="147"/>
      <c r="C51" s="353">
        <v>0</v>
      </c>
      <c r="D51" s="277"/>
      <c r="E51" s="147"/>
      <c r="F51" s="353"/>
      <c r="G51" s="277"/>
      <c r="H51" s="147"/>
      <c r="I51" s="353"/>
      <c r="J51" s="277"/>
      <c r="K51" s="147"/>
      <c r="L51" s="353"/>
      <c r="M51" s="350"/>
      <c r="N51" s="147">
        <v>1024.5902577500001</v>
      </c>
      <c r="O51" s="353">
        <v>861.09902725999996</v>
      </c>
      <c r="P51" s="277">
        <f t="shared" si="36"/>
        <v>-16</v>
      </c>
      <c r="Q51" s="147"/>
      <c r="R51" s="353"/>
      <c r="S51" s="277"/>
      <c r="T51" s="147"/>
      <c r="U51" s="353"/>
      <c r="V51" s="277"/>
      <c r="W51" s="147"/>
      <c r="X51" s="353"/>
      <c r="Y51" s="277"/>
      <c r="Z51" s="147"/>
      <c r="AA51" s="353"/>
      <c r="AB51" s="277"/>
      <c r="AC51" s="147"/>
      <c r="AD51" s="353"/>
      <c r="AE51" s="277"/>
      <c r="AF51" s="394">
        <f t="shared" si="34"/>
        <v>1024.5902577500001</v>
      </c>
      <c r="AG51" s="394">
        <f t="shared" si="34"/>
        <v>861.09902725999996</v>
      </c>
      <c r="AH51" s="277">
        <f t="shared" si="22"/>
        <v>-16</v>
      </c>
      <c r="AI51" s="394">
        <f t="shared" si="35"/>
        <v>1024.5902577500001</v>
      </c>
      <c r="AJ51" s="394">
        <f t="shared" si="35"/>
        <v>861.09902725999996</v>
      </c>
      <c r="AK51" s="354">
        <f t="shared" si="24"/>
        <v>-16</v>
      </c>
    </row>
    <row r="52" spans="1:37" s="365" customFormat="1" ht="20.100000000000001" customHeight="1" x14ac:dyDescent="0.3">
      <c r="A52" s="427" t="s">
        <v>307</v>
      </c>
      <c r="B52" s="147"/>
      <c r="C52" s="353"/>
      <c r="D52" s="353"/>
      <c r="E52" s="147"/>
      <c r="F52" s="353"/>
      <c r="G52" s="353"/>
      <c r="H52" s="147"/>
      <c r="I52" s="353"/>
      <c r="J52" s="353"/>
      <c r="K52" s="147"/>
      <c r="L52" s="353"/>
      <c r="M52" s="394"/>
      <c r="N52" s="147">
        <v>1024.5902577500001</v>
      </c>
      <c r="O52" s="353">
        <v>861.09902725999996</v>
      </c>
      <c r="P52" s="277">
        <f t="shared" si="36"/>
        <v>-16</v>
      </c>
      <c r="Q52" s="147"/>
      <c r="R52" s="353"/>
      <c r="S52" s="353"/>
      <c r="T52" s="147"/>
      <c r="U52" s="353"/>
      <c r="V52" s="353"/>
      <c r="W52" s="147"/>
      <c r="X52" s="353"/>
      <c r="Y52" s="353"/>
      <c r="Z52" s="147"/>
      <c r="AA52" s="353"/>
      <c r="AB52" s="353"/>
      <c r="AC52" s="147"/>
      <c r="AD52" s="353"/>
      <c r="AE52" s="353"/>
      <c r="AF52" s="394">
        <f t="shared" si="34"/>
        <v>1024.5902577500001</v>
      </c>
      <c r="AG52" s="394">
        <f t="shared" si="34"/>
        <v>861.09902725999996</v>
      </c>
      <c r="AH52" s="353">
        <f t="shared" si="22"/>
        <v>-16</v>
      </c>
      <c r="AI52" s="394">
        <f t="shared" si="35"/>
        <v>1024.5902577500001</v>
      </c>
      <c r="AJ52" s="394">
        <f t="shared" si="35"/>
        <v>861.09902725999996</v>
      </c>
      <c r="AK52" s="464">
        <f t="shared" si="24"/>
        <v>-16</v>
      </c>
    </row>
    <row r="53" spans="1:37" s="365" customFormat="1" ht="20.100000000000001" customHeight="1" x14ac:dyDescent="0.3">
      <c r="A53" s="427" t="s">
        <v>339</v>
      </c>
      <c r="B53" s="147"/>
      <c r="C53" s="353"/>
      <c r="D53" s="353"/>
      <c r="E53" s="147"/>
      <c r="F53" s="353"/>
      <c r="G53" s="353"/>
      <c r="H53" s="147"/>
      <c r="I53" s="353"/>
      <c r="J53" s="353"/>
      <c r="K53" s="147"/>
      <c r="L53" s="353"/>
      <c r="M53" s="350"/>
      <c r="N53" s="147"/>
      <c r="O53" s="353"/>
      <c r="P53" s="277"/>
      <c r="Q53" s="147"/>
      <c r="R53" s="353"/>
      <c r="S53" s="277"/>
      <c r="T53" s="147"/>
      <c r="U53" s="353"/>
      <c r="V53" s="277"/>
      <c r="W53" s="147"/>
      <c r="X53" s="353"/>
      <c r="Y53" s="277"/>
      <c r="Z53" s="147">
        <v>3483.0961189100012</v>
      </c>
      <c r="AA53" s="353">
        <v>3718.1777628299951</v>
      </c>
      <c r="AB53" s="277"/>
      <c r="AC53" s="147"/>
      <c r="AD53" s="353"/>
      <c r="AE53" s="277"/>
      <c r="AF53" s="394">
        <f t="shared" si="34"/>
        <v>3483.0961189100012</v>
      </c>
      <c r="AG53" s="394">
        <f t="shared" si="34"/>
        <v>3718.1777628299951</v>
      </c>
      <c r="AH53" s="277">
        <f t="shared" si="22"/>
        <v>6.7</v>
      </c>
      <c r="AI53" s="394">
        <f t="shared" si="35"/>
        <v>3483.0961189100012</v>
      </c>
      <c r="AJ53" s="394">
        <f t="shared" si="35"/>
        <v>3718.1777628299951</v>
      </c>
      <c r="AK53" s="354">
        <f t="shared" si="24"/>
        <v>6.7</v>
      </c>
    </row>
    <row r="54" spans="1:37" s="365" customFormat="1" ht="20.100000000000001" customHeight="1" x14ac:dyDescent="0.3">
      <c r="A54" s="427" t="s">
        <v>340</v>
      </c>
      <c r="B54" s="147">
        <f>SUM(B55+B56+B57+B58+B59)</f>
        <v>197550.24400000001</v>
      </c>
      <c r="C54" s="353">
        <f>SUM(C55+C56+C57+C58+C59)</f>
        <v>238956.84389545</v>
      </c>
      <c r="D54" s="353">
        <f t="shared" si="19"/>
        <v>21</v>
      </c>
      <c r="E54" s="147"/>
      <c r="F54" s="353">
        <f>SUM(F55+F56+F57+F58+F59)</f>
        <v>0</v>
      </c>
      <c r="G54" s="353"/>
      <c r="H54" s="147"/>
      <c r="I54" s="353"/>
      <c r="J54" s="353"/>
      <c r="K54" s="147">
        <f>SUM(K55+K56+K57+K58+K59)</f>
        <v>75042</v>
      </c>
      <c r="L54" s="353">
        <f>SUM(L55+L56+L57+L58+L59)</f>
        <v>87966</v>
      </c>
      <c r="M54" s="394">
        <f>IF(K54=0, "    ---- ", IF(ABS(ROUND(100/K54*L54-100,1))&lt;999,ROUND(100/K54*L54-100,1),IF(ROUND(100/K54*L54-100,1)&gt;999,999,-999)))</f>
        <v>17.2</v>
      </c>
      <c r="N54" s="147">
        <v>1693.7601638700003</v>
      </c>
      <c r="O54" s="353">
        <v>1530.8079446000002</v>
      </c>
      <c r="P54" s="353">
        <f t="shared" si="36"/>
        <v>-9.6</v>
      </c>
      <c r="Q54" s="147">
        <f>SUM(Q55+Q56+Q57+Q58+Q59)</f>
        <v>173913.63999999998</v>
      </c>
      <c r="R54" s="353">
        <f>SUM(R55+R56+R57+R58+R59)</f>
        <v>212079.90999999997</v>
      </c>
      <c r="S54" s="353">
        <f t="shared" si="26"/>
        <v>21.9</v>
      </c>
      <c r="T54" s="147"/>
      <c r="U54" s="353"/>
      <c r="V54" s="353"/>
      <c r="W54" s="147">
        <f>SUM(W55+W56+W57+W58+W59)</f>
        <v>82452.562999999995</v>
      </c>
      <c r="X54" s="353">
        <f>SUM(X55+X56+X57+X58+X59)</f>
        <v>95302.466126099971</v>
      </c>
      <c r="Y54" s="353">
        <f t="shared" si="20"/>
        <v>15.6</v>
      </c>
      <c r="Z54" s="147">
        <f>SUM(Z55+Z56+Z57+Z58+Z59)</f>
        <v>232914.96691135998</v>
      </c>
      <c r="AA54" s="353">
        <f>SUM(AA55+AA56+AA57+AA58+AA59)</f>
        <v>270582.19674460043</v>
      </c>
      <c r="AB54" s="353">
        <f t="shared" si="28"/>
        <v>16.2</v>
      </c>
      <c r="AC54" s="147"/>
      <c r="AD54" s="353"/>
      <c r="AE54" s="353"/>
      <c r="AF54" s="394">
        <f t="shared" si="34"/>
        <v>763567.17407523002</v>
      </c>
      <c r="AG54" s="394">
        <f t="shared" si="34"/>
        <v>906418.22471075028</v>
      </c>
      <c r="AH54" s="353">
        <f t="shared" si="22"/>
        <v>18.7</v>
      </c>
      <c r="AI54" s="394">
        <f t="shared" si="35"/>
        <v>763567.17407523002</v>
      </c>
      <c r="AJ54" s="394">
        <f t="shared" si="35"/>
        <v>906418.22471075028</v>
      </c>
      <c r="AK54" s="464">
        <f t="shared" si="24"/>
        <v>18.7</v>
      </c>
    </row>
    <row r="55" spans="1:37" s="365" customFormat="1" ht="20.100000000000001" customHeight="1" x14ac:dyDescent="0.3">
      <c r="A55" s="427" t="s">
        <v>341</v>
      </c>
      <c r="B55" s="147">
        <v>127522.083</v>
      </c>
      <c r="C55" s="353">
        <v>157391.03402207</v>
      </c>
      <c r="D55" s="353">
        <f t="shared" si="19"/>
        <v>23.4</v>
      </c>
      <c r="E55" s="147"/>
      <c r="F55" s="353"/>
      <c r="G55" s="353"/>
      <c r="H55" s="147"/>
      <c r="I55" s="353"/>
      <c r="J55" s="353"/>
      <c r="K55" s="147">
        <v>61670</v>
      </c>
      <c r="L55" s="353">
        <v>72958</v>
      </c>
      <c r="M55" s="350">
        <f>IF(K55=0, "    ---- ", IF(ABS(ROUND(100/K55*L55-100,1))&lt;999,ROUND(100/K55*L55-100,1),IF(ROUND(100/K55*L55-100,1)&gt;999,999,-999)))</f>
        <v>18.3</v>
      </c>
      <c r="N55" s="147">
        <v>1292.1655281300002</v>
      </c>
      <c r="O55" s="353">
        <v>1131.0809426400001</v>
      </c>
      <c r="P55" s="277">
        <f t="shared" si="36"/>
        <v>-12.5</v>
      </c>
      <c r="Q55" s="147">
        <v>106308.41</v>
      </c>
      <c r="R55" s="353">
        <v>143065.93</v>
      </c>
      <c r="S55" s="277">
        <f t="shared" si="26"/>
        <v>34.6</v>
      </c>
      <c r="T55" s="147"/>
      <c r="U55" s="353"/>
      <c r="V55" s="277"/>
      <c r="W55" s="147">
        <v>53163.724000000002</v>
      </c>
      <c r="X55" s="353">
        <v>63924.434308999975</v>
      </c>
      <c r="Y55" s="277">
        <f t="shared" si="20"/>
        <v>20.2</v>
      </c>
      <c r="Z55" s="147">
        <v>169951.35887060003</v>
      </c>
      <c r="AA55" s="353">
        <v>205794.80892456044</v>
      </c>
      <c r="AB55" s="277">
        <f t="shared" si="28"/>
        <v>21.1</v>
      </c>
      <c r="AC55" s="147"/>
      <c r="AD55" s="353"/>
      <c r="AE55" s="277"/>
      <c r="AF55" s="394">
        <f t="shared" si="34"/>
        <v>519907.74139872997</v>
      </c>
      <c r="AG55" s="394">
        <f t="shared" si="34"/>
        <v>644265.28819827037</v>
      </c>
      <c r="AH55" s="277">
        <f t="shared" si="22"/>
        <v>23.9</v>
      </c>
      <c r="AI55" s="394">
        <f t="shared" si="35"/>
        <v>519907.74139872997</v>
      </c>
      <c r="AJ55" s="394">
        <f t="shared" si="35"/>
        <v>644265.28819827037</v>
      </c>
      <c r="AK55" s="354">
        <f t="shared" si="24"/>
        <v>23.9</v>
      </c>
    </row>
    <row r="56" spans="1:37" s="365" customFormat="1" ht="20.100000000000001" customHeight="1" x14ac:dyDescent="0.3">
      <c r="A56" s="427" t="s">
        <v>342</v>
      </c>
      <c r="B56" s="147">
        <v>68581.841</v>
      </c>
      <c r="C56" s="353">
        <v>79798.101525339996</v>
      </c>
      <c r="D56" s="353">
        <f t="shared" si="19"/>
        <v>16.399999999999999</v>
      </c>
      <c r="E56" s="147"/>
      <c r="F56" s="353"/>
      <c r="G56" s="353"/>
      <c r="H56" s="147"/>
      <c r="I56" s="353"/>
      <c r="J56" s="353"/>
      <c r="K56" s="147">
        <v>13127</v>
      </c>
      <c r="L56" s="353">
        <v>14675</v>
      </c>
      <c r="M56" s="350">
        <f>IF(K56=0, "    ---- ", IF(ABS(ROUND(100/K56*L56-100,1))&lt;999,ROUND(100/K56*L56-100,1),IF(ROUND(100/K56*L56-100,1)&gt;999,999,-999)))</f>
        <v>11.8</v>
      </c>
      <c r="N56" s="147">
        <v>314.91464838000002</v>
      </c>
      <c r="O56" s="353">
        <v>340.52870555999999</v>
      </c>
      <c r="P56" s="277">
        <f t="shared" si="36"/>
        <v>8.1</v>
      </c>
      <c r="Q56" s="147">
        <v>63731.33</v>
      </c>
      <c r="R56" s="353">
        <v>67284.06</v>
      </c>
      <c r="S56" s="277">
        <f t="shared" si="26"/>
        <v>5.6</v>
      </c>
      <c r="T56" s="147"/>
      <c r="U56" s="353"/>
      <c r="V56" s="277"/>
      <c r="W56" s="147">
        <v>27725.999</v>
      </c>
      <c r="X56" s="353">
        <v>30865.49963200001</v>
      </c>
      <c r="Y56" s="277">
        <f t="shared" si="20"/>
        <v>11.3</v>
      </c>
      <c r="Z56" s="147">
        <v>60559.834178849946</v>
      </c>
      <c r="AA56" s="353">
        <v>63966.629123009952</v>
      </c>
      <c r="AB56" s="277">
        <f t="shared" si="28"/>
        <v>5.6</v>
      </c>
      <c r="AC56" s="147"/>
      <c r="AD56" s="353"/>
      <c r="AE56" s="277"/>
      <c r="AF56" s="394">
        <f t="shared" si="34"/>
        <v>234040.91882722994</v>
      </c>
      <c r="AG56" s="394">
        <f t="shared" si="34"/>
        <v>256929.81898590998</v>
      </c>
      <c r="AH56" s="277">
        <f t="shared" si="22"/>
        <v>9.8000000000000007</v>
      </c>
      <c r="AI56" s="394">
        <f t="shared" si="35"/>
        <v>234040.91882722994</v>
      </c>
      <c r="AJ56" s="394">
        <f t="shared" si="35"/>
        <v>256929.81898590998</v>
      </c>
      <c r="AK56" s="354">
        <f t="shared" si="24"/>
        <v>9.8000000000000007</v>
      </c>
    </row>
    <row r="57" spans="1:37" s="365" customFormat="1" ht="20.100000000000001" customHeight="1" x14ac:dyDescent="0.3">
      <c r="A57" s="427" t="s">
        <v>343</v>
      </c>
      <c r="B57" s="147">
        <v>1446.32</v>
      </c>
      <c r="C57" s="353">
        <v>1767.7083480400088</v>
      </c>
      <c r="D57" s="277">
        <f t="shared" si="19"/>
        <v>22.2</v>
      </c>
      <c r="E57" s="147"/>
      <c r="F57" s="353"/>
      <c r="G57" s="277"/>
      <c r="H57" s="147"/>
      <c r="I57" s="353"/>
      <c r="J57" s="277"/>
      <c r="K57" s="147"/>
      <c r="L57" s="353"/>
      <c r="M57" s="277"/>
      <c r="N57" s="147">
        <v>78.772344010000012</v>
      </c>
      <c r="O57" s="353">
        <v>47.322631979999997</v>
      </c>
      <c r="P57" s="277">
        <f t="shared" si="36"/>
        <v>-39.9</v>
      </c>
      <c r="Q57" s="147"/>
      <c r="R57" s="353"/>
      <c r="S57" s="277"/>
      <c r="T57" s="147"/>
      <c r="U57" s="353"/>
      <c r="V57" s="277"/>
      <c r="W57" s="147">
        <v>84.858999999999995</v>
      </c>
      <c r="X57" s="353">
        <v>82.649692860000073</v>
      </c>
      <c r="Y57" s="277"/>
      <c r="Z57" s="147"/>
      <c r="AA57" s="353"/>
      <c r="AB57" s="277" t="str">
        <f t="shared" si="28"/>
        <v xml:space="preserve">    ---- </v>
      </c>
      <c r="AC57" s="147"/>
      <c r="AD57" s="353"/>
      <c r="AE57" s="277"/>
      <c r="AF57" s="394">
        <f t="shared" si="34"/>
        <v>1609.95134401</v>
      </c>
      <c r="AG57" s="394">
        <f t="shared" si="34"/>
        <v>1897.6806728800088</v>
      </c>
      <c r="AH57" s="277">
        <f t="shared" si="22"/>
        <v>17.899999999999999</v>
      </c>
      <c r="AI57" s="394">
        <f t="shared" si="35"/>
        <v>1609.95134401</v>
      </c>
      <c r="AJ57" s="394">
        <f t="shared" si="35"/>
        <v>1897.6806728800088</v>
      </c>
      <c r="AK57" s="354">
        <f t="shared" si="24"/>
        <v>17.899999999999999</v>
      </c>
    </row>
    <row r="58" spans="1:37" s="365" customFormat="1" ht="20.100000000000001" customHeight="1" x14ac:dyDescent="0.3">
      <c r="A58" s="427" t="s">
        <v>344</v>
      </c>
      <c r="B58" s="147"/>
      <c r="C58" s="353">
        <v>0</v>
      </c>
      <c r="D58" s="277"/>
      <c r="E58" s="147"/>
      <c r="F58" s="353"/>
      <c r="G58" s="277"/>
      <c r="H58" s="147"/>
      <c r="I58" s="353"/>
      <c r="J58" s="277"/>
      <c r="K58" s="147"/>
      <c r="L58" s="353"/>
      <c r="M58" s="277"/>
      <c r="N58" s="147">
        <v>6.4999290599999995</v>
      </c>
      <c r="O58" s="353">
        <v>11.844576890000001</v>
      </c>
      <c r="P58" s="277">
        <f t="shared" si="36"/>
        <v>82.2</v>
      </c>
      <c r="Q58" s="147">
        <v>2870.93</v>
      </c>
      <c r="R58" s="353">
        <v>322.31</v>
      </c>
      <c r="S58" s="277">
        <f t="shared" si="26"/>
        <v>-88.8</v>
      </c>
      <c r="T58" s="147"/>
      <c r="U58" s="353"/>
      <c r="V58" s="277"/>
      <c r="W58" s="147">
        <v>896.49599999999998</v>
      </c>
      <c r="X58" s="353">
        <v>120.08943103999997</v>
      </c>
      <c r="Y58" s="277"/>
      <c r="Z58" s="147">
        <v>2403.7738619100023</v>
      </c>
      <c r="AA58" s="353">
        <v>820.75869702999944</v>
      </c>
      <c r="AB58" s="277">
        <f t="shared" si="28"/>
        <v>-65.900000000000006</v>
      </c>
      <c r="AC58" s="147"/>
      <c r="AD58" s="353"/>
      <c r="AE58" s="277"/>
      <c r="AF58" s="394">
        <f t="shared" si="34"/>
        <v>6177.6997909700021</v>
      </c>
      <c r="AG58" s="394">
        <f t="shared" si="34"/>
        <v>1275.0027049599994</v>
      </c>
      <c r="AH58" s="277">
        <f t="shared" si="22"/>
        <v>-79.400000000000006</v>
      </c>
      <c r="AI58" s="394">
        <f t="shared" si="35"/>
        <v>6177.6997909700021</v>
      </c>
      <c r="AJ58" s="394">
        <f t="shared" si="35"/>
        <v>1275.0027049599994</v>
      </c>
      <c r="AK58" s="354">
        <f t="shared" si="24"/>
        <v>-79.400000000000006</v>
      </c>
    </row>
    <row r="59" spans="1:37" s="365" customFormat="1" ht="20.100000000000001" customHeight="1" x14ac:dyDescent="0.3">
      <c r="A59" s="427" t="s">
        <v>345</v>
      </c>
      <c r="B59" s="147"/>
      <c r="C59" s="353">
        <v>0</v>
      </c>
      <c r="D59" s="277"/>
      <c r="E59" s="147"/>
      <c r="F59" s="353"/>
      <c r="G59" s="277"/>
      <c r="H59" s="147"/>
      <c r="I59" s="353"/>
      <c r="J59" s="277"/>
      <c r="K59" s="147">
        <v>245</v>
      </c>
      <c r="L59" s="353">
        <v>333</v>
      </c>
      <c r="M59" s="277">
        <f>IF(K59=0, "    ---- ", IF(ABS(ROUND(100/K59*L59-100,1))&lt;999,ROUND(100/K59*L59-100,1),IF(ROUND(100/K59*L59-100,1)&gt;999,999,-999)))</f>
        <v>35.9</v>
      </c>
      <c r="N59" s="147">
        <v>1.4077142900000001</v>
      </c>
      <c r="O59" s="353">
        <v>3.1087529999999999E-2</v>
      </c>
      <c r="P59" s="277">
        <f t="shared" si="36"/>
        <v>-97.8</v>
      </c>
      <c r="Q59" s="147">
        <v>1002.97</v>
      </c>
      <c r="R59" s="353">
        <v>1407.61</v>
      </c>
      <c r="S59" s="277">
        <f t="shared" si="26"/>
        <v>40.299999999999997</v>
      </c>
      <c r="T59" s="147"/>
      <c r="U59" s="353"/>
      <c r="V59" s="277"/>
      <c r="W59" s="147">
        <v>581.48500000000001</v>
      </c>
      <c r="X59" s="353">
        <v>309.79306119999467</v>
      </c>
      <c r="Y59" s="277">
        <f t="shared" si="20"/>
        <v>-46.7</v>
      </c>
      <c r="Z59" s="147"/>
      <c r="AA59" s="353"/>
      <c r="AB59" s="277" t="str">
        <f t="shared" si="28"/>
        <v xml:space="preserve">    ---- </v>
      </c>
      <c r="AC59" s="147"/>
      <c r="AD59" s="353"/>
      <c r="AE59" s="277"/>
      <c r="AF59" s="394">
        <f t="shared" si="34"/>
        <v>1830.86271429</v>
      </c>
      <c r="AG59" s="394">
        <f t="shared" si="34"/>
        <v>2050.4341487299944</v>
      </c>
      <c r="AH59" s="277">
        <f t="shared" si="22"/>
        <v>12</v>
      </c>
      <c r="AI59" s="394">
        <f t="shared" si="35"/>
        <v>1830.86271429</v>
      </c>
      <c r="AJ59" s="394">
        <f t="shared" si="35"/>
        <v>2050.4341487299944</v>
      </c>
      <c r="AK59" s="354">
        <f t="shared" si="24"/>
        <v>12</v>
      </c>
    </row>
    <row r="60" spans="1:37" s="365" customFormat="1" ht="20.100000000000001" customHeight="1" x14ac:dyDescent="0.3">
      <c r="A60" s="463" t="s">
        <v>346</v>
      </c>
      <c r="B60" s="147">
        <f>SUM(B48+B49+B50+B54)</f>
        <v>203568.7</v>
      </c>
      <c r="C60" s="353">
        <f>SUM(C48+C49+C50+C54)</f>
        <v>245957.64439545001</v>
      </c>
      <c r="D60" s="277">
        <f t="shared" si="19"/>
        <v>20.8</v>
      </c>
      <c r="E60" s="147"/>
      <c r="F60" s="353">
        <f>SUM(F48+F49+F50+F54)</f>
        <v>0</v>
      </c>
      <c r="G60" s="277"/>
      <c r="H60" s="147"/>
      <c r="I60" s="353"/>
      <c r="J60" s="277"/>
      <c r="K60" s="147">
        <f>SUM(K48+K49+K50+K54)</f>
        <v>76969</v>
      </c>
      <c r="L60" s="353">
        <f>SUM(L48+L49+L50+L54)</f>
        <v>91001</v>
      </c>
      <c r="M60" s="277">
        <f>IF(K60=0, "    ---- ", IF(ABS(ROUND(100/K60*L60-100,1))&lt;999,ROUND(100/K60*L60-100,1),IF(ROUND(100/K60*L60-100,1)&gt;999,999,-999)))</f>
        <v>18.2</v>
      </c>
      <c r="N60" s="147">
        <v>3105.39638646</v>
      </c>
      <c r="O60" s="353">
        <v>2827.4169777000002</v>
      </c>
      <c r="P60" s="277">
        <f t="shared" si="36"/>
        <v>-9</v>
      </c>
      <c r="Q60" s="147">
        <f>SUM(Q48+Q49+Q50+Q54)</f>
        <v>177451.03</v>
      </c>
      <c r="R60" s="353">
        <f>SUM(R48+R49+R50+R54)</f>
        <v>217451.08</v>
      </c>
      <c r="S60" s="277">
        <f t="shared" si="26"/>
        <v>22.5</v>
      </c>
      <c r="T60" s="147"/>
      <c r="U60" s="353"/>
      <c r="V60" s="277"/>
      <c r="W60" s="147">
        <f>SUM(W48+W49+W50+W54)</f>
        <v>83696.092999999993</v>
      </c>
      <c r="X60" s="353">
        <f>SUM(X48+X49+X50+X54)</f>
        <v>96534.078105679975</v>
      </c>
      <c r="Y60" s="277">
        <f t="shared" si="20"/>
        <v>15.3</v>
      </c>
      <c r="Z60" s="147">
        <f>SUM(Z48+Z49+Z50+Z54)</f>
        <v>244412.61485868</v>
      </c>
      <c r="AA60" s="353">
        <f>SUM(AA48+AA49+AA50+AA54)</f>
        <v>282949.72054636042</v>
      </c>
      <c r="AB60" s="277">
        <f t="shared" si="28"/>
        <v>15.8</v>
      </c>
      <c r="AC60" s="147"/>
      <c r="AD60" s="353"/>
      <c r="AE60" s="277"/>
      <c r="AF60" s="394">
        <f t="shared" si="34"/>
        <v>789202.83424513997</v>
      </c>
      <c r="AG60" s="394">
        <f t="shared" si="34"/>
        <v>936720.94002519036</v>
      </c>
      <c r="AH60" s="277">
        <f t="shared" si="22"/>
        <v>18.7</v>
      </c>
      <c r="AI60" s="394">
        <f t="shared" si="35"/>
        <v>789202.83424513997</v>
      </c>
      <c r="AJ60" s="394">
        <f t="shared" si="35"/>
        <v>936720.94002519036</v>
      </c>
      <c r="AK60" s="354">
        <f t="shared" si="24"/>
        <v>18.7</v>
      </c>
    </row>
    <row r="61" spans="1:37" s="365" customFormat="1" ht="20.100000000000001" customHeight="1" x14ac:dyDescent="0.3">
      <c r="A61" s="439" t="s">
        <v>347</v>
      </c>
      <c r="B61" s="147"/>
      <c r="C61" s="353"/>
      <c r="D61" s="277"/>
      <c r="E61" s="147"/>
      <c r="F61" s="353"/>
      <c r="G61" s="277"/>
      <c r="H61" s="147"/>
      <c r="I61" s="353"/>
      <c r="J61" s="277"/>
      <c r="K61" s="147"/>
      <c r="L61" s="353"/>
      <c r="M61" s="277"/>
      <c r="N61" s="147"/>
      <c r="O61" s="353"/>
      <c r="P61" s="277"/>
      <c r="Q61" s="147"/>
      <c r="R61" s="353"/>
      <c r="S61" s="277"/>
      <c r="T61" s="147"/>
      <c r="U61" s="353"/>
      <c r="V61" s="277"/>
      <c r="W61" s="147"/>
      <c r="X61" s="353"/>
      <c r="Y61" s="277"/>
      <c r="Z61" s="147">
        <v>159.07719885</v>
      </c>
      <c r="AA61" s="353"/>
      <c r="AB61" s="277"/>
      <c r="AC61" s="147"/>
      <c r="AD61" s="353"/>
      <c r="AE61" s="277"/>
      <c r="AF61" s="394">
        <f t="shared" si="34"/>
        <v>159.07719885</v>
      </c>
      <c r="AG61" s="394">
        <f t="shared" si="34"/>
        <v>0</v>
      </c>
      <c r="AH61" s="277">
        <f t="shared" si="22"/>
        <v>-100</v>
      </c>
      <c r="AI61" s="394">
        <f>B61+E61+H61+K61+N61+Q61+T61+W61+Z61+AC61</f>
        <v>159.07719885</v>
      </c>
      <c r="AJ61" s="394">
        <f t="shared" si="35"/>
        <v>0</v>
      </c>
      <c r="AK61" s="354">
        <f t="shared" si="24"/>
        <v>-100</v>
      </c>
    </row>
    <row r="62" spans="1:37" s="365" customFormat="1" ht="20.100000000000001" customHeight="1" x14ac:dyDescent="0.3">
      <c r="A62" s="427" t="s">
        <v>348</v>
      </c>
      <c r="B62" s="147">
        <f>SUM(B45+B46+B60+B61)</f>
        <v>394090.52100000001</v>
      </c>
      <c r="C62" s="353">
        <f>SUM(C45+C46+C60+C61)</f>
        <v>432275.76654450997</v>
      </c>
      <c r="D62" s="277">
        <f t="shared" si="19"/>
        <v>9.6999999999999993</v>
      </c>
      <c r="E62" s="147">
        <f>SUM(E45+E46+E60+E61)</f>
        <v>10184.18956484</v>
      </c>
      <c r="F62" s="353">
        <f>SUM(F45+F46+F60+F61)</f>
        <v>10982.597044050002</v>
      </c>
      <c r="G62" s="277">
        <f>IF(E62=0, "    ---- ", IF(ABS(ROUND(100/E62*F62-100,1))&lt;999,ROUND(100/E62*F62-100,1),IF(ROUND(100/E62*F62-100,1)&gt;999,999,-999)))</f>
        <v>7.8</v>
      </c>
      <c r="H62" s="147">
        <f>SUM(H45+H46+H60+H61)</f>
        <v>2304.2729999999997</v>
      </c>
      <c r="I62" s="353">
        <f>SUM(I45+I46+I60+I61)</f>
        <v>2649.35</v>
      </c>
      <c r="J62" s="277">
        <f>IF(H62=0, "    ---- ", IF(ABS(ROUND(100/H62*I62-100,1))&lt;999,ROUND(100/H62*I62-100,1),IF(ROUND(100/H62*I62-100,1)&gt;999,999,-999)))</f>
        <v>15</v>
      </c>
      <c r="K62" s="147">
        <f>SUM(K45+K46+K60+K61)</f>
        <v>88331</v>
      </c>
      <c r="L62" s="353">
        <f>SUM(L45+L46+L60+L61)</f>
        <v>103195</v>
      </c>
      <c r="M62" s="277">
        <f>IF(K62=0, "    ---- ", IF(ABS(ROUND(100/K62*L62-100,1))&lt;999,ROUND(100/K62*L62-100,1),IF(ROUND(100/K62*L62-100,1)&gt;999,999,-999)))</f>
        <v>16.8</v>
      </c>
      <c r="N62" s="147">
        <v>808454.06296491006</v>
      </c>
      <c r="O62" s="353">
        <v>894366.04843728989</v>
      </c>
      <c r="P62" s="277">
        <f>IF(N62=0, "    ---- ", IF(ABS(ROUND(100/N62*O62-100,1))&lt;999,ROUND(100/N62*O62-100,1),IF(ROUND(100/N62*O62-100,1)&gt;999,999,-999)))</f>
        <v>10.6</v>
      </c>
      <c r="Q62" s="147">
        <f>SUM(Q45+Q46+Q60+Q61)</f>
        <v>233021.6688427199</v>
      </c>
      <c r="R62" s="353">
        <f>SUM(R45+R46+R60+R61)</f>
        <v>274571.73998302995</v>
      </c>
      <c r="S62" s="277">
        <f t="shared" si="26"/>
        <v>17.8</v>
      </c>
      <c r="T62" s="147">
        <v>133289</v>
      </c>
      <c r="U62" s="353">
        <f>SUM(U45+U46+U60+U61)</f>
        <v>142946</v>
      </c>
      <c r="V62" s="277">
        <f>IF(T62=0, "    ---- ", IF(ABS(ROUND(100/T62*U62-100,1))&lt;999,ROUND(100/T62*U62-100,1),IF(ROUND(100/T62*U62-100,1)&gt;999,999,-999)))</f>
        <v>7.2</v>
      </c>
      <c r="W62" s="147">
        <f>SUM(W45+W46+W60+W61)</f>
        <v>109475.29199999999</v>
      </c>
      <c r="X62" s="353">
        <f>SUM(X45+X46+X60+X61)</f>
        <v>123516.53427276999</v>
      </c>
      <c r="Y62" s="277">
        <f t="shared" si="20"/>
        <v>12.8</v>
      </c>
      <c r="Z62" s="147">
        <f>SUM(Z45+Z46+Z60+Z61)</f>
        <v>470417.47103961022</v>
      </c>
      <c r="AA62" s="353">
        <f>SUM(AA45+AA46+AA60+AA61)</f>
        <v>513513.62194742035</v>
      </c>
      <c r="AB62" s="277">
        <f t="shared" si="28"/>
        <v>9.1999999999999993</v>
      </c>
      <c r="AC62" s="147">
        <f>SUM(AC45+AC46+AC60+AC61)</f>
        <v>20</v>
      </c>
      <c r="AD62" s="353">
        <f>SUM(AD45+AD46+AD60+AD61)</f>
        <v>23</v>
      </c>
      <c r="AE62" s="277">
        <f>IF(AC62=0, "    ---- ", IF(ABS(ROUND(100/AC62*AD62-100,1))&lt;999,ROUND(100/AC62*AD62-100,1),IF(ROUND(100/AC62*AD62-100,1)&gt;999,999,-999)))</f>
        <v>15</v>
      </c>
      <c r="AF62" s="394">
        <f t="shared" si="34"/>
        <v>2249567.4784120801</v>
      </c>
      <c r="AG62" s="394">
        <f t="shared" si="34"/>
        <v>2498016.6582290702</v>
      </c>
      <c r="AH62" s="277">
        <f t="shared" si="22"/>
        <v>11</v>
      </c>
      <c r="AI62" s="394">
        <f>B62+E62+H62+K62+N62+Q62+T62+W62+Z62+AC62</f>
        <v>2249587.4784120801</v>
      </c>
      <c r="AJ62" s="394">
        <f t="shared" si="35"/>
        <v>2498039.6582290702</v>
      </c>
      <c r="AK62" s="354">
        <f t="shared" si="24"/>
        <v>11</v>
      </c>
    </row>
    <row r="63" spans="1:37" s="373" customFormat="1" ht="20.100000000000001" customHeight="1" x14ac:dyDescent="0.3">
      <c r="A63" s="439"/>
      <c r="B63" s="149"/>
      <c r="C63" s="352"/>
      <c r="D63" s="351"/>
      <c r="E63" s="149"/>
      <c r="F63" s="352"/>
      <c r="G63" s="351"/>
      <c r="H63" s="149"/>
      <c r="I63" s="352"/>
      <c r="J63" s="351"/>
      <c r="K63" s="149"/>
      <c r="L63" s="352"/>
      <c r="M63" s="355"/>
      <c r="N63" s="149"/>
      <c r="O63" s="352"/>
      <c r="P63" s="351"/>
      <c r="Q63" s="149"/>
      <c r="R63" s="352"/>
      <c r="S63" s="351"/>
      <c r="T63" s="149"/>
      <c r="U63" s="352"/>
      <c r="V63" s="351"/>
      <c r="W63" s="149"/>
      <c r="X63" s="352"/>
      <c r="Y63" s="351"/>
      <c r="Z63" s="149"/>
      <c r="AA63" s="352"/>
      <c r="AB63" s="351"/>
      <c r="AC63" s="149"/>
      <c r="AD63" s="352"/>
      <c r="AE63" s="351"/>
      <c r="AF63" s="355"/>
      <c r="AG63" s="355"/>
      <c r="AH63" s="351"/>
      <c r="AI63" s="355"/>
      <c r="AJ63" s="355"/>
      <c r="AK63" s="356"/>
    </row>
    <row r="64" spans="1:37" s="373" customFormat="1" ht="20.100000000000001" customHeight="1" x14ac:dyDescent="0.3">
      <c r="A64" s="439" t="s">
        <v>349</v>
      </c>
      <c r="B64" s="149">
        <f>SUM(B29+B62)</f>
        <v>425113.41713696998</v>
      </c>
      <c r="C64" s="352">
        <f>SUM(C29+C62)</f>
        <v>461322.69122109999</v>
      </c>
      <c r="D64" s="351">
        <f t="shared" si="19"/>
        <v>8.5</v>
      </c>
      <c r="E64" s="149">
        <f>SUM(E29+E62)</f>
        <v>14655.97527425</v>
      </c>
      <c r="F64" s="352">
        <f>SUM(F29+F62)</f>
        <v>15006.025457630003</v>
      </c>
      <c r="G64" s="351">
        <f>IF(E64=0, "    ---- ", IF(ABS(ROUND(100/E64*F64-100,1))&lt;999,ROUND(100/E64*F64-100,1),IF(ROUND(100/E64*F64-100,1)&gt;999,999,-999)))</f>
        <v>2.4</v>
      </c>
      <c r="H64" s="149">
        <f>SUM(H29+H62)</f>
        <v>3605.3469999999998</v>
      </c>
      <c r="I64" s="352">
        <f>SUM(I29+I62)</f>
        <v>4077.1849999999999</v>
      </c>
      <c r="J64" s="351">
        <f>IF(H64=0, "    ---- ", IF(ABS(ROUND(100/H64*I64-100,1))&lt;999,ROUND(100/H64*I64-100,1),IF(ROUND(100/H64*I64-100,1)&gt;999,999,-999)))</f>
        <v>13.1</v>
      </c>
      <c r="K64" s="149">
        <f>SUM(K29+K62)</f>
        <v>90056</v>
      </c>
      <c r="L64" s="352">
        <f>SUM(L29+L62)</f>
        <v>105376</v>
      </c>
      <c r="M64" s="355">
        <f>IF(K64=0, "    ---- ", IF(ABS(ROUND(100/K64*L64-100,1))&lt;999,ROUND(100/K64*L64-100,1),IF(ROUND(100/K64*L64-100,1)&gt;999,999,-999)))</f>
        <v>17</v>
      </c>
      <c r="N64" s="149">
        <v>865983.9293554601</v>
      </c>
      <c r="O64" s="352">
        <v>946441.73142896988</v>
      </c>
      <c r="P64" s="351">
        <f>IF(N64=0, "    ---- ", IF(ABS(ROUND(100/N64*O64-100,1))&lt;999,ROUND(100/N64*O64-100,1),IF(ROUND(100/N64*O64-100,1)&gt;999,999,-999)))</f>
        <v>9.3000000000000007</v>
      </c>
      <c r="Q64" s="149">
        <f>SUM(Q29+Q62)</f>
        <v>244559.1688427199</v>
      </c>
      <c r="R64" s="352">
        <f>SUM(R29+R62)</f>
        <v>284883.66998302995</v>
      </c>
      <c r="S64" s="351">
        <f t="shared" si="26"/>
        <v>16.5</v>
      </c>
      <c r="T64" s="149">
        <v>145712</v>
      </c>
      <c r="U64" s="352">
        <f>SUM(U29+U62)</f>
        <v>156070</v>
      </c>
      <c r="V64" s="351">
        <f>IF(T64=0, "    ---- ", IF(ABS(ROUND(100/T64*U64-100,1))&lt;999,ROUND(100/T64*U64-100,1),IF(ROUND(100/T64*U64-100,1)&gt;999,999,-999)))</f>
        <v>7.1</v>
      </c>
      <c r="W64" s="149">
        <f>SUM(W29+W62)</f>
        <v>117088.99599999998</v>
      </c>
      <c r="X64" s="352">
        <f>SUM(X29+X62)</f>
        <v>130932.26021839982</v>
      </c>
      <c r="Y64" s="351">
        <f t="shared" si="20"/>
        <v>11.8</v>
      </c>
      <c r="Z64" s="149">
        <f>SUM(Z29+Z62)</f>
        <v>534945.31710562017</v>
      </c>
      <c r="AA64" s="352">
        <f>SUM(AA29+AA62)</f>
        <v>555257.45612644032</v>
      </c>
      <c r="AB64" s="351">
        <f t="shared" si="28"/>
        <v>3.8</v>
      </c>
      <c r="AC64" s="149">
        <f>SUM(AC29+AC62)</f>
        <v>237</v>
      </c>
      <c r="AD64" s="352">
        <f>SUM(AD29+AD62)</f>
        <v>247</v>
      </c>
      <c r="AE64" s="351">
        <f>IF(AC64=0, "    ---- ", IF(ABS(ROUND(100/AC64*AD64-100,1))&lt;999,ROUND(100/AC64*AD64-100,1),IF(ROUND(100/AC64*AD64-100,1)&gt;999,999,-999)))</f>
        <v>4.2</v>
      </c>
      <c r="AF64" s="466">
        <f t="shared" ref="AF64:AG64" si="37">B64+E64+H64+K64+N64+Q64+T64+W64+Z64</f>
        <v>2441720.1507150205</v>
      </c>
      <c r="AG64" s="466">
        <f t="shared" si="37"/>
        <v>2659367.0194355701</v>
      </c>
      <c r="AH64" s="351">
        <f t="shared" si="22"/>
        <v>8.9</v>
      </c>
      <c r="AI64" s="466">
        <f>B64+E64+H64+K64+N64+Q64+T64+W64+Z64+AC64</f>
        <v>2441957.1507150205</v>
      </c>
      <c r="AJ64" s="466">
        <f>C64+F64+I64+L64+O64+R64+U64+X64+AA64+AD64</f>
        <v>2659614.0194355701</v>
      </c>
      <c r="AK64" s="356">
        <f t="shared" si="24"/>
        <v>8.9</v>
      </c>
    </row>
    <row r="65" spans="1:37" s="365" customFormat="1" ht="20.100000000000001" customHeight="1" x14ac:dyDescent="0.3">
      <c r="A65" s="465"/>
      <c r="B65" s="147"/>
      <c r="C65" s="353"/>
      <c r="D65" s="277"/>
      <c r="E65" s="147"/>
      <c r="F65" s="353"/>
      <c r="G65" s="277"/>
      <c r="H65" s="147"/>
      <c r="I65" s="353"/>
      <c r="J65" s="277"/>
      <c r="K65" s="147"/>
      <c r="L65" s="353"/>
      <c r="M65" s="350"/>
      <c r="N65" s="147"/>
      <c r="O65" s="353"/>
      <c r="P65" s="277"/>
      <c r="Q65" s="147"/>
      <c r="R65" s="353"/>
      <c r="S65" s="277"/>
      <c r="T65" s="147"/>
      <c r="U65" s="353"/>
      <c r="V65" s="277"/>
      <c r="W65" s="147"/>
      <c r="X65" s="353"/>
      <c r="Y65" s="277"/>
      <c r="Z65" s="147"/>
      <c r="AA65" s="353"/>
      <c r="AB65" s="277"/>
      <c r="AC65" s="147"/>
      <c r="AD65" s="353"/>
      <c r="AE65" s="277"/>
      <c r="AF65" s="350"/>
      <c r="AG65" s="350"/>
      <c r="AH65" s="277"/>
      <c r="AI65" s="350"/>
      <c r="AJ65" s="350"/>
      <c r="AK65" s="354"/>
    </row>
    <row r="66" spans="1:37" s="365" customFormat="1" ht="20.100000000000001" customHeight="1" x14ac:dyDescent="0.3">
      <c r="A66" s="439" t="s">
        <v>350</v>
      </c>
      <c r="B66" s="147"/>
      <c r="C66" s="353"/>
      <c r="D66" s="277"/>
      <c r="E66" s="147"/>
      <c r="F66" s="353"/>
      <c r="G66" s="277"/>
      <c r="H66" s="147"/>
      <c r="I66" s="353"/>
      <c r="J66" s="277"/>
      <c r="K66" s="147"/>
      <c r="L66" s="353"/>
      <c r="M66" s="350"/>
      <c r="N66" s="147"/>
      <c r="O66" s="353"/>
      <c r="P66" s="277"/>
      <c r="Q66" s="147"/>
      <c r="R66" s="353"/>
      <c r="S66" s="277"/>
      <c r="T66" s="147"/>
      <c r="U66" s="353"/>
      <c r="V66" s="277"/>
      <c r="W66" s="147"/>
      <c r="X66" s="353"/>
      <c r="Y66" s="277"/>
      <c r="Z66" s="147"/>
      <c r="AA66" s="353"/>
      <c r="AB66" s="277"/>
      <c r="AC66" s="147"/>
      <c r="AD66" s="353"/>
      <c r="AE66" s="277"/>
      <c r="AF66" s="350"/>
      <c r="AG66" s="350"/>
      <c r="AH66" s="277"/>
      <c r="AI66" s="350"/>
      <c r="AJ66" s="350"/>
      <c r="AK66" s="354"/>
    </row>
    <row r="67" spans="1:37" s="365" customFormat="1" ht="20.100000000000001" customHeight="1" x14ac:dyDescent="0.3">
      <c r="A67" s="439"/>
      <c r="B67" s="147"/>
      <c r="C67" s="353"/>
      <c r="D67" s="277"/>
      <c r="E67" s="147"/>
      <c r="F67" s="353"/>
      <c r="G67" s="277"/>
      <c r="H67" s="147"/>
      <c r="I67" s="353"/>
      <c r="J67" s="277"/>
      <c r="K67" s="147"/>
      <c r="L67" s="353"/>
      <c r="M67" s="350"/>
      <c r="N67" s="147"/>
      <c r="O67" s="353"/>
      <c r="P67" s="277"/>
      <c r="Q67" s="147"/>
      <c r="R67" s="353"/>
      <c r="S67" s="277"/>
      <c r="T67" s="147"/>
      <c r="U67" s="353"/>
      <c r="V67" s="277"/>
      <c r="W67" s="147"/>
      <c r="X67" s="353"/>
      <c r="Y67" s="277"/>
      <c r="Z67" s="147"/>
      <c r="AA67" s="353"/>
      <c r="AB67" s="277"/>
      <c r="AC67" s="147"/>
      <c r="AD67" s="353"/>
      <c r="AE67" s="277"/>
      <c r="AF67" s="350"/>
      <c r="AG67" s="350"/>
      <c r="AH67" s="277"/>
      <c r="AI67" s="350"/>
      <c r="AJ67" s="350"/>
      <c r="AK67" s="354"/>
    </row>
    <row r="68" spans="1:37" s="365" customFormat="1" ht="20.100000000000001" customHeight="1" x14ac:dyDescent="0.3">
      <c r="A68" s="427" t="s">
        <v>351</v>
      </c>
      <c r="B68" s="147">
        <v>7657.0529999999999</v>
      </c>
      <c r="C68" s="353">
        <v>7657.0531522000001</v>
      </c>
      <c r="D68" s="277">
        <f t="shared" si="19"/>
        <v>0</v>
      </c>
      <c r="E68" s="147">
        <v>2452.057311</v>
      </c>
      <c r="F68" s="353">
        <v>2452.057311</v>
      </c>
      <c r="G68" s="277">
        <f>IF(E68=0, "    ---- ", IF(ABS(ROUND(100/E68*F68-100,1))&lt;999,ROUND(100/E68*F68-100,1),IF(ROUND(100/E68*F68-100,1)&gt;999,999,-999)))</f>
        <v>0</v>
      </c>
      <c r="H68" s="147">
        <v>221.25</v>
      </c>
      <c r="I68" s="353">
        <v>247.25</v>
      </c>
      <c r="J68" s="277">
        <f>IF(H68=0, "    ---- ", IF(ABS(ROUND(100/H68*I68-100,1))&lt;999,ROUND(100/H68*I68-100,1),IF(ROUND(100/H68*I68-100,1)&gt;999,999,-999)))</f>
        <v>11.8</v>
      </c>
      <c r="K68" s="147">
        <v>123</v>
      </c>
      <c r="L68" s="353">
        <v>777</v>
      </c>
      <c r="M68" s="350">
        <f>IF(K68=0, "    ---- ", IF(ABS(ROUND(100/K68*L68-100,1))&lt;999,ROUND(100/K68*L68-100,1),IF(ROUND(100/K68*L68-100,1)&gt;999,999,-999)))</f>
        <v>531.70000000000005</v>
      </c>
      <c r="N68" s="147">
        <v>25276.52765</v>
      </c>
      <c r="O68" s="353">
        <v>27939.365457</v>
      </c>
      <c r="P68" s="277">
        <f t="shared" ref="P68:P80" si="38">IF(N68=0, "    ---- ", IF(ABS(ROUND(100/N68*O68-100,1))&lt;999,ROUND(100/N68*O68-100,1),IF(ROUND(100/N68*O68-100,1)&gt;999,999,-999)))</f>
        <v>10.5</v>
      </c>
      <c r="Q68" s="147">
        <v>1126.76</v>
      </c>
      <c r="R68" s="353">
        <v>1126.76</v>
      </c>
      <c r="S68" s="277">
        <f t="shared" si="26"/>
        <v>0</v>
      </c>
      <c r="T68" s="147">
        <v>1430</v>
      </c>
      <c r="U68" s="353">
        <v>1430</v>
      </c>
      <c r="V68" s="277">
        <f>IF(T68=0, "    ---- ", IF(ABS(ROUND(100/T68*U68-100,1))&lt;999,ROUND(100/T68*U68-100,1),IF(ROUND(100/T68*U68-100,1)&gt;999,999,-999)))</f>
        <v>0</v>
      </c>
      <c r="W68" s="147">
        <v>4972.6959999999999</v>
      </c>
      <c r="X68" s="353">
        <v>4972.6955527999999</v>
      </c>
      <c r="Y68" s="277">
        <f t="shared" si="20"/>
        <v>0</v>
      </c>
      <c r="Z68" s="147">
        <v>16373.951613499999</v>
      </c>
      <c r="AA68" s="353">
        <v>17931.426817740001</v>
      </c>
      <c r="AB68" s="277">
        <f t="shared" si="28"/>
        <v>9.5</v>
      </c>
      <c r="AC68" s="147">
        <v>86</v>
      </c>
      <c r="AD68" s="353">
        <v>86</v>
      </c>
      <c r="AE68" s="277">
        <f>IF(AC68=0, "    ---- ", IF(ABS(ROUND(100/AC68*AD68-100,1))&lt;999,ROUND(100/AC68*AD68-100,1),IF(ROUND(100/AC68*AD68-100,1)&gt;999,999,-999)))</f>
        <v>0</v>
      </c>
      <c r="AF68" s="394">
        <f t="shared" ref="AF68:AG71" si="39">B68+E68+H68+K68+N68+Q68+T68+W68+Z68</f>
        <v>59633.295574500007</v>
      </c>
      <c r="AG68" s="394">
        <f t="shared" si="39"/>
        <v>64533.608290740005</v>
      </c>
      <c r="AH68" s="277">
        <f t="shared" si="22"/>
        <v>8.1999999999999993</v>
      </c>
      <c r="AI68" s="394">
        <f t="shared" ref="AI68:AJ71" si="40">B68+E68+H68+K68+N68+Q68+T68+W68+Z68+AC68</f>
        <v>59719.295574500007</v>
      </c>
      <c r="AJ68" s="394">
        <f t="shared" si="40"/>
        <v>64619.608290740005</v>
      </c>
      <c r="AK68" s="354">
        <f t="shared" si="24"/>
        <v>8.1999999999999993</v>
      </c>
    </row>
    <row r="69" spans="1:37" s="365" customFormat="1" ht="20.100000000000001" customHeight="1" x14ac:dyDescent="0.3">
      <c r="A69" s="427" t="s">
        <v>352</v>
      </c>
      <c r="B69" s="147">
        <v>15330.403</v>
      </c>
      <c r="C69" s="353">
        <v>14017.992038369997</v>
      </c>
      <c r="D69" s="277">
        <f t="shared" si="19"/>
        <v>-8.6</v>
      </c>
      <c r="E69" s="147">
        <v>223.43126813000006</v>
      </c>
      <c r="F69" s="353">
        <v>184.50012806999968</v>
      </c>
      <c r="G69" s="277">
        <f>IF(E69=0, "    ---- ", IF(ABS(ROUND(100/E69*F69-100,1))&lt;999,ROUND(100/E69*F69-100,1),IF(ROUND(100/E69*F69-100,1)&gt;999,999,-999)))</f>
        <v>-17.399999999999999</v>
      </c>
      <c r="H69" s="147">
        <v>441.90600000000001</v>
      </c>
      <c r="I69" s="353">
        <v>525.11800000000005</v>
      </c>
      <c r="J69" s="277">
        <f>IF(H69=0, "    ---- ", IF(ABS(ROUND(100/H69*I69-100,1))&lt;999,ROUND(100/H69*I69-100,1),IF(ROUND(100/H69*I69-100,1)&gt;999,999,-999)))</f>
        <v>18.8</v>
      </c>
      <c r="K69" s="147">
        <v>929</v>
      </c>
      <c r="L69" s="353">
        <v>936</v>
      </c>
      <c r="M69" s="350">
        <f>IF(K69=0, "    ---- ", IF(ABS(ROUND(100/K69*L69-100,1))&lt;999,ROUND(100/K69*L69-100,1),IF(ROUND(100/K69*L69-100,1)&gt;999,999,-999)))</f>
        <v>0.8</v>
      </c>
      <c r="N69" s="147">
        <v>22117.626643299998</v>
      </c>
      <c r="O69" s="353">
        <v>23447.192330999998</v>
      </c>
      <c r="P69" s="277">
        <f t="shared" si="38"/>
        <v>6</v>
      </c>
      <c r="Q69" s="147">
        <v>6431.19</v>
      </c>
      <c r="R69" s="353">
        <v>6502</v>
      </c>
      <c r="S69" s="277">
        <f t="shared" si="26"/>
        <v>1.1000000000000001</v>
      </c>
      <c r="T69" s="147">
        <v>12100</v>
      </c>
      <c r="U69" s="353">
        <v>13130</v>
      </c>
      <c r="V69" s="277">
        <f>IF(T69=0, "    ---- ", IF(ABS(ROUND(100/T69*U69-100,1))&lt;999,ROUND(100/T69*U69-100,1),IF(ROUND(100/T69*U69-100,1)&gt;999,999,-999)))</f>
        <v>8.5</v>
      </c>
      <c r="W69" s="147">
        <v>1122.0840000000001</v>
      </c>
      <c r="X69" s="353">
        <v>1044.6034475599999</v>
      </c>
      <c r="Y69" s="277">
        <f t="shared" si="20"/>
        <v>-6.9</v>
      </c>
      <c r="Z69" s="147">
        <v>10284.573328015977</v>
      </c>
      <c r="AA69" s="353">
        <v>6802.804473526834</v>
      </c>
      <c r="AB69" s="277">
        <f t="shared" si="28"/>
        <v>-33.9</v>
      </c>
      <c r="AC69" s="147">
        <v>-122</v>
      </c>
      <c r="AD69" s="353">
        <v>-217</v>
      </c>
      <c r="AE69" s="277">
        <f>IF(AC69=0, "    ---- ", IF(ABS(ROUND(100/AC69*AD69-100,1))&lt;999,ROUND(100/AC69*AD69-100,1),IF(ROUND(100/AC69*AD69-100,1)&gt;999,999,-999)))</f>
        <v>77.900000000000006</v>
      </c>
      <c r="AF69" s="394">
        <f t="shared" si="39"/>
        <v>68980.214239445981</v>
      </c>
      <c r="AG69" s="394">
        <f t="shared" si="39"/>
        <v>66590.21041852684</v>
      </c>
      <c r="AH69" s="277">
        <f t="shared" si="22"/>
        <v>-3.5</v>
      </c>
      <c r="AI69" s="394">
        <f t="shared" si="40"/>
        <v>68858.214239445981</v>
      </c>
      <c r="AJ69" s="394">
        <f t="shared" si="40"/>
        <v>66373.21041852684</v>
      </c>
      <c r="AK69" s="354">
        <f t="shared" si="24"/>
        <v>-3.6</v>
      </c>
    </row>
    <row r="70" spans="1:37" s="365" customFormat="1" ht="20.100000000000001" customHeight="1" x14ac:dyDescent="0.3">
      <c r="A70" s="427" t="s">
        <v>353</v>
      </c>
      <c r="B70" s="147">
        <v>1471.6210000000001</v>
      </c>
      <c r="C70" s="353">
        <v>1597.9034231799999</v>
      </c>
      <c r="D70" s="277">
        <f>IF(B70=0, "    ---- ", IF(ABS(ROUND(100/B70*C70-100,1))&lt;999,ROUND(100/B70*C70-100,1),IF(ROUND(100/B70*C70-100,1)&gt;999,999,-999)))</f>
        <v>8.6</v>
      </c>
      <c r="E70" s="147"/>
      <c r="F70" s="353"/>
      <c r="G70" s="277"/>
      <c r="H70" s="147">
        <v>0</v>
      </c>
      <c r="I70" s="353"/>
      <c r="J70" s="277"/>
      <c r="K70" s="147">
        <v>70</v>
      </c>
      <c r="L70" s="353">
        <v>164</v>
      </c>
      <c r="M70" s="277">
        <f>IF(K70=0, "    ---- ", IF(ABS(ROUND(100/K70*L70-100,1))&lt;999,ROUND(100/K70*L70-100,1),IF(ROUND(100/K70*L70-100,1)&gt;999,999,-999)))</f>
        <v>134.30000000000001</v>
      </c>
      <c r="N70" s="147">
        <v>3997.4305502100001</v>
      </c>
      <c r="O70" s="353">
        <v>4345.0114689100001</v>
      </c>
      <c r="P70" s="277">
        <f t="shared" si="38"/>
        <v>8.6999999999999993</v>
      </c>
      <c r="Q70" s="147">
        <v>306.91000000000003</v>
      </c>
      <c r="R70" s="353">
        <v>395.8</v>
      </c>
      <c r="S70" s="277">
        <f t="shared" si="26"/>
        <v>29</v>
      </c>
      <c r="T70" s="147"/>
      <c r="U70" s="353"/>
      <c r="V70" s="277"/>
      <c r="W70" s="147">
        <v>331.976</v>
      </c>
      <c r="X70" s="353">
        <v>292.13360280999973</v>
      </c>
      <c r="Y70" s="277">
        <f>IF(W70=0, "    ---- ", IF(ABS(ROUND(100/W70*X70-100,1))&lt;999,ROUND(100/W70*X70-100,1),IF(ROUND(100/W70*X70-100,1)&gt;999,999,-999)))</f>
        <v>-12</v>
      </c>
      <c r="Z70" s="147">
        <v>1313.48610405</v>
      </c>
      <c r="AA70" s="353">
        <v>1518.95204805</v>
      </c>
      <c r="AB70" s="277">
        <f t="shared" si="28"/>
        <v>15.6</v>
      </c>
      <c r="AC70" s="147"/>
      <c r="AD70" s="353"/>
      <c r="AE70" s="277"/>
      <c r="AF70" s="394">
        <f t="shared" si="39"/>
        <v>7491.4236542600001</v>
      </c>
      <c r="AG70" s="394">
        <f t="shared" si="39"/>
        <v>8313.800542949999</v>
      </c>
      <c r="AH70" s="277">
        <f t="shared" si="22"/>
        <v>11</v>
      </c>
      <c r="AI70" s="394">
        <f t="shared" si="40"/>
        <v>7491.4236542600001</v>
      </c>
      <c r="AJ70" s="394">
        <f t="shared" si="40"/>
        <v>8313.800542949999</v>
      </c>
      <c r="AK70" s="354">
        <f t="shared" si="24"/>
        <v>11</v>
      </c>
    </row>
    <row r="71" spans="1:37" s="365" customFormat="1" ht="20.100000000000001" customHeight="1" x14ac:dyDescent="0.3">
      <c r="A71" s="427" t="s">
        <v>354</v>
      </c>
      <c r="B71" s="147">
        <v>7000</v>
      </c>
      <c r="C71" s="353">
        <v>5500</v>
      </c>
      <c r="D71" s="277">
        <f t="shared" si="19"/>
        <v>-21.4</v>
      </c>
      <c r="E71" s="147">
        <v>250</v>
      </c>
      <c r="F71" s="353">
        <v>251.04499999999999</v>
      </c>
      <c r="G71" s="277">
        <f>IF(E71=0, "    ---- ", IF(ABS(ROUND(100/E71*F71-100,1))&lt;999,ROUND(100/E71*F71-100,1),IF(ROUND(100/E71*F71-100,1)&gt;999,999,-999)))</f>
        <v>0.4</v>
      </c>
      <c r="H71" s="147"/>
      <c r="I71" s="353"/>
      <c r="J71" s="277"/>
      <c r="K71" s="147">
        <v>301</v>
      </c>
      <c r="L71" s="353">
        <v>301</v>
      </c>
      <c r="M71" s="277">
        <f>IF(K71=0, "    ---- ", IF(ABS(ROUND(100/K71*L71-100,1))&lt;999,ROUND(100/K71*L71-100,1),IF(ROUND(100/K71*L71-100,1)&gt;999,999,-999)))</f>
        <v>0</v>
      </c>
      <c r="N71" s="147">
        <v>4818.1616492200001</v>
      </c>
      <c r="O71" s="353">
        <v>0</v>
      </c>
      <c r="P71" s="277">
        <f t="shared" si="38"/>
        <v>-100</v>
      </c>
      <c r="Q71" s="147">
        <v>2830</v>
      </c>
      <c r="R71" s="353">
        <v>2000</v>
      </c>
      <c r="S71" s="277">
        <f t="shared" si="26"/>
        <v>-29.3</v>
      </c>
      <c r="T71" s="147"/>
      <c r="U71" s="353"/>
      <c r="V71" s="277"/>
      <c r="W71" s="147"/>
      <c r="X71" s="353">
        <v>0</v>
      </c>
      <c r="Y71" s="277" t="str">
        <f t="shared" si="20"/>
        <v xml:space="preserve">    ---- </v>
      </c>
      <c r="Z71" s="147">
        <v>10083.239806510001</v>
      </c>
      <c r="AA71" s="353">
        <v>9553.8940830400006</v>
      </c>
      <c r="AB71" s="277">
        <f t="shared" si="28"/>
        <v>-5.2</v>
      </c>
      <c r="AC71" s="147"/>
      <c r="AD71" s="353"/>
      <c r="AE71" s="277"/>
      <c r="AF71" s="394">
        <f t="shared" si="39"/>
        <v>25282.401455730003</v>
      </c>
      <c r="AG71" s="394">
        <f t="shared" si="39"/>
        <v>17605.939083040001</v>
      </c>
      <c r="AH71" s="277">
        <f t="shared" si="22"/>
        <v>-30.4</v>
      </c>
      <c r="AI71" s="394">
        <f t="shared" si="40"/>
        <v>25282.401455730003</v>
      </c>
      <c r="AJ71" s="394">
        <f t="shared" si="40"/>
        <v>17605.939083040001</v>
      </c>
      <c r="AK71" s="354">
        <f t="shared" si="24"/>
        <v>-30.4</v>
      </c>
    </row>
    <row r="72" spans="1:37" s="365" customFormat="1" ht="20.100000000000001" customHeight="1" x14ac:dyDescent="0.3">
      <c r="A72" s="427" t="s">
        <v>355</v>
      </c>
      <c r="B72" s="147"/>
      <c r="C72" s="353"/>
      <c r="D72" s="277"/>
      <c r="E72" s="147"/>
      <c r="F72" s="353"/>
      <c r="G72" s="277"/>
      <c r="H72" s="147"/>
      <c r="I72" s="353"/>
      <c r="J72" s="277"/>
      <c r="K72" s="147"/>
      <c r="L72" s="353"/>
      <c r="M72" s="350"/>
      <c r="N72" s="147">
        <v>0</v>
      </c>
      <c r="O72" s="353">
        <v>0</v>
      </c>
      <c r="P72" s="277"/>
      <c r="Q72" s="147"/>
      <c r="R72" s="353"/>
      <c r="S72" s="277"/>
      <c r="T72" s="147"/>
      <c r="U72" s="353"/>
      <c r="V72" s="277"/>
      <c r="W72" s="147"/>
      <c r="X72" s="353"/>
      <c r="Y72" s="277"/>
      <c r="Z72" s="147"/>
      <c r="AA72" s="353"/>
      <c r="AB72" s="277"/>
      <c r="AC72" s="147"/>
      <c r="AD72" s="353"/>
      <c r="AE72" s="277"/>
      <c r="AF72" s="350"/>
      <c r="AG72" s="350"/>
      <c r="AH72" s="277"/>
      <c r="AI72" s="350"/>
      <c r="AJ72" s="350"/>
      <c r="AK72" s="354"/>
    </row>
    <row r="73" spans="1:37" s="365" customFormat="1" ht="20.100000000000001" customHeight="1" x14ac:dyDescent="0.3">
      <c r="A73" s="427" t="s">
        <v>356</v>
      </c>
      <c r="B73" s="147">
        <v>171681.636</v>
      </c>
      <c r="C73" s="353">
        <v>169120.41246113999</v>
      </c>
      <c r="D73" s="277">
        <f t="shared" si="19"/>
        <v>-1.5</v>
      </c>
      <c r="E73" s="147">
        <v>9935.316459499998</v>
      </c>
      <c r="F73" s="353">
        <v>10677.708807659999</v>
      </c>
      <c r="G73" s="277">
        <f>IF(E73=0, "    ---- ", IF(ABS(ROUND(100/E73*F73-100,1))&lt;999,ROUND(100/E73*F73-100,1),IF(ROUND(100/E73*F73-100,1)&gt;999,999,-999)))</f>
        <v>7.5</v>
      </c>
      <c r="H73" s="147">
        <v>2799.703</v>
      </c>
      <c r="I73" s="353">
        <v>3213.194</v>
      </c>
      <c r="J73" s="277">
        <f>IF(H73=0, "    ---- ", IF(ABS(ROUND(100/H73*I73-100,1))&lt;999,ROUND(100/H73*I73-100,1),IF(ROUND(100/H73*I73-100,1)&gt;999,999,-999)))</f>
        <v>14.8</v>
      </c>
      <c r="K73" s="147">
        <v>10932</v>
      </c>
      <c r="L73" s="353">
        <v>11637</v>
      </c>
      <c r="M73" s="350">
        <f>IF(K73=0, "    ---- ", IF(ABS(ROUND(100/K73*L73-100,1))&lt;999,ROUND(100/K73*L73-100,1),IF(ROUND(100/K73*L73-100,1)&gt;999,999,-999)))</f>
        <v>6.4</v>
      </c>
      <c r="N73" s="147">
        <v>613185.10955276003</v>
      </c>
      <c r="O73" s="353">
        <v>664908.92444426997</v>
      </c>
      <c r="P73" s="277">
        <f t="shared" si="38"/>
        <v>8.4</v>
      </c>
      <c r="Q73" s="147">
        <v>48204.58</v>
      </c>
      <c r="R73" s="353">
        <v>49208.7</v>
      </c>
      <c r="S73" s="277">
        <f t="shared" si="26"/>
        <v>2.1</v>
      </c>
      <c r="T73" s="147">
        <v>91749</v>
      </c>
      <c r="U73" s="353">
        <v>96720</v>
      </c>
      <c r="V73" s="277">
        <f>IF(T73=0, "    ---- ", IF(ABS(ROUND(100/T73*U73-100,1))&lt;999,ROUND(100/T73*U73-100,1),IF(ROUND(100/T73*U73-100,1)&gt;999,999,-999)))</f>
        <v>5.4</v>
      </c>
      <c r="W73" s="147">
        <v>21299.234</v>
      </c>
      <c r="X73" s="353">
        <v>22340.057281639998</v>
      </c>
      <c r="Y73" s="277">
        <f t="shared" si="20"/>
        <v>4.9000000000000004</v>
      </c>
      <c r="Z73" s="147">
        <v>199340.92211375001</v>
      </c>
      <c r="AA73" s="353">
        <v>202822.53055597993</v>
      </c>
      <c r="AB73" s="277">
        <f t="shared" si="28"/>
        <v>1.7</v>
      </c>
      <c r="AC73" s="147">
        <v>188</v>
      </c>
      <c r="AD73" s="353">
        <v>218</v>
      </c>
      <c r="AE73" s="277">
        <f t="shared" ref="AE73:AE77" si="41">IF(AC73=0, "    ---- ", IF(ABS(ROUND(100/AC73*AD73-100,1))&lt;999,ROUND(100/AC73*AD73-100,1),IF(ROUND(100/AC73*AD73-100,1)&gt;999,999,-999)))</f>
        <v>16</v>
      </c>
      <c r="AF73" s="394">
        <f t="shared" ref="AF73:AG80" si="42">B73+E73+H73+K73+N73+Q73+T73+W73+Z73</f>
        <v>1169127.50112601</v>
      </c>
      <c r="AG73" s="394">
        <f t="shared" si="42"/>
        <v>1230648.5275506899</v>
      </c>
      <c r="AH73" s="277">
        <f t="shared" si="22"/>
        <v>5.3</v>
      </c>
      <c r="AI73" s="394">
        <f t="shared" ref="AI73:AJ80" si="43">B73+E73+H73+K73+N73+Q73+T73+W73+Z73+AC73</f>
        <v>1169315.50112601</v>
      </c>
      <c r="AJ73" s="394">
        <f t="shared" si="43"/>
        <v>1230866.5275506899</v>
      </c>
      <c r="AK73" s="354">
        <f t="shared" si="24"/>
        <v>5.3</v>
      </c>
    </row>
    <row r="74" spans="1:37" s="365" customFormat="1" ht="20.100000000000001" customHeight="1" x14ac:dyDescent="0.3">
      <c r="A74" s="568" t="s">
        <v>421</v>
      </c>
      <c r="B74" s="76"/>
      <c r="C74" s="394"/>
      <c r="D74" s="277"/>
      <c r="E74" s="76"/>
      <c r="F74" s="394"/>
      <c r="G74" s="277"/>
      <c r="H74" s="76"/>
      <c r="I74" s="394"/>
      <c r="J74" s="277"/>
      <c r="K74" s="76"/>
      <c r="L74" s="394"/>
      <c r="M74" s="350"/>
      <c r="N74" s="76"/>
      <c r="O74" s="394"/>
      <c r="P74" s="277"/>
      <c r="Q74" s="76"/>
      <c r="R74" s="394"/>
      <c r="S74" s="277"/>
      <c r="T74" s="76"/>
      <c r="U74" s="394"/>
      <c r="V74" s="277"/>
      <c r="W74" s="76"/>
      <c r="X74" s="394"/>
      <c r="Y74" s="277"/>
      <c r="Z74" s="76"/>
      <c r="AA74" s="394"/>
      <c r="AB74" s="277"/>
      <c r="AC74" s="76"/>
      <c r="AD74" s="394"/>
      <c r="AE74" s="277"/>
      <c r="AF74" s="394">
        <f t="shared" si="42"/>
        <v>0</v>
      </c>
      <c r="AG74" s="394">
        <f t="shared" si="42"/>
        <v>0</v>
      </c>
      <c r="AH74" s="277" t="str">
        <f t="shared" si="22"/>
        <v xml:space="preserve">    ---- </v>
      </c>
      <c r="AI74" s="394">
        <f t="shared" si="43"/>
        <v>0</v>
      </c>
      <c r="AJ74" s="394">
        <f t="shared" si="43"/>
        <v>0</v>
      </c>
      <c r="AK74" s="354" t="str">
        <f t="shared" si="24"/>
        <v xml:space="preserve">    ---- </v>
      </c>
    </row>
    <row r="75" spans="1:37" s="365" customFormat="1" ht="20.100000000000001" customHeight="1" x14ac:dyDescent="0.3">
      <c r="A75" s="568" t="s">
        <v>357</v>
      </c>
      <c r="B75" s="76"/>
      <c r="C75" s="353"/>
      <c r="D75" s="277"/>
      <c r="E75" s="147"/>
      <c r="F75" s="353"/>
      <c r="G75" s="277"/>
      <c r="H75" s="147"/>
      <c r="I75" s="353"/>
      <c r="J75" s="277"/>
      <c r="K75" s="147"/>
      <c r="L75" s="353"/>
      <c r="M75" s="350"/>
      <c r="N75" s="76">
        <v>1E-8</v>
      </c>
      <c r="O75" s="353">
        <v>1E-8</v>
      </c>
      <c r="P75" s="277">
        <f t="shared" si="38"/>
        <v>0</v>
      </c>
      <c r="Q75" s="76"/>
      <c r="R75" s="394"/>
      <c r="S75" s="277"/>
      <c r="T75" s="76"/>
      <c r="U75" s="394"/>
      <c r="V75" s="277"/>
      <c r="W75" s="76"/>
      <c r="X75" s="394"/>
      <c r="Y75" s="277"/>
      <c r="Z75" s="76"/>
      <c r="AA75" s="394"/>
      <c r="AB75" s="277"/>
      <c r="AC75" s="76"/>
      <c r="AD75" s="394"/>
      <c r="AE75" s="277"/>
      <c r="AF75" s="394">
        <f t="shared" si="42"/>
        <v>1E-8</v>
      </c>
      <c r="AG75" s="394">
        <f t="shared" si="42"/>
        <v>1E-8</v>
      </c>
      <c r="AH75" s="277">
        <f t="shared" si="22"/>
        <v>0</v>
      </c>
      <c r="AI75" s="394">
        <f t="shared" si="43"/>
        <v>1E-8</v>
      </c>
      <c r="AJ75" s="394">
        <f t="shared" si="43"/>
        <v>1E-8</v>
      </c>
      <c r="AK75" s="354">
        <f t="shared" si="24"/>
        <v>0</v>
      </c>
    </row>
    <row r="76" spans="1:37" s="365" customFormat="1" ht="20.100000000000001" customHeight="1" x14ac:dyDescent="0.3">
      <c r="A76" s="427" t="s">
        <v>358</v>
      </c>
      <c r="B76" s="147">
        <v>7957.1779999999999</v>
      </c>
      <c r="C76" s="353">
        <v>9312.0804374400013</v>
      </c>
      <c r="D76" s="277">
        <f>IF(B76=0, "    ---- ", IF(ABS(ROUND(100/B76*C76-100,1))&lt;999,ROUND(100/B76*C76-100,1),IF(ROUND(100/B76*C76-100,1)&gt;999,999,-999)))</f>
        <v>17</v>
      </c>
      <c r="E76" s="147">
        <v>9.13512111</v>
      </c>
      <c r="F76" s="353">
        <v>16.836259469999998</v>
      </c>
      <c r="G76" s="277">
        <f>IF(E76=0, "    ---- ", IF(ABS(ROUND(100/E76*F76-100,1))&lt;999,ROUND(100/E76*F76-100,1),IF(ROUND(100/E76*F76-100,1)&gt;999,999,-999)))</f>
        <v>84.3</v>
      </c>
      <c r="H76" s="147"/>
      <c r="I76" s="353"/>
      <c r="J76" s="277"/>
      <c r="K76" s="147">
        <v>344</v>
      </c>
      <c r="L76" s="353">
        <v>448</v>
      </c>
      <c r="M76" s="277">
        <f>IF(K76=0, "    ---- ", IF(ABS(ROUND(100/K76*L76-100,1))&lt;999,ROUND(100/K76*L76-100,1),IF(ROUND(100/K76*L76-100,1)&gt;999,999,-999)))</f>
        <v>30.2</v>
      </c>
      <c r="N76" s="147">
        <v>118937.01029563999</v>
      </c>
      <c r="O76" s="353">
        <v>144580.97245872</v>
      </c>
      <c r="P76" s="277">
        <f>IF(N76=0, "    ---- ", IF(ABS(ROUND(100/N76*O76-100,1))&lt;999,ROUND(100/N76*O76-100,1),IF(ROUND(100/N76*O76-100,1)&gt;999,999,-999)))</f>
        <v>21.6</v>
      </c>
      <c r="Q76" s="147">
        <v>5789.43</v>
      </c>
      <c r="R76" s="353">
        <v>6124.6</v>
      </c>
      <c r="S76" s="277">
        <f>IF(Q76=0, "    ---- ", IF(ABS(ROUND(100/Q76*R76-100,1))&lt;999,ROUND(100/Q76*R76-100,1),IF(ROUND(100/Q76*R76-100,1)&gt;999,999,-999)))</f>
        <v>5.8</v>
      </c>
      <c r="T76" s="147">
        <v>32281</v>
      </c>
      <c r="U76" s="353">
        <v>35272</v>
      </c>
      <c r="V76" s="277">
        <f>IF(T76=0, "    ---- ", IF(ABS(ROUND(100/T76*U76-100,1))&lt;999,ROUND(100/T76*U76-100,1),IF(ROUND(100/T76*U76-100,1)&gt;999,999,-999)))</f>
        <v>9.3000000000000007</v>
      </c>
      <c r="W76" s="147">
        <v>3708.06</v>
      </c>
      <c r="X76" s="353">
        <v>4059.3675000800013</v>
      </c>
      <c r="Y76" s="277">
        <f>IF(W76=0, "    ---- ", IF(ABS(ROUND(100/W76*X76-100,1))&lt;999,ROUND(100/W76*X76-100,1),IF(ROUND(100/W76*X76-100,1)&gt;999,999,-999)))</f>
        <v>9.5</v>
      </c>
      <c r="Z76" s="147">
        <v>14196.759435839998</v>
      </c>
      <c r="AA76" s="353">
        <v>16237.427566950006</v>
      </c>
      <c r="AB76" s="277">
        <f>IF(Z76=0, "    ---- ", IF(ABS(ROUND(100/Z76*AA76-100,1))&lt;999,ROUND(100/Z76*AA76-100,1),IF(ROUND(100/Z76*AA76-100,1)&gt;999,999,-999)))</f>
        <v>14.4</v>
      </c>
      <c r="AC76" s="147">
        <v>2</v>
      </c>
      <c r="AD76" s="353">
        <v>2</v>
      </c>
      <c r="AE76" s="277">
        <f t="shared" si="41"/>
        <v>0</v>
      </c>
      <c r="AF76" s="394">
        <f t="shared" si="42"/>
        <v>183222.57285259</v>
      </c>
      <c r="AG76" s="394">
        <f t="shared" si="42"/>
        <v>216051.28422266</v>
      </c>
      <c r="AH76" s="277">
        <f>IF(AF76=0, "    ---- ", IF(ABS(ROUND(100/AF76*AG76-100,1))&lt;999,ROUND(100/AF76*AG76-100,1),IF(ROUND(100/AF76*AG76-100,1)&gt;999,999,-999)))</f>
        <v>17.899999999999999</v>
      </c>
      <c r="AI76" s="394">
        <f t="shared" si="43"/>
        <v>183224.57285259</v>
      </c>
      <c r="AJ76" s="394">
        <f t="shared" si="43"/>
        <v>216053.28422266</v>
      </c>
      <c r="AK76" s="277">
        <f>IF(AI76=0, "    ---- ", IF(ABS(ROUND(100/AI76*AJ76-100,1))&lt;999,ROUND(100/AI76*AJ76-100,1),IF(ROUND(100/AI76*AJ76-100,1)&gt;999,999,-999)))</f>
        <v>17.899999999999999</v>
      </c>
    </row>
    <row r="77" spans="1:37" s="365" customFormat="1" ht="20.100000000000001" customHeight="1" x14ac:dyDescent="0.3">
      <c r="A77" s="427" t="s">
        <v>359</v>
      </c>
      <c r="B77" s="147">
        <v>581.80600000000004</v>
      </c>
      <c r="C77" s="353">
        <v>724.79379152000035</v>
      </c>
      <c r="D77" s="277">
        <f t="shared" si="19"/>
        <v>24.6</v>
      </c>
      <c r="E77" s="147"/>
      <c r="F77" s="353"/>
      <c r="G77" s="277"/>
      <c r="H77" s="147"/>
      <c r="I77" s="353"/>
      <c r="J77" s="277"/>
      <c r="K77" s="147">
        <v>3</v>
      </c>
      <c r="L77" s="353">
        <v>1</v>
      </c>
      <c r="M77" s="277">
        <f>IF(K77=0, "    ---- ", IF(ABS(ROUND(100/K77*L77-100,1))&lt;999,ROUND(100/K77*L77-100,1),IF(ROUND(100/K77*L77-100,1)&gt;999,999,-999)))</f>
        <v>-66.7</v>
      </c>
      <c r="N77" s="147">
        <v>62523.807153649999</v>
      </c>
      <c r="O77" s="353">
        <v>63165.883959949999</v>
      </c>
      <c r="P77" s="277">
        <f t="shared" si="38"/>
        <v>1</v>
      </c>
      <c r="Q77" s="147">
        <v>970.63</v>
      </c>
      <c r="R77" s="353">
        <v>1100.8499999999999</v>
      </c>
      <c r="S77" s="277">
        <f t="shared" si="26"/>
        <v>13.4</v>
      </c>
      <c r="T77" s="147">
        <v>6140</v>
      </c>
      <c r="U77" s="353">
        <v>7488</v>
      </c>
      <c r="V77" s="277">
        <f>IF(T77=0, "    ---- ", IF(ABS(ROUND(100/T77*U77-100,1))&lt;999,ROUND(100/T77*U77-100,1),IF(ROUND(100/T77*U77-100,1)&gt;999,999,-999)))</f>
        <v>22</v>
      </c>
      <c r="W77" s="147">
        <v>264.96699999999998</v>
      </c>
      <c r="X77" s="353">
        <v>286.44225812999986</v>
      </c>
      <c r="Y77" s="277">
        <f t="shared" si="20"/>
        <v>8.1</v>
      </c>
      <c r="Z77" s="147">
        <v>4092.1507576900012</v>
      </c>
      <c r="AA77" s="353">
        <v>5324.3323510799983</v>
      </c>
      <c r="AB77" s="277">
        <f t="shared" si="28"/>
        <v>30.1</v>
      </c>
      <c r="AC77" s="147">
        <v>5</v>
      </c>
      <c r="AD77" s="353">
        <v>1</v>
      </c>
      <c r="AE77" s="277">
        <f t="shared" si="41"/>
        <v>-80</v>
      </c>
      <c r="AF77" s="394">
        <f t="shared" si="42"/>
        <v>74576.360911340002</v>
      </c>
      <c r="AG77" s="394">
        <f t="shared" si="42"/>
        <v>78091.302360679998</v>
      </c>
      <c r="AH77" s="277">
        <f t="shared" si="22"/>
        <v>4.7</v>
      </c>
      <c r="AI77" s="394">
        <f t="shared" si="43"/>
        <v>74581.360911340002</v>
      </c>
      <c r="AJ77" s="394">
        <f t="shared" si="43"/>
        <v>78092.302360679998</v>
      </c>
      <c r="AK77" s="354">
        <f t="shared" si="24"/>
        <v>4.7</v>
      </c>
    </row>
    <row r="78" spans="1:37" s="365" customFormat="1" ht="20.100000000000001" customHeight="1" x14ac:dyDescent="0.3">
      <c r="A78" s="427" t="s">
        <v>360</v>
      </c>
      <c r="B78" s="147">
        <v>3996.85</v>
      </c>
      <c r="C78" s="353">
        <v>4227.875</v>
      </c>
      <c r="D78" s="277">
        <f t="shared" si="19"/>
        <v>5.8</v>
      </c>
      <c r="E78" s="147"/>
      <c r="F78" s="353"/>
      <c r="G78" s="277"/>
      <c r="H78" s="147"/>
      <c r="I78" s="353"/>
      <c r="J78" s="277"/>
      <c r="K78" s="147"/>
      <c r="L78" s="353"/>
      <c r="M78" s="350"/>
      <c r="N78" s="147"/>
      <c r="O78" s="353"/>
      <c r="P78" s="277"/>
      <c r="Q78" s="147"/>
      <c r="R78" s="353"/>
      <c r="S78" s="277"/>
      <c r="T78" s="147"/>
      <c r="U78" s="353"/>
      <c r="V78" s="277"/>
      <c r="W78" s="147"/>
      <c r="X78" s="353">
        <v>0</v>
      </c>
      <c r="Y78" s="277" t="str">
        <f t="shared" si="20"/>
        <v xml:space="preserve">    ---- </v>
      </c>
      <c r="Z78" s="147">
        <v>1013.4854633</v>
      </c>
      <c r="AA78" s="353">
        <v>1139.01925583</v>
      </c>
      <c r="AB78" s="277">
        <f t="shared" si="28"/>
        <v>12.4</v>
      </c>
      <c r="AC78" s="147"/>
      <c r="AD78" s="353"/>
      <c r="AE78" s="277"/>
      <c r="AF78" s="394">
        <f t="shared" si="42"/>
        <v>5010.3354632999999</v>
      </c>
      <c r="AG78" s="394">
        <f t="shared" si="42"/>
        <v>5366.8942558300005</v>
      </c>
      <c r="AH78" s="277">
        <f t="shared" si="22"/>
        <v>7.1</v>
      </c>
      <c r="AI78" s="394">
        <f t="shared" si="43"/>
        <v>5010.3354632999999</v>
      </c>
      <c r="AJ78" s="394">
        <f t="shared" si="43"/>
        <v>5366.8942558300005</v>
      </c>
      <c r="AK78" s="354">
        <f t="shared" si="24"/>
        <v>7.1</v>
      </c>
    </row>
    <row r="79" spans="1:37" s="365" customFormat="1" ht="20.100000000000001" customHeight="1" x14ac:dyDescent="0.3">
      <c r="A79" s="427" t="s">
        <v>361</v>
      </c>
      <c r="B79" s="147"/>
      <c r="C79" s="353"/>
      <c r="D79" s="277"/>
      <c r="E79" s="147"/>
      <c r="F79" s="353"/>
      <c r="G79" s="277"/>
      <c r="H79" s="147"/>
      <c r="I79" s="353"/>
      <c r="J79" s="277"/>
      <c r="K79" s="147"/>
      <c r="L79" s="353"/>
      <c r="M79" s="350"/>
      <c r="N79" s="147">
        <v>166.75044600000001</v>
      </c>
      <c r="O79" s="353">
        <v>3609.4917190000001</v>
      </c>
      <c r="P79" s="277">
        <f t="shared" si="38"/>
        <v>999</v>
      </c>
      <c r="Q79" s="147"/>
      <c r="R79" s="353"/>
      <c r="S79" s="277"/>
      <c r="T79" s="147">
        <v>31</v>
      </c>
      <c r="U79" s="353">
        <v>86</v>
      </c>
      <c r="V79" s="277">
        <f>IF(T79=0, "    ---- ", IF(ABS(ROUND(100/T79*U79-100,1))&lt;999,ROUND(100/T79*U79-100,1),IF(ROUND(100/T79*U79-100,1)&gt;999,999,-999)))</f>
        <v>177.4</v>
      </c>
      <c r="W79" s="147">
        <v>96.538258030000492</v>
      </c>
      <c r="X79" s="353">
        <v>-30.299485870000026</v>
      </c>
      <c r="Y79" s="277"/>
      <c r="Z79" s="147">
        <v>232.939438</v>
      </c>
      <c r="AA79" s="353">
        <v>207.34874400000001</v>
      </c>
      <c r="AB79" s="277"/>
      <c r="AC79" s="147"/>
      <c r="AD79" s="353"/>
      <c r="AE79" s="277"/>
      <c r="AF79" s="394">
        <f t="shared" si="42"/>
        <v>527.22814203000053</v>
      </c>
      <c r="AG79" s="394">
        <f t="shared" si="42"/>
        <v>3872.5409771300001</v>
      </c>
      <c r="AH79" s="277">
        <f t="shared" si="22"/>
        <v>634.5</v>
      </c>
      <c r="AI79" s="394">
        <f t="shared" si="43"/>
        <v>527.22814203000053</v>
      </c>
      <c r="AJ79" s="394">
        <f t="shared" si="43"/>
        <v>3872.5409771300001</v>
      </c>
      <c r="AK79" s="354">
        <f t="shared" si="24"/>
        <v>634.5</v>
      </c>
    </row>
    <row r="80" spans="1:37" s="365" customFormat="1" ht="20.100000000000001" customHeight="1" x14ac:dyDescent="0.3">
      <c r="A80" s="463" t="s">
        <v>362</v>
      </c>
      <c r="B80" s="147">
        <f>SUM(B73:B79)</f>
        <v>184217.47000000003</v>
      </c>
      <c r="C80" s="353">
        <f>SUM(C73:C79)</f>
        <v>183385.16169009998</v>
      </c>
      <c r="D80" s="277">
        <f t="shared" si="19"/>
        <v>-0.5</v>
      </c>
      <c r="E80" s="147">
        <f>SUM(E73:E79)</f>
        <v>9944.4515806099989</v>
      </c>
      <c r="F80" s="353">
        <f>SUM(F73:F79)</f>
        <v>10694.545067129999</v>
      </c>
      <c r="G80" s="277">
        <f>IF(E80=0, "    ---- ", IF(ABS(ROUND(100/E80*F80-100,1))&lt;999,ROUND(100/E80*F80-100,1),IF(ROUND(100/E80*F80-100,1)&gt;999,999,-999)))</f>
        <v>7.5</v>
      </c>
      <c r="H80" s="147">
        <f>SUM(H73:H79)</f>
        <v>2799.703</v>
      </c>
      <c r="I80" s="353">
        <f>SUM(I73:I79)</f>
        <v>3213.194</v>
      </c>
      <c r="J80" s="277">
        <f>IF(H80=0, "    ---- ", IF(ABS(ROUND(100/H80*I80-100,1))&lt;999,ROUND(100/H80*I80-100,1),IF(ROUND(100/H80*I80-100,1)&gt;999,999,-999)))</f>
        <v>14.8</v>
      </c>
      <c r="K80" s="147">
        <f>SUM(K73:K79)</f>
        <v>11279</v>
      </c>
      <c r="L80" s="353">
        <f>SUM(L73:L79)</f>
        <v>12086</v>
      </c>
      <c r="M80" s="350">
        <f>IF(K80=0, "    ---- ", IF(ABS(ROUND(100/K80*L80-100,1))&lt;999,ROUND(100/K80*L80-100,1),IF(ROUND(100/K80*L80-100,1)&gt;999,999,-999)))</f>
        <v>7.2</v>
      </c>
      <c r="N80" s="147">
        <v>794812.67744806001</v>
      </c>
      <c r="O80" s="353">
        <v>876265.27258194995</v>
      </c>
      <c r="P80" s="277">
        <f t="shared" si="38"/>
        <v>10.199999999999999</v>
      </c>
      <c r="Q80" s="147">
        <f>SUM(Q73:Q79)</f>
        <v>54964.639999999999</v>
      </c>
      <c r="R80" s="353">
        <f>SUM(R73:R79)</f>
        <v>56434.149999999994</v>
      </c>
      <c r="S80" s="277">
        <f t="shared" si="26"/>
        <v>2.7</v>
      </c>
      <c r="T80" s="147">
        <v>130201</v>
      </c>
      <c r="U80" s="353">
        <f>SUM(U73:U79)</f>
        <v>139566</v>
      </c>
      <c r="V80" s="277">
        <f>IF(T80=0, "    ---- ", IF(ABS(ROUND(100/T80*U80-100,1))&lt;999,ROUND(100/T80*U80-100,1),IF(ROUND(100/T80*U80-100,1)&gt;999,999,-999)))</f>
        <v>7.2</v>
      </c>
      <c r="W80" s="147">
        <f>SUM(W73:W79)</f>
        <v>25368.799258030002</v>
      </c>
      <c r="X80" s="353">
        <f>SUM(X73:X79)</f>
        <v>26655.56755398</v>
      </c>
      <c r="Y80" s="277">
        <f t="shared" si="20"/>
        <v>5.0999999999999996</v>
      </c>
      <c r="Z80" s="147">
        <f>SUM(Z73:Z79)</f>
        <v>218876.25720858001</v>
      </c>
      <c r="AA80" s="353">
        <f>SUM(AA73:AA79)</f>
        <v>225730.65847383993</v>
      </c>
      <c r="AB80" s="277">
        <f t="shared" si="28"/>
        <v>3.1</v>
      </c>
      <c r="AC80" s="147">
        <f>SUM(AC73:AC79)</f>
        <v>195</v>
      </c>
      <c r="AD80" s="353">
        <f>SUM(AD73:AD79)</f>
        <v>221</v>
      </c>
      <c r="AE80" s="277">
        <f>IF(AC80=0, "    ---- ", IF(ABS(ROUND(100/AC80*AD80-100,1))&lt;999,ROUND(100/AC80*AD80-100,1),IF(ROUND(100/AC80*AD80-100,1)&gt;999,999,-999)))</f>
        <v>13.3</v>
      </c>
      <c r="AF80" s="394">
        <f t="shared" si="42"/>
        <v>1432463.99849528</v>
      </c>
      <c r="AG80" s="394">
        <f t="shared" si="42"/>
        <v>1534030.5493669999</v>
      </c>
      <c r="AH80" s="277">
        <f t="shared" si="22"/>
        <v>7.1</v>
      </c>
      <c r="AI80" s="394">
        <f t="shared" si="43"/>
        <v>1432658.99849528</v>
      </c>
      <c r="AJ80" s="394">
        <f t="shared" si="43"/>
        <v>1534251.5493669999</v>
      </c>
      <c r="AK80" s="354">
        <f t="shared" si="24"/>
        <v>7.1</v>
      </c>
    </row>
    <row r="81" spans="1:37" s="365" customFormat="1" ht="20.100000000000001" customHeight="1" x14ac:dyDescent="0.3">
      <c r="A81" s="427" t="s">
        <v>363</v>
      </c>
      <c r="B81" s="147"/>
      <c r="C81" s="353"/>
      <c r="D81" s="277"/>
      <c r="E81" s="147"/>
      <c r="F81" s="353"/>
      <c r="G81" s="277"/>
      <c r="H81" s="147"/>
      <c r="I81" s="353"/>
      <c r="J81" s="277"/>
      <c r="K81" s="147"/>
      <c r="L81" s="353"/>
      <c r="M81" s="350"/>
      <c r="N81" s="147"/>
      <c r="O81" s="353"/>
      <c r="P81" s="277"/>
      <c r="Q81" s="147"/>
      <c r="R81" s="353"/>
      <c r="S81" s="277"/>
      <c r="T81" s="147"/>
      <c r="U81" s="353"/>
      <c r="V81" s="277"/>
      <c r="W81" s="147"/>
      <c r="X81" s="353"/>
      <c r="Y81" s="277"/>
      <c r="Z81" s="147"/>
      <c r="AA81" s="353"/>
      <c r="AB81" s="277"/>
      <c r="AC81" s="147"/>
      <c r="AD81" s="353"/>
      <c r="AE81" s="277"/>
      <c r="AF81" s="350"/>
      <c r="AG81" s="350"/>
      <c r="AH81" s="277"/>
      <c r="AI81" s="350"/>
      <c r="AJ81" s="350"/>
      <c r="AK81" s="354"/>
    </row>
    <row r="82" spans="1:37" s="365" customFormat="1" ht="20.100000000000001" customHeight="1" x14ac:dyDescent="0.3">
      <c r="A82" s="427" t="s">
        <v>364</v>
      </c>
      <c r="B82" s="147">
        <v>203311.90400000001</v>
      </c>
      <c r="C82" s="353">
        <v>245846.905</v>
      </c>
      <c r="D82" s="277">
        <f t="shared" si="19"/>
        <v>20.9</v>
      </c>
      <c r="E82" s="147"/>
      <c r="F82" s="353"/>
      <c r="G82" s="277"/>
      <c r="H82" s="147"/>
      <c r="I82" s="353"/>
      <c r="J82" s="277"/>
      <c r="K82" s="147">
        <v>76854</v>
      </c>
      <c r="L82" s="353">
        <v>90894</v>
      </c>
      <c r="M82" s="350">
        <f>IF(K82=0, "    ---- ", IF(ABS(ROUND(100/K82*L82-100,1))&lt;999,ROUND(100/K82*L82-100,1),IF(ROUND(100/K82*L82-100,1)&gt;999,999,-999)))</f>
        <v>18.3</v>
      </c>
      <c r="N82" s="147">
        <v>2287.4218835400002</v>
      </c>
      <c r="O82" s="353">
        <v>1879.18151416</v>
      </c>
      <c r="P82" s="277">
        <f t="shared" ref="P82:P93" si="44">IF(N82=0, "    ---- ", IF(ABS(ROUND(100/N82*O82-100,1))&lt;999,ROUND(100/N82*O82-100,1),IF(ROUND(100/N82*O82-100,1)&gt;999,999,-999)))</f>
        <v>-17.8</v>
      </c>
      <c r="Q82" s="147">
        <v>177451.03</v>
      </c>
      <c r="R82" s="353">
        <v>217451.09</v>
      </c>
      <c r="S82" s="277">
        <f t="shared" si="26"/>
        <v>22.5</v>
      </c>
      <c r="T82" s="147"/>
      <c r="U82" s="353"/>
      <c r="V82" s="277"/>
      <c r="W82" s="147">
        <v>83116.001999999993</v>
      </c>
      <c r="X82" s="353">
        <v>95485.594834210002</v>
      </c>
      <c r="Y82" s="277">
        <f t="shared" si="20"/>
        <v>14.9</v>
      </c>
      <c r="Z82" s="147">
        <v>244715.2028286531</v>
      </c>
      <c r="AA82" s="353">
        <v>282643.79311119986</v>
      </c>
      <c r="AB82" s="277">
        <f t="shared" si="28"/>
        <v>15.5</v>
      </c>
      <c r="AC82" s="147"/>
      <c r="AD82" s="353"/>
      <c r="AE82" s="277"/>
      <c r="AF82" s="394">
        <f t="shared" ref="AF82:AG91" si="45">B82+E82+H82+K82+N82+Q82+T82+W82+Z82</f>
        <v>787735.56071219314</v>
      </c>
      <c r="AG82" s="394">
        <f t="shared" si="45"/>
        <v>934200.56445956987</v>
      </c>
      <c r="AH82" s="277">
        <f t="shared" si="22"/>
        <v>18.600000000000001</v>
      </c>
      <c r="AI82" s="394">
        <f t="shared" ref="AI82:AJ91" si="46">B82+E82+H82+K82+N82+Q82+T82+W82+Z82+AC82</f>
        <v>787735.56071219314</v>
      </c>
      <c r="AJ82" s="394">
        <f t="shared" si="46"/>
        <v>934200.56445956987</v>
      </c>
      <c r="AK82" s="354">
        <f t="shared" si="24"/>
        <v>18.600000000000001</v>
      </c>
    </row>
    <row r="83" spans="1:37" s="365" customFormat="1" ht="20.100000000000001" customHeight="1" x14ac:dyDescent="0.3">
      <c r="A83" s="568" t="s">
        <v>421</v>
      </c>
      <c r="B83" s="147"/>
      <c r="C83" s="353"/>
      <c r="D83" s="277"/>
      <c r="E83" s="147"/>
      <c r="F83" s="353"/>
      <c r="G83" s="277"/>
      <c r="H83" s="147"/>
      <c r="I83" s="353"/>
      <c r="J83" s="277"/>
      <c r="K83" s="147"/>
      <c r="L83" s="353"/>
      <c r="M83" s="277"/>
      <c r="N83" s="147"/>
      <c r="O83" s="353"/>
      <c r="P83" s="277"/>
      <c r="Q83" s="147"/>
      <c r="R83" s="353"/>
      <c r="S83" s="277"/>
      <c r="T83" s="147"/>
      <c r="U83" s="353"/>
      <c r="V83" s="277"/>
      <c r="W83" s="147"/>
      <c r="X83" s="353">
        <v>-8.8261626660823816E-10</v>
      </c>
      <c r="Y83" s="277" t="str">
        <f t="shared" si="20"/>
        <v xml:space="preserve">    ---- </v>
      </c>
      <c r="Z83" s="147"/>
      <c r="AA83" s="353"/>
      <c r="AB83" s="277" t="str">
        <f t="shared" si="28"/>
        <v xml:space="preserve">    ---- </v>
      </c>
      <c r="AC83" s="147"/>
      <c r="AD83" s="353"/>
      <c r="AE83" s="277"/>
      <c r="AF83" s="394">
        <f t="shared" si="45"/>
        <v>0</v>
      </c>
      <c r="AG83" s="76"/>
      <c r="AH83" s="277" t="str">
        <f t="shared" si="22"/>
        <v xml:space="preserve">    ---- </v>
      </c>
      <c r="AI83" s="394">
        <f t="shared" si="46"/>
        <v>0</v>
      </c>
      <c r="AJ83" s="76"/>
      <c r="AK83" s="354" t="str">
        <f t="shared" si="24"/>
        <v xml:space="preserve">    ---- </v>
      </c>
    </row>
    <row r="84" spans="1:37" s="365" customFormat="1" ht="20.100000000000001" customHeight="1" x14ac:dyDescent="0.3">
      <c r="A84" s="427" t="s">
        <v>365</v>
      </c>
      <c r="B84" s="147"/>
      <c r="C84" s="353"/>
      <c r="D84" s="277"/>
      <c r="E84" s="147"/>
      <c r="F84" s="353"/>
      <c r="G84" s="277"/>
      <c r="H84" s="147"/>
      <c r="I84" s="353"/>
      <c r="J84" s="277"/>
      <c r="K84" s="147"/>
      <c r="L84" s="353"/>
      <c r="M84" s="277"/>
      <c r="N84" s="147">
        <v>219.01800154</v>
      </c>
      <c r="O84" s="353">
        <v>331.20604737000002</v>
      </c>
      <c r="P84" s="277">
        <f t="shared" si="44"/>
        <v>51.2</v>
      </c>
      <c r="Q84" s="147"/>
      <c r="R84" s="353"/>
      <c r="S84" s="277"/>
      <c r="T84" s="147"/>
      <c r="U84" s="353"/>
      <c r="V84" s="277"/>
      <c r="W84" s="147"/>
      <c r="X84" s="353">
        <v>0</v>
      </c>
      <c r="Y84" s="277"/>
      <c r="Z84" s="147"/>
      <c r="AA84" s="353"/>
      <c r="AB84" s="277"/>
      <c r="AC84" s="147"/>
      <c r="AD84" s="353"/>
      <c r="AE84" s="277"/>
      <c r="AF84" s="394">
        <f t="shared" si="45"/>
        <v>219.01800154</v>
      </c>
      <c r="AG84" s="394">
        <f t="shared" si="45"/>
        <v>331.20604737000002</v>
      </c>
      <c r="AH84" s="277"/>
      <c r="AI84" s="394">
        <f t="shared" si="46"/>
        <v>219.01800154</v>
      </c>
      <c r="AJ84" s="394">
        <f t="shared" si="46"/>
        <v>331.20604737000002</v>
      </c>
      <c r="AK84" s="354">
        <f t="shared" si="24"/>
        <v>51.2</v>
      </c>
    </row>
    <row r="85" spans="1:37" s="365" customFormat="1" ht="20.100000000000001" customHeight="1" x14ac:dyDescent="0.3">
      <c r="A85" s="427" t="s">
        <v>366</v>
      </c>
      <c r="B85" s="435">
        <v>256.79599999999999</v>
      </c>
      <c r="C85" s="277">
        <v>110.744</v>
      </c>
      <c r="D85" s="277">
        <f t="shared" si="19"/>
        <v>-56.9</v>
      </c>
      <c r="E85" s="435"/>
      <c r="F85" s="277"/>
      <c r="G85" s="277"/>
      <c r="H85" s="435"/>
      <c r="I85" s="277"/>
      <c r="J85" s="277"/>
      <c r="K85" s="435">
        <v>115</v>
      </c>
      <c r="L85" s="277">
        <v>107</v>
      </c>
      <c r="M85" s="277">
        <f>IF(K85=0, "    ---- ", IF(ABS(ROUND(100/K85*L85-100,1))&lt;999,ROUND(100/K85*L85-100,1),IF(ROUND(100/K85*L85-100,1)&gt;999,999,-999)))</f>
        <v>-7</v>
      </c>
      <c r="N85" s="435">
        <v>600.06663325</v>
      </c>
      <c r="O85" s="277">
        <v>519.53807434999999</v>
      </c>
      <c r="P85" s="277">
        <f t="shared" si="44"/>
        <v>-13.4</v>
      </c>
      <c r="Q85" s="435"/>
      <c r="R85" s="277"/>
      <c r="S85" s="277"/>
      <c r="T85" s="435"/>
      <c r="U85" s="277"/>
      <c r="V85" s="277"/>
      <c r="W85" s="435">
        <v>951.50599999999997</v>
      </c>
      <c r="X85" s="277">
        <v>1050.0783584599999</v>
      </c>
      <c r="Y85" s="277">
        <f t="shared" si="20"/>
        <v>10.4</v>
      </c>
      <c r="Z85" s="435"/>
      <c r="AA85" s="277"/>
      <c r="AB85" s="277" t="str">
        <f t="shared" si="28"/>
        <v xml:space="preserve">    ---- </v>
      </c>
      <c r="AC85" s="435"/>
      <c r="AD85" s="277"/>
      <c r="AE85" s="277"/>
      <c r="AF85" s="394">
        <f t="shared" si="45"/>
        <v>1923.3686332500001</v>
      </c>
      <c r="AG85" s="394">
        <f t="shared" si="45"/>
        <v>1787.36043281</v>
      </c>
      <c r="AH85" s="277">
        <f t="shared" si="22"/>
        <v>-7.1</v>
      </c>
      <c r="AI85" s="394">
        <f t="shared" si="46"/>
        <v>1923.3686332500001</v>
      </c>
      <c r="AJ85" s="394">
        <f t="shared" si="46"/>
        <v>1787.36043281</v>
      </c>
      <c r="AK85" s="354">
        <f t="shared" si="24"/>
        <v>-7.1</v>
      </c>
    </row>
    <row r="86" spans="1:37" s="365" customFormat="1" ht="20.100000000000001" customHeight="1" x14ac:dyDescent="0.3">
      <c r="A86" s="427" t="s">
        <v>361</v>
      </c>
      <c r="B86" s="147"/>
      <c r="C86" s="353"/>
      <c r="D86" s="353"/>
      <c r="E86" s="147"/>
      <c r="F86" s="353"/>
      <c r="G86" s="353"/>
      <c r="H86" s="147"/>
      <c r="I86" s="353"/>
      <c r="J86" s="353"/>
      <c r="K86" s="147"/>
      <c r="L86" s="353"/>
      <c r="M86" s="350"/>
      <c r="N86" s="147">
        <v>1.2495540000000001</v>
      </c>
      <c r="O86" s="353">
        <v>11.855953</v>
      </c>
      <c r="P86" s="277">
        <f t="shared" si="44"/>
        <v>848.8</v>
      </c>
      <c r="Q86" s="147"/>
      <c r="R86" s="353"/>
      <c r="S86" s="277"/>
      <c r="T86" s="147"/>
      <c r="U86" s="353"/>
      <c r="V86" s="277"/>
      <c r="W86" s="147"/>
      <c r="X86" s="353"/>
      <c r="Y86" s="277"/>
      <c r="Z86" s="147"/>
      <c r="AA86" s="353">
        <v>-17.288205999999999</v>
      </c>
      <c r="AB86" s="277"/>
      <c r="AC86" s="147"/>
      <c r="AD86" s="353"/>
      <c r="AE86" s="277"/>
      <c r="AF86" s="394">
        <f t="shared" si="45"/>
        <v>1.2495540000000001</v>
      </c>
      <c r="AG86" s="394">
        <f t="shared" si="45"/>
        <v>-5.4322529999999993</v>
      </c>
      <c r="AH86" s="277">
        <f t="shared" si="22"/>
        <v>-534.70000000000005</v>
      </c>
      <c r="AI86" s="394">
        <f t="shared" si="46"/>
        <v>1.2495540000000001</v>
      </c>
      <c r="AJ86" s="394">
        <f t="shared" si="46"/>
        <v>-5.4322529999999993</v>
      </c>
      <c r="AK86" s="354">
        <f t="shared" si="24"/>
        <v>-534.70000000000005</v>
      </c>
    </row>
    <row r="87" spans="1:37" s="365" customFormat="1" ht="20.100000000000001" customHeight="1" x14ac:dyDescent="0.3">
      <c r="A87" s="463" t="s">
        <v>367</v>
      </c>
      <c r="B87" s="147">
        <f>SUM(B82:B86)</f>
        <v>203568.7</v>
      </c>
      <c r="C87" s="353">
        <f>SUM(C82:C86)</f>
        <v>245957.649</v>
      </c>
      <c r="D87" s="353">
        <f t="shared" si="19"/>
        <v>20.8</v>
      </c>
      <c r="E87" s="147"/>
      <c r="F87" s="353">
        <f>SUM(F82:F86)</f>
        <v>0</v>
      </c>
      <c r="G87" s="353"/>
      <c r="H87" s="147"/>
      <c r="I87" s="353"/>
      <c r="J87" s="353"/>
      <c r="K87" s="147">
        <f>SUM(K82:K86)</f>
        <v>76969</v>
      </c>
      <c r="L87" s="353">
        <f>SUM(L82:L86)</f>
        <v>91001</v>
      </c>
      <c r="M87" s="350">
        <f>IF(K87=0, "    ---- ", IF(ABS(ROUND(100/K87*L87-100,1))&lt;999,ROUND(100/K87*L87-100,1),IF(ROUND(100/K87*L87-100,1)&gt;999,999,-999)))</f>
        <v>18.2</v>
      </c>
      <c r="N87" s="147">
        <v>3107.7560723300003</v>
      </c>
      <c r="O87" s="353">
        <v>2741.7815888799996</v>
      </c>
      <c r="P87" s="277">
        <f t="shared" si="44"/>
        <v>-11.8</v>
      </c>
      <c r="Q87" s="147">
        <f>SUM(Q82:Q86)</f>
        <v>177451.03</v>
      </c>
      <c r="R87" s="353">
        <f>SUM(R82:R86)</f>
        <v>217451.09</v>
      </c>
      <c r="S87" s="277">
        <f t="shared" si="26"/>
        <v>22.5</v>
      </c>
      <c r="T87" s="147"/>
      <c r="U87" s="353"/>
      <c r="V87" s="277"/>
      <c r="W87" s="147">
        <f>SUM(W82:W86)</f>
        <v>84067.507999999987</v>
      </c>
      <c r="X87" s="353">
        <f>SUM(X82:X86)</f>
        <v>96535.673192669114</v>
      </c>
      <c r="Y87" s="277">
        <f t="shared" si="20"/>
        <v>14.8</v>
      </c>
      <c r="Z87" s="147">
        <f>SUM(Z82:Z86)</f>
        <v>244715.2028286531</v>
      </c>
      <c r="AA87" s="353">
        <f>SUM(AA82:AA86)</f>
        <v>282626.50490519986</v>
      </c>
      <c r="AB87" s="277">
        <f t="shared" si="28"/>
        <v>15.5</v>
      </c>
      <c r="AC87" s="147"/>
      <c r="AD87" s="353"/>
      <c r="AE87" s="277"/>
      <c r="AF87" s="394">
        <f t="shared" si="45"/>
        <v>789879.19690098311</v>
      </c>
      <c r="AG87" s="394">
        <f t="shared" si="45"/>
        <v>936313.69868674898</v>
      </c>
      <c r="AH87" s="277">
        <f t="shared" si="22"/>
        <v>18.5</v>
      </c>
      <c r="AI87" s="394">
        <f t="shared" si="46"/>
        <v>789879.19690098311</v>
      </c>
      <c r="AJ87" s="394">
        <f t="shared" si="46"/>
        <v>936313.69868674898</v>
      </c>
      <c r="AK87" s="354">
        <f t="shared" si="24"/>
        <v>18.5</v>
      </c>
    </row>
    <row r="88" spans="1:37" s="365" customFormat="1" ht="20.100000000000001" customHeight="1" x14ac:dyDescent="0.3">
      <c r="A88" s="427" t="s">
        <v>368</v>
      </c>
      <c r="B88" s="147">
        <v>1203.6679999999999</v>
      </c>
      <c r="C88" s="353">
        <v>1843.875</v>
      </c>
      <c r="D88" s="277">
        <f t="shared" si="19"/>
        <v>53.2</v>
      </c>
      <c r="E88" s="147">
        <v>1470.40759144</v>
      </c>
      <c r="F88" s="353">
        <v>1141.1823387699999</v>
      </c>
      <c r="G88" s="277">
        <f>IF(E88=0, "    ---- ", IF(ABS(ROUND(100/E88*F88-100,1))&lt;999,ROUND(100/E88*F88-100,1),IF(ROUND(100/E88*F88-100,1)&gt;999,999,-999)))</f>
        <v>-22.4</v>
      </c>
      <c r="H88" s="147">
        <v>100.084</v>
      </c>
      <c r="I88" s="353">
        <v>74.102999999999994</v>
      </c>
      <c r="J88" s="277">
        <f>IF(H88=0, "    ---- ", IF(ABS(ROUND(100/H88*I88-100,1))&lt;999,ROUND(100/H88*I88-100,1),IF(ROUND(100/H88*I88-100,1)&gt;999,999,-999)))</f>
        <v>-26</v>
      </c>
      <c r="K88" s="147">
        <v>156</v>
      </c>
      <c r="L88" s="353">
        <v>58</v>
      </c>
      <c r="M88" s="277">
        <f>IF(K88=0, "    ---- ", IF(ABS(ROUND(100/K88*L88-100,1))&lt;999,ROUND(100/K88*L88-100,1),IF(ROUND(100/K88*L88-100,1)&gt;999,999,-999)))</f>
        <v>-62.8</v>
      </c>
      <c r="N88" s="147">
        <v>1491.97976307</v>
      </c>
      <c r="O88" s="353">
        <v>1214.76621155</v>
      </c>
      <c r="P88" s="277">
        <f t="shared" si="44"/>
        <v>-18.600000000000001</v>
      </c>
      <c r="Q88" s="147">
        <v>941</v>
      </c>
      <c r="R88" s="353">
        <v>925.37</v>
      </c>
      <c r="S88" s="277">
        <f t="shared" si="26"/>
        <v>-1.7</v>
      </c>
      <c r="T88" s="147">
        <v>1590</v>
      </c>
      <c r="U88" s="353">
        <f>408+1135+401</f>
        <v>1944</v>
      </c>
      <c r="V88" s="277">
        <f>IF(T88=0, "    ---- ", IF(ABS(ROUND(100/T88*U88-100,1))&lt;999,ROUND(100/T88*U88-100,1),IF(ROUND(100/T88*U88-100,1)&gt;999,999,-999)))</f>
        <v>22.3</v>
      </c>
      <c r="W88" s="147">
        <v>290.97699999999998</v>
      </c>
      <c r="X88" s="353">
        <v>202.96099026999997</v>
      </c>
      <c r="Y88" s="277">
        <f t="shared" si="20"/>
        <v>-30.2</v>
      </c>
      <c r="Z88" s="147">
        <v>158.29005217149961</v>
      </c>
      <c r="AA88" s="353">
        <v>480.67897819171088</v>
      </c>
      <c r="AB88" s="277">
        <f t="shared" si="28"/>
        <v>203.7</v>
      </c>
      <c r="AC88" s="147"/>
      <c r="AD88" s="353">
        <v>60</v>
      </c>
      <c r="AE88" s="277" t="str">
        <f>IF(AC88=0, "    ---- ", IF(ABS(ROUND(100/AC88*AD88-100,1))&lt;999,ROUND(100/AC88*AD88-100,1),IF(ROUND(100/AC88*AD88-100,1)&gt;999,999,-999)))</f>
        <v xml:space="preserve">    ---- </v>
      </c>
      <c r="AF88" s="394">
        <f t="shared" si="45"/>
        <v>7402.406406681499</v>
      </c>
      <c r="AG88" s="394">
        <f t="shared" si="45"/>
        <v>7884.9365187817102</v>
      </c>
      <c r="AH88" s="277">
        <f t="shared" si="22"/>
        <v>6.5</v>
      </c>
      <c r="AI88" s="394">
        <f t="shared" si="46"/>
        <v>7402.406406681499</v>
      </c>
      <c r="AJ88" s="394">
        <f t="shared" si="46"/>
        <v>7944.9365187817102</v>
      </c>
      <c r="AK88" s="354">
        <f t="shared" si="24"/>
        <v>7.3</v>
      </c>
    </row>
    <row r="89" spans="1:37" s="365" customFormat="1" ht="20.100000000000001" customHeight="1" x14ac:dyDescent="0.3">
      <c r="A89" s="427" t="s">
        <v>369</v>
      </c>
      <c r="B89" s="147"/>
      <c r="C89" s="353">
        <v>0</v>
      </c>
      <c r="D89" s="277"/>
      <c r="E89" s="147">
        <v>219.0053346</v>
      </c>
      <c r="F89" s="353">
        <v>174.27429639000002</v>
      </c>
      <c r="G89" s="277">
        <f t="shared" ref="G89:G90" si="47">IF(E89=0, "    ---- ", IF(ABS(ROUND(100/E89*F89-100,1))&lt;999,ROUND(100/E89*F89-100,1),IF(ROUND(100/E89*F89-100,1)&gt;999,999,-999)))</f>
        <v>-20.399999999999999</v>
      </c>
      <c r="H89" s="147"/>
      <c r="I89" s="353"/>
      <c r="J89" s="277"/>
      <c r="K89" s="147"/>
      <c r="L89" s="353"/>
      <c r="M89" s="277"/>
      <c r="N89" s="147"/>
      <c r="O89" s="353"/>
      <c r="P89" s="277"/>
      <c r="Q89" s="147"/>
      <c r="R89" s="353"/>
      <c r="S89" s="277"/>
      <c r="T89" s="147"/>
      <c r="U89" s="353"/>
      <c r="V89" s="277"/>
      <c r="W89" s="147">
        <v>15.951000000000001</v>
      </c>
      <c r="X89" s="353">
        <v>20.758456679999998</v>
      </c>
      <c r="Y89" s="277">
        <f t="shared" si="20"/>
        <v>30.1</v>
      </c>
      <c r="Z89" s="147"/>
      <c r="AA89" s="353"/>
      <c r="AB89" s="277"/>
      <c r="AC89" s="147"/>
      <c r="AD89" s="353"/>
      <c r="AE89" s="277"/>
      <c r="AF89" s="394">
        <f t="shared" si="45"/>
        <v>234.95633459999999</v>
      </c>
      <c r="AG89" s="394">
        <f t="shared" si="45"/>
        <v>195.03275307000001</v>
      </c>
      <c r="AH89" s="277">
        <f t="shared" si="22"/>
        <v>-17</v>
      </c>
      <c r="AI89" s="394">
        <f t="shared" si="46"/>
        <v>234.95633459999999</v>
      </c>
      <c r="AJ89" s="394">
        <f t="shared" si="46"/>
        <v>195.03275307000001</v>
      </c>
      <c r="AK89" s="354">
        <f t="shared" si="24"/>
        <v>-17</v>
      </c>
    </row>
    <row r="90" spans="1:37" s="365" customFormat="1" ht="20.100000000000001" customHeight="1" x14ac:dyDescent="0.3">
      <c r="A90" s="427" t="s">
        <v>370</v>
      </c>
      <c r="B90" s="147">
        <v>6083.7089999999998</v>
      </c>
      <c r="C90" s="353">
        <f>2569.406+306.469</f>
        <v>2875.875</v>
      </c>
      <c r="D90" s="353">
        <f t="shared" si="19"/>
        <v>-52.7</v>
      </c>
      <c r="E90" s="147">
        <v>96.134222589999993</v>
      </c>
      <c r="F90" s="353">
        <v>108.42131626999998</v>
      </c>
      <c r="G90" s="277">
        <f t="shared" si="47"/>
        <v>12.8</v>
      </c>
      <c r="H90" s="147"/>
      <c r="I90" s="353"/>
      <c r="J90" s="353"/>
      <c r="K90" s="147">
        <v>262</v>
      </c>
      <c r="L90" s="353">
        <v>178</v>
      </c>
      <c r="M90" s="350">
        <f>IF(K90=0, "    ---- ", IF(ABS(ROUND(100/K90*L90-100,1))&lt;999,ROUND(100/K90*L90-100,1),IF(ROUND(100/K90*L90-100,1)&gt;999,999,-999)))</f>
        <v>-32.1</v>
      </c>
      <c r="N90" s="147">
        <v>14017.609305829999</v>
      </c>
      <c r="O90" s="353">
        <v>14764.05653003</v>
      </c>
      <c r="P90" s="277">
        <f t="shared" si="44"/>
        <v>5.3</v>
      </c>
      <c r="Q90" s="147">
        <v>734.14</v>
      </c>
      <c r="R90" s="353">
        <v>401.49</v>
      </c>
      <c r="S90" s="277">
        <f t="shared" si="26"/>
        <v>-45.3</v>
      </c>
      <c r="T90" s="147"/>
      <c r="U90" s="353"/>
      <c r="V90" s="277"/>
      <c r="W90" s="147">
        <v>1207.1320000000001</v>
      </c>
      <c r="X90" s="353">
        <v>1445.5814161699457</v>
      </c>
      <c r="Y90" s="277">
        <f t="shared" si="20"/>
        <v>19.8</v>
      </c>
      <c r="Z90" s="147">
        <v>33651.460548870091</v>
      </c>
      <c r="AA90" s="353">
        <v>11325.875117320451</v>
      </c>
      <c r="AB90" s="277">
        <f t="shared" si="28"/>
        <v>-66.3</v>
      </c>
      <c r="AC90" s="147">
        <v>73</v>
      </c>
      <c r="AD90" s="353">
        <v>89</v>
      </c>
      <c r="AE90" s="277">
        <f>IF(AC90=0, "    ---- ", IF(ABS(ROUND(100/AC90*AD90-100,1))&lt;999,ROUND(100/AC90*AD90-100,1),IF(ROUND(100/AC90*AD90-100,1)&gt;999,999,-999)))</f>
        <v>21.9</v>
      </c>
      <c r="AF90" s="394">
        <f t="shared" si="45"/>
        <v>56052.185077290094</v>
      </c>
      <c r="AG90" s="394">
        <f t="shared" si="45"/>
        <v>31099.299379790398</v>
      </c>
      <c r="AH90" s="277">
        <f t="shared" si="22"/>
        <v>-44.5</v>
      </c>
      <c r="AI90" s="394">
        <f t="shared" si="46"/>
        <v>56125.185077290094</v>
      </c>
      <c r="AJ90" s="394">
        <f t="shared" si="46"/>
        <v>31188.299379790398</v>
      </c>
      <c r="AK90" s="354">
        <f t="shared" si="24"/>
        <v>-44.4</v>
      </c>
    </row>
    <row r="91" spans="1:37" s="365" customFormat="1" ht="20.100000000000001" customHeight="1" x14ac:dyDescent="0.3">
      <c r="A91" s="427" t="s">
        <v>371</v>
      </c>
      <c r="B91" s="147">
        <v>52.411999999999999</v>
      </c>
      <c r="C91" s="353">
        <v>85.403000000000006</v>
      </c>
      <c r="D91" s="353">
        <f t="shared" si="19"/>
        <v>62.9</v>
      </c>
      <c r="E91" s="147"/>
      <c r="F91" s="353"/>
      <c r="G91" s="353"/>
      <c r="H91" s="147">
        <v>42.404000000000003</v>
      </c>
      <c r="I91" s="353">
        <v>17.521000000000001</v>
      </c>
      <c r="J91" s="353">
        <f>IF(H91=0, "    ---- ", IF(ABS(ROUND(100/H91*I91-100,1))&lt;999,ROUND(100/H91*I91-100,1),IF(ROUND(100/H91*I91-100,1)&gt;999,999,-999)))</f>
        <v>-58.7</v>
      </c>
      <c r="K91" s="147">
        <v>37</v>
      </c>
      <c r="L91" s="353">
        <v>39</v>
      </c>
      <c r="M91" s="277">
        <f>IF(K91=0, "    ---- ", IF(ABS(ROUND(100/K91*L91-100,1))&lt;999,ROUND(100/K91*L91-100,1),IF(ROUND(100/K91*L91-100,1)&gt;999,999,-999)))</f>
        <v>5.4</v>
      </c>
      <c r="N91" s="147">
        <v>341.59082389999998</v>
      </c>
      <c r="O91" s="353">
        <v>69.296728879999989</v>
      </c>
      <c r="P91" s="277">
        <f t="shared" si="44"/>
        <v>-79.7</v>
      </c>
      <c r="Q91" s="147">
        <v>80.38</v>
      </c>
      <c r="R91" s="353">
        <v>42.73</v>
      </c>
      <c r="S91" s="277">
        <f t="shared" si="26"/>
        <v>-46.8</v>
      </c>
      <c r="T91" s="147">
        <v>391</v>
      </c>
      <c r="U91" s="353"/>
      <c r="V91" s="277">
        <f>IF(T91=0, "    ---- ", IF(ABS(ROUND(100/T91*U91-100,1))&lt;999,ROUND(100/T91*U91-100,1),IF(ROUND(100/T91*U91-100,1)&gt;999,999,-999)))</f>
        <v>-100</v>
      </c>
      <c r="W91" s="147">
        <v>43.848999999999997</v>
      </c>
      <c r="X91" s="353">
        <v>54.419608269999998</v>
      </c>
      <c r="Y91" s="277">
        <f t="shared" si="20"/>
        <v>24.1</v>
      </c>
      <c r="Z91" s="147">
        <v>802.3414671714994</v>
      </c>
      <c r="AA91" s="353">
        <v>805.6132775399999</v>
      </c>
      <c r="AB91" s="277">
        <f t="shared" si="28"/>
        <v>0.4</v>
      </c>
      <c r="AC91" s="147">
        <v>5</v>
      </c>
      <c r="AD91" s="353">
        <v>8</v>
      </c>
      <c r="AE91" s="277">
        <f>IF(AC91=0, "    ---- ", IF(ABS(ROUND(100/AC91*AD91-100,1))&lt;999,ROUND(100/AC91*AD91-100,1),IF(ROUND(100/AC91*AD91-100,1)&gt;999,999,-999)))</f>
        <v>60</v>
      </c>
      <c r="AF91" s="394">
        <f t="shared" si="45"/>
        <v>1790.9772910714994</v>
      </c>
      <c r="AG91" s="394">
        <f t="shared" si="45"/>
        <v>1113.9836146899997</v>
      </c>
      <c r="AH91" s="277">
        <f t="shared" si="22"/>
        <v>-37.799999999999997</v>
      </c>
      <c r="AI91" s="394">
        <f t="shared" si="46"/>
        <v>1795.9772910714994</v>
      </c>
      <c r="AJ91" s="394">
        <f t="shared" si="46"/>
        <v>1121.9836146899997</v>
      </c>
      <c r="AK91" s="354">
        <f t="shared" si="24"/>
        <v>-37.5</v>
      </c>
    </row>
    <row r="92" spans="1:37" s="365" customFormat="1" ht="20.100000000000001" customHeight="1" x14ac:dyDescent="0.3">
      <c r="A92" s="427"/>
      <c r="B92" s="147"/>
      <c r="C92" s="353"/>
      <c r="D92" s="277"/>
      <c r="E92" s="147"/>
      <c r="F92" s="353"/>
      <c r="G92" s="277"/>
      <c r="H92" s="147"/>
      <c r="I92" s="353"/>
      <c r="J92" s="277"/>
      <c r="K92" s="147"/>
      <c r="L92" s="353"/>
      <c r="M92" s="277"/>
      <c r="N92" s="147"/>
      <c r="O92" s="353"/>
      <c r="P92" s="277"/>
      <c r="Q92" s="147"/>
      <c r="R92" s="353"/>
      <c r="S92" s="277"/>
      <c r="T92" s="147"/>
      <c r="U92" s="353"/>
      <c r="V92" s="277"/>
      <c r="W92" s="147"/>
      <c r="X92" s="353"/>
      <c r="Y92" s="277"/>
      <c r="Z92" s="147"/>
      <c r="AA92" s="353"/>
      <c r="AB92" s="277"/>
      <c r="AC92" s="147"/>
      <c r="AD92" s="353"/>
      <c r="AE92" s="277"/>
      <c r="AF92" s="350"/>
      <c r="AG92" s="350"/>
      <c r="AH92" s="277"/>
      <c r="AI92" s="350"/>
      <c r="AJ92" s="350"/>
      <c r="AK92" s="354"/>
    </row>
    <row r="93" spans="1:37" s="373" customFormat="1" ht="20.100000000000001" customHeight="1" x14ac:dyDescent="0.3">
      <c r="A93" s="438" t="s">
        <v>372</v>
      </c>
      <c r="B93" s="150">
        <f>SUM(B68+B69+B71+B80+B87+B88+B89+B90+B91)</f>
        <v>425113.41500000004</v>
      </c>
      <c r="C93" s="357">
        <f>SUM(C68+C69+C71+C80+C87+C88+C89+C90+C91)</f>
        <v>461323.00888067001</v>
      </c>
      <c r="D93" s="358">
        <f t="shared" si="19"/>
        <v>8.5</v>
      </c>
      <c r="E93" s="150">
        <f>SUM(E68+E69+E71+E80+E87+E88+E89+E90+E91)</f>
        <v>14655.48730837</v>
      </c>
      <c r="F93" s="357">
        <f>SUM(F68+F69+F71+F80+F87+F88+F89+F90+F91)</f>
        <v>15006.025457629999</v>
      </c>
      <c r="G93" s="358">
        <f>IF(E93=0, "    ---- ", IF(ABS(ROUND(100/E93*F93-100,1))&lt;999,ROUND(100/E93*F93-100,1),IF(ROUND(100/E93*F93-100,1)&gt;999,999,-999)))</f>
        <v>2.4</v>
      </c>
      <c r="H93" s="150">
        <f>SUM(H68+H69+H71+H80+H87+H88+H89+H90+H91)</f>
        <v>3605.3469999999998</v>
      </c>
      <c r="I93" s="357">
        <f>SUM(I68+I69+I71+I80+I87+I88+I89+I90+I91)</f>
        <v>4077.1860000000001</v>
      </c>
      <c r="J93" s="358">
        <f>IF(H93=0, "    ---- ", IF(ABS(ROUND(100/H93*I93-100,1))&lt;999,ROUND(100/H93*I93-100,1),IF(ROUND(100/H93*I93-100,1)&gt;999,999,-999)))</f>
        <v>13.1</v>
      </c>
      <c r="K93" s="150">
        <f>SUM(K68+K69+K71+K80+K87+K88+K89+K90+K91)</f>
        <v>90056</v>
      </c>
      <c r="L93" s="357">
        <f>SUM(L68+L69+L71+L80+L87+L88+L89+L90+L91)</f>
        <v>105376</v>
      </c>
      <c r="M93" s="358">
        <f>IF(K93=0, "    ---- ", IF(ABS(ROUND(100/K93*L93-100,1))&lt;999,ROUND(100/K93*L93-100,1),IF(ROUND(100/K93*L93-100,1)&gt;999,999,-999)))</f>
        <v>17</v>
      </c>
      <c r="N93" s="150">
        <v>865983.92935571005</v>
      </c>
      <c r="O93" s="357">
        <v>946441.73142928991</v>
      </c>
      <c r="P93" s="358">
        <f t="shared" si="44"/>
        <v>9.3000000000000007</v>
      </c>
      <c r="Q93" s="150">
        <f>SUM(Q68+Q69+Q71+Q80+Q87+Q88+Q89+Q90+Q91)</f>
        <v>244559.14</v>
      </c>
      <c r="R93" s="357">
        <f>SUM(R68+R69+R71+R80+R87+R88+R89+R90+R91)</f>
        <v>284883.58999999997</v>
      </c>
      <c r="S93" s="358">
        <f t="shared" si="26"/>
        <v>16.5</v>
      </c>
      <c r="T93" s="150">
        <v>145712</v>
      </c>
      <c r="U93" s="357">
        <f>SUM(U68+U69+U71+U80+U87+U88+U89+U90+U91)</f>
        <v>156070</v>
      </c>
      <c r="V93" s="358">
        <f>IF(T93=0, "    ---- ", IF(ABS(ROUND(100/T93*U93-100,1))&lt;999,ROUND(100/T93*U93-100,1),IF(ROUND(100/T93*U93-100,1)&gt;999,999,-999)))</f>
        <v>7.1</v>
      </c>
      <c r="W93" s="150">
        <f>SUM(W68+W69+W71+W80+W87+W88+W89+W90+W91)</f>
        <v>117088.99625802999</v>
      </c>
      <c r="X93" s="357">
        <f>SUM(X68+X69+X71+X80+X87+X88+X89+X90+X91)</f>
        <v>130932.26021839907</v>
      </c>
      <c r="Y93" s="358">
        <f t="shared" si="20"/>
        <v>11.8</v>
      </c>
      <c r="Z93" s="150">
        <f>SUM(Z68+Z69+Z71+Z80+Z87+Z88+Z89+Z90+Z91)</f>
        <v>534945.31685347215</v>
      </c>
      <c r="AA93" s="357">
        <f>SUM(AA68+AA69+AA71+AA80+AA87+AA88+AA89+AA90+AA91)</f>
        <v>555257.45612639876</v>
      </c>
      <c r="AB93" s="358">
        <f t="shared" si="28"/>
        <v>3.8</v>
      </c>
      <c r="AC93" s="150">
        <f>SUM(AC68+AC69+AC71+AC80+AC87+AC88+AC89+AC90+AC91)</f>
        <v>237</v>
      </c>
      <c r="AD93" s="357">
        <f>SUM(AD68+AD69+AD71+AD80+AD87+AD88+AD89+AD90+AD91)</f>
        <v>247</v>
      </c>
      <c r="AE93" s="358">
        <f>IF(AC93=0, "    ---- ", IF(ABS(ROUND(100/AC93*AD93-100,1))&lt;999,ROUND(100/AC93*AD93-100,1),IF(ROUND(100/AC93*AD93-100,1)&gt;999,999,-999)))</f>
        <v>4.2</v>
      </c>
      <c r="AF93" s="506">
        <f t="shared" ref="AF93:AG93" si="48">B93+E93+H93+K93+N93+Q93+T93+W93+Z93</f>
        <v>2441719.6317755822</v>
      </c>
      <c r="AG93" s="506">
        <f t="shared" si="48"/>
        <v>2659367.2581123877</v>
      </c>
      <c r="AH93" s="358">
        <f t="shared" si="22"/>
        <v>8.9</v>
      </c>
      <c r="AI93" s="357">
        <f>B93+E93+H93+K93+N93+Q93+T93+W93+Z93+AC93</f>
        <v>2441956.6317755822</v>
      </c>
      <c r="AJ93" s="357">
        <f>C93+F93+I93+L93+O93+R93+U93+X93+AA93+AD93</f>
        <v>2659614.2581123877</v>
      </c>
      <c r="AK93" s="359">
        <f t="shared" si="24"/>
        <v>8.9</v>
      </c>
    </row>
    <row r="94" spans="1:37" ht="18.75" customHeight="1" x14ac:dyDescent="0.3">
      <c r="A94" s="363" t="s">
        <v>290</v>
      </c>
      <c r="N94" s="363"/>
      <c r="R94" s="467"/>
      <c r="S94" s="467"/>
      <c r="T94" s="467"/>
      <c r="U94" s="467"/>
      <c r="V94" s="467"/>
      <c r="W94" s="363"/>
      <c r="Z94" s="363"/>
      <c r="AC94" s="363"/>
    </row>
    <row r="95" spans="1:37" ht="18.75" customHeight="1" x14ac:dyDescent="0.3">
      <c r="A95" s="363" t="s">
        <v>291</v>
      </c>
      <c r="N95" s="363"/>
      <c r="R95" s="467"/>
      <c r="S95" s="467"/>
      <c r="T95" s="467"/>
      <c r="U95" s="467"/>
      <c r="V95" s="467"/>
      <c r="W95" s="363"/>
      <c r="Z95" s="363"/>
      <c r="AC95" s="363"/>
    </row>
    <row r="96" spans="1:37" s="366" customFormat="1" ht="18.75" customHeight="1" x14ac:dyDescent="0.3">
      <c r="A96" s="363" t="s">
        <v>292</v>
      </c>
      <c r="S96" s="468"/>
      <c r="T96" s="468"/>
      <c r="U96" s="468"/>
      <c r="V96" s="468"/>
    </row>
    <row r="97" s="366" customFormat="1" ht="18.75" x14ac:dyDescent="0.3"/>
    <row r="98" s="366" customFormat="1" ht="18.75" x14ac:dyDescent="0.3"/>
    <row r="99" s="366" customFormat="1" ht="18.75" x14ac:dyDescent="0.3"/>
    <row r="100" s="366" customFormat="1" ht="18.75" x14ac:dyDescent="0.3"/>
    <row r="101" s="366" customFormat="1" ht="18.75" x14ac:dyDescent="0.3"/>
    <row r="102" s="366" customFormat="1" ht="18.75" x14ac:dyDescent="0.3"/>
    <row r="103" s="366" customFormat="1" ht="18.75" x14ac:dyDescent="0.3"/>
    <row r="104" s="366" customFormat="1" ht="18.75" x14ac:dyDescent="0.3"/>
    <row r="105" s="366" customFormat="1" ht="18.75" x14ac:dyDescent="0.3"/>
    <row r="106" s="366" customFormat="1" ht="18.75" x14ac:dyDescent="0.3"/>
    <row r="107" s="366" customFormat="1" ht="18.75" x14ac:dyDescent="0.3"/>
    <row r="108" s="366" customFormat="1" ht="18.75" x14ac:dyDescent="0.3"/>
    <row r="109" s="366" customFormat="1" ht="18.75" x14ac:dyDescent="0.3"/>
    <row r="110" s="366" customFormat="1" ht="18.75" x14ac:dyDescent="0.3"/>
    <row r="111" s="366" customFormat="1" ht="18.75" x14ac:dyDescent="0.3"/>
    <row r="112" s="366" customFormat="1" ht="18.75" x14ac:dyDescent="0.3"/>
    <row r="113" s="374" customFormat="1" ht="15.75" x14ac:dyDescent="0.25"/>
    <row r="114" s="374" customFormat="1" ht="15.75" x14ac:dyDescent="0.25"/>
  </sheetData>
  <mergeCells count="30">
    <mergeCell ref="AT6:AV6"/>
    <mergeCell ref="AW6:AY6"/>
    <mergeCell ref="Z6:AB6"/>
    <mergeCell ref="AC6:AE6"/>
    <mergeCell ref="AF6:AH6"/>
    <mergeCell ref="AI6:AK6"/>
    <mergeCell ref="AN6:AP6"/>
    <mergeCell ref="AQ6:AS6"/>
    <mergeCell ref="AT5:AV5"/>
    <mergeCell ref="AW5:AY5"/>
    <mergeCell ref="B6:D6"/>
    <mergeCell ref="E6:G6"/>
    <mergeCell ref="H6:J6"/>
    <mergeCell ref="K6:M6"/>
    <mergeCell ref="N6:P6"/>
    <mergeCell ref="Q6:S6"/>
    <mergeCell ref="T6:V6"/>
    <mergeCell ref="W6:Y6"/>
    <mergeCell ref="Z5:AB5"/>
    <mergeCell ref="AC5:AE5"/>
    <mergeCell ref="AF5:AH5"/>
    <mergeCell ref="AI5:AK5"/>
    <mergeCell ref="AN5:AP5"/>
    <mergeCell ref="AQ5:AS5"/>
    <mergeCell ref="W5:Y5"/>
    <mergeCell ref="B5:D5"/>
    <mergeCell ref="E5:G5"/>
    <mergeCell ref="H5:J5"/>
    <mergeCell ref="K5:M5"/>
    <mergeCell ref="T5:V5"/>
  </mergeCells>
  <conditionalFormatting sqref="B35:C35">
    <cfRule type="expression" dxfId="123" priority="160">
      <formula>#REF! ="35≠36+38"</formula>
    </cfRule>
  </conditionalFormatting>
  <conditionalFormatting sqref="B39:C39">
    <cfRule type="expression" dxfId="122" priority="161">
      <formula>#REF! ="39≠40+41+42+43+44"</formula>
    </cfRule>
  </conditionalFormatting>
  <conditionalFormatting sqref="B45:C45">
    <cfRule type="expression" dxfId="121" priority="162">
      <formula>#REF! ="45≠33+34+35+39"</formula>
    </cfRule>
  </conditionalFormatting>
  <conditionalFormatting sqref="B50:C50">
    <cfRule type="expression" dxfId="120" priority="163">
      <formula>#REF! ="50≠51+53"</formula>
    </cfRule>
  </conditionalFormatting>
  <conditionalFormatting sqref="B54:C54">
    <cfRule type="expression" dxfId="119" priority="164">
      <formula>#REF! ="54≠55+56+57+58+59"</formula>
    </cfRule>
  </conditionalFormatting>
  <conditionalFormatting sqref="B60:C60">
    <cfRule type="expression" dxfId="118" priority="165">
      <formula>#REF! ="60≠48+49+50+54"</formula>
    </cfRule>
  </conditionalFormatting>
  <conditionalFormatting sqref="B62:C62">
    <cfRule type="expression" dxfId="117" priority="166">
      <formula>#REF! ="62≠45+46+60+61"</formula>
    </cfRule>
  </conditionalFormatting>
  <conditionalFormatting sqref="B64:C64">
    <cfRule type="expression" dxfId="116" priority="157">
      <formula>#REF! ="64≠29+62"</formula>
    </cfRule>
  </conditionalFormatting>
  <conditionalFormatting sqref="B80:C80">
    <cfRule type="expression" dxfId="115" priority="167">
      <formula>#REF! ="80≠73+74+75+76+77+78+79"</formula>
    </cfRule>
  </conditionalFormatting>
  <conditionalFormatting sqref="B87:C87">
    <cfRule type="expression" dxfId="114" priority="168">
      <formula>#REF! ="88≠82+83+84+85+86+87"</formula>
    </cfRule>
  </conditionalFormatting>
  <conditionalFormatting sqref="B93:C93">
    <cfRule type="expression" dxfId="113" priority="158">
      <formula>#REF! = "64≠94"</formula>
    </cfRule>
    <cfRule type="expression" dxfId="112" priority="159">
      <formula>#REF! = "94≠68+69+71+80+88+89+90+91+92"</formula>
    </cfRule>
  </conditionalFormatting>
  <conditionalFormatting sqref="E35:F35">
    <cfRule type="expression" dxfId="111" priority="24">
      <formula>#REF! ="35≠36+38"</formula>
    </cfRule>
  </conditionalFormatting>
  <conditionalFormatting sqref="E39:F39">
    <cfRule type="expression" dxfId="110" priority="23">
      <formula>#REF! ="39≠40+41+42+43+44"</formula>
    </cfRule>
  </conditionalFormatting>
  <conditionalFormatting sqref="E45:F45">
    <cfRule type="expression" dxfId="109" priority="22">
      <formula>#REF! ="45≠33+34+35+39"</formula>
    </cfRule>
  </conditionalFormatting>
  <conditionalFormatting sqref="E50:F50">
    <cfRule type="expression" dxfId="108" priority="21">
      <formula>#REF! ="50≠51+53"</formula>
    </cfRule>
  </conditionalFormatting>
  <conditionalFormatting sqref="E54:F54">
    <cfRule type="expression" dxfId="107" priority="20">
      <formula>#REF! ="54≠55+56+57+58+59"</formula>
    </cfRule>
  </conditionalFormatting>
  <conditionalFormatting sqref="E60:F60">
    <cfRule type="expression" dxfId="106" priority="19">
      <formula>#REF! ="60≠48+49+50+54"</formula>
    </cfRule>
  </conditionalFormatting>
  <conditionalFormatting sqref="E62:F62">
    <cfRule type="expression" dxfId="105" priority="18">
      <formula>#REF! ="62≠45+46+60+61"</formula>
    </cfRule>
  </conditionalFormatting>
  <conditionalFormatting sqref="E64:F64">
    <cfRule type="expression" dxfId="104" priority="17">
      <formula>#REF! ="64≠29+62"</formula>
    </cfRule>
  </conditionalFormatting>
  <conditionalFormatting sqref="E80:F80">
    <cfRule type="expression" dxfId="103" priority="16">
      <formula>#REF! ="80≠73+74+75+76+77+78+79"</formula>
    </cfRule>
  </conditionalFormatting>
  <conditionalFormatting sqref="E87:F87">
    <cfRule type="expression" dxfId="102" priority="15">
      <formula>#REF! ="88≠82+83+84+85+86+87"</formula>
    </cfRule>
  </conditionalFormatting>
  <conditionalFormatting sqref="E93:F93">
    <cfRule type="expression" dxfId="101" priority="13">
      <formula>#REF! = "64≠94"</formula>
    </cfRule>
    <cfRule type="expression" dxfId="100" priority="13">
      <formula>#REF! = "94≠68+69+71+80+88+89+90+91+92"</formula>
    </cfRule>
  </conditionalFormatting>
  <conditionalFormatting sqref="H35:I35">
    <cfRule type="expression" dxfId="99" priority="28">
      <formula>#REF! ="35≠36+38"</formula>
    </cfRule>
  </conditionalFormatting>
  <conditionalFormatting sqref="H39:I39">
    <cfRule type="expression" dxfId="98" priority="29">
      <formula>#REF! ="39≠40+41+42+43+44"</formula>
    </cfRule>
  </conditionalFormatting>
  <conditionalFormatting sqref="H45:I45">
    <cfRule type="expression" dxfId="97" priority="30">
      <formula>#REF! ="45≠33+34+35+39"</formula>
    </cfRule>
  </conditionalFormatting>
  <conditionalFormatting sqref="H50:I50">
    <cfRule type="expression" dxfId="96" priority="31">
      <formula>#REF! ="50≠51+53"</formula>
    </cfRule>
  </conditionalFormatting>
  <conditionalFormatting sqref="H54:I54">
    <cfRule type="expression" dxfId="95" priority="32">
      <formula>#REF! ="54≠55+56+57+58+59"</formula>
    </cfRule>
  </conditionalFormatting>
  <conditionalFormatting sqref="H60:I60">
    <cfRule type="expression" dxfId="94" priority="33">
      <formula>#REF! ="60≠48+49+50+54"</formula>
    </cfRule>
  </conditionalFormatting>
  <conditionalFormatting sqref="H62:I62">
    <cfRule type="expression" dxfId="93" priority="34">
      <formula>#REF! ="62≠45+46+60+61"</formula>
    </cfRule>
  </conditionalFormatting>
  <conditionalFormatting sqref="H64:I64">
    <cfRule type="expression" dxfId="92" priority="25">
      <formula>#REF! ="64≠29+62"</formula>
    </cfRule>
  </conditionalFormatting>
  <conditionalFormatting sqref="H80:I80">
    <cfRule type="expression" dxfId="91" priority="35">
      <formula>#REF! ="80≠73+74+75+76+77+78+79"</formula>
    </cfRule>
  </conditionalFormatting>
  <conditionalFormatting sqref="H87:I87">
    <cfRule type="expression" dxfId="90" priority="36">
      <formula>#REF! ="88≠82+83+84+85+86+87"</formula>
    </cfRule>
  </conditionalFormatting>
  <conditionalFormatting sqref="H93:I93">
    <cfRule type="expression" dxfId="89" priority="27">
      <formula>#REF! = "94≠68+69+71+80+88+89+90+91+92"</formula>
    </cfRule>
    <cfRule type="expression" dxfId="88" priority="26">
      <formula>#REF! = "64≠94"</formula>
    </cfRule>
  </conditionalFormatting>
  <conditionalFormatting sqref="K35:L35">
    <cfRule type="expression" dxfId="87" priority="124">
      <formula>#REF! ="35≠36+38"</formula>
    </cfRule>
  </conditionalFormatting>
  <conditionalFormatting sqref="K39:L39">
    <cfRule type="expression" dxfId="86" priority="125">
      <formula>#REF! ="39≠40+41+42+43+44"</formula>
    </cfRule>
  </conditionalFormatting>
  <conditionalFormatting sqref="K45:L45">
    <cfRule type="expression" dxfId="85" priority="126">
      <formula>#REF! ="45≠33+34+35+39"</formula>
    </cfRule>
  </conditionalFormatting>
  <conditionalFormatting sqref="K50:L50">
    <cfRule type="expression" dxfId="84" priority="127">
      <formula>#REF! ="50≠51+53"</formula>
    </cfRule>
  </conditionalFormatting>
  <conditionalFormatting sqref="K54:L54">
    <cfRule type="expression" dxfId="83" priority="128">
      <formula>#REF! ="54≠55+56+57+58+59"</formula>
    </cfRule>
  </conditionalFormatting>
  <conditionalFormatting sqref="K60:L60">
    <cfRule type="expression" dxfId="82" priority="129">
      <formula>#REF! ="60≠48+49+50+54"</formula>
    </cfRule>
  </conditionalFormatting>
  <conditionalFormatting sqref="K62:L62">
    <cfRule type="expression" dxfId="81" priority="130">
      <formula>#REF! ="62≠45+46+60+61"</formula>
    </cfRule>
  </conditionalFormatting>
  <conditionalFormatting sqref="K64:L64">
    <cfRule type="expression" dxfId="80" priority="121">
      <formula>#REF! ="64≠29+62"</formula>
    </cfRule>
  </conditionalFormatting>
  <conditionalFormatting sqref="K80:L80">
    <cfRule type="expression" dxfId="79" priority="131">
      <formula>#REF! ="80≠73+74+75+76+77+78+79"</formula>
    </cfRule>
  </conditionalFormatting>
  <conditionalFormatting sqref="K87:L87">
    <cfRule type="expression" dxfId="78" priority="132">
      <formula>#REF! ="88≠82+83+84+85+86+87"</formula>
    </cfRule>
  </conditionalFormatting>
  <conditionalFormatting sqref="K93:L93">
    <cfRule type="expression" dxfId="77" priority="123">
      <formula>#REF! = "94≠68+69+71+80+88+89+90+91+92"</formula>
    </cfRule>
    <cfRule type="expression" dxfId="76" priority="122">
      <formula>#REF! = "64≠94"</formula>
    </cfRule>
  </conditionalFormatting>
  <conditionalFormatting sqref="N35:O35">
    <cfRule type="expression" dxfId="75" priority="52">
      <formula>#REF! ="35≠36+38"</formula>
    </cfRule>
  </conditionalFormatting>
  <conditionalFormatting sqref="N39:O39">
    <cfRule type="expression" dxfId="74" priority="53">
      <formula>#REF! ="39≠40+41+42+43+44"</formula>
    </cfRule>
  </conditionalFormatting>
  <conditionalFormatting sqref="N45:O45">
    <cfRule type="expression" dxfId="73" priority="54">
      <formula>#REF! ="45≠33+34+35+39"</formula>
    </cfRule>
  </conditionalFormatting>
  <conditionalFormatting sqref="N50:O50">
    <cfRule type="expression" dxfId="72" priority="55">
      <formula>#REF! ="50≠51+53"</formula>
    </cfRule>
  </conditionalFormatting>
  <conditionalFormatting sqref="N54:O54">
    <cfRule type="expression" dxfId="71" priority="56">
      <formula>#REF! ="54≠55+56+57+58+59"</formula>
    </cfRule>
  </conditionalFormatting>
  <conditionalFormatting sqref="N60:O60">
    <cfRule type="expression" dxfId="70" priority="57">
      <formula>#REF! ="60≠48+49+50+54"</formula>
    </cfRule>
  </conditionalFormatting>
  <conditionalFormatting sqref="N62:O62">
    <cfRule type="expression" dxfId="69" priority="58">
      <formula>#REF! ="62≠45+46+60+61"</formula>
    </cfRule>
  </conditionalFormatting>
  <conditionalFormatting sqref="N64:O64">
    <cfRule type="expression" dxfId="68" priority="49">
      <formula>#REF! ="64≠29+62"</formula>
    </cfRule>
  </conditionalFormatting>
  <conditionalFormatting sqref="N80:O80">
    <cfRule type="expression" dxfId="67" priority="59">
      <formula>#REF! ="80≠73+74+75+76+77+78+79"</formula>
    </cfRule>
  </conditionalFormatting>
  <conditionalFormatting sqref="N87:O87">
    <cfRule type="expression" dxfId="66" priority="60">
      <formula>#REF! ="88≠82+83+84+85+86+87"</formula>
    </cfRule>
  </conditionalFormatting>
  <conditionalFormatting sqref="N93:O93">
    <cfRule type="expression" dxfId="65" priority="50">
      <formula>#REF! = "64≠94"</formula>
    </cfRule>
    <cfRule type="expression" dxfId="64" priority="51">
      <formula>#REF! = "94≠68+69+71+80+88+89+90+91+92"</formula>
    </cfRule>
  </conditionalFormatting>
  <conditionalFormatting sqref="Q35:R35">
    <cfRule type="expression" dxfId="63" priority="196">
      <formula>#REF! ="35≠36+38"</formula>
    </cfRule>
  </conditionalFormatting>
  <conditionalFormatting sqref="Q39:R39">
    <cfRule type="expression" dxfId="62" priority="197">
      <formula>#REF! ="39≠40+41+42+43+44"</formula>
    </cfRule>
  </conditionalFormatting>
  <conditionalFormatting sqref="Q45:R45">
    <cfRule type="expression" dxfId="61" priority="198">
      <formula>#REF! ="45≠33+34+35+39"</formula>
    </cfRule>
  </conditionalFormatting>
  <conditionalFormatting sqref="Q50:R50">
    <cfRule type="expression" dxfId="60" priority="199">
      <formula>#REF! ="50≠51+53"</formula>
    </cfRule>
  </conditionalFormatting>
  <conditionalFormatting sqref="Q54:R54">
    <cfRule type="expression" dxfId="59" priority="200">
      <formula>#REF! ="54≠55+56+57+58+59"</formula>
    </cfRule>
  </conditionalFormatting>
  <conditionalFormatting sqref="Q60:R60">
    <cfRule type="expression" dxfId="58" priority="201">
      <formula>#REF! ="60≠48+49+50+54"</formula>
    </cfRule>
  </conditionalFormatting>
  <conditionalFormatting sqref="Q62:R62">
    <cfRule type="expression" dxfId="57" priority="202">
      <formula>#REF! ="62≠45+46+60+61"</formula>
    </cfRule>
  </conditionalFormatting>
  <conditionalFormatting sqref="Q64:R64">
    <cfRule type="expression" dxfId="56" priority="193">
      <formula>#REF! ="64≠29+62"</formula>
    </cfRule>
  </conditionalFormatting>
  <conditionalFormatting sqref="Q80:R80">
    <cfRule type="expression" dxfId="55" priority="203">
      <formula>#REF! ="80≠73+74+75+76+77+78+79"</formula>
    </cfRule>
  </conditionalFormatting>
  <conditionalFormatting sqref="Q87:R87">
    <cfRule type="expression" dxfId="54" priority="204">
      <formula>#REF! ="88≠82+83+84+85+86+87"</formula>
    </cfRule>
  </conditionalFormatting>
  <conditionalFormatting sqref="Q93:R93">
    <cfRule type="expression" dxfId="53" priority="195">
      <formula>#REF! = "94≠68+69+71+80+88+89+90+91+92"</formula>
    </cfRule>
    <cfRule type="expression" dxfId="52" priority="194">
      <formula>#REF! = "64≠94"</formula>
    </cfRule>
  </conditionalFormatting>
  <conditionalFormatting sqref="T35:U35">
    <cfRule type="expression" dxfId="51" priority="76">
      <formula>#REF! ="35≠36+38"</formula>
    </cfRule>
  </conditionalFormatting>
  <conditionalFormatting sqref="T39:U39">
    <cfRule type="expression" dxfId="50" priority="77">
      <formula>#REF! ="39≠40+41+42+43+44"</formula>
    </cfRule>
  </conditionalFormatting>
  <conditionalFormatting sqref="T45:U45">
    <cfRule type="expression" dxfId="49" priority="78">
      <formula>#REF! ="45≠33+34+35+39"</formula>
    </cfRule>
  </conditionalFormatting>
  <conditionalFormatting sqref="T50:U50">
    <cfRule type="expression" dxfId="48" priority="79">
      <formula>#REF! ="50≠51+53"</formula>
    </cfRule>
  </conditionalFormatting>
  <conditionalFormatting sqref="T54:U54">
    <cfRule type="expression" dxfId="47" priority="80">
      <formula>#REF! ="54≠55+56+57+58+59"</formula>
    </cfRule>
  </conditionalFormatting>
  <conditionalFormatting sqref="T60:U60">
    <cfRule type="expression" dxfId="46" priority="81">
      <formula>#REF! ="60≠48+49+50+54"</formula>
    </cfRule>
  </conditionalFormatting>
  <conditionalFormatting sqref="T62:U62">
    <cfRule type="expression" dxfId="45" priority="82">
      <formula>#REF! ="62≠45+46+60+61"</formula>
    </cfRule>
  </conditionalFormatting>
  <conditionalFormatting sqref="T64:U64">
    <cfRule type="expression" dxfId="44" priority="73">
      <formula>#REF! ="64≠29+62"</formula>
    </cfRule>
  </conditionalFormatting>
  <conditionalFormatting sqref="T80:U80">
    <cfRule type="expression" dxfId="43" priority="83">
      <formula>#REF! ="80≠73+74+75+76+77+78+79"</formula>
    </cfRule>
  </conditionalFormatting>
  <conditionalFormatting sqref="T87:U87">
    <cfRule type="expression" dxfId="42" priority="84">
      <formula>#REF! ="88≠82+83+84+85+86+87"</formula>
    </cfRule>
  </conditionalFormatting>
  <conditionalFormatting sqref="T93:U93">
    <cfRule type="expression" dxfId="41" priority="75">
      <formula>#REF! = "94≠68+69+71+80+88+89+90+91+92"</formula>
    </cfRule>
    <cfRule type="expression" dxfId="40" priority="74">
      <formula>#REF! = "64≠94"</formula>
    </cfRule>
  </conditionalFormatting>
  <conditionalFormatting sqref="W35:X35">
    <cfRule type="expression" dxfId="39" priority="220">
      <formula>#REF! ="35≠36+38"</formula>
    </cfRule>
  </conditionalFormatting>
  <conditionalFormatting sqref="W39:X39">
    <cfRule type="expression" dxfId="38" priority="221">
      <formula>#REF! ="39≠40+41+42+43+44"</formula>
    </cfRule>
  </conditionalFormatting>
  <conditionalFormatting sqref="W45:X45">
    <cfRule type="expression" dxfId="37" priority="222">
      <formula>#REF! ="45≠33+34+35+39"</formula>
    </cfRule>
  </conditionalFormatting>
  <conditionalFormatting sqref="W50:X50">
    <cfRule type="expression" dxfId="36" priority="223">
      <formula>#REF! ="50≠51+53"</formula>
    </cfRule>
  </conditionalFormatting>
  <conditionalFormatting sqref="W54:X54">
    <cfRule type="expression" dxfId="35" priority="224">
      <formula>#REF! ="54≠55+56+57+58+59"</formula>
    </cfRule>
  </conditionalFormatting>
  <conditionalFormatting sqref="W60:X60">
    <cfRule type="expression" dxfId="34" priority="225">
      <formula>#REF! ="60≠48+49+50+54"</formula>
    </cfRule>
  </conditionalFormatting>
  <conditionalFormatting sqref="W62:X62">
    <cfRule type="expression" dxfId="33" priority="226">
      <formula>#REF! ="62≠45+46+60+61"</formula>
    </cfRule>
  </conditionalFormatting>
  <conditionalFormatting sqref="W64:X64">
    <cfRule type="expression" dxfId="32" priority="217">
      <formula>#REF! ="64≠29+62"</formula>
    </cfRule>
  </conditionalFormatting>
  <conditionalFormatting sqref="W80:X80">
    <cfRule type="expression" dxfId="31" priority="227">
      <formula>#REF! ="80≠73+74+75+76+77+78+79"</formula>
    </cfRule>
  </conditionalFormatting>
  <conditionalFormatting sqref="W87:X87">
    <cfRule type="expression" dxfId="30" priority="228">
      <formula>#REF! ="88≠82+83+84+85+86+87"</formula>
    </cfRule>
  </conditionalFormatting>
  <conditionalFormatting sqref="W93:X93">
    <cfRule type="expression" dxfId="29" priority="219">
      <formula>#REF! = "94≠68+69+71+80+88+89+90+91+92"</formula>
    </cfRule>
    <cfRule type="expression" dxfId="28" priority="218">
      <formula>#REF! = "64≠94"</formula>
    </cfRule>
  </conditionalFormatting>
  <conditionalFormatting sqref="Z35:AA35">
    <cfRule type="expression" dxfId="27" priority="172">
      <formula>#REF! ="35≠36+38"</formula>
    </cfRule>
  </conditionalFormatting>
  <conditionalFormatting sqref="Z39:AA39">
    <cfRule type="expression" dxfId="26" priority="173">
      <formula>#REF! ="39≠40+41+42+43+44"</formula>
    </cfRule>
  </conditionalFormatting>
  <conditionalFormatting sqref="Z45:AA45">
    <cfRule type="expression" dxfId="25" priority="174">
      <formula>#REF! ="45≠33+34+35+39"</formula>
    </cfRule>
  </conditionalFormatting>
  <conditionalFormatting sqref="Z50:AA50">
    <cfRule type="expression" dxfId="24" priority="175">
      <formula>#REF! ="50≠51+53"</formula>
    </cfRule>
  </conditionalFormatting>
  <conditionalFormatting sqref="Z54:AA54">
    <cfRule type="expression" dxfId="23" priority="176">
      <formula>#REF! ="54≠55+56+57+58+59"</formula>
    </cfRule>
  </conditionalFormatting>
  <conditionalFormatting sqref="Z60:AA60">
    <cfRule type="expression" dxfId="22" priority="177">
      <formula>#REF! ="60≠48+49+50+54"</formula>
    </cfRule>
  </conditionalFormatting>
  <conditionalFormatting sqref="Z62:AA62">
    <cfRule type="expression" dxfId="21" priority="178">
      <formula>#REF! ="62≠45+46+60+61"</formula>
    </cfRule>
  </conditionalFormatting>
  <conditionalFormatting sqref="Z64:AA64">
    <cfRule type="expression" dxfId="20" priority="169">
      <formula>#REF! ="64≠29+62"</formula>
    </cfRule>
  </conditionalFormatting>
  <conditionalFormatting sqref="Z80:AA80">
    <cfRule type="expression" dxfId="19" priority="179">
      <formula>#REF! ="80≠73+74+75+76+77+78+79"</formula>
    </cfRule>
  </conditionalFormatting>
  <conditionalFormatting sqref="Z87:AA87">
    <cfRule type="expression" dxfId="18" priority="180">
      <formula>#REF! ="88≠82+83+84+85+86+87"</formula>
    </cfRule>
  </conditionalFormatting>
  <conditionalFormatting sqref="Z93:AA93">
    <cfRule type="expression" dxfId="17" priority="171">
      <formula>#REF! = "94≠68+69+71+80+88+89+90+91+92"</formula>
    </cfRule>
    <cfRule type="expression" dxfId="16" priority="170">
      <formula>#REF! = "64≠94"</formula>
    </cfRule>
  </conditionalFormatting>
  <conditionalFormatting sqref="AC35:AD35">
    <cfRule type="expression" dxfId="15" priority="100">
      <formula>#REF! ="35≠36+38"</formula>
    </cfRule>
  </conditionalFormatting>
  <conditionalFormatting sqref="AC39:AD39">
    <cfRule type="expression" dxfId="14" priority="101">
      <formula>#REF! ="39≠40+41+42+43+44"</formula>
    </cfRule>
  </conditionalFormatting>
  <conditionalFormatting sqref="AC45:AD45">
    <cfRule type="expression" dxfId="13" priority="102">
      <formula>#REF! ="45≠33+34+35+39"</formula>
    </cfRule>
  </conditionalFormatting>
  <conditionalFormatting sqref="AC50:AD50">
    <cfRule type="expression" dxfId="12" priority="103">
      <formula>#REF! ="50≠51+53"</formula>
    </cfRule>
  </conditionalFormatting>
  <conditionalFormatting sqref="AC54:AD54">
    <cfRule type="expression" dxfId="11" priority="104">
      <formula>#REF! ="54≠55+56+57+58+59"</formula>
    </cfRule>
  </conditionalFormatting>
  <conditionalFormatting sqref="AC60:AD60">
    <cfRule type="expression" dxfId="10" priority="105">
      <formula>#REF! ="60≠48+49+50+54"</formula>
    </cfRule>
  </conditionalFormatting>
  <conditionalFormatting sqref="AC62:AD62">
    <cfRule type="expression" dxfId="9" priority="106">
      <formula>#REF! ="62≠45+46+60+61"</formula>
    </cfRule>
  </conditionalFormatting>
  <conditionalFormatting sqref="AC64:AD64">
    <cfRule type="expression" dxfId="8" priority="97">
      <formula>#REF! ="64≠29+62"</formula>
    </cfRule>
  </conditionalFormatting>
  <conditionalFormatting sqref="AC80:AD80">
    <cfRule type="expression" dxfId="7" priority="107">
      <formula>#REF! ="80≠73+74+75+76+77+78+79"</formula>
    </cfRule>
  </conditionalFormatting>
  <conditionalFormatting sqref="AC87:AD87">
    <cfRule type="expression" dxfId="6" priority="108">
      <formula>#REF! ="88≠82+83+84+85+86+87"</formula>
    </cfRule>
  </conditionalFormatting>
  <conditionalFormatting sqref="AC93:AD93">
    <cfRule type="expression" dxfId="5" priority="99">
      <formula>#REF! = "94≠68+69+71+80+88+89+90+91+92"</formula>
    </cfRule>
    <cfRule type="expression" dxfId="4" priority="98">
      <formula>#REF! = "64≠94"</formula>
    </cfRule>
  </conditionalFormatting>
  <conditionalFormatting sqref="AF93:AG93">
    <cfRule type="expression" dxfId="3" priority="432">
      <formula>#REF! = "64≠94"</formula>
    </cfRule>
    <cfRule type="expression" dxfId="2" priority="433">
      <formula>#REF! = "94≠68+69+71+80+88+89+90+91+92"</formula>
    </cfRule>
  </conditionalFormatting>
  <conditionalFormatting sqref="AG83">
    <cfRule type="expression" dxfId="1" priority="260">
      <formula>kvartal &lt; 4</formula>
    </cfRule>
  </conditionalFormatting>
  <conditionalFormatting sqref="AJ83">
    <cfRule type="expression" dxfId="0" priority="259">
      <formula>kvartal &lt; 4</formula>
    </cfRule>
  </conditionalFormatting>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C67B5-A844-47AB-BA92-DDA1529D92A0}">
  <sheetPr codeName="Ark43"/>
  <dimension ref="A1:AP17"/>
  <sheetViews>
    <sheetView showGridLines="0" zoomScale="70" zoomScaleNormal="70" workbookViewId="0">
      <pane xSplit="1" ySplit="8" topLeftCell="B9" activePane="bottomRight" state="frozen"/>
      <selection pane="topRight" activeCell="A42" sqref="A42"/>
      <selection pane="bottomLeft" activeCell="A42" sqref="A42"/>
      <selection pane="bottomRight" activeCell="A4" sqref="A4"/>
    </sheetView>
  </sheetViews>
  <sheetFormatPr baseColWidth="10" defaultColWidth="11.42578125" defaultRowHeight="12.75" x14ac:dyDescent="0.2"/>
  <cols>
    <col min="1" max="1" width="62" style="396" customWidth="1"/>
    <col min="2" max="31" width="11.7109375" style="396" customWidth="1"/>
    <col min="32" max="244" width="11.42578125" style="396"/>
    <col min="245" max="245" width="62" style="396" customWidth="1"/>
    <col min="246" max="281" width="11.7109375" style="396" customWidth="1"/>
    <col min="282" max="500" width="11.42578125" style="396"/>
    <col min="501" max="501" width="62" style="396" customWidth="1"/>
    <col min="502" max="537" width="11.7109375" style="396" customWidth="1"/>
    <col min="538" max="756" width="11.42578125" style="396"/>
    <col min="757" max="757" width="62" style="396" customWidth="1"/>
    <col min="758" max="793" width="11.7109375" style="396" customWidth="1"/>
    <col min="794" max="1012" width="11.42578125" style="396"/>
    <col min="1013" max="1013" width="62" style="396" customWidth="1"/>
    <col min="1014" max="1049" width="11.7109375" style="396" customWidth="1"/>
    <col min="1050" max="1268" width="11.42578125" style="396"/>
    <col min="1269" max="1269" width="62" style="396" customWidth="1"/>
    <col min="1270" max="1305" width="11.7109375" style="396" customWidth="1"/>
    <col min="1306" max="1524" width="11.42578125" style="396"/>
    <col min="1525" max="1525" width="62" style="396" customWidth="1"/>
    <col min="1526" max="1561" width="11.7109375" style="396" customWidth="1"/>
    <col min="1562" max="1780" width="11.42578125" style="396"/>
    <col min="1781" max="1781" width="62" style="396" customWidth="1"/>
    <col min="1782" max="1817" width="11.7109375" style="396" customWidth="1"/>
    <col min="1818" max="2036" width="11.42578125" style="396"/>
    <col min="2037" max="2037" width="62" style="396" customWidth="1"/>
    <col min="2038" max="2073" width="11.7109375" style="396" customWidth="1"/>
    <col min="2074" max="2292" width="11.42578125" style="396"/>
    <col min="2293" max="2293" width="62" style="396" customWidth="1"/>
    <col min="2294" max="2329" width="11.7109375" style="396" customWidth="1"/>
    <col min="2330" max="2548" width="11.42578125" style="396"/>
    <col min="2549" max="2549" width="62" style="396" customWidth="1"/>
    <col min="2550" max="2585" width="11.7109375" style="396" customWidth="1"/>
    <col min="2586" max="2804" width="11.42578125" style="396"/>
    <col min="2805" max="2805" width="62" style="396" customWidth="1"/>
    <col min="2806" max="2841" width="11.7109375" style="396" customWidth="1"/>
    <col min="2842" max="3060" width="11.42578125" style="396"/>
    <col min="3061" max="3061" width="62" style="396" customWidth="1"/>
    <col min="3062" max="3097" width="11.7109375" style="396" customWidth="1"/>
    <col min="3098" max="3316" width="11.42578125" style="396"/>
    <col min="3317" max="3317" width="62" style="396" customWidth="1"/>
    <col min="3318" max="3353" width="11.7109375" style="396" customWidth="1"/>
    <col min="3354" max="3572" width="11.42578125" style="396"/>
    <col min="3573" max="3573" width="62" style="396" customWidth="1"/>
    <col min="3574" max="3609" width="11.7109375" style="396" customWidth="1"/>
    <col min="3610" max="3828" width="11.42578125" style="396"/>
    <col min="3829" max="3829" width="62" style="396" customWidth="1"/>
    <col min="3830" max="3865" width="11.7109375" style="396" customWidth="1"/>
    <col min="3866" max="4084" width="11.42578125" style="396"/>
    <col min="4085" max="4085" width="62" style="396" customWidth="1"/>
    <col min="4086" max="4121" width="11.7109375" style="396" customWidth="1"/>
    <col min="4122" max="4340" width="11.42578125" style="396"/>
    <col min="4341" max="4341" width="62" style="396" customWidth="1"/>
    <col min="4342" max="4377" width="11.7109375" style="396" customWidth="1"/>
    <col min="4378" max="4596" width="11.42578125" style="396"/>
    <col min="4597" max="4597" width="62" style="396" customWidth="1"/>
    <col min="4598" max="4633" width="11.7109375" style="396" customWidth="1"/>
    <col min="4634" max="4852" width="11.42578125" style="396"/>
    <col min="4853" max="4853" width="62" style="396" customWidth="1"/>
    <col min="4854" max="4889" width="11.7109375" style="396" customWidth="1"/>
    <col min="4890" max="5108" width="11.42578125" style="396"/>
    <col min="5109" max="5109" width="62" style="396" customWidth="1"/>
    <col min="5110" max="5145" width="11.7109375" style="396" customWidth="1"/>
    <col min="5146" max="5364" width="11.42578125" style="396"/>
    <col min="5365" max="5365" width="62" style="396" customWidth="1"/>
    <col min="5366" max="5401" width="11.7109375" style="396" customWidth="1"/>
    <col min="5402" max="5620" width="11.42578125" style="396"/>
    <col min="5621" max="5621" width="62" style="396" customWidth="1"/>
    <col min="5622" max="5657" width="11.7109375" style="396" customWidth="1"/>
    <col min="5658" max="5876" width="11.42578125" style="396"/>
    <col min="5877" max="5877" width="62" style="396" customWidth="1"/>
    <col min="5878" max="5913" width="11.7109375" style="396" customWidth="1"/>
    <col min="5914" max="6132" width="11.42578125" style="396"/>
    <col min="6133" max="6133" width="62" style="396" customWidth="1"/>
    <col min="6134" max="6169" width="11.7109375" style="396" customWidth="1"/>
    <col min="6170" max="6388" width="11.42578125" style="396"/>
    <col min="6389" max="6389" width="62" style="396" customWidth="1"/>
    <col min="6390" max="6425" width="11.7109375" style="396" customWidth="1"/>
    <col min="6426" max="6644" width="11.42578125" style="396"/>
    <col min="6645" max="6645" width="62" style="396" customWidth="1"/>
    <col min="6646" max="6681" width="11.7109375" style="396" customWidth="1"/>
    <col min="6682" max="6900" width="11.42578125" style="396"/>
    <col min="6901" max="6901" width="62" style="396" customWidth="1"/>
    <col min="6902" max="6937" width="11.7109375" style="396" customWidth="1"/>
    <col min="6938" max="7156" width="11.42578125" style="396"/>
    <col min="7157" max="7157" width="62" style="396" customWidth="1"/>
    <col min="7158" max="7193" width="11.7109375" style="396" customWidth="1"/>
    <col min="7194" max="7412" width="11.42578125" style="396"/>
    <col min="7413" max="7413" width="62" style="396" customWidth="1"/>
    <col min="7414" max="7449" width="11.7109375" style="396" customWidth="1"/>
    <col min="7450" max="7668" width="11.42578125" style="396"/>
    <col min="7669" max="7669" width="62" style="396" customWidth="1"/>
    <col min="7670" max="7705" width="11.7109375" style="396" customWidth="1"/>
    <col min="7706" max="7924" width="11.42578125" style="396"/>
    <col min="7925" max="7925" width="62" style="396" customWidth="1"/>
    <col min="7926" max="7961" width="11.7109375" style="396" customWidth="1"/>
    <col min="7962" max="8180" width="11.42578125" style="396"/>
    <col min="8181" max="8181" width="62" style="396" customWidth="1"/>
    <col min="8182" max="8217" width="11.7109375" style="396" customWidth="1"/>
    <col min="8218" max="8436" width="11.42578125" style="396"/>
    <col min="8437" max="8437" width="62" style="396" customWidth="1"/>
    <col min="8438" max="8473" width="11.7109375" style="396" customWidth="1"/>
    <col min="8474" max="8692" width="11.42578125" style="396"/>
    <col min="8693" max="8693" width="62" style="396" customWidth="1"/>
    <col min="8694" max="8729" width="11.7109375" style="396" customWidth="1"/>
    <col min="8730" max="8948" width="11.42578125" style="396"/>
    <col min="8949" max="8949" width="62" style="396" customWidth="1"/>
    <col min="8950" max="8985" width="11.7109375" style="396" customWidth="1"/>
    <col min="8986" max="9204" width="11.42578125" style="396"/>
    <col min="9205" max="9205" width="62" style="396" customWidth="1"/>
    <col min="9206" max="9241" width="11.7109375" style="396" customWidth="1"/>
    <col min="9242" max="9460" width="11.42578125" style="396"/>
    <col min="9461" max="9461" width="62" style="396" customWidth="1"/>
    <col min="9462" max="9497" width="11.7109375" style="396" customWidth="1"/>
    <col min="9498" max="9716" width="11.42578125" style="396"/>
    <col min="9717" max="9717" width="62" style="396" customWidth="1"/>
    <col min="9718" max="9753" width="11.7109375" style="396" customWidth="1"/>
    <col min="9754" max="9972" width="11.42578125" style="396"/>
    <col min="9973" max="9973" width="62" style="396" customWidth="1"/>
    <col min="9974" max="10009" width="11.7109375" style="396" customWidth="1"/>
    <col min="10010" max="10228" width="11.42578125" style="396"/>
    <col min="10229" max="10229" width="62" style="396" customWidth="1"/>
    <col min="10230" max="10265" width="11.7109375" style="396" customWidth="1"/>
    <col min="10266" max="10484" width="11.42578125" style="396"/>
    <col min="10485" max="10485" width="62" style="396" customWidth="1"/>
    <col min="10486" max="10521" width="11.7109375" style="396" customWidth="1"/>
    <col min="10522" max="10740" width="11.42578125" style="396"/>
    <col min="10741" max="10741" width="62" style="396" customWidth="1"/>
    <col min="10742" max="10777" width="11.7109375" style="396" customWidth="1"/>
    <col min="10778" max="10996" width="11.42578125" style="396"/>
    <col min="10997" max="10997" width="62" style="396" customWidth="1"/>
    <col min="10998" max="11033" width="11.7109375" style="396" customWidth="1"/>
    <col min="11034" max="11252" width="11.42578125" style="396"/>
    <col min="11253" max="11253" width="62" style="396" customWidth="1"/>
    <col min="11254" max="11289" width="11.7109375" style="396" customWidth="1"/>
    <col min="11290" max="11508" width="11.42578125" style="396"/>
    <col min="11509" max="11509" width="62" style="396" customWidth="1"/>
    <col min="11510" max="11545" width="11.7109375" style="396" customWidth="1"/>
    <col min="11546" max="11764" width="11.42578125" style="396"/>
    <col min="11765" max="11765" width="62" style="396" customWidth="1"/>
    <col min="11766" max="11801" width="11.7109375" style="396" customWidth="1"/>
    <col min="11802" max="12020" width="11.42578125" style="396"/>
    <col min="12021" max="12021" width="62" style="396" customWidth="1"/>
    <col min="12022" max="12057" width="11.7109375" style="396" customWidth="1"/>
    <col min="12058" max="12276" width="11.42578125" style="396"/>
    <col min="12277" max="12277" width="62" style="396" customWidth="1"/>
    <col min="12278" max="12313" width="11.7109375" style="396" customWidth="1"/>
    <col min="12314" max="12532" width="11.42578125" style="396"/>
    <col min="12533" max="12533" width="62" style="396" customWidth="1"/>
    <col min="12534" max="12569" width="11.7109375" style="396" customWidth="1"/>
    <col min="12570" max="12788" width="11.42578125" style="396"/>
    <col min="12789" max="12789" width="62" style="396" customWidth="1"/>
    <col min="12790" max="12825" width="11.7109375" style="396" customWidth="1"/>
    <col min="12826" max="13044" width="11.42578125" style="396"/>
    <col min="13045" max="13045" width="62" style="396" customWidth="1"/>
    <col min="13046" max="13081" width="11.7109375" style="396" customWidth="1"/>
    <col min="13082" max="13300" width="11.42578125" style="396"/>
    <col min="13301" max="13301" width="62" style="396" customWidth="1"/>
    <col min="13302" max="13337" width="11.7109375" style="396" customWidth="1"/>
    <col min="13338" max="13556" width="11.42578125" style="396"/>
    <col min="13557" max="13557" width="62" style="396" customWidth="1"/>
    <col min="13558" max="13593" width="11.7109375" style="396" customWidth="1"/>
    <col min="13594" max="13812" width="11.42578125" style="396"/>
    <col min="13813" max="13813" width="62" style="396" customWidth="1"/>
    <col min="13814" max="13849" width="11.7109375" style="396" customWidth="1"/>
    <col min="13850" max="14068" width="11.42578125" style="396"/>
    <col min="14069" max="14069" width="62" style="396" customWidth="1"/>
    <col min="14070" max="14105" width="11.7109375" style="396" customWidth="1"/>
    <col min="14106" max="14324" width="11.42578125" style="396"/>
    <col min="14325" max="14325" width="62" style="396" customWidth="1"/>
    <col min="14326" max="14361" width="11.7109375" style="396" customWidth="1"/>
    <col min="14362" max="14580" width="11.42578125" style="396"/>
    <col min="14581" max="14581" width="62" style="396" customWidth="1"/>
    <col min="14582" max="14617" width="11.7109375" style="396" customWidth="1"/>
    <col min="14618" max="14836" width="11.42578125" style="396"/>
    <col min="14837" max="14837" width="62" style="396" customWidth="1"/>
    <col min="14838" max="14873" width="11.7109375" style="396" customWidth="1"/>
    <col min="14874" max="15092" width="11.42578125" style="396"/>
    <col min="15093" max="15093" width="62" style="396" customWidth="1"/>
    <col min="15094" max="15129" width="11.7109375" style="396" customWidth="1"/>
    <col min="15130" max="15348" width="11.42578125" style="396"/>
    <col min="15349" max="15349" width="62" style="396" customWidth="1"/>
    <col min="15350" max="15385" width="11.7109375" style="396" customWidth="1"/>
    <col min="15386" max="15604" width="11.42578125" style="396"/>
    <col min="15605" max="15605" width="62" style="396" customWidth="1"/>
    <col min="15606" max="15641" width="11.7109375" style="396" customWidth="1"/>
    <col min="15642" max="15860" width="11.42578125" style="396"/>
    <col min="15861" max="15861" width="62" style="396" customWidth="1"/>
    <col min="15862" max="15897" width="11.7109375" style="396" customWidth="1"/>
    <col min="15898" max="16116" width="11.42578125" style="396"/>
    <col min="16117" max="16117" width="62" style="396" customWidth="1"/>
    <col min="16118" max="16153" width="11.7109375" style="396" customWidth="1"/>
    <col min="16154" max="16384" width="11.42578125" style="396"/>
  </cols>
  <sheetData>
    <row r="1" spans="1:42" ht="20.25" x14ac:dyDescent="0.3">
      <c r="A1" s="395" t="s">
        <v>293</v>
      </c>
    </row>
    <row r="2" spans="1:42" ht="20.25" x14ac:dyDescent="0.3">
      <c r="A2" s="395" t="s">
        <v>41</v>
      </c>
      <c r="C2" s="567"/>
    </row>
    <row r="3" spans="1:42" ht="18.75" x14ac:dyDescent="0.3">
      <c r="A3" s="397" t="s">
        <v>373</v>
      </c>
    </row>
    <row r="4" spans="1:42" ht="18.75" x14ac:dyDescent="0.3">
      <c r="A4" s="398" t="s">
        <v>153</v>
      </c>
      <c r="B4" s="399"/>
      <c r="C4" s="400"/>
      <c r="D4" s="401"/>
      <c r="E4" s="400"/>
      <c r="F4" s="400"/>
      <c r="G4" s="401"/>
      <c r="H4" s="400"/>
      <c r="I4" s="400"/>
      <c r="J4" s="401"/>
      <c r="K4" s="399"/>
      <c r="L4" s="400"/>
      <c r="M4" s="401"/>
      <c r="N4" s="399"/>
      <c r="O4" s="400"/>
      <c r="P4" s="401"/>
      <c r="Q4" s="399"/>
      <c r="R4" s="400"/>
      <c r="S4" s="401"/>
      <c r="T4" s="399"/>
      <c r="U4" s="400"/>
      <c r="V4" s="401"/>
      <c r="W4" s="399"/>
      <c r="X4" s="400"/>
      <c r="Y4" s="401"/>
      <c r="Z4" s="399"/>
      <c r="AA4" s="400"/>
      <c r="AB4" s="401"/>
      <c r="AC4" s="399"/>
      <c r="AD4" s="402"/>
      <c r="AE4" s="401"/>
      <c r="AF4" s="403"/>
      <c r="AG4" s="403"/>
      <c r="AH4" s="403"/>
      <c r="AI4" s="403"/>
      <c r="AJ4" s="403"/>
      <c r="AK4" s="403"/>
      <c r="AL4" s="403"/>
      <c r="AM4" s="403"/>
      <c r="AN4" s="403"/>
      <c r="AO4" s="403"/>
      <c r="AP4" s="403"/>
    </row>
    <row r="5" spans="1:42" ht="18.75" x14ac:dyDescent="0.3">
      <c r="A5" s="404"/>
      <c r="B5" s="603" t="s">
        <v>228</v>
      </c>
      <c r="C5" s="604"/>
      <c r="D5" s="605"/>
      <c r="E5" s="510"/>
      <c r="F5" s="510"/>
      <c r="G5" s="511"/>
      <c r="H5" s="603" t="s">
        <v>229</v>
      </c>
      <c r="I5" s="604"/>
      <c r="J5" s="605"/>
      <c r="K5" s="603" t="s">
        <v>230</v>
      </c>
      <c r="L5" s="604"/>
      <c r="M5" s="605"/>
      <c r="N5" s="536" t="s">
        <v>294</v>
      </c>
      <c r="O5" s="510"/>
      <c r="P5" s="511"/>
      <c r="Q5" s="536"/>
      <c r="R5" s="510"/>
      <c r="S5" s="511"/>
      <c r="T5" s="603" t="s">
        <v>231</v>
      </c>
      <c r="U5" s="604"/>
      <c r="V5" s="605"/>
      <c r="W5" s="603" t="s">
        <v>239</v>
      </c>
      <c r="X5" s="604"/>
      <c r="Y5" s="605"/>
      <c r="Z5" s="603" t="s">
        <v>232</v>
      </c>
      <c r="AA5" s="604"/>
      <c r="AB5" s="605"/>
      <c r="AC5" s="603" t="s">
        <v>234</v>
      </c>
      <c r="AD5" s="604"/>
      <c r="AE5" s="605"/>
      <c r="AF5" s="513"/>
      <c r="AG5" s="513"/>
      <c r="AH5" s="606"/>
      <c r="AI5" s="606"/>
      <c r="AJ5" s="606"/>
      <c r="AK5" s="606"/>
      <c r="AL5" s="606"/>
      <c r="AM5" s="606"/>
      <c r="AN5" s="606"/>
      <c r="AO5" s="606"/>
      <c r="AP5" s="606"/>
    </row>
    <row r="6" spans="1:42" ht="18.75" x14ac:dyDescent="0.3">
      <c r="A6" s="405"/>
      <c r="B6" s="607" t="s">
        <v>235</v>
      </c>
      <c r="C6" s="608"/>
      <c r="D6" s="609"/>
      <c r="E6" s="607" t="s">
        <v>94</v>
      </c>
      <c r="F6" s="608"/>
      <c r="G6" s="609"/>
      <c r="H6" s="607" t="s">
        <v>235</v>
      </c>
      <c r="I6" s="608"/>
      <c r="J6" s="609"/>
      <c r="K6" s="607" t="s">
        <v>237</v>
      </c>
      <c r="L6" s="608"/>
      <c r="M6" s="609"/>
      <c r="N6" s="607" t="s">
        <v>54</v>
      </c>
      <c r="O6" s="608"/>
      <c r="P6" s="609"/>
      <c r="Q6" s="607" t="s">
        <v>59</v>
      </c>
      <c r="R6" s="608"/>
      <c r="S6" s="609"/>
      <c r="T6" s="607" t="s">
        <v>238</v>
      </c>
      <c r="U6" s="608"/>
      <c r="V6" s="609"/>
      <c r="W6" s="607" t="s">
        <v>295</v>
      </c>
      <c r="X6" s="608"/>
      <c r="Y6" s="609"/>
      <c r="Z6" s="607" t="s">
        <v>235</v>
      </c>
      <c r="AA6" s="608"/>
      <c r="AB6" s="609"/>
      <c r="AC6" s="607" t="s">
        <v>240</v>
      </c>
      <c r="AD6" s="608"/>
      <c r="AE6" s="609"/>
      <c r="AF6" s="513"/>
      <c r="AG6" s="513"/>
      <c r="AH6" s="606"/>
      <c r="AI6" s="606"/>
      <c r="AJ6" s="606"/>
      <c r="AK6" s="606"/>
      <c r="AL6" s="606"/>
      <c r="AM6" s="606"/>
      <c r="AN6" s="606"/>
      <c r="AO6" s="606"/>
      <c r="AP6" s="606"/>
    </row>
    <row r="7" spans="1:42" ht="18.75" x14ac:dyDescent="0.3">
      <c r="A7" s="405"/>
      <c r="B7" s="406"/>
      <c r="C7" s="406"/>
      <c r="D7" s="407" t="s">
        <v>84</v>
      </c>
      <c r="E7" s="406"/>
      <c r="F7" s="406"/>
      <c r="G7" s="407" t="s">
        <v>84</v>
      </c>
      <c r="H7" s="406"/>
      <c r="I7" s="406"/>
      <c r="J7" s="407" t="s">
        <v>84</v>
      </c>
      <c r="K7" s="406"/>
      <c r="L7" s="406"/>
      <c r="M7" s="407" t="s">
        <v>84</v>
      </c>
      <c r="N7" s="406"/>
      <c r="O7" s="406"/>
      <c r="P7" s="407" t="s">
        <v>84</v>
      </c>
      <c r="Q7" s="406"/>
      <c r="R7" s="406"/>
      <c r="S7" s="407" t="s">
        <v>84</v>
      </c>
      <c r="T7" s="406"/>
      <c r="U7" s="406"/>
      <c r="V7" s="407" t="s">
        <v>84</v>
      </c>
      <c r="W7" s="406"/>
      <c r="X7" s="406"/>
      <c r="Y7" s="407" t="s">
        <v>84</v>
      </c>
      <c r="Z7" s="406"/>
      <c r="AA7" s="406"/>
      <c r="AB7" s="407" t="s">
        <v>84</v>
      </c>
      <c r="AC7" s="406"/>
      <c r="AD7" s="406"/>
      <c r="AE7" s="407" t="s">
        <v>84</v>
      </c>
      <c r="AF7" s="513"/>
      <c r="AG7" s="513"/>
      <c r="AH7" s="513"/>
      <c r="AI7" s="513"/>
      <c r="AJ7" s="513"/>
      <c r="AK7" s="513"/>
      <c r="AL7" s="513"/>
      <c r="AM7" s="513"/>
      <c r="AN7" s="513"/>
      <c r="AO7" s="513"/>
      <c r="AP7" s="513"/>
    </row>
    <row r="8" spans="1:42" ht="15.75" x14ac:dyDescent="0.25">
      <c r="A8" s="408" t="s">
        <v>242</v>
      </c>
      <c r="B8" s="409">
        <v>2025</v>
      </c>
      <c r="C8" s="409">
        <v>2026</v>
      </c>
      <c r="D8" s="410" t="s">
        <v>87</v>
      </c>
      <c r="E8" s="409">
        <f>$B$8</f>
        <v>2025</v>
      </c>
      <c r="F8" s="409">
        <f>$C$8</f>
        <v>2026</v>
      </c>
      <c r="G8" s="410" t="s">
        <v>87</v>
      </c>
      <c r="H8" s="409">
        <f>$B$8</f>
        <v>2025</v>
      </c>
      <c r="I8" s="409">
        <f>$C$8</f>
        <v>2026</v>
      </c>
      <c r="J8" s="410" t="s">
        <v>87</v>
      </c>
      <c r="K8" s="409">
        <f>$B$8</f>
        <v>2025</v>
      </c>
      <c r="L8" s="409">
        <f>$C$8</f>
        <v>2026</v>
      </c>
      <c r="M8" s="410" t="s">
        <v>87</v>
      </c>
      <c r="N8" s="409">
        <f>$B$8</f>
        <v>2025</v>
      </c>
      <c r="O8" s="409">
        <f>$C$8</f>
        <v>2026</v>
      </c>
      <c r="P8" s="410" t="s">
        <v>87</v>
      </c>
      <c r="Q8" s="409">
        <f>$B$8</f>
        <v>2025</v>
      </c>
      <c r="R8" s="409">
        <f>$C$8</f>
        <v>2026</v>
      </c>
      <c r="S8" s="410" t="s">
        <v>87</v>
      </c>
      <c r="T8" s="409">
        <f>$B$8</f>
        <v>2025</v>
      </c>
      <c r="U8" s="409">
        <f>$C$8</f>
        <v>2026</v>
      </c>
      <c r="V8" s="410" t="s">
        <v>87</v>
      </c>
      <c r="W8" s="409">
        <f>$B$8</f>
        <v>2025</v>
      </c>
      <c r="X8" s="409">
        <f>$C$8</f>
        <v>2026</v>
      </c>
      <c r="Y8" s="410" t="s">
        <v>87</v>
      </c>
      <c r="Z8" s="409">
        <f>$B$8</f>
        <v>2025</v>
      </c>
      <c r="AA8" s="409">
        <f>$C$8</f>
        <v>2026</v>
      </c>
      <c r="AB8" s="410" t="s">
        <v>87</v>
      </c>
      <c r="AC8" s="409">
        <f>$B$8</f>
        <v>2025</v>
      </c>
      <c r="AD8" s="409">
        <f>$C$8</f>
        <v>2026</v>
      </c>
      <c r="AE8" s="410" t="s">
        <v>87</v>
      </c>
      <c r="AF8" s="412"/>
      <c r="AG8" s="411"/>
      <c r="AH8" s="412"/>
      <c r="AI8" s="412"/>
      <c r="AJ8" s="411"/>
      <c r="AK8" s="412"/>
      <c r="AL8" s="412"/>
      <c r="AM8" s="411"/>
      <c r="AN8" s="412"/>
      <c r="AO8" s="412"/>
      <c r="AP8" s="411"/>
    </row>
    <row r="9" spans="1:42" ht="18.75" x14ac:dyDescent="0.3">
      <c r="A9" s="413"/>
      <c r="B9" s="420"/>
      <c r="C9" s="420"/>
      <c r="D9" s="420"/>
      <c r="E9" s="420"/>
      <c r="F9" s="420"/>
      <c r="G9" s="420"/>
      <c r="H9" s="420"/>
      <c r="I9" s="420"/>
      <c r="J9" s="420"/>
      <c r="K9" s="420"/>
      <c r="L9" s="420"/>
      <c r="M9" s="420"/>
      <c r="N9" s="420"/>
      <c r="O9" s="420"/>
      <c r="P9" s="420"/>
      <c r="Q9" s="420"/>
      <c r="R9" s="390"/>
      <c r="S9" s="420"/>
      <c r="T9" s="420"/>
      <c r="U9" s="420"/>
      <c r="V9" s="420"/>
      <c r="W9" s="420"/>
      <c r="X9" s="420"/>
      <c r="Y9" s="420"/>
      <c r="Z9" s="420"/>
      <c r="AA9" s="420"/>
      <c r="AB9" s="420"/>
      <c r="AC9" s="414"/>
      <c r="AD9" s="414"/>
      <c r="AE9" s="414"/>
    </row>
    <row r="10" spans="1:42" ht="18.75" x14ac:dyDescent="0.3">
      <c r="A10" s="416" t="s">
        <v>376</v>
      </c>
      <c r="B10" s="420"/>
      <c r="C10" s="420"/>
      <c r="D10" s="420"/>
      <c r="E10" s="420"/>
      <c r="F10" s="420"/>
      <c r="G10" s="420"/>
      <c r="H10" s="420"/>
      <c r="I10" s="420"/>
      <c r="J10" s="420"/>
      <c r="K10" s="420"/>
      <c r="L10" s="420"/>
      <c r="M10" s="420"/>
      <c r="N10" s="420"/>
      <c r="O10" s="545">
        <v>0.81875369116513053</v>
      </c>
      <c r="P10" s="420"/>
      <c r="Q10" s="420"/>
      <c r="R10" s="390"/>
      <c r="S10" s="420"/>
      <c r="T10" s="390"/>
      <c r="U10" s="390"/>
      <c r="V10" s="420"/>
      <c r="W10" s="390"/>
      <c r="X10" s="390"/>
      <c r="Y10" s="420"/>
      <c r="Z10" s="390"/>
      <c r="AA10" s="390"/>
      <c r="AB10" s="420"/>
      <c r="AC10" s="420"/>
      <c r="AD10" s="420"/>
      <c r="AE10" s="421"/>
    </row>
    <row r="11" spans="1:42" ht="18.75" x14ac:dyDescent="0.3">
      <c r="A11" s="520" t="s">
        <v>377</v>
      </c>
      <c r="B11" s="420">
        <v>0.95</v>
      </c>
      <c r="C11" s="420">
        <v>1.02</v>
      </c>
      <c r="D11" s="421">
        <f>IF(B11=0, "    ---- ", IF(ABS(ROUND(100/B11*C11-100,1))&lt;999,ROUND(100/B11*C11-100,1),IF(ROUND(100/B11*C11-100,1)&gt;999,999,-999)))</f>
        <v>7.4</v>
      </c>
      <c r="E11" s="549">
        <v>0.69</v>
      </c>
      <c r="F11" s="549">
        <v>0.1</v>
      </c>
      <c r="G11" s="420"/>
      <c r="H11" s="420"/>
      <c r="I11" s="420"/>
      <c r="J11" s="420"/>
      <c r="K11" s="420">
        <v>0.96</v>
      </c>
      <c r="L11" s="420">
        <v>0.89</v>
      </c>
      <c r="M11" s="420"/>
      <c r="N11" s="420">
        <v>0</v>
      </c>
      <c r="O11" s="545">
        <v>0.31702537514715079</v>
      </c>
      <c r="P11" s="420"/>
      <c r="Q11" s="420">
        <v>0.6</v>
      </c>
      <c r="R11" s="390">
        <v>0.5</v>
      </c>
      <c r="S11" s="420"/>
      <c r="T11" s="390">
        <v>0.3</v>
      </c>
      <c r="U11" s="390">
        <v>-0.3</v>
      </c>
      <c r="V11" s="420"/>
      <c r="W11" s="390">
        <v>0.79512423676055799</v>
      </c>
      <c r="X11" s="390">
        <v>0.26271113084426201</v>
      </c>
      <c r="Y11" s="420"/>
      <c r="Z11" s="540">
        <v>0.47362433778306301</v>
      </c>
      <c r="AA11" s="390">
        <v>0.42932829677742002</v>
      </c>
      <c r="AB11" s="420"/>
      <c r="AC11" s="421"/>
      <c r="AD11" s="421"/>
      <c r="AE11" s="421"/>
    </row>
    <row r="12" spans="1:42" ht="18.75" x14ac:dyDescent="0.3">
      <c r="A12" s="416"/>
      <c r="B12" s="420"/>
      <c r="C12" s="420"/>
      <c r="D12" s="420"/>
      <c r="E12" s="549"/>
      <c r="F12" s="420"/>
      <c r="G12" s="420"/>
      <c r="H12" s="420"/>
      <c r="I12" s="420"/>
      <c r="J12" s="420"/>
      <c r="K12" s="420"/>
      <c r="L12" s="420"/>
      <c r="M12" s="420"/>
      <c r="N12" s="420"/>
      <c r="O12" s="545"/>
      <c r="P12" s="420"/>
      <c r="Q12" s="420"/>
      <c r="R12" s="390"/>
      <c r="S12" s="420"/>
      <c r="T12" s="390"/>
      <c r="U12" s="390"/>
      <c r="V12" s="420"/>
      <c r="W12" s="390"/>
      <c r="X12" s="390"/>
      <c r="Y12" s="420"/>
      <c r="Z12" s="390"/>
      <c r="AA12" s="390"/>
      <c r="AB12" s="420"/>
      <c r="AC12" s="420"/>
      <c r="AD12" s="420"/>
      <c r="AE12" s="420"/>
    </row>
    <row r="13" spans="1:42" ht="18.75" x14ac:dyDescent="0.3">
      <c r="A13" s="416" t="s">
        <v>378</v>
      </c>
      <c r="B13" s="420">
        <v>18.22</v>
      </c>
      <c r="C13" s="420">
        <v>17</v>
      </c>
      <c r="D13" s="421">
        <f>IF(B13=0, "    ---- ", IF(ABS(ROUND(100/B13*C13-100,1))&lt;999,ROUND(100/B13*C13-100,1),IF(ROUND(100/B13*C13-100,1)&gt;999,999,-999)))</f>
        <v>-6.7</v>
      </c>
      <c r="E13" s="549">
        <v>27.230863557092267</v>
      </c>
      <c r="F13" s="420">
        <v>26.990932488955693</v>
      </c>
      <c r="G13" s="421">
        <f>IF(E13=0, "    ---- ", IF(ABS(ROUND(100/E13*F13-100,1))&lt;999,ROUND(100/E13*F13-100,1),IF(ROUND(100/E13*F13-100,1)&gt;999,999,-999)))</f>
        <v>-0.9</v>
      </c>
      <c r="H13" s="420">
        <v>23.7</v>
      </c>
      <c r="I13" s="420">
        <v>24.2</v>
      </c>
      <c r="J13" s="421">
        <f>IF(H13=0, "    ---- ", IF(ABS(ROUND(100/H13*I13-100,1))&lt;999,ROUND(100/H13*I13-100,1),IF(ROUND(100/H13*I13-100,1)&gt;999,999,-999)))</f>
        <v>2.1</v>
      </c>
      <c r="K13" s="420">
        <v>7.56</v>
      </c>
      <c r="L13" s="420">
        <v>12.87</v>
      </c>
      <c r="M13" s="421">
        <f>IF(K13=0, "    ---- ", IF(ABS(ROUND(100/K13*L13-100,1))&lt;999,ROUND(100/K13*L13-100,1),IF(ROUND(100/K13*L13-100,1)&gt;999,999,-999)))</f>
        <v>70.2</v>
      </c>
      <c r="N13" s="420">
        <v>23.4</v>
      </c>
      <c r="O13" s="545">
        <v>22.2</v>
      </c>
      <c r="P13" s="421">
        <f>IF(N13=0, "    ---- ", IF(ABS(ROUND(100/N13*O13-100,1))&lt;999,ROUND(100/N13*O13-100,1),IF(ROUND(100/N13*O13-100,1)&gt;999,999,-999)))</f>
        <v>-5.0999999999999996</v>
      </c>
      <c r="Q13" s="420"/>
      <c r="R13" s="390"/>
      <c r="S13" s="421" t="str">
        <f>IF(Q13=0, "    ---- ", IF(ABS(ROUND(100/Q13*R13-100,1))&lt;999,ROUND(100/Q13*R13-100,1),IF(ROUND(100/Q13*R13-100,1)&gt;999,999,-999)))</f>
        <v xml:space="preserve">    ---- </v>
      </c>
      <c r="T13" s="415">
        <f>(1430+12100+32281-1362)/(91509+6140)*100</f>
        <v>45.519155342092596</v>
      </c>
      <c r="U13" s="415">
        <f>(1430+13130+35272-1276)/(99720+7488)*100</f>
        <v>45.29139616446534</v>
      </c>
      <c r="V13" s="421">
        <f>IF(T13=0, "    ---- ", IF(ABS(ROUND(100/T13*U13-100,1))&lt;999,ROUND(100/T13*U13-100,1),IF(ROUND(100/T13*U13-100,1)&gt;999,999,-999)))</f>
        <v>-0.5</v>
      </c>
      <c r="W13" s="415">
        <v>39.021863657565682</v>
      </c>
      <c r="X13" s="390">
        <v>35.63466054637334</v>
      </c>
      <c r="Y13" s="421">
        <f>IF(W13=0, "    ---- ", IF(ABS(ROUND(100/W13*X13-100,1))&lt;999,ROUND(100/W13*X13-100,1),IF(ROUND(100/W13*X13-100,1)&gt;999,999,-999)))</f>
        <v>-8.6999999999999993</v>
      </c>
      <c r="Z13" s="415">
        <v>10.2700072537659</v>
      </c>
      <c r="AA13" s="390">
        <v>10.9738945650102</v>
      </c>
      <c r="AB13" s="421">
        <f>IF(Z13=0, "    ---- ", IF(ABS(ROUND(100/Z13*AA13-100,1))&lt;999,ROUND(100/Z13*AA13-100,1),IF(ROUND(100/Z13*AA13-100,1)&gt;999,999,-999)))</f>
        <v>6.9</v>
      </c>
      <c r="AC13" s="421">
        <f t="shared" ref="AC13:AD13" si="0">B13+E13+H13+K13+N13+Q13+T13+W13+Z13</f>
        <v>194.92188981051646</v>
      </c>
      <c r="AD13" s="421">
        <f t="shared" si="0"/>
        <v>195.16088376480459</v>
      </c>
      <c r="AE13" s="421">
        <f>IF(AC13=0, "    ---- ", IF(ABS(ROUND(100/AC13*AD13-100,1))&lt;999,ROUND(100/AC13*AD13-100,1),IF(ROUND(100/AC13*AD13-100,1)&gt;999,999,-999)))</f>
        <v>0.1</v>
      </c>
    </row>
    <row r="14" spans="1:42" ht="18.75" x14ac:dyDescent="0.3">
      <c r="A14" s="416"/>
      <c r="B14" s="420"/>
      <c r="C14" s="420"/>
      <c r="D14" s="420"/>
      <c r="E14" s="549"/>
      <c r="F14" s="420"/>
      <c r="G14" s="420"/>
      <c r="H14" s="420"/>
      <c r="I14" s="420"/>
      <c r="J14" s="420"/>
      <c r="K14" s="420"/>
      <c r="L14" s="420"/>
      <c r="M14" s="420"/>
      <c r="N14" s="420"/>
      <c r="O14" s="545"/>
      <c r="P14" s="420"/>
      <c r="Q14" s="420"/>
      <c r="R14" s="390"/>
      <c r="S14" s="420"/>
      <c r="T14" s="390"/>
      <c r="U14" s="390"/>
      <c r="V14" s="420"/>
      <c r="W14" s="390"/>
      <c r="X14" s="390"/>
      <c r="Y14" s="420"/>
      <c r="Z14" s="390"/>
      <c r="AA14" s="390"/>
      <c r="AB14" s="420"/>
      <c r="AC14" s="420"/>
      <c r="AD14" s="420"/>
      <c r="AE14" s="420"/>
    </row>
    <row r="15" spans="1:42" ht="18.75" x14ac:dyDescent="0.3">
      <c r="A15" s="416" t="s">
        <v>374</v>
      </c>
      <c r="B15" s="543">
        <v>7957</v>
      </c>
      <c r="C15" s="421">
        <v>9311.9410000000007</v>
      </c>
      <c r="D15" s="421">
        <f>IF(B15=0, "    ---- ", IF(ABS(ROUND(100/B15*C15-100,1))&lt;999,ROUND(100/B15*C15-100,1),IF(ROUND(100/B15*C15-100,1)&gt;999,999,-999)))</f>
        <v>17</v>
      </c>
      <c r="E15" s="543"/>
      <c r="F15" s="421"/>
      <c r="G15" s="421"/>
      <c r="H15" s="421"/>
      <c r="I15" s="421"/>
      <c r="J15" s="421"/>
      <c r="K15" s="421">
        <v>345</v>
      </c>
      <c r="L15" s="421">
        <v>448</v>
      </c>
      <c r="M15" s="421">
        <f>IF(K15=0, "    ---- ", IF(ABS(ROUND(100/K15*L15-100,1))&lt;999,ROUND(100/K15*L15-100,1),IF(ROUND(100/K15*L15-100,1)&gt;999,999,-999)))</f>
        <v>29.9</v>
      </c>
      <c r="N15" s="421">
        <v>118937.01029563999</v>
      </c>
      <c r="O15" s="379">
        <v>144580.97245873002</v>
      </c>
      <c r="P15" s="421">
        <f>IF(N15=0, "    ---- ", IF(ABS(ROUND(100/N15*O15-100,1))&lt;999,ROUND(100/N15*O15-100,1),IF(ROUND(100/N15*O15-100,1)&gt;999,999,-999)))</f>
        <v>21.6</v>
      </c>
      <c r="Q15" s="421">
        <v>5789</v>
      </c>
      <c r="R15" s="391">
        <v>6125</v>
      </c>
      <c r="S15" s="421">
        <f>IF(Q15=0, "    ---- ", IF(ABS(ROUND(100/Q15*R15-100,1))&lt;999,ROUND(100/Q15*R15-100,1),IF(ROUND(100/Q15*R15-100,1)&gt;999,999,-999)))</f>
        <v>5.8</v>
      </c>
      <c r="T15" s="424">
        <v>32281</v>
      </c>
      <c r="U15" s="391">
        <v>35272</v>
      </c>
      <c r="V15" s="421">
        <f>IF(T15=0, "    ---- ", IF(ABS(ROUND(100/T15*U15-100,1))&lt;999,ROUND(100/T15*U15-100,1),IF(ROUND(100/T15*U15-100,1)&gt;999,999,-999)))</f>
        <v>9.3000000000000007</v>
      </c>
      <c r="W15" s="424">
        <v>3708.06</v>
      </c>
      <c r="X15" s="391">
        <v>4059.3675000800013</v>
      </c>
      <c r="Y15" s="421">
        <f>IF(W15=0, "    ---- ", IF(ABS(ROUND(100/W15*X15-100,1))&lt;999,ROUND(100/W15*X15-100,1),IF(ROUND(100/W15*X15-100,1)&gt;999,999,-999)))</f>
        <v>9.5</v>
      </c>
      <c r="Z15" s="391">
        <v>14196.759435839998</v>
      </c>
      <c r="AA15" s="391">
        <v>16237.427566950006</v>
      </c>
      <c r="AB15" s="421">
        <f>IF(Z15=0, "    ---- ", IF(ABS(ROUND(100/Z15*AA15-100,1))&lt;999,ROUND(100/Z15*AA15-100,1),IF(ROUND(100/Z15*AA15-100,1)&gt;999,999,-999)))</f>
        <v>14.4</v>
      </c>
      <c r="AC15" s="421">
        <f>B15+E15+H15+K15+N15+Q15+T15+W15+Z15</f>
        <v>183213.82973147999</v>
      </c>
      <c r="AD15" s="421">
        <f>C15+F15+I15+L15+O15+R15+U15+X15+AA15</f>
        <v>216034.70852576001</v>
      </c>
      <c r="AE15" s="421">
        <f>IF(AC15=0, "    ---- ", IF(ABS(ROUND(100/AC15*AD15-100,1))&lt;999,ROUND(100/AC15*AD15-100,1),IF(ROUND(100/AC15*AD15-100,1)&gt;999,999,-999)))</f>
        <v>17.899999999999999</v>
      </c>
    </row>
    <row r="16" spans="1:42" ht="18.75" x14ac:dyDescent="0.3">
      <c r="A16" s="416"/>
      <c r="B16" s="421"/>
      <c r="C16" s="421"/>
      <c r="D16" s="421"/>
      <c r="E16" s="543"/>
      <c r="F16" s="421"/>
      <c r="G16" s="421"/>
      <c r="H16" s="421"/>
      <c r="I16" s="421"/>
      <c r="J16" s="421"/>
      <c r="K16" s="421"/>
      <c r="L16" s="543"/>
      <c r="M16" s="421"/>
      <c r="N16" s="421"/>
      <c r="O16" s="546"/>
      <c r="P16" s="421"/>
      <c r="Q16" s="421"/>
      <c r="R16" s="391"/>
      <c r="S16" s="421"/>
      <c r="T16" s="391"/>
      <c r="U16" s="391"/>
      <c r="V16" s="421"/>
      <c r="W16" s="391"/>
      <c r="X16" s="391"/>
      <c r="Y16" s="421"/>
      <c r="Z16" s="391"/>
      <c r="AA16" s="391"/>
      <c r="AB16" s="421"/>
      <c r="AC16" s="421"/>
      <c r="AD16" s="421"/>
      <c r="AE16" s="421"/>
    </row>
    <row r="17" spans="1:31" ht="18.75" x14ac:dyDescent="0.3">
      <c r="A17" s="417" t="s">
        <v>375</v>
      </c>
      <c r="B17" s="422">
        <v>-6289.0550000000003</v>
      </c>
      <c r="C17" s="422">
        <v>-7450.558</v>
      </c>
      <c r="D17" s="422">
        <f>IF(B17=0, "    ---- ", IF(ABS(ROUND(100/B17*C17-100,1))&lt;999,ROUND(100/B17*C17-100,1),IF(ROUND(100/B17*C17-100,1)&gt;999,999,-999)))</f>
        <v>18.5</v>
      </c>
      <c r="E17" s="550">
        <v>1.8</v>
      </c>
      <c r="F17" s="551">
        <v>2.41</v>
      </c>
      <c r="G17" s="422">
        <f>IF(E17=0, "    ---- ", IF(ABS(ROUND(100/E17*F17-100,1))&lt;999,ROUND(100/E17*F17-100,1),IF(ROUND(100/E17*F17-100,1)&gt;999,999,-999)))</f>
        <v>33.9</v>
      </c>
      <c r="H17" s="422"/>
      <c r="I17" s="422"/>
      <c r="J17" s="422"/>
      <c r="K17" s="422">
        <v>-14.4</v>
      </c>
      <c r="L17" s="422">
        <v>-13</v>
      </c>
      <c r="M17" s="422">
        <f>IF(K17=0, "    ---- ", IF(ABS(ROUND(100/K17*L17-100,1))&lt;999,ROUND(100/K17*L17-100,1),IF(ROUND(100/K17*L17-100,1)&gt;999,999,-999)))</f>
        <v>-9.6999999999999993</v>
      </c>
      <c r="N17" s="422">
        <v>-742</v>
      </c>
      <c r="O17" s="547">
        <v>-295.89568600000007</v>
      </c>
      <c r="P17" s="422">
        <f>IF(N17=0, "    ---- ", IF(ABS(ROUND(100/N17*O17-100,1))&lt;999,ROUND(100/N17*O17-100,1),IF(ROUND(100/N17*O17-100,1)&gt;999,999,-999)))</f>
        <v>-60.1</v>
      </c>
      <c r="Q17" s="422">
        <v>-2948</v>
      </c>
      <c r="R17" s="392">
        <v>-3186</v>
      </c>
      <c r="S17" s="422">
        <f>IF(Q17=0, "    ---- ", IF(ABS(ROUND(100/Q17*R17-100,1))&lt;999,ROUND(100/Q17*R17-100,1),IF(ROUND(100/Q17*R17-100,1)&gt;999,999,-999)))</f>
        <v>8.1</v>
      </c>
      <c r="T17" s="392">
        <v>-1362</v>
      </c>
      <c r="U17" s="392">
        <v>-1276</v>
      </c>
      <c r="V17" s="422">
        <f>IF(T17=0, "    ---- ", IF(ABS(ROUND(100/T17*U17-100,1))&lt;999,ROUND(100/T17*U17-100,1),IF(ROUND(100/T17*U17-100,1)&gt;999,999,-999)))</f>
        <v>-6.3</v>
      </c>
      <c r="W17" s="392">
        <v>-59.420999999999999</v>
      </c>
      <c r="X17" s="392">
        <v>-59.411999999999999</v>
      </c>
      <c r="Y17" s="422">
        <f>IF(W17=0, "    ---- ", IF(ABS(ROUND(100/W17*X17-100,1))&lt;999,ROUND(100/W17*X17-100,1),IF(ROUND(100/W17*X17-100,1)&gt;999,999,-999)))</f>
        <v>0</v>
      </c>
      <c r="Z17" s="392">
        <v>-13668.872797</v>
      </c>
      <c r="AA17" s="392">
        <v>-14325.72614565</v>
      </c>
      <c r="AB17" s="422">
        <f>IF(Z17=0, "    ---- ", IF(ABS(ROUND(100/Z17*AA17-100,1))&lt;999,ROUND(100/Z17*AA17-100,1),IF(ROUND(100/Z17*AA17-100,1)&gt;999,999,-999)))</f>
        <v>4.8</v>
      </c>
      <c r="AC17" s="422">
        <f>B17+E17+H17+K17+N17+Q17+T17+W17+Z17</f>
        <v>-25081.948796999997</v>
      </c>
      <c r="AD17" s="422">
        <f>C17+F17+I17+L17+O17+R17+U17+X17+AA17</f>
        <v>-26604.181831649999</v>
      </c>
      <c r="AE17" s="422">
        <f>IF(AC17=0, "    ---- ", IF(ABS(ROUND(100/AC17*AD17-100,1))&lt;999,ROUND(100/AC17*AD17-100,1),IF(ROUND(100/AC17*AD17-100,1)&gt;999,999,-999)))</f>
        <v>6.1</v>
      </c>
    </row>
  </sheetData>
  <protectedRanges>
    <protectedRange sqref="R9:R10" name="Område1_13_3_1_1_1"/>
    <protectedRange sqref="R11:R17" name="Område1_5_1_2_1_1"/>
    <protectedRange sqref="Q14:Q17 Q9:Q12" name="Område1_9_3_1_1"/>
    <protectedRange sqref="Q13" name="Område1_4_2_3_1_1"/>
    <protectedRange sqref="AA11:AA17" name="Område1_8_1_1_1_1"/>
    <protectedRange sqref="Z9:Z10" name="Område1_10_1_1_1_1_1"/>
    <protectedRange sqref="Z11:Z17" name="Område1_8_1_1_1_1_1_1"/>
    <protectedRange sqref="C9:C10" name="Område1_13_5_1_1"/>
    <protectedRange sqref="C11:C17" name="Område1_2_1_2_1_1"/>
    <protectedRange sqref="B9:B10" name="Område1_13_5_1_1_3_1"/>
    <protectedRange sqref="B11:B17" name="Område1_2_1_2_1_1_3_1"/>
    <protectedRange sqref="L9:L12 L14:L17" name="Område1_9_6_1"/>
    <protectedRange sqref="L13" name="Område1_4_2_6_1"/>
    <protectedRange sqref="K14:K17 K9:K12" name="Område1_9_6_1_2_1"/>
    <protectedRange sqref="K13" name="Område1_4_2_6_1_2_1"/>
    <protectedRange sqref="U9:U10" name="Område1_13_4_1_1"/>
    <protectedRange sqref="U11:U12 U14:U17" name="Område1_6_1_2_1"/>
    <protectedRange sqref="T9:T10" name="Område1_13_4_1_1_1_1"/>
    <protectedRange sqref="T11:T12 T14:T17" name="Område1_6_1_2_1_1_1"/>
    <protectedRange sqref="T13:U13" name="Område1_4_2_5_1_1"/>
    <protectedRange sqref="O9:O10" name="Område1_13_2_1_1"/>
    <protectedRange sqref="O11:O17" name="Område1_3_1_2_1"/>
    <protectedRange sqref="N9:N10" name="Område1_13_2_1_1_1_1"/>
    <protectedRange sqref="N11:N17" name="Område1_3_1_2_1_1_1"/>
    <protectedRange sqref="I9:I12 I14:I17" name="Område1_13_1_1_1_2"/>
    <protectedRange sqref="I13" name="Område1_4_1_2_1_2"/>
    <protectedRange sqref="H14:H17 H9:H12" name="Område1_13_1_1_1_1_2"/>
    <protectedRange sqref="H13" name="Område1_4_1_2_1_1_2"/>
    <protectedRange sqref="E9:E10" name="Område1_13_5_2_1_1"/>
    <protectedRange sqref="E11:E17" name="Område1_2_1_2_2_1_1"/>
  </protectedRanges>
  <mergeCells count="23">
    <mergeCell ref="AN6:AP6"/>
    <mergeCell ref="T6:V6"/>
    <mergeCell ref="W6:Y6"/>
    <mergeCell ref="Z6:AB6"/>
    <mergeCell ref="AC6:AE6"/>
    <mergeCell ref="AH6:AJ6"/>
    <mergeCell ref="AK6:AM6"/>
    <mergeCell ref="AC5:AE5"/>
    <mergeCell ref="AH5:AJ5"/>
    <mergeCell ref="AK5:AM5"/>
    <mergeCell ref="AN5:AP5"/>
    <mergeCell ref="B6:D6"/>
    <mergeCell ref="E6:G6"/>
    <mergeCell ref="H6:J6"/>
    <mergeCell ref="K6:M6"/>
    <mergeCell ref="N6:P6"/>
    <mergeCell ref="Q6:S6"/>
    <mergeCell ref="B5:D5"/>
    <mergeCell ref="H5:J5"/>
    <mergeCell ref="K5:M5"/>
    <mergeCell ref="T5:V5"/>
    <mergeCell ref="W5:Y5"/>
    <mergeCell ref="Z5:AB5"/>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9"/>
  <dimension ref="A2:N65"/>
  <sheetViews>
    <sheetView showGridLines="0" zoomScale="90" zoomScaleNormal="90" workbookViewId="0"/>
  </sheetViews>
  <sheetFormatPr baseColWidth="10" defaultColWidth="11.42578125" defaultRowHeight="12.75" x14ac:dyDescent="0.2"/>
  <cols>
    <col min="1" max="1" width="66.28515625" style="1" customWidth="1"/>
    <col min="2" max="2" width="4.28515625" style="40" customWidth="1"/>
    <col min="3" max="3" width="105.28515625" style="1" customWidth="1"/>
    <col min="4" max="8" width="12.7109375" style="1" customWidth="1"/>
    <col min="9" max="257" width="11.42578125" style="1"/>
    <col min="258" max="258" width="2.7109375" style="1" customWidth="1"/>
    <col min="259" max="259" width="176.7109375" style="1" customWidth="1"/>
    <col min="260" max="260" width="11.42578125" style="1"/>
    <col min="261" max="261" width="176.7109375" style="1" customWidth="1"/>
    <col min="262" max="262" width="11.42578125" style="1"/>
    <col min="263" max="263" width="88.7109375" style="1" customWidth="1"/>
    <col min="264" max="513" width="11.42578125" style="1"/>
    <col min="514" max="514" width="2.7109375" style="1" customWidth="1"/>
    <col min="515" max="515" width="176.7109375" style="1" customWidth="1"/>
    <col min="516" max="516" width="11.42578125" style="1"/>
    <col min="517" max="517" width="176.7109375" style="1" customWidth="1"/>
    <col min="518" max="518" width="11.42578125" style="1"/>
    <col min="519" max="519" width="88.7109375" style="1" customWidth="1"/>
    <col min="520" max="769" width="11.42578125" style="1"/>
    <col min="770" max="770" width="2.7109375" style="1" customWidth="1"/>
    <col min="771" max="771" width="176.7109375" style="1" customWidth="1"/>
    <col min="772" max="772" width="11.42578125" style="1"/>
    <col min="773" max="773" width="176.7109375" style="1" customWidth="1"/>
    <col min="774" max="774" width="11.42578125" style="1"/>
    <col min="775" max="775" width="88.7109375" style="1" customWidth="1"/>
    <col min="776" max="1025" width="11.42578125" style="1"/>
    <col min="1026" max="1026" width="2.7109375" style="1" customWidth="1"/>
    <col min="1027" max="1027" width="176.7109375" style="1" customWidth="1"/>
    <col min="1028" max="1028" width="11.42578125" style="1"/>
    <col min="1029" max="1029" width="176.7109375" style="1" customWidth="1"/>
    <col min="1030" max="1030" width="11.42578125" style="1"/>
    <col min="1031" max="1031" width="88.7109375" style="1" customWidth="1"/>
    <col min="1032" max="1281" width="11.42578125" style="1"/>
    <col min="1282" max="1282" width="2.7109375" style="1" customWidth="1"/>
    <col min="1283" max="1283" width="176.7109375" style="1" customWidth="1"/>
    <col min="1284" max="1284" width="11.42578125" style="1"/>
    <col min="1285" max="1285" width="176.7109375" style="1" customWidth="1"/>
    <col min="1286" max="1286" width="11.42578125" style="1"/>
    <col min="1287" max="1287" width="88.7109375" style="1" customWidth="1"/>
    <col min="1288" max="1537" width="11.42578125" style="1"/>
    <col min="1538" max="1538" width="2.7109375" style="1" customWidth="1"/>
    <col min="1539" max="1539" width="176.7109375" style="1" customWidth="1"/>
    <col min="1540" max="1540" width="11.42578125" style="1"/>
    <col min="1541" max="1541" width="176.7109375" style="1" customWidth="1"/>
    <col min="1542" max="1542" width="11.42578125" style="1"/>
    <col min="1543" max="1543" width="88.7109375" style="1" customWidth="1"/>
    <col min="1544" max="1793" width="11.42578125" style="1"/>
    <col min="1794" max="1794" width="2.7109375" style="1" customWidth="1"/>
    <col min="1795" max="1795" width="176.7109375" style="1" customWidth="1"/>
    <col min="1796" max="1796" width="11.42578125" style="1"/>
    <col min="1797" max="1797" width="176.7109375" style="1" customWidth="1"/>
    <col min="1798" max="1798" width="11.42578125" style="1"/>
    <col min="1799" max="1799" width="88.7109375" style="1" customWidth="1"/>
    <col min="1800" max="2049" width="11.42578125" style="1"/>
    <col min="2050" max="2050" width="2.7109375" style="1" customWidth="1"/>
    <col min="2051" max="2051" width="176.7109375" style="1" customWidth="1"/>
    <col min="2052" max="2052" width="11.42578125" style="1"/>
    <col min="2053" max="2053" width="176.7109375" style="1" customWidth="1"/>
    <col min="2054" max="2054" width="11.42578125" style="1"/>
    <col min="2055" max="2055" width="88.7109375" style="1" customWidth="1"/>
    <col min="2056" max="2305" width="11.42578125" style="1"/>
    <col min="2306" max="2306" width="2.7109375" style="1" customWidth="1"/>
    <col min="2307" max="2307" width="176.7109375" style="1" customWidth="1"/>
    <col min="2308" max="2308" width="11.42578125" style="1"/>
    <col min="2309" max="2309" width="176.7109375" style="1" customWidth="1"/>
    <col min="2310" max="2310" width="11.42578125" style="1"/>
    <col min="2311" max="2311" width="88.7109375" style="1" customWidth="1"/>
    <col min="2312" max="2561" width="11.42578125" style="1"/>
    <col min="2562" max="2562" width="2.7109375" style="1" customWidth="1"/>
    <col min="2563" max="2563" width="176.7109375" style="1" customWidth="1"/>
    <col min="2564" max="2564" width="11.42578125" style="1"/>
    <col min="2565" max="2565" width="176.7109375" style="1" customWidth="1"/>
    <col min="2566" max="2566" width="11.42578125" style="1"/>
    <col min="2567" max="2567" width="88.7109375" style="1" customWidth="1"/>
    <col min="2568" max="2817" width="11.42578125" style="1"/>
    <col min="2818" max="2818" width="2.7109375" style="1" customWidth="1"/>
    <col min="2819" max="2819" width="176.7109375" style="1" customWidth="1"/>
    <col min="2820" max="2820" width="11.42578125" style="1"/>
    <col min="2821" max="2821" width="176.7109375" style="1" customWidth="1"/>
    <col min="2822" max="2822" width="11.42578125" style="1"/>
    <col min="2823" max="2823" width="88.7109375" style="1" customWidth="1"/>
    <col min="2824" max="3073" width="11.42578125" style="1"/>
    <col min="3074" max="3074" width="2.7109375" style="1" customWidth="1"/>
    <col min="3075" max="3075" width="176.7109375" style="1" customWidth="1"/>
    <col min="3076" max="3076" width="11.42578125" style="1"/>
    <col min="3077" max="3077" width="176.7109375" style="1" customWidth="1"/>
    <col min="3078" max="3078" width="11.42578125" style="1"/>
    <col min="3079" max="3079" width="88.7109375" style="1" customWidth="1"/>
    <col min="3080" max="3329" width="11.42578125" style="1"/>
    <col min="3330" max="3330" width="2.7109375" style="1" customWidth="1"/>
    <col min="3331" max="3331" width="176.7109375" style="1" customWidth="1"/>
    <col min="3332" max="3332" width="11.42578125" style="1"/>
    <col min="3333" max="3333" width="176.7109375" style="1" customWidth="1"/>
    <col min="3334" max="3334" width="11.42578125" style="1"/>
    <col min="3335" max="3335" width="88.7109375" style="1" customWidth="1"/>
    <col min="3336" max="3585" width="11.42578125" style="1"/>
    <col min="3586" max="3586" width="2.7109375" style="1" customWidth="1"/>
    <col min="3587" max="3587" width="176.7109375" style="1" customWidth="1"/>
    <col min="3588" max="3588" width="11.42578125" style="1"/>
    <col min="3589" max="3589" width="176.7109375" style="1" customWidth="1"/>
    <col min="3590" max="3590" width="11.42578125" style="1"/>
    <col min="3591" max="3591" width="88.7109375" style="1" customWidth="1"/>
    <col min="3592" max="3841" width="11.42578125" style="1"/>
    <col min="3842" max="3842" width="2.7109375" style="1" customWidth="1"/>
    <col min="3843" max="3843" width="176.7109375" style="1" customWidth="1"/>
    <col min="3844" max="3844" width="11.42578125" style="1"/>
    <col min="3845" max="3845" width="176.7109375" style="1" customWidth="1"/>
    <col min="3846" max="3846" width="11.42578125" style="1"/>
    <col min="3847" max="3847" width="88.7109375" style="1" customWidth="1"/>
    <col min="3848" max="4097" width="11.42578125" style="1"/>
    <col min="4098" max="4098" width="2.7109375" style="1" customWidth="1"/>
    <col min="4099" max="4099" width="176.7109375" style="1" customWidth="1"/>
    <col min="4100" max="4100" width="11.42578125" style="1"/>
    <col min="4101" max="4101" width="176.7109375" style="1" customWidth="1"/>
    <col min="4102" max="4102" width="11.42578125" style="1"/>
    <col min="4103" max="4103" width="88.7109375" style="1" customWidth="1"/>
    <col min="4104" max="4353" width="11.42578125" style="1"/>
    <col min="4354" max="4354" width="2.7109375" style="1" customWidth="1"/>
    <col min="4355" max="4355" width="176.7109375" style="1" customWidth="1"/>
    <col min="4356" max="4356" width="11.42578125" style="1"/>
    <col min="4357" max="4357" width="176.7109375" style="1" customWidth="1"/>
    <col min="4358" max="4358" width="11.42578125" style="1"/>
    <col min="4359" max="4359" width="88.7109375" style="1" customWidth="1"/>
    <col min="4360" max="4609" width="11.42578125" style="1"/>
    <col min="4610" max="4610" width="2.7109375" style="1" customWidth="1"/>
    <col min="4611" max="4611" width="176.7109375" style="1" customWidth="1"/>
    <col min="4612" max="4612" width="11.42578125" style="1"/>
    <col min="4613" max="4613" width="176.7109375" style="1" customWidth="1"/>
    <col min="4614" max="4614" width="11.42578125" style="1"/>
    <col min="4615" max="4615" width="88.7109375" style="1" customWidth="1"/>
    <col min="4616" max="4865" width="11.42578125" style="1"/>
    <col min="4866" max="4866" width="2.7109375" style="1" customWidth="1"/>
    <col min="4867" max="4867" width="176.7109375" style="1" customWidth="1"/>
    <col min="4868" max="4868" width="11.42578125" style="1"/>
    <col min="4869" max="4869" width="176.7109375" style="1" customWidth="1"/>
    <col min="4870" max="4870" width="11.42578125" style="1"/>
    <col min="4871" max="4871" width="88.7109375" style="1" customWidth="1"/>
    <col min="4872" max="5121" width="11.42578125" style="1"/>
    <col min="5122" max="5122" width="2.7109375" style="1" customWidth="1"/>
    <col min="5123" max="5123" width="176.7109375" style="1" customWidth="1"/>
    <col min="5124" max="5124" width="11.42578125" style="1"/>
    <col min="5125" max="5125" width="176.7109375" style="1" customWidth="1"/>
    <col min="5126" max="5126" width="11.42578125" style="1"/>
    <col min="5127" max="5127" width="88.7109375" style="1" customWidth="1"/>
    <col min="5128" max="5377" width="11.42578125" style="1"/>
    <col min="5378" max="5378" width="2.7109375" style="1" customWidth="1"/>
    <col min="5379" max="5379" width="176.7109375" style="1" customWidth="1"/>
    <col min="5380" max="5380" width="11.42578125" style="1"/>
    <col min="5381" max="5381" width="176.7109375" style="1" customWidth="1"/>
    <col min="5382" max="5382" width="11.42578125" style="1"/>
    <col min="5383" max="5383" width="88.7109375" style="1" customWidth="1"/>
    <col min="5384" max="5633" width="11.42578125" style="1"/>
    <col min="5634" max="5634" width="2.7109375" style="1" customWidth="1"/>
    <col min="5635" max="5635" width="176.7109375" style="1" customWidth="1"/>
    <col min="5636" max="5636" width="11.42578125" style="1"/>
    <col min="5637" max="5637" width="176.7109375" style="1" customWidth="1"/>
    <col min="5638" max="5638" width="11.42578125" style="1"/>
    <col min="5639" max="5639" width="88.7109375" style="1" customWidth="1"/>
    <col min="5640" max="5889" width="11.42578125" style="1"/>
    <col min="5890" max="5890" width="2.7109375" style="1" customWidth="1"/>
    <col min="5891" max="5891" width="176.7109375" style="1" customWidth="1"/>
    <col min="5892" max="5892" width="11.42578125" style="1"/>
    <col min="5893" max="5893" width="176.7109375" style="1" customWidth="1"/>
    <col min="5894" max="5894" width="11.42578125" style="1"/>
    <col min="5895" max="5895" width="88.7109375" style="1" customWidth="1"/>
    <col min="5896" max="6145" width="11.42578125" style="1"/>
    <col min="6146" max="6146" width="2.7109375" style="1" customWidth="1"/>
    <col min="6147" max="6147" width="176.7109375" style="1" customWidth="1"/>
    <col min="6148" max="6148" width="11.42578125" style="1"/>
    <col min="6149" max="6149" width="176.7109375" style="1" customWidth="1"/>
    <col min="6150" max="6150" width="11.42578125" style="1"/>
    <col min="6151" max="6151" width="88.7109375" style="1" customWidth="1"/>
    <col min="6152" max="6401" width="11.42578125" style="1"/>
    <col min="6402" max="6402" width="2.7109375" style="1" customWidth="1"/>
    <col min="6403" max="6403" width="176.7109375" style="1" customWidth="1"/>
    <col min="6404" max="6404" width="11.42578125" style="1"/>
    <col min="6405" max="6405" width="176.7109375" style="1" customWidth="1"/>
    <col min="6406" max="6406" width="11.42578125" style="1"/>
    <col min="6407" max="6407" width="88.7109375" style="1" customWidth="1"/>
    <col min="6408" max="6657" width="11.42578125" style="1"/>
    <col min="6658" max="6658" width="2.7109375" style="1" customWidth="1"/>
    <col min="6659" max="6659" width="176.7109375" style="1" customWidth="1"/>
    <col min="6660" max="6660" width="11.42578125" style="1"/>
    <col min="6661" max="6661" width="176.7109375" style="1" customWidth="1"/>
    <col min="6662" max="6662" width="11.42578125" style="1"/>
    <col min="6663" max="6663" width="88.7109375" style="1" customWidth="1"/>
    <col min="6664" max="6913" width="11.42578125" style="1"/>
    <col min="6914" max="6914" width="2.7109375" style="1" customWidth="1"/>
    <col min="6915" max="6915" width="176.7109375" style="1" customWidth="1"/>
    <col min="6916" max="6916" width="11.42578125" style="1"/>
    <col min="6917" max="6917" width="176.7109375" style="1" customWidth="1"/>
    <col min="6918" max="6918" width="11.42578125" style="1"/>
    <col min="6919" max="6919" width="88.7109375" style="1" customWidth="1"/>
    <col min="6920" max="7169" width="11.42578125" style="1"/>
    <col min="7170" max="7170" width="2.7109375" style="1" customWidth="1"/>
    <col min="7171" max="7171" width="176.7109375" style="1" customWidth="1"/>
    <col min="7172" max="7172" width="11.42578125" style="1"/>
    <col min="7173" max="7173" width="176.7109375" style="1" customWidth="1"/>
    <col min="7174" max="7174" width="11.42578125" style="1"/>
    <col min="7175" max="7175" width="88.7109375" style="1" customWidth="1"/>
    <col min="7176" max="7425" width="11.42578125" style="1"/>
    <col min="7426" max="7426" width="2.7109375" style="1" customWidth="1"/>
    <col min="7427" max="7427" width="176.7109375" style="1" customWidth="1"/>
    <col min="7428" max="7428" width="11.42578125" style="1"/>
    <col min="7429" max="7429" width="176.7109375" style="1" customWidth="1"/>
    <col min="7430" max="7430" width="11.42578125" style="1"/>
    <col min="7431" max="7431" width="88.7109375" style="1" customWidth="1"/>
    <col min="7432" max="7681" width="11.42578125" style="1"/>
    <col min="7682" max="7682" width="2.7109375" style="1" customWidth="1"/>
    <col min="7683" max="7683" width="176.7109375" style="1" customWidth="1"/>
    <col min="7684" max="7684" width="11.42578125" style="1"/>
    <col min="7685" max="7685" width="176.7109375" style="1" customWidth="1"/>
    <col min="7686" max="7686" width="11.42578125" style="1"/>
    <col min="7687" max="7687" width="88.7109375" style="1" customWidth="1"/>
    <col min="7688" max="7937" width="11.42578125" style="1"/>
    <col min="7938" max="7938" width="2.7109375" style="1" customWidth="1"/>
    <col min="7939" max="7939" width="176.7109375" style="1" customWidth="1"/>
    <col min="7940" max="7940" width="11.42578125" style="1"/>
    <col min="7941" max="7941" width="176.7109375" style="1" customWidth="1"/>
    <col min="7942" max="7942" width="11.42578125" style="1"/>
    <col min="7943" max="7943" width="88.7109375" style="1" customWidth="1"/>
    <col min="7944" max="8193" width="11.42578125" style="1"/>
    <col min="8194" max="8194" width="2.7109375" style="1" customWidth="1"/>
    <col min="8195" max="8195" width="176.7109375" style="1" customWidth="1"/>
    <col min="8196" max="8196" width="11.42578125" style="1"/>
    <col min="8197" max="8197" width="176.7109375" style="1" customWidth="1"/>
    <col min="8198" max="8198" width="11.42578125" style="1"/>
    <col min="8199" max="8199" width="88.7109375" style="1" customWidth="1"/>
    <col min="8200" max="8449" width="11.42578125" style="1"/>
    <col min="8450" max="8450" width="2.7109375" style="1" customWidth="1"/>
    <col min="8451" max="8451" width="176.7109375" style="1" customWidth="1"/>
    <col min="8452" max="8452" width="11.42578125" style="1"/>
    <col min="8453" max="8453" width="176.7109375" style="1" customWidth="1"/>
    <col min="8454" max="8454" width="11.42578125" style="1"/>
    <col min="8455" max="8455" width="88.7109375" style="1" customWidth="1"/>
    <col min="8456" max="8705" width="11.42578125" style="1"/>
    <col min="8706" max="8706" width="2.7109375" style="1" customWidth="1"/>
    <col min="8707" max="8707" width="176.7109375" style="1" customWidth="1"/>
    <col min="8708" max="8708" width="11.42578125" style="1"/>
    <col min="8709" max="8709" width="176.7109375" style="1" customWidth="1"/>
    <col min="8710" max="8710" width="11.42578125" style="1"/>
    <col min="8711" max="8711" width="88.7109375" style="1" customWidth="1"/>
    <col min="8712" max="8961" width="11.42578125" style="1"/>
    <col min="8962" max="8962" width="2.7109375" style="1" customWidth="1"/>
    <col min="8963" max="8963" width="176.7109375" style="1" customWidth="1"/>
    <col min="8964" max="8964" width="11.42578125" style="1"/>
    <col min="8965" max="8965" width="176.7109375" style="1" customWidth="1"/>
    <col min="8966" max="8966" width="11.42578125" style="1"/>
    <col min="8967" max="8967" width="88.7109375" style="1" customWidth="1"/>
    <col min="8968" max="9217" width="11.42578125" style="1"/>
    <col min="9218" max="9218" width="2.7109375" style="1" customWidth="1"/>
    <col min="9219" max="9219" width="176.7109375" style="1" customWidth="1"/>
    <col min="9220" max="9220" width="11.42578125" style="1"/>
    <col min="9221" max="9221" width="176.7109375" style="1" customWidth="1"/>
    <col min="9222" max="9222" width="11.42578125" style="1"/>
    <col min="9223" max="9223" width="88.7109375" style="1" customWidth="1"/>
    <col min="9224" max="9473" width="11.42578125" style="1"/>
    <col min="9474" max="9474" width="2.7109375" style="1" customWidth="1"/>
    <col min="9475" max="9475" width="176.7109375" style="1" customWidth="1"/>
    <col min="9476" max="9476" width="11.42578125" style="1"/>
    <col min="9477" max="9477" width="176.7109375" style="1" customWidth="1"/>
    <col min="9478" max="9478" width="11.42578125" style="1"/>
    <col min="9479" max="9479" width="88.7109375" style="1" customWidth="1"/>
    <col min="9480" max="9729" width="11.42578125" style="1"/>
    <col min="9730" max="9730" width="2.7109375" style="1" customWidth="1"/>
    <col min="9731" max="9731" width="176.7109375" style="1" customWidth="1"/>
    <col min="9732" max="9732" width="11.42578125" style="1"/>
    <col min="9733" max="9733" width="176.7109375" style="1" customWidth="1"/>
    <col min="9734" max="9734" width="11.42578125" style="1"/>
    <col min="9735" max="9735" width="88.7109375" style="1" customWidth="1"/>
    <col min="9736" max="9985" width="11.42578125" style="1"/>
    <col min="9986" max="9986" width="2.7109375" style="1" customWidth="1"/>
    <col min="9987" max="9987" width="176.7109375" style="1" customWidth="1"/>
    <col min="9988" max="9988" width="11.42578125" style="1"/>
    <col min="9989" max="9989" width="176.7109375" style="1" customWidth="1"/>
    <col min="9990" max="9990" width="11.42578125" style="1"/>
    <col min="9991" max="9991" width="88.7109375" style="1" customWidth="1"/>
    <col min="9992" max="10241" width="11.42578125" style="1"/>
    <col min="10242" max="10242" width="2.7109375" style="1" customWidth="1"/>
    <col min="10243" max="10243" width="176.7109375" style="1" customWidth="1"/>
    <col min="10244" max="10244" width="11.42578125" style="1"/>
    <col min="10245" max="10245" width="176.7109375" style="1" customWidth="1"/>
    <col min="10246" max="10246" width="11.42578125" style="1"/>
    <col min="10247" max="10247" width="88.7109375" style="1" customWidth="1"/>
    <col min="10248" max="10497" width="11.42578125" style="1"/>
    <col min="10498" max="10498" width="2.7109375" style="1" customWidth="1"/>
    <col min="10499" max="10499" width="176.7109375" style="1" customWidth="1"/>
    <col min="10500" max="10500" width="11.42578125" style="1"/>
    <col min="10501" max="10501" width="176.7109375" style="1" customWidth="1"/>
    <col min="10502" max="10502" width="11.42578125" style="1"/>
    <col min="10503" max="10503" width="88.7109375" style="1" customWidth="1"/>
    <col min="10504" max="10753" width="11.42578125" style="1"/>
    <col min="10754" max="10754" width="2.7109375" style="1" customWidth="1"/>
    <col min="10755" max="10755" width="176.7109375" style="1" customWidth="1"/>
    <col min="10756" max="10756" width="11.42578125" style="1"/>
    <col min="10757" max="10757" width="176.7109375" style="1" customWidth="1"/>
    <col min="10758" max="10758" width="11.42578125" style="1"/>
    <col min="10759" max="10759" width="88.7109375" style="1" customWidth="1"/>
    <col min="10760" max="11009" width="11.42578125" style="1"/>
    <col min="11010" max="11010" width="2.7109375" style="1" customWidth="1"/>
    <col min="11011" max="11011" width="176.7109375" style="1" customWidth="1"/>
    <col min="11012" max="11012" width="11.42578125" style="1"/>
    <col min="11013" max="11013" width="176.7109375" style="1" customWidth="1"/>
    <col min="11014" max="11014" width="11.42578125" style="1"/>
    <col min="11015" max="11015" width="88.7109375" style="1" customWidth="1"/>
    <col min="11016" max="11265" width="11.42578125" style="1"/>
    <col min="11266" max="11266" width="2.7109375" style="1" customWidth="1"/>
    <col min="11267" max="11267" width="176.7109375" style="1" customWidth="1"/>
    <col min="11268" max="11268" width="11.42578125" style="1"/>
    <col min="11269" max="11269" width="176.7109375" style="1" customWidth="1"/>
    <col min="11270" max="11270" width="11.42578125" style="1"/>
    <col min="11271" max="11271" width="88.7109375" style="1" customWidth="1"/>
    <col min="11272" max="11521" width="11.42578125" style="1"/>
    <col min="11522" max="11522" width="2.7109375" style="1" customWidth="1"/>
    <col min="11523" max="11523" width="176.7109375" style="1" customWidth="1"/>
    <col min="11524" max="11524" width="11.42578125" style="1"/>
    <col min="11525" max="11525" width="176.7109375" style="1" customWidth="1"/>
    <col min="11526" max="11526" width="11.42578125" style="1"/>
    <col min="11527" max="11527" width="88.7109375" style="1" customWidth="1"/>
    <col min="11528" max="11777" width="11.42578125" style="1"/>
    <col min="11778" max="11778" width="2.7109375" style="1" customWidth="1"/>
    <col min="11779" max="11779" width="176.7109375" style="1" customWidth="1"/>
    <col min="11780" max="11780" width="11.42578125" style="1"/>
    <col min="11781" max="11781" width="176.7109375" style="1" customWidth="1"/>
    <col min="11782" max="11782" width="11.42578125" style="1"/>
    <col min="11783" max="11783" width="88.7109375" style="1" customWidth="1"/>
    <col min="11784" max="12033" width="11.42578125" style="1"/>
    <col min="12034" max="12034" width="2.7109375" style="1" customWidth="1"/>
    <col min="12035" max="12035" width="176.7109375" style="1" customWidth="1"/>
    <col min="12036" max="12036" width="11.42578125" style="1"/>
    <col min="12037" max="12037" width="176.7109375" style="1" customWidth="1"/>
    <col min="12038" max="12038" width="11.42578125" style="1"/>
    <col min="12039" max="12039" width="88.7109375" style="1" customWidth="1"/>
    <col min="12040" max="12289" width="11.42578125" style="1"/>
    <col min="12290" max="12290" width="2.7109375" style="1" customWidth="1"/>
    <col min="12291" max="12291" width="176.7109375" style="1" customWidth="1"/>
    <col min="12292" max="12292" width="11.42578125" style="1"/>
    <col min="12293" max="12293" width="176.7109375" style="1" customWidth="1"/>
    <col min="12294" max="12294" width="11.42578125" style="1"/>
    <col min="12295" max="12295" width="88.7109375" style="1" customWidth="1"/>
    <col min="12296" max="12545" width="11.42578125" style="1"/>
    <col min="12546" max="12546" width="2.7109375" style="1" customWidth="1"/>
    <col min="12547" max="12547" width="176.7109375" style="1" customWidth="1"/>
    <col min="12548" max="12548" width="11.42578125" style="1"/>
    <col min="12549" max="12549" width="176.7109375" style="1" customWidth="1"/>
    <col min="12550" max="12550" width="11.42578125" style="1"/>
    <col min="12551" max="12551" width="88.7109375" style="1" customWidth="1"/>
    <col min="12552" max="12801" width="11.42578125" style="1"/>
    <col min="12802" max="12802" width="2.7109375" style="1" customWidth="1"/>
    <col min="12803" max="12803" width="176.7109375" style="1" customWidth="1"/>
    <col min="12804" max="12804" width="11.42578125" style="1"/>
    <col min="12805" max="12805" width="176.7109375" style="1" customWidth="1"/>
    <col min="12806" max="12806" width="11.42578125" style="1"/>
    <col min="12807" max="12807" width="88.7109375" style="1" customWidth="1"/>
    <col min="12808" max="13057" width="11.42578125" style="1"/>
    <col min="13058" max="13058" width="2.7109375" style="1" customWidth="1"/>
    <col min="13059" max="13059" width="176.7109375" style="1" customWidth="1"/>
    <col min="13060" max="13060" width="11.42578125" style="1"/>
    <col min="13061" max="13061" width="176.7109375" style="1" customWidth="1"/>
    <col min="13062" max="13062" width="11.42578125" style="1"/>
    <col min="13063" max="13063" width="88.7109375" style="1" customWidth="1"/>
    <col min="13064" max="13313" width="11.42578125" style="1"/>
    <col min="13314" max="13314" width="2.7109375" style="1" customWidth="1"/>
    <col min="13315" max="13315" width="176.7109375" style="1" customWidth="1"/>
    <col min="13316" max="13316" width="11.42578125" style="1"/>
    <col min="13317" max="13317" width="176.7109375" style="1" customWidth="1"/>
    <col min="13318" max="13318" width="11.42578125" style="1"/>
    <col min="13319" max="13319" width="88.7109375" style="1" customWidth="1"/>
    <col min="13320" max="13569" width="11.42578125" style="1"/>
    <col min="13570" max="13570" width="2.7109375" style="1" customWidth="1"/>
    <col min="13571" max="13571" width="176.7109375" style="1" customWidth="1"/>
    <col min="13572" max="13572" width="11.42578125" style="1"/>
    <col min="13573" max="13573" width="176.7109375" style="1" customWidth="1"/>
    <col min="13574" max="13574" width="11.42578125" style="1"/>
    <col min="13575" max="13575" width="88.7109375" style="1" customWidth="1"/>
    <col min="13576" max="13825" width="11.42578125" style="1"/>
    <col min="13826" max="13826" width="2.7109375" style="1" customWidth="1"/>
    <col min="13827" max="13827" width="176.7109375" style="1" customWidth="1"/>
    <col min="13828" max="13828" width="11.42578125" style="1"/>
    <col min="13829" max="13829" width="176.7109375" style="1" customWidth="1"/>
    <col min="13830" max="13830" width="11.42578125" style="1"/>
    <col min="13831" max="13831" width="88.7109375" style="1" customWidth="1"/>
    <col min="13832" max="14081" width="11.42578125" style="1"/>
    <col min="14082" max="14082" width="2.7109375" style="1" customWidth="1"/>
    <col min="14083" max="14083" width="176.7109375" style="1" customWidth="1"/>
    <col min="14084" max="14084" width="11.42578125" style="1"/>
    <col min="14085" max="14085" width="176.7109375" style="1" customWidth="1"/>
    <col min="14086" max="14086" width="11.42578125" style="1"/>
    <col min="14087" max="14087" width="88.7109375" style="1" customWidth="1"/>
    <col min="14088" max="14337" width="11.42578125" style="1"/>
    <col min="14338" max="14338" width="2.7109375" style="1" customWidth="1"/>
    <col min="14339" max="14339" width="176.7109375" style="1" customWidth="1"/>
    <col min="14340" max="14340" width="11.42578125" style="1"/>
    <col min="14341" max="14341" width="176.7109375" style="1" customWidth="1"/>
    <col min="14342" max="14342" width="11.42578125" style="1"/>
    <col min="14343" max="14343" width="88.7109375" style="1" customWidth="1"/>
    <col min="14344" max="14593" width="11.42578125" style="1"/>
    <col min="14594" max="14594" width="2.7109375" style="1" customWidth="1"/>
    <col min="14595" max="14595" width="176.7109375" style="1" customWidth="1"/>
    <col min="14596" max="14596" width="11.42578125" style="1"/>
    <col min="14597" max="14597" width="176.7109375" style="1" customWidth="1"/>
    <col min="14598" max="14598" width="11.42578125" style="1"/>
    <col min="14599" max="14599" width="88.7109375" style="1" customWidth="1"/>
    <col min="14600" max="14849" width="11.42578125" style="1"/>
    <col min="14850" max="14850" width="2.7109375" style="1" customWidth="1"/>
    <col min="14851" max="14851" width="176.7109375" style="1" customWidth="1"/>
    <col min="14852" max="14852" width="11.42578125" style="1"/>
    <col min="14853" max="14853" width="176.7109375" style="1" customWidth="1"/>
    <col min="14854" max="14854" width="11.42578125" style="1"/>
    <col min="14855" max="14855" width="88.7109375" style="1" customWidth="1"/>
    <col min="14856" max="15105" width="11.42578125" style="1"/>
    <col min="15106" max="15106" width="2.7109375" style="1" customWidth="1"/>
    <col min="15107" max="15107" width="176.7109375" style="1" customWidth="1"/>
    <col min="15108" max="15108" width="11.42578125" style="1"/>
    <col min="15109" max="15109" width="176.7109375" style="1" customWidth="1"/>
    <col min="15110" max="15110" width="11.42578125" style="1"/>
    <col min="15111" max="15111" width="88.7109375" style="1" customWidth="1"/>
    <col min="15112" max="15361" width="11.42578125" style="1"/>
    <col min="15362" max="15362" width="2.7109375" style="1" customWidth="1"/>
    <col min="15363" max="15363" width="176.7109375" style="1" customWidth="1"/>
    <col min="15364" max="15364" width="11.42578125" style="1"/>
    <col min="15365" max="15365" width="176.7109375" style="1" customWidth="1"/>
    <col min="15366" max="15366" width="11.42578125" style="1"/>
    <col min="15367" max="15367" width="88.7109375" style="1" customWidth="1"/>
    <col min="15368" max="15617" width="11.42578125" style="1"/>
    <col min="15618" max="15618" width="2.7109375" style="1" customWidth="1"/>
    <col min="15619" max="15619" width="176.7109375" style="1" customWidth="1"/>
    <col min="15620" max="15620" width="11.42578125" style="1"/>
    <col min="15621" max="15621" width="176.7109375" style="1" customWidth="1"/>
    <col min="15622" max="15622" width="11.42578125" style="1"/>
    <col min="15623" max="15623" width="88.7109375" style="1" customWidth="1"/>
    <col min="15624" max="15873" width="11.42578125" style="1"/>
    <col min="15874" max="15874" width="2.7109375" style="1" customWidth="1"/>
    <col min="15875" max="15875" width="176.7109375" style="1" customWidth="1"/>
    <col min="15876" max="15876" width="11.42578125" style="1"/>
    <col min="15877" max="15877" width="176.7109375" style="1" customWidth="1"/>
    <col min="15878" max="15878" width="11.42578125" style="1"/>
    <col min="15879" max="15879" width="88.7109375" style="1" customWidth="1"/>
    <col min="15880" max="16129" width="11.42578125" style="1"/>
    <col min="16130" max="16130" width="2.7109375" style="1" customWidth="1"/>
    <col min="16131" max="16131" width="176.7109375" style="1" customWidth="1"/>
    <col min="16132" max="16132" width="11.42578125" style="1"/>
    <col min="16133" max="16133" width="176.7109375" style="1" customWidth="1"/>
    <col min="16134" max="16134" width="11.42578125" style="1"/>
    <col min="16135" max="16135" width="88.7109375" style="1" customWidth="1"/>
    <col min="16136" max="16384" width="11.42578125" style="1"/>
  </cols>
  <sheetData>
    <row r="2" spans="1:11" x14ac:dyDescent="0.2">
      <c r="C2" s="271"/>
      <c r="D2" s="271"/>
      <c r="E2" s="271"/>
    </row>
    <row r="3" spans="1:11" x14ac:dyDescent="0.2">
      <c r="A3" s="35" t="s">
        <v>43</v>
      </c>
    </row>
    <row r="4" spans="1:11" x14ac:dyDescent="0.2">
      <c r="C4" s="271"/>
      <c r="D4" s="271"/>
      <c r="E4" s="271"/>
      <c r="F4" s="271"/>
      <c r="G4" s="271"/>
      <c r="H4" s="271"/>
      <c r="I4" s="271"/>
      <c r="J4" s="271"/>
      <c r="K4" s="271"/>
    </row>
    <row r="6" spans="1:11" ht="15.75" x14ac:dyDescent="0.25">
      <c r="C6" s="276" t="s">
        <v>379</v>
      </c>
      <c r="E6" s="276"/>
    </row>
    <row r="7" spans="1:11" ht="18.75" customHeight="1" x14ac:dyDescent="0.2">
      <c r="E7" s="40"/>
    </row>
    <row r="8" spans="1:11" ht="15.75" x14ac:dyDescent="0.25">
      <c r="B8" s="272">
        <v>1</v>
      </c>
      <c r="C8" s="273" t="s">
        <v>380</v>
      </c>
      <c r="E8" s="279"/>
    </row>
    <row r="9" spans="1:11" ht="31.5" x14ac:dyDescent="0.2">
      <c r="B9" s="272">
        <v>2</v>
      </c>
      <c r="C9" s="273" t="s">
        <v>381</v>
      </c>
      <c r="E9" s="5"/>
    </row>
    <row r="10" spans="1:11" ht="47.25" x14ac:dyDescent="0.2">
      <c r="B10" s="272">
        <v>3</v>
      </c>
      <c r="C10" s="273" t="s">
        <v>382</v>
      </c>
      <c r="E10" s="5"/>
    </row>
    <row r="11" spans="1:11" ht="31.5" x14ac:dyDescent="0.2">
      <c r="B11" s="272">
        <v>4</v>
      </c>
      <c r="C11" s="522" t="s">
        <v>383</v>
      </c>
      <c r="E11" s="5"/>
    </row>
    <row r="12" spans="1:11" ht="31.5" x14ac:dyDescent="0.2">
      <c r="B12" s="272">
        <v>5</v>
      </c>
      <c r="C12" s="273" t="s">
        <v>384</v>
      </c>
    </row>
    <row r="13" spans="1:11" ht="15.75" x14ac:dyDescent="0.2">
      <c r="B13" s="272">
        <v>6</v>
      </c>
      <c r="C13" s="273" t="s">
        <v>385</v>
      </c>
    </row>
    <row r="14" spans="1:11" ht="15.75" x14ac:dyDescent="0.2">
      <c r="B14" s="272">
        <v>7</v>
      </c>
      <c r="C14" s="273" t="s">
        <v>386</v>
      </c>
    </row>
    <row r="15" spans="1:11" ht="18.75" customHeight="1" x14ac:dyDescent="0.2">
      <c r="B15" s="272">
        <v>8</v>
      </c>
      <c r="C15" s="273" t="s">
        <v>387</v>
      </c>
    </row>
    <row r="16" spans="1:11" ht="18.75" customHeight="1" x14ac:dyDescent="0.2">
      <c r="B16" s="272">
        <v>9</v>
      </c>
      <c r="C16" s="273" t="s">
        <v>388</v>
      </c>
    </row>
    <row r="17" spans="2:9" ht="63" x14ac:dyDescent="0.25">
      <c r="B17" s="272">
        <v>10</v>
      </c>
      <c r="C17" s="273" t="s">
        <v>389</v>
      </c>
      <c r="E17" s="276"/>
    </row>
    <row r="18" spans="2:9" ht="15.75" x14ac:dyDescent="0.2">
      <c r="B18" s="272">
        <v>11</v>
      </c>
      <c r="C18" s="273" t="s">
        <v>390</v>
      </c>
      <c r="E18" s="5"/>
    </row>
    <row r="19" spans="2:9" ht="15.75" x14ac:dyDescent="0.2">
      <c r="B19" s="272">
        <v>12</v>
      </c>
      <c r="C19" s="273" t="s">
        <v>391</v>
      </c>
      <c r="E19" s="5"/>
    </row>
    <row r="20" spans="2:9" ht="15.75" x14ac:dyDescent="0.2">
      <c r="B20" s="272">
        <v>13</v>
      </c>
      <c r="C20" s="273" t="s">
        <v>392</v>
      </c>
    </row>
    <row r="21" spans="2:9" ht="47.25" x14ac:dyDescent="0.2">
      <c r="B21" s="272">
        <v>14</v>
      </c>
      <c r="C21" s="273" t="s">
        <v>393</v>
      </c>
      <c r="E21" s="280"/>
    </row>
    <row r="22" spans="2:9" ht="31.5" x14ac:dyDescent="0.2">
      <c r="B22" s="272">
        <v>15</v>
      </c>
      <c r="C22" s="273" t="s">
        <v>394</v>
      </c>
    </row>
    <row r="23" spans="2:9" ht="15.75" x14ac:dyDescent="0.25">
      <c r="B23" s="272">
        <v>16</v>
      </c>
      <c r="C23" s="275" t="s">
        <v>395</v>
      </c>
      <c r="D23" s="2"/>
      <c r="E23" s="271"/>
      <c r="F23" s="2"/>
      <c r="G23" s="2"/>
      <c r="H23" s="2"/>
      <c r="I23" s="2"/>
    </row>
    <row r="24" spans="2:9" ht="18.75" customHeight="1" x14ac:dyDescent="0.25">
      <c r="B24" s="274">
        <v>17</v>
      </c>
      <c r="C24" s="275" t="s">
        <v>396</v>
      </c>
    </row>
    <row r="25" spans="2:9" ht="18.75" customHeight="1" x14ac:dyDescent="0.2">
      <c r="B25" s="425">
        <v>18</v>
      </c>
      <c r="C25" s="610" t="s">
        <v>397</v>
      </c>
    </row>
    <row r="26" spans="2:9" ht="18.75" customHeight="1" x14ac:dyDescent="0.25">
      <c r="B26" s="426"/>
      <c r="C26" s="610"/>
    </row>
    <row r="27" spans="2:9" ht="18.75" customHeight="1" x14ac:dyDescent="0.25">
      <c r="B27" s="425">
        <v>19</v>
      </c>
      <c r="C27" s="516" t="s">
        <v>398</v>
      </c>
    </row>
    <row r="28" spans="2:9" ht="31.5" x14ac:dyDescent="0.2">
      <c r="B28" s="425">
        <v>20</v>
      </c>
      <c r="C28" s="552" t="s">
        <v>411</v>
      </c>
    </row>
    <row r="29" spans="2:9" ht="18.75" customHeight="1" x14ac:dyDescent="0.2">
      <c r="C29" s="278"/>
    </row>
    <row r="31" spans="2:9" ht="18.75" customHeight="1" x14ac:dyDescent="0.2"/>
    <row r="32" spans="2:9" ht="18.75" customHeight="1" x14ac:dyDescent="0.2"/>
    <row r="33" spans="2:2" ht="18.75" customHeight="1" x14ac:dyDescent="0.2"/>
    <row r="34" spans="2:2" ht="18.75" customHeight="1" x14ac:dyDescent="0.2"/>
    <row r="35" spans="2:2" ht="18.75" customHeight="1" x14ac:dyDescent="0.2"/>
    <row r="36" spans="2:2" ht="18.75" customHeight="1" x14ac:dyDescent="0.2"/>
    <row r="37" spans="2:2" ht="18.75" customHeight="1" x14ac:dyDescent="0.2"/>
    <row r="38" spans="2:2" ht="18.75" customHeight="1" x14ac:dyDescent="0.2"/>
    <row r="39" spans="2:2" ht="18.75" customHeight="1" x14ac:dyDescent="0.2"/>
    <row r="40" spans="2:2" ht="18.75" customHeight="1" x14ac:dyDescent="0.2">
      <c r="B40" s="5"/>
    </row>
    <row r="41" spans="2:2" ht="18.75" customHeight="1" x14ac:dyDescent="0.2">
      <c r="B41" s="5"/>
    </row>
    <row r="42" spans="2:2" ht="18.75" customHeight="1" x14ac:dyDescent="0.2">
      <c r="B42" s="5"/>
    </row>
    <row r="43" spans="2:2" ht="18.75" customHeight="1" x14ac:dyDescent="0.2">
      <c r="B43" s="5"/>
    </row>
    <row r="44" spans="2:2" ht="18.75" customHeight="1" x14ac:dyDescent="0.2">
      <c r="B44" s="5"/>
    </row>
    <row r="45" spans="2:2" ht="18.75" customHeight="1" x14ac:dyDescent="0.2">
      <c r="B45" s="5"/>
    </row>
    <row r="46" spans="2:2" ht="18.75" customHeight="1" x14ac:dyDescent="0.2"/>
    <row r="47" spans="2:2" ht="18.75" customHeight="1" x14ac:dyDescent="0.2"/>
    <row r="48" spans="2:2" ht="18.75" customHeight="1" x14ac:dyDescent="0.2"/>
    <row r="49" spans="4:14" ht="18.75" customHeight="1" x14ac:dyDescent="0.2"/>
    <row r="50" spans="4:14" ht="18.75" customHeight="1" x14ac:dyDescent="0.2">
      <c r="D50" s="271"/>
      <c r="E50" s="271"/>
      <c r="F50" s="271"/>
      <c r="G50" s="271"/>
      <c r="H50" s="271"/>
      <c r="I50" s="271"/>
      <c r="J50" s="271"/>
      <c r="K50" s="271"/>
      <c r="L50" s="271"/>
      <c r="M50" s="271"/>
      <c r="N50" s="271"/>
    </row>
    <row r="51" spans="4:14" ht="18.75" customHeight="1" x14ac:dyDescent="0.2"/>
    <row r="52" spans="4:14" ht="18.75" customHeight="1" x14ac:dyDescent="0.2"/>
    <row r="53" spans="4:14" ht="18.75" customHeight="1" x14ac:dyDescent="0.2"/>
    <row r="54" spans="4:14" ht="18.75" customHeight="1" x14ac:dyDescent="0.2"/>
    <row r="55" spans="4:14" ht="18.75" customHeight="1" x14ac:dyDescent="0.2"/>
    <row r="56" spans="4:14" ht="18.75" customHeight="1" x14ac:dyDescent="0.2"/>
    <row r="57" spans="4:14" ht="18.75" customHeight="1" x14ac:dyDescent="0.2"/>
    <row r="58" spans="4:14" ht="18.75" customHeight="1" x14ac:dyDescent="0.2"/>
    <row r="59" spans="4:14" ht="18.75" customHeight="1" x14ac:dyDescent="0.2"/>
    <row r="60" spans="4:14" ht="18.75" customHeight="1" x14ac:dyDescent="0.2"/>
    <row r="61" spans="4:14" ht="18.75" customHeight="1" x14ac:dyDescent="0.2"/>
    <row r="62" spans="4:14" ht="18.75" customHeight="1" x14ac:dyDescent="0.2"/>
    <row r="63" spans="4:14" ht="18.75" customHeight="1" x14ac:dyDescent="0.2"/>
    <row r="64" spans="4:14" ht="18.75" customHeight="1" x14ac:dyDescent="0.2"/>
    <row r="65" ht="18.75" customHeight="1" x14ac:dyDescent="0.2"/>
  </sheetData>
  <sortState xmlns:xlrd2="http://schemas.microsoft.com/office/spreadsheetml/2017/richdata2" ref="B5:E41">
    <sortCondition ref="B5:B41"/>
  </sortState>
  <mergeCells count="1">
    <mergeCell ref="C25:C26"/>
  </mergeCells>
  <pageMargins left="0.78740157480314965" right="0.78740157480314965" top="0.98425196850393704" bottom="0.98425196850393704" header="0.51181102362204722" footer="0.51181102362204722"/>
  <pageSetup paperSize="9" scale="65" fitToWidth="3" orientation="portrait" r:id="rId1"/>
  <headerFooter alignWithMargins="0"/>
  <colBreaks count="2" manualBreakCount="2">
    <brk id="1" max="42" man="1"/>
    <brk id="3" min="4" max="5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28005F25B72CD418919CD4A2D924673" ma:contentTypeVersion="10" ma:contentTypeDescription="Opprett et nytt dokument." ma:contentTypeScope="" ma:versionID="0aec674f7a21cf193f019d329f8d29b4">
  <xsd:schema xmlns:xsd="http://www.w3.org/2001/XMLSchema" xmlns:xs="http://www.w3.org/2001/XMLSchema" xmlns:p="http://schemas.microsoft.com/office/2006/metadata/properties" xmlns:ns2="96ee22af-2dda-43e0-a8b0-46d4ab82b360" xmlns:ns3="dfb549d9-2242-4234-b0a8-7a5fc0b14e8e" targetNamespace="http://schemas.microsoft.com/office/2006/metadata/properties" ma:root="true" ma:fieldsID="365cbe2ac6f7ada105616fe6e4ac1e73" ns2:_="" ns3:_="">
    <xsd:import namespace="96ee22af-2dda-43e0-a8b0-46d4ab82b360"/>
    <xsd:import namespace="dfb549d9-2242-4234-b0a8-7a5fc0b14e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e22af-2dda-43e0-a8b0-46d4ab82b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d0b69f77-55ff-434e-ae2e-5cb16f2743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b549d9-2242-4234-b0a8-7a5fc0b14e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4f1b9a-eff7-4835-b010-10ba3cda1d5c}" ma:internalName="TaxCatchAll" ma:showField="CatchAllData" ma:web="dfb549d9-2242-4234-b0a8-7a5fc0b14e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b549d9-2242-4234-b0a8-7a5fc0b14e8e" xsi:nil="true"/>
    <lcf76f155ced4ddcb4097134ff3c332f xmlns="96ee22af-2dda-43e0-a8b0-46d4ab82b3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0D43EB48-E1E9-4360-AC38-73D0979C6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ee22af-2dda-43e0-a8b0-46d4ab82b360"/>
    <ds:schemaRef ds:uri="dfb549d9-2242-4234-b0a8-7a5fc0b14e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7F593D-5964-43BC-B3C9-C7E417A23672}">
  <ds:schemaRefs>
    <ds:schemaRef ds:uri="http://schemas.microsoft.com/office/2006/metadata/properties"/>
    <ds:schemaRef ds:uri="http://schemas.microsoft.com/office/infopath/2007/PartnerControls"/>
    <ds:schemaRef ds:uri="dfb549d9-2242-4234-b0a8-7a5fc0b14e8e"/>
    <ds:schemaRef ds:uri="96ee22af-2dda-43e0-a8b0-46d4ab82b360"/>
  </ds:schemaRefs>
</ds:datastoreItem>
</file>

<file path=customXml/itemProps3.xml><?xml version="1.0" encoding="utf-8"?>
<ds:datastoreItem xmlns:ds="http://schemas.openxmlformats.org/officeDocument/2006/customXml" ds:itemID="{0FFD769E-A1D2-4BA9-8D32-A1D80C158C31}">
  <ds:schemaRefs>
    <ds:schemaRef ds:uri="http://schemas.microsoft.com/sharepoint/v3/contenttype/forms"/>
  </ds:schemaRefs>
</ds:datastoreItem>
</file>

<file path=customXml/itemProps4.xml><?xml version="1.0" encoding="utf-8"?>
<ds:datastoreItem xmlns:ds="http://schemas.openxmlformats.org/officeDocument/2006/customXml" ds:itemID="{90A5026E-7503-4E4B-BD83-E9801AFFB72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34</vt:i4>
      </vt:variant>
      <vt:variant>
        <vt:lpstr>Navngitte områder</vt:lpstr>
      </vt:variant>
      <vt:variant>
        <vt:i4>2</vt:i4>
      </vt:variant>
    </vt:vector>
  </HeadingPairs>
  <TitlesOfParts>
    <vt:vector size="36" baseType="lpstr">
      <vt:lpstr>Forside</vt:lpstr>
      <vt:lpstr>Innhold</vt:lpstr>
      <vt:lpstr>Figurer</vt:lpstr>
      <vt:lpstr>Tabel 1.1</vt:lpstr>
      <vt:lpstr>Tabell 1.2</vt:lpstr>
      <vt:lpstr>Tabell 1.3</vt:lpstr>
      <vt:lpstr>Skjema total MA</vt:lpstr>
      <vt:lpstr>DNB Livsforsikring</vt:lpstr>
      <vt:lpstr>Euro Accident</vt:lpstr>
      <vt:lpstr>Fremtind</vt:lpstr>
      <vt:lpstr>Frende Livsforsikring</vt:lpstr>
      <vt:lpstr>Frende Skadeforsikring</vt:lpstr>
      <vt:lpstr>Gjensidige Forsikring</vt:lpstr>
      <vt:lpstr>Gjensidige Pensjon</vt:lpstr>
      <vt:lpstr>If Skadeforsikring NUF</vt:lpstr>
      <vt:lpstr>KLP</vt:lpstr>
      <vt:lpstr>KLP Skadeforsikring AS</vt:lpstr>
      <vt:lpstr>Knif Trygghet Forsikring</vt:lpstr>
      <vt:lpstr>Landkreditt Forsikring AS</vt:lpstr>
      <vt:lpstr>Ly Forsikring</vt:lpstr>
      <vt:lpstr>Nordea Liv </vt:lpstr>
      <vt:lpstr>Oslo Forsikring</vt:lpstr>
      <vt:lpstr>Oslo Pensjonsforsikring</vt:lpstr>
      <vt:lpstr>Protector Forsikring</vt:lpstr>
      <vt:lpstr>Sparebank 1 Fors.</vt:lpstr>
      <vt:lpstr>Storebrand Livsforsikring</vt:lpstr>
      <vt:lpstr>Telenor Forsikring</vt:lpstr>
      <vt:lpstr>Tryg Forsikring</vt:lpstr>
      <vt:lpstr>WaterCircles F</vt:lpstr>
      <vt:lpstr>Youplus Livsforsikring</vt:lpstr>
      <vt:lpstr>Tabell 4</vt:lpstr>
      <vt:lpstr>Tabell 6</vt:lpstr>
      <vt:lpstr>Tabell 8</vt:lpstr>
      <vt:lpstr>Noter og kommentarer</vt:lpstr>
      <vt:lpstr>'Noter og kommentarer'!Utskriftsområde</vt:lpstr>
      <vt:lpstr>'Skjema total MA'!Utskriftsområde</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Anne-Kathrine Johansen</dc:creator>
  <cp:keywords/>
  <dc:description/>
  <cp:lastModifiedBy>Randi Mørk</cp:lastModifiedBy>
  <cp:revision/>
  <cp:lastPrinted>2026-05-29T05:06:41Z</cp:lastPrinted>
  <dcterms:created xsi:type="dcterms:W3CDTF">2010-12-15T10:21:26Z</dcterms:created>
  <dcterms:modified xsi:type="dcterms:W3CDTF">2026-09-21T08:53:34Z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0x010100C28005F25B72CD418919CD4A2D924673</vt:lpwstr>
  </property>
  <property fmtid="{D5CDD505-2E9C-101B-9397-08002B2CF9AE}" pid="3" name="MediaServiceImageTags">
    <vt:lpwstr/>
  </property>
  <property fmtid="{D5CDD505-2E9C-101B-9397-08002B2CF9AE}" pid="4" name="_ExtendedDescription">
    <vt:lpwstr/>
  </property>
</Properties>
</file>