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D:\Statistikk og analyse (FNF)\RMørk\Livstatistikk - fra fno - denne oppdateres\Faste statistikker\MA\2025\Q1-2025\Publisert\"/>
    </mc:Choice>
  </mc:AlternateContent>
  <xr:revisionPtr revIDLastSave="0" documentId="13_ncr:1_{5F3448E8-967A-4E8F-9BAF-33A334D34012}" xr6:coauthVersionLast="47" xr6:coauthVersionMax="47" xr10:uidLastSave="{00000000-0000-0000-0000-000000000000}"/>
  <bookViews>
    <workbookView xWindow="28680" yWindow="-120" windowWidth="29040" windowHeight="17520" tabRatio="835" activeTab="1" xr2:uid="{00000000-000D-0000-FFFF-FFFF00000000}"/>
  </bookViews>
  <sheets>
    <sheet name="Forside" sheetId="80" r:id="rId1"/>
    <sheet name="Innhold" sheetId="7" r:id="rId2"/>
    <sheet name="Figurer" sheetId="8" r:id="rId3"/>
    <sheet name="Tabel 1.1" sheetId="9" r:id="rId4"/>
    <sheet name="Tabell 1.2" sheetId="10" r:id="rId5"/>
    <sheet name="Tabell 1.3" sheetId="58" r:id="rId6"/>
    <sheet name="Skjema total MA" sheetId="4" r:id="rId7"/>
    <sheet name="DNB Livsforsikring" sheetId="13" r:id="rId8"/>
    <sheet name="Eika Forsikring AS" sheetId="19" r:id="rId9"/>
    <sheet name="Euro Accident" sheetId="77" r:id="rId10"/>
    <sheet name="Fremtind Livsforsikring" sheetId="16" r:id="rId11"/>
    <sheet name="Frende Livsforsikring" sheetId="20" r:id="rId12"/>
    <sheet name="Frende Skadeforsikring" sheetId="21" r:id="rId13"/>
    <sheet name="Gjensidige Forsikring" sheetId="22" r:id="rId14"/>
    <sheet name="Gjensidige Pensjon" sheetId="23" r:id="rId15"/>
    <sheet name="If Skadeforsikring NUF" sheetId="25" r:id="rId16"/>
    <sheet name="KLP" sheetId="26" r:id="rId17"/>
    <sheet name="KLP Skadeforsikring AS" sheetId="51" r:id="rId18"/>
    <sheet name="Landkreditt Forsikring" sheetId="40" r:id="rId19"/>
    <sheet name="Ly Forsikring" sheetId="78" r:id="rId20"/>
    <sheet name="Nordea Liv " sheetId="29" r:id="rId21"/>
    <sheet name="Oslo Forsikring" sheetId="81" r:id="rId22"/>
    <sheet name="Oslo Pensjonsforsikring" sheetId="34" r:id="rId23"/>
    <sheet name="Protector Forsikring" sheetId="72" r:id="rId24"/>
    <sheet name="Sparebank 1 Fors." sheetId="33" r:id="rId25"/>
    <sheet name="Storebrand Livsforsikring" sheetId="37" r:id="rId26"/>
    <sheet name="Telenor Forsikring" sheetId="38" r:id="rId27"/>
    <sheet name="Tryg Forsikring" sheetId="39" r:id="rId28"/>
    <sheet name="WaterCircles F" sheetId="74" r:id="rId29"/>
    <sheet name="Youplus Livsforsikring" sheetId="79" r:id="rId30"/>
    <sheet name="Tabell 4" sheetId="82" r:id="rId31"/>
    <sheet name="Tabell 6" sheetId="86" r:id="rId32"/>
    <sheet name="Tabell 8" sheetId="92" r:id="rId33"/>
    <sheet name="Noter og kommentarer" sheetId="3" r:id="rId34"/>
  </sheets>
  <externalReferences>
    <externalReference r:id="rId35"/>
    <externalReference r:id="rId36"/>
  </externalReferences>
  <definedNames>
    <definedName name="Dag">#REF!</definedName>
    <definedName name="Dager">#REF!</definedName>
    <definedName name="dato">#REF!</definedName>
    <definedName name="Feilmelding">#REF!</definedName>
    <definedName name="FilNavn">[1]Oppslagstabeller!$N$5</definedName>
    <definedName name="Fjorårstall">#REF!</definedName>
    <definedName name="Koder2a">#REF!</definedName>
    <definedName name="kvartal">#REF!</definedName>
    <definedName name="Måned">#REF!</definedName>
    <definedName name="OppslagsKolonneDataVerdi">#REF!</definedName>
    <definedName name="OppslagsKolonneSelskapNavn">#REF!</definedName>
    <definedName name="Selskap">[1]Oppslagstabeller!$N$4</definedName>
    <definedName name="SelskapKolonneIndeks">[1]!Tabell3[#All]</definedName>
    <definedName name="SelskapListe">#REF!</definedName>
    <definedName name="Selskapsliste">[1]Oppslagstabeller!$A$1:$G$36</definedName>
    <definedName name="UtfylteTall">#REF!</definedName>
    <definedName name="_xlnm.Print_Area" localSheetId="10">'Fremtind Livsforsikring'!$A$1:$M$137</definedName>
    <definedName name="_xlnm.Print_Area" localSheetId="33">'Noter og kommentarer'!$A$1:$L$43</definedName>
    <definedName name="_xlnm.Print_Area" localSheetId="6">'Skjema total MA'!$A$1:$J$138</definedName>
    <definedName name="år">#REF!</definedName>
    <definedName name="ÅrFratrek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6" i="86" l="1"/>
  <c r="AB84" i="86"/>
  <c r="AB79" i="86"/>
  <c r="AB61" i="86"/>
  <c r="AB53" i="86"/>
  <c r="AB46" i="86"/>
  <c r="Y79" i="86"/>
  <c r="Y58" i="86"/>
  <c r="Y57" i="86"/>
  <c r="Y49" i="86"/>
  <c r="Y42" i="86"/>
  <c r="Y24" i="86"/>
  <c r="V79" i="86"/>
  <c r="V77" i="86"/>
  <c r="V21" i="86"/>
  <c r="P86" i="86"/>
  <c r="P84" i="86"/>
  <c r="P79" i="86"/>
  <c r="P52" i="86"/>
  <c r="M77" i="86"/>
  <c r="M71" i="86"/>
  <c r="M49" i="86"/>
  <c r="M46" i="86"/>
  <c r="M40" i="86"/>
  <c r="M34" i="86"/>
  <c r="M19" i="86"/>
  <c r="M14" i="86"/>
  <c r="J70" i="86"/>
  <c r="J36" i="86"/>
  <c r="J17" i="86"/>
  <c r="D49" i="86"/>
  <c r="D46" i="86"/>
  <c r="D38" i="86"/>
  <c r="D19" i="86"/>
  <c r="D18" i="86"/>
  <c r="D17" i="86"/>
  <c r="D16" i="86"/>
  <c r="AB17" i="92" l="1"/>
  <c r="Y17" i="92"/>
  <c r="V17" i="92"/>
  <c r="P17" i="92"/>
  <c r="M17" i="92"/>
  <c r="G17" i="92"/>
  <c r="V34" i="82" l="1"/>
  <c r="P43" i="82"/>
  <c r="P28" i="82"/>
  <c r="M26" i="82"/>
  <c r="K8" i="13" l="1"/>
  <c r="J8" i="13"/>
  <c r="J7" i="13" l="1"/>
  <c r="K7" i="13"/>
  <c r="H7" i="13"/>
  <c r="D115" i="33" l="1"/>
  <c r="E115" i="33"/>
  <c r="H115" i="33"/>
  <c r="J115" i="33"/>
  <c r="K115" i="33"/>
  <c r="L115" i="33"/>
  <c r="N41" i="82" l="1"/>
  <c r="N30" i="82"/>
  <c r="N21" i="82"/>
  <c r="N14" i="82"/>
  <c r="N35" i="82" l="1"/>
  <c r="N42" i="82" s="1"/>
  <c r="N44" i="82" s="1"/>
  <c r="N46" i="82" s="1"/>
  <c r="U13" i="92" l="1"/>
  <c r="AD80" i="86" l="1"/>
  <c r="AD39" i="86"/>
  <c r="AD20" i="86"/>
  <c r="AD27" i="86"/>
  <c r="AD29" i="86" s="1"/>
  <c r="AD41" i="82"/>
  <c r="AD30" i="82"/>
  <c r="AC30" i="82"/>
  <c r="AD21" i="82"/>
  <c r="AC21" i="82"/>
  <c r="AD14" i="82"/>
  <c r="AC14" i="82"/>
  <c r="AA87" i="86"/>
  <c r="AA80" i="86"/>
  <c r="AA54" i="86"/>
  <c r="AA50" i="86"/>
  <c r="AB50" i="86" s="1"/>
  <c r="AA39" i="86"/>
  <c r="AA35" i="86"/>
  <c r="AA20" i="86"/>
  <c r="AA16" i="86"/>
  <c r="AA41" i="82"/>
  <c r="Z41" i="82"/>
  <c r="AA30" i="82"/>
  <c r="Z30" i="82"/>
  <c r="AA21" i="82"/>
  <c r="Z19" i="82"/>
  <c r="Z21" i="82" s="1"/>
  <c r="AA14" i="82"/>
  <c r="Z14" i="82"/>
  <c r="AD45" i="86" l="1"/>
  <c r="AD93" i="86"/>
  <c r="AC35" i="82"/>
  <c r="AC42" i="82" s="1"/>
  <c r="AC44" i="82" s="1"/>
  <c r="AC46" i="82" s="1"/>
  <c r="AA60" i="86"/>
  <c r="AD35" i="82"/>
  <c r="AD42" i="82" s="1"/>
  <c r="AD44" i="82" s="1"/>
  <c r="AD46" i="82" s="1"/>
  <c r="AA93" i="86"/>
  <c r="Z35" i="82"/>
  <c r="Z42" i="82" s="1"/>
  <c r="Z44" i="82" s="1"/>
  <c r="Z46" i="82" s="1"/>
  <c r="AA35" i="82"/>
  <c r="AA42" i="82" s="1"/>
  <c r="AA44" i="82" s="1"/>
  <c r="AA46" i="82" s="1"/>
  <c r="AA27" i="86"/>
  <c r="AA29" i="86" s="1"/>
  <c r="AA45" i="86"/>
  <c r="G90" i="86"/>
  <c r="G89" i="86"/>
  <c r="G79" i="86"/>
  <c r="G71" i="86"/>
  <c r="G42" i="86"/>
  <c r="G37" i="86"/>
  <c r="G36" i="86"/>
  <c r="G35" i="86"/>
  <c r="G34" i="86"/>
  <c r="G23" i="86"/>
  <c r="G18" i="86"/>
  <c r="G17" i="86"/>
  <c r="F80" i="86"/>
  <c r="F93" i="86" s="1"/>
  <c r="F39" i="86"/>
  <c r="F45" i="86" s="1"/>
  <c r="F16" i="86"/>
  <c r="G16" i="86" s="1"/>
  <c r="G34" i="82"/>
  <c r="G32" i="82"/>
  <c r="F41" i="82"/>
  <c r="E41" i="82"/>
  <c r="F30" i="82"/>
  <c r="E30" i="82"/>
  <c r="F21" i="82"/>
  <c r="E21" i="82"/>
  <c r="F14" i="82"/>
  <c r="E14" i="82"/>
  <c r="AD62" i="86" l="1"/>
  <c r="AD64" i="86" s="1"/>
  <c r="AA62" i="86"/>
  <c r="AA64" i="86" s="1"/>
  <c r="E35" i="82"/>
  <c r="E42" i="82" s="1"/>
  <c r="E44" i="82" s="1"/>
  <c r="E46" i="82" s="1"/>
  <c r="F35" i="82"/>
  <c r="F42" i="82" s="1"/>
  <c r="F44" i="82" s="1"/>
  <c r="F46" i="82" s="1"/>
  <c r="F27" i="86"/>
  <c r="F29" i="86" s="1"/>
  <c r="F62" i="86"/>
  <c r="F64" i="86" l="1"/>
  <c r="C87" i="86"/>
  <c r="C80" i="86"/>
  <c r="C54" i="86"/>
  <c r="C39" i="86"/>
  <c r="C35" i="86"/>
  <c r="C20" i="86"/>
  <c r="C27" i="86" s="1"/>
  <c r="C29" i="86" s="1"/>
  <c r="C41" i="82"/>
  <c r="B41" i="82"/>
  <c r="C30" i="82"/>
  <c r="B30" i="82"/>
  <c r="C21" i="82"/>
  <c r="B21" i="82"/>
  <c r="C14" i="82"/>
  <c r="B14" i="82"/>
  <c r="B35" i="82" s="1"/>
  <c r="C45" i="86" l="1"/>
  <c r="C60" i="86"/>
  <c r="B42" i="82"/>
  <c r="B44" i="82" s="1"/>
  <c r="B46" i="82" s="1"/>
  <c r="C35" i="82"/>
  <c r="C42" i="82" s="1"/>
  <c r="C44" i="82" s="1"/>
  <c r="C46" i="82" s="1"/>
  <c r="C93" i="86"/>
  <c r="C62" i="86" l="1"/>
  <c r="C64" i="86" s="1"/>
  <c r="I80" i="86"/>
  <c r="I39" i="86"/>
  <c r="I35" i="86"/>
  <c r="J35" i="86" s="1"/>
  <c r="I20" i="86"/>
  <c r="I16" i="86"/>
  <c r="J16" i="86" s="1"/>
  <c r="I41" i="82"/>
  <c r="H41" i="82"/>
  <c r="I30" i="82"/>
  <c r="H30" i="82"/>
  <c r="I21" i="82"/>
  <c r="H21" i="82"/>
  <c r="I14" i="82"/>
  <c r="H14" i="82"/>
  <c r="I93" i="86" l="1"/>
  <c r="I45" i="86"/>
  <c r="H35" i="82"/>
  <c r="H42" i="82" s="1"/>
  <c r="H44" i="82" s="1"/>
  <c r="H46" i="82" s="1"/>
  <c r="I35" i="82"/>
  <c r="I42" i="82" s="1"/>
  <c r="I44" i="82" s="1"/>
  <c r="I46" i="82" s="1"/>
  <c r="I27" i="86"/>
  <c r="I29" i="86" s="1"/>
  <c r="I62" i="86" l="1"/>
  <c r="I64" i="86" s="1"/>
  <c r="X13" i="92"/>
  <c r="X87" i="86"/>
  <c r="X80" i="86"/>
  <c r="X54" i="86"/>
  <c r="X39" i="86"/>
  <c r="X35" i="86"/>
  <c r="X20" i="86"/>
  <c r="X16" i="86"/>
  <c r="X41" i="82"/>
  <c r="W41" i="82"/>
  <c r="X30" i="82"/>
  <c r="W30" i="82"/>
  <c r="X21" i="82"/>
  <c r="W21" i="82"/>
  <c r="X14" i="82"/>
  <c r="W14" i="82"/>
  <c r="W35" i="82" l="1"/>
  <c r="W42" i="82" s="1"/>
  <c r="W44" i="82" s="1"/>
  <c r="W46" i="82" s="1"/>
  <c r="X93" i="86"/>
  <c r="X27" i="86"/>
  <c r="X29" i="86" s="1"/>
  <c r="X45" i="86"/>
  <c r="X35" i="82"/>
  <c r="X42" i="82" s="1"/>
  <c r="X44" i="82" s="1"/>
  <c r="X46" i="82" s="1"/>
  <c r="X60" i="86"/>
  <c r="L87" i="86"/>
  <c r="L80" i="86"/>
  <c r="L54" i="86"/>
  <c r="L39" i="86"/>
  <c r="L35" i="86"/>
  <c r="L20" i="86"/>
  <c r="L16" i="86"/>
  <c r="M16" i="86" s="1"/>
  <c r="L41" i="82"/>
  <c r="K41" i="82"/>
  <c r="L30" i="82"/>
  <c r="K30" i="82"/>
  <c r="L21" i="82"/>
  <c r="K21" i="82"/>
  <c r="L14" i="82"/>
  <c r="K14" i="82"/>
  <c r="X62" i="86" l="1"/>
  <c r="X64" i="86" s="1"/>
  <c r="L45" i="86"/>
  <c r="L60" i="86"/>
  <c r="L93" i="86"/>
  <c r="K35" i="82"/>
  <c r="K42" i="82" s="1"/>
  <c r="K44" i="82" s="1"/>
  <c r="K46" i="82" s="1"/>
  <c r="L27" i="86"/>
  <c r="L29" i="86" s="1"/>
  <c r="L35" i="82"/>
  <c r="L42" i="82" s="1"/>
  <c r="L44" i="82" s="1"/>
  <c r="L46" i="82" s="1"/>
  <c r="L62" i="86" l="1"/>
  <c r="L64" i="86" s="1"/>
  <c r="S17" i="92"/>
  <c r="AD17" i="92"/>
  <c r="AC17" i="92"/>
  <c r="D17" i="92"/>
  <c r="AD15" i="92"/>
  <c r="AC15" i="92"/>
  <c r="AB15" i="92"/>
  <c r="Y15" i="92"/>
  <c r="V15" i="92"/>
  <c r="S15" i="92"/>
  <c r="P15" i="92"/>
  <c r="M15" i="92"/>
  <c r="D15" i="92"/>
  <c r="AD8" i="92"/>
  <c r="AC8" i="92"/>
  <c r="AA8" i="92"/>
  <c r="Z8" i="92"/>
  <c r="X8" i="92"/>
  <c r="W8" i="92"/>
  <c r="U8" i="92"/>
  <c r="T8" i="92"/>
  <c r="R8" i="92"/>
  <c r="Q8" i="92"/>
  <c r="O8" i="92"/>
  <c r="N8" i="92"/>
  <c r="L8" i="92"/>
  <c r="K8" i="92"/>
  <c r="I8" i="92"/>
  <c r="H8" i="92"/>
  <c r="F8" i="92"/>
  <c r="E8" i="92"/>
  <c r="AE17" i="92" l="1"/>
  <c r="AE15" i="92"/>
  <c r="S58" i="86"/>
  <c r="S56" i="86"/>
  <c r="S49" i="86"/>
  <c r="S25" i="86"/>
  <c r="S24" i="86"/>
  <c r="S18" i="86"/>
  <c r="S17" i="86"/>
  <c r="S15" i="86"/>
  <c r="R87" i="86"/>
  <c r="R80" i="86"/>
  <c r="R54" i="86"/>
  <c r="R60" i="86" s="1"/>
  <c r="R39" i="86"/>
  <c r="R35" i="86"/>
  <c r="R20" i="86"/>
  <c r="R16" i="86"/>
  <c r="R41" i="82"/>
  <c r="Q41" i="82"/>
  <c r="R30" i="82"/>
  <c r="Q30" i="82"/>
  <c r="R21" i="82"/>
  <c r="Q21" i="82"/>
  <c r="R14" i="82"/>
  <c r="Q14" i="82"/>
  <c r="R35" i="82" l="1"/>
  <c r="R42" i="82" s="1"/>
  <c r="R44" i="82" s="1"/>
  <c r="R46" i="82" s="1"/>
  <c r="R93" i="86"/>
  <c r="R27" i="86"/>
  <c r="R29" i="86" s="1"/>
  <c r="R45" i="86"/>
  <c r="R62" i="86" s="1"/>
  <c r="S16" i="86"/>
  <c r="Q35" i="82"/>
  <c r="Q42" i="82" s="1"/>
  <c r="Q44" i="82" s="1"/>
  <c r="Q46" i="82" s="1"/>
  <c r="R64" i="86" l="1"/>
  <c r="G65" i="9"/>
  <c r="AI93" i="86" l="1"/>
  <c r="AF93" i="86"/>
  <c r="G93" i="86"/>
  <c r="AJ91" i="86"/>
  <c r="AI91" i="86"/>
  <c r="AG91" i="86"/>
  <c r="AF91" i="86"/>
  <c r="AE91" i="86"/>
  <c r="AB91" i="86"/>
  <c r="Y91" i="86"/>
  <c r="V91" i="86"/>
  <c r="S91" i="86"/>
  <c r="P91" i="86"/>
  <c r="M91" i="86"/>
  <c r="J91" i="86"/>
  <c r="D91" i="86"/>
  <c r="AJ90" i="86"/>
  <c r="AI90" i="86"/>
  <c r="AG90" i="86"/>
  <c r="AF90" i="86"/>
  <c r="AE90" i="86"/>
  <c r="AB90" i="86"/>
  <c r="Y90" i="86"/>
  <c r="S90" i="86"/>
  <c r="P90" i="86"/>
  <c r="M90" i="86"/>
  <c r="D90" i="86"/>
  <c r="AJ89" i="86"/>
  <c r="AI89" i="86"/>
  <c r="AG89" i="86"/>
  <c r="AF89" i="86"/>
  <c r="Y89" i="86"/>
  <c r="AJ88" i="86"/>
  <c r="AI88" i="86"/>
  <c r="AG88" i="86"/>
  <c r="AF88" i="86"/>
  <c r="AB88" i="86"/>
  <c r="Y88" i="86"/>
  <c r="V88" i="86"/>
  <c r="S88" i="86"/>
  <c r="P88" i="86"/>
  <c r="M88" i="86"/>
  <c r="J88" i="86"/>
  <c r="G88" i="86"/>
  <c r="D88" i="86"/>
  <c r="AJ86" i="86"/>
  <c r="AI86" i="86"/>
  <c r="AG86" i="86"/>
  <c r="AF86" i="86"/>
  <c r="AJ85" i="86"/>
  <c r="AI85" i="86"/>
  <c r="AG85" i="86"/>
  <c r="AF85" i="86"/>
  <c r="AB85" i="86"/>
  <c r="Y85" i="86"/>
  <c r="P85" i="86"/>
  <c r="M85" i="86"/>
  <c r="D85" i="86"/>
  <c r="AJ84" i="86"/>
  <c r="AI84" i="86"/>
  <c r="AG84" i="86"/>
  <c r="AF84" i="86"/>
  <c r="AI83" i="86"/>
  <c r="AK83" i="86" s="1"/>
  <c r="AF83" i="86"/>
  <c r="AH83" i="86" s="1"/>
  <c r="AJ82" i="86"/>
  <c r="AI82" i="86"/>
  <c r="AG82" i="86"/>
  <c r="AF82" i="86"/>
  <c r="AB82" i="86"/>
  <c r="Y82" i="86"/>
  <c r="S82" i="86"/>
  <c r="P82" i="86"/>
  <c r="M82" i="86"/>
  <c r="D82" i="86"/>
  <c r="G80" i="86"/>
  <c r="AJ79" i="86"/>
  <c r="AI79" i="86"/>
  <c r="AG79" i="86"/>
  <c r="AF79" i="86"/>
  <c r="AJ78" i="86"/>
  <c r="AI78" i="86"/>
  <c r="AG78" i="86"/>
  <c r="AF78" i="86"/>
  <c r="AB78" i="86"/>
  <c r="D78" i="86"/>
  <c r="AJ77" i="86"/>
  <c r="AI77" i="86"/>
  <c r="AG77" i="86"/>
  <c r="AF77" i="86"/>
  <c r="AE77" i="86"/>
  <c r="AB77" i="86"/>
  <c r="Y77" i="86"/>
  <c r="S77" i="86"/>
  <c r="P77" i="86"/>
  <c r="D77" i="86"/>
  <c r="AJ76" i="86"/>
  <c r="AI76" i="86"/>
  <c r="AG76" i="86"/>
  <c r="AF76" i="86"/>
  <c r="AE76" i="86"/>
  <c r="AB76" i="86"/>
  <c r="Y76" i="86"/>
  <c r="V76" i="86"/>
  <c r="S76" i="86"/>
  <c r="P76" i="86"/>
  <c r="M76" i="86"/>
  <c r="G76" i="86"/>
  <c r="D76" i="86"/>
  <c r="AI75" i="86"/>
  <c r="AK75" i="86" s="1"/>
  <c r="AF75" i="86"/>
  <c r="AH75" i="86" s="1"/>
  <c r="P75" i="86"/>
  <c r="AI74" i="86"/>
  <c r="AK74" i="86" s="1"/>
  <c r="AF74" i="86"/>
  <c r="AH74" i="86" s="1"/>
  <c r="AJ73" i="86"/>
  <c r="AI73" i="86"/>
  <c r="AG73" i="86"/>
  <c r="AF73" i="86"/>
  <c r="AE73" i="86"/>
  <c r="AB73" i="86"/>
  <c r="Y73" i="86"/>
  <c r="V73" i="86"/>
  <c r="S73" i="86"/>
  <c r="P73" i="86"/>
  <c r="M73" i="86"/>
  <c r="J73" i="86"/>
  <c r="G73" i="86"/>
  <c r="D73" i="86"/>
  <c r="AJ71" i="86"/>
  <c r="AI71" i="86"/>
  <c r="AG71" i="86"/>
  <c r="AF71" i="86"/>
  <c r="AB71" i="86"/>
  <c r="S71" i="86"/>
  <c r="P71" i="86"/>
  <c r="D71" i="86"/>
  <c r="AJ70" i="86"/>
  <c r="AI70" i="86"/>
  <c r="AG70" i="86"/>
  <c r="AF70" i="86"/>
  <c r="AB70" i="86"/>
  <c r="Y70" i="86"/>
  <c r="S70" i="86"/>
  <c r="P70" i="86"/>
  <c r="M70" i="86"/>
  <c r="D70" i="86"/>
  <c r="AJ69" i="86"/>
  <c r="AI69" i="86"/>
  <c r="AG69" i="86"/>
  <c r="AF69" i="86"/>
  <c r="AE69" i="86"/>
  <c r="AB69" i="86"/>
  <c r="Y69" i="86"/>
  <c r="V69" i="86"/>
  <c r="S69" i="86"/>
  <c r="P69" i="86"/>
  <c r="M69" i="86"/>
  <c r="J69" i="86"/>
  <c r="G69" i="86"/>
  <c r="D69" i="86"/>
  <c r="AJ68" i="86"/>
  <c r="AI68" i="86"/>
  <c r="AG68" i="86"/>
  <c r="AF68" i="86"/>
  <c r="AE68" i="86"/>
  <c r="AB68" i="86"/>
  <c r="Y68" i="86"/>
  <c r="V68" i="86"/>
  <c r="S68" i="86"/>
  <c r="P68" i="86"/>
  <c r="M68" i="86"/>
  <c r="J68" i="86"/>
  <c r="G68" i="86"/>
  <c r="D68" i="86"/>
  <c r="AI64" i="86"/>
  <c r="AF64" i="86"/>
  <c r="G64" i="86"/>
  <c r="G62" i="86"/>
  <c r="AJ61" i="86"/>
  <c r="AI61" i="86"/>
  <c r="AG61" i="86"/>
  <c r="AF61" i="86"/>
  <c r="AJ59" i="86"/>
  <c r="AG59" i="86"/>
  <c r="AB59" i="86"/>
  <c r="Y59" i="86"/>
  <c r="S59" i="86"/>
  <c r="P59" i="86"/>
  <c r="AJ58" i="86"/>
  <c r="AI58" i="86"/>
  <c r="AG58" i="86"/>
  <c r="AF58" i="86"/>
  <c r="AB58" i="86"/>
  <c r="P58" i="86"/>
  <c r="AJ57" i="86"/>
  <c r="AI57" i="86"/>
  <c r="AG57" i="86"/>
  <c r="AF57" i="86"/>
  <c r="AB57" i="86"/>
  <c r="P57" i="86"/>
  <c r="D57" i="86"/>
  <c r="AJ56" i="86"/>
  <c r="AG56" i="86"/>
  <c r="Y56" i="86"/>
  <c r="P56" i="86"/>
  <c r="M56" i="86"/>
  <c r="D56" i="86"/>
  <c r="AJ55" i="86"/>
  <c r="AG55" i="86"/>
  <c r="AB55" i="86"/>
  <c r="Y55" i="86"/>
  <c r="S55" i="86"/>
  <c r="P55" i="86"/>
  <c r="M55" i="86"/>
  <c r="AF55" i="86"/>
  <c r="D55" i="86"/>
  <c r="AJ53" i="86"/>
  <c r="AI53" i="86"/>
  <c r="AG53" i="86"/>
  <c r="AF53" i="86"/>
  <c r="AJ52" i="86"/>
  <c r="AI52" i="86"/>
  <c r="AG52" i="86"/>
  <c r="AF52" i="86"/>
  <c r="AJ51" i="86"/>
  <c r="AI51" i="86"/>
  <c r="AG51" i="86"/>
  <c r="AF51" i="86"/>
  <c r="P51" i="86"/>
  <c r="AJ49" i="86"/>
  <c r="AI49" i="86"/>
  <c r="AG49" i="86"/>
  <c r="AF49" i="86"/>
  <c r="AB49" i="86"/>
  <c r="P49" i="86"/>
  <c r="AJ48" i="86"/>
  <c r="AI48" i="86"/>
  <c r="AG48" i="86"/>
  <c r="AF48" i="86"/>
  <c r="AH48" i="86" s="1"/>
  <c r="AJ46" i="86"/>
  <c r="AI46" i="86"/>
  <c r="AG46" i="86"/>
  <c r="AF46" i="86"/>
  <c r="Y46" i="86"/>
  <c r="S46" i="86"/>
  <c r="J46" i="86"/>
  <c r="G46" i="86"/>
  <c r="G45" i="86"/>
  <c r="AJ44" i="86"/>
  <c r="AI44" i="86"/>
  <c r="AG44" i="86"/>
  <c r="AF44" i="86"/>
  <c r="Y44" i="86"/>
  <c r="S44" i="86"/>
  <c r="P44" i="86"/>
  <c r="M44" i="86"/>
  <c r="J44" i="86"/>
  <c r="G44" i="86"/>
  <c r="D44" i="86"/>
  <c r="AJ43" i="86"/>
  <c r="AI43" i="86"/>
  <c r="AG43" i="86"/>
  <c r="AF43" i="86"/>
  <c r="AB43" i="86"/>
  <c r="Y43" i="86"/>
  <c r="V43" i="86"/>
  <c r="S43" i="86"/>
  <c r="P43" i="86"/>
  <c r="D43" i="86"/>
  <c r="AJ42" i="86"/>
  <c r="AI42" i="86"/>
  <c r="AG42" i="86"/>
  <c r="AF42" i="86"/>
  <c r="V42" i="86"/>
  <c r="P42" i="86"/>
  <c r="D42" i="86"/>
  <c r="AJ41" i="86"/>
  <c r="AI41" i="86"/>
  <c r="AG41" i="86"/>
  <c r="AF41" i="86"/>
  <c r="AE41" i="86"/>
  <c r="AB41" i="86"/>
  <c r="Y41" i="86"/>
  <c r="V41" i="86"/>
  <c r="S41" i="86"/>
  <c r="P41" i="86"/>
  <c r="M41" i="86"/>
  <c r="J41" i="86"/>
  <c r="G41" i="86"/>
  <c r="D41" i="86"/>
  <c r="AJ40" i="86"/>
  <c r="AI40" i="86"/>
  <c r="AG40" i="86"/>
  <c r="AF40" i="86"/>
  <c r="AB40" i="86"/>
  <c r="Y40" i="86"/>
  <c r="V40" i="86"/>
  <c r="S40" i="86"/>
  <c r="P40" i="86"/>
  <c r="J40" i="86"/>
  <c r="G40" i="86"/>
  <c r="D40" i="86"/>
  <c r="G39" i="86"/>
  <c r="AJ38" i="86"/>
  <c r="AG38" i="86"/>
  <c r="V38" i="86"/>
  <c r="P38" i="86"/>
  <c r="M38" i="86"/>
  <c r="AJ37" i="86"/>
  <c r="AI37" i="86"/>
  <c r="AG37" i="86"/>
  <c r="AF37" i="86"/>
  <c r="Y37" i="86"/>
  <c r="S37" i="86"/>
  <c r="D37" i="86"/>
  <c r="AJ36" i="86"/>
  <c r="AI36" i="86"/>
  <c r="AG36" i="86"/>
  <c r="AF36" i="86"/>
  <c r="Y36" i="86"/>
  <c r="S36" i="86"/>
  <c r="D36" i="86"/>
  <c r="AJ34" i="86"/>
  <c r="AI34" i="86"/>
  <c r="AG34" i="86"/>
  <c r="AF34" i="86"/>
  <c r="AB34" i="86"/>
  <c r="Y34" i="86"/>
  <c r="V34" i="86"/>
  <c r="S34" i="86"/>
  <c r="P34" i="86"/>
  <c r="D34" i="86"/>
  <c r="AJ33" i="86"/>
  <c r="AI33" i="86"/>
  <c r="AG33" i="86"/>
  <c r="AF33" i="86"/>
  <c r="D33" i="86"/>
  <c r="G29" i="86"/>
  <c r="AJ28" i="86"/>
  <c r="AG28" i="86"/>
  <c r="AE28" i="86"/>
  <c r="AB28" i="86"/>
  <c r="Y28" i="86"/>
  <c r="V28" i="86"/>
  <c r="S28" i="86"/>
  <c r="P28" i="86"/>
  <c r="M28" i="86"/>
  <c r="J28" i="86"/>
  <c r="G28" i="86"/>
  <c r="G27" i="86"/>
  <c r="AJ26" i="86"/>
  <c r="AI26" i="86"/>
  <c r="AK26" i="86" s="1"/>
  <c r="AG26" i="86"/>
  <c r="AF26" i="86"/>
  <c r="AH26" i="86" s="1"/>
  <c r="AJ25" i="86"/>
  <c r="AI25" i="86"/>
  <c r="AG25" i="86"/>
  <c r="AF25" i="86"/>
  <c r="AE25" i="86"/>
  <c r="Y25" i="86"/>
  <c r="P25" i="86"/>
  <c r="J25" i="86"/>
  <c r="G25" i="86"/>
  <c r="D25" i="86"/>
  <c r="AJ24" i="86"/>
  <c r="AI24" i="86"/>
  <c r="AG24" i="86"/>
  <c r="AF24" i="86"/>
  <c r="AB24" i="86"/>
  <c r="V24" i="86"/>
  <c r="P24" i="86"/>
  <c r="D24" i="86"/>
  <c r="AJ23" i="86"/>
  <c r="AI23" i="86"/>
  <c r="AG23" i="86"/>
  <c r="AF23" i="86"/>
  <c r="AE23" i="86"/>
  <c r="Y23" i="86"/>
  <c r="S23" i="86"/>
  <c r="P23" i="86"/>
  <c r="D23" i="86"/>
  <c r="AJ22" i="86"/>
  <c r="AI22" i="86"/>
  <c r="AG22" i="86"/>
  <c r="AF22" i="86"/>
  <c r="AB22" i="86"/>
  <c r="Y22" i="86"/>
  <c r="V22" i="86"/>
  <c r="S22" i="86"/>
  <c r="P22" i="86"/>
  <c r="M22" i="86"/>
  <c r="J22" i="86"/>
  <c r="G22" i="86"/>
  <c r="D22" i="86"/>
  <c r="AJ21" i="86"/>
  <c r="AI21" i="86"/>
  <c r="AG21" i="86"/>
  <c r="AF21" i="86"/>
  <c r="AB21" i="86"/>
  <c r="Y21" i="86"/>
  <c r="S21" i="86"/>
  <c r="P21" i="86"/>
  <c r="M21" i="86"/>
  <c r="J21" i="86"/>
  <c r="D21" i="86"/>
  <c r="G20" i="86"/>
  <c r="AJ19" i="86"/>
  <c r="AG19" i="86"/>
  <c r="V19" i="86"/>
  <c r="P19" i="86"/>
  <c r="AJ18" i="86"/>
  <c r="AI18" i="86"/>
  <c r="AG18" i="86"/>
  <c r="AF18" i="86"/>
  <c r="Y18" i="86"/>
  <c r="P18" i="86"/>
  <c r="AJ17" i="86"/>
  <c r="AI17" i="86"/>
  <c r="AG17" i="86"/>
  <c r="AF17" i="86"/>
  <c r="Y17" i="86"/>
  <c r="P17" i="86"/>
  <c r="AJ15" i="86"/>
  <c r="AG15" i="86"/>
  <c r="AB15" i="86"/>
  <c r="Y15" i="86"/>
  <c r="V15" i="86"/>
  <c r="P15" i="86"/>
  <c r="AJ14" i="86"/>
  <c r="AI14" i="86"/>
  <c r="AG14" i="86"/>
  <c r="AF14" i="86"/>
  <c r="P14" i="86"/>
  <c r="F8" i="86"/>
  <c r="I8" i="86" s="1"/>
  <c r="L8" i="86" s="1"/>
  <c r="O8" i="86" s="1"/>
  <c r="R8" i="86" s="1"/>
  <c r="U8" i="86" s="1"/>
  <c r="X8" i="86" s="1"/>
  <c r="AA8" i="86" s="1"/>
  <c r="AD8" i="86" s="1"/>
  <c r="AG8" i="86" s="1"/>
  <c r="AJ8" i="86" s="1"/>
  <c r="E8" i="86"/>
  <c r="H8" i="86" s="1"/>
  <c r="K8" i="86" s="1"/>
  <c r="N8" i="86" s="1"/>
  <c r="Q8" i="86" s="1"/>
  <c r="T8" i="86" s="1"/>
  <c r="W8" i="86" s="1"/>
  <c r="Z8" i="86" s="1"/>
  <c r="AC8" i="86" s="1"/>
  <c r="AF8" i="86" s="1"/>
  <c r="AI8" i="86" s="1"/>
  <c r="AG45" i="82"/>
  <c r="AF45" i="82"/>
  <c r="AB45" i="82"/>
  <c r="S45" i="82"/>
  <c r="P45" i="82"/>
  <c r="AG43" i="82"/>
  <c r="AF43" i="82"/>
  <c r="AB43" i="82"/>
  <c r="Y43" i="82"/>
  <c r="V43" i="82"/>
  <c r="S43" i="82"/>
  <c r="M43" i="82"/>
  <c r="J43" i="82"/>
  <c r="G43" i="82"/>
  <c r="D43" i="82"/>
  <c r="P41" i="82"/>
  <c r="AG40" i="82"/>
  <c r="AF40" i="82"/>
  <c r="AB40" i="82"/>
  <c r="Y40" i="82"/>
  <c r="V40" i="82"/>
  <c r="S40" i="82"/>
  <c r="P40" i="82"/>
  <c r="M40" i="82"/>
  <c r="G40" i="82"/>
  <c r="D40" i="82"/>
  <c r="AG39" i="82"/>
  <c r="AF39" i="82"/>
  <c r="AB39" i="82"/>
  <c r="Y39" i="82"/>
  <c r="V39" i="82"/>
  <c r="S39" i="82"/>
  <c r="P39" i="82"/>
  <c r="D39" i="82"/>
  <c r="AG38" i="82"/>
  <c r="AF38" i="82"/>
  <c r="AE38" i="82"/>
  <c r="AB38" i="82"/>
  <c r="Y38" i="82"/>
  <c r="V38" i="82"/>
  <c r="S38" i="82"/>
  <c r="P38" i="82"/>
  <c r="M38" i="82"/>
  <c r="J38" i="82"/>
  <c r="G38" i="82"/>
  <c r="D38" i="82"/>
  <c r="AG34" i="82"/>
  <c r="AF34" i="82"/>
  <c r="AB34" i="82"/>
  <c r="Y34" i="82"/>
  <c r="S34" i="82"/>
  <c r="P34" i="82"/>
  <c r="D34" i="82"/>
  <c r="AG33" i="82"/>
  <c r="AF33" i="82"/>
  <c r="AE33" i="82"/>
  <c r="AB33" i="82"/>
  <c r="Y33" i="82"/>
  <c r="S33" i="82"/>
  <c r="P33" i="82"/>
  <c r="M33" i="82"/>
  <c r="J33" i="82"/>
  <c r="G33" i="82"/>
  <c r="D33" i="82"/>
  <c r="AG32" i="82"/>
  <c r="AF32" i="82"/>
  <c r="AB32" i="82"/>
  <c r="Y32" i="82"/>
  <c r="V32" i="82"/>
  <c r="S32" i="82"/>
  <c r="P32" i="82"/>
  <c r="M32" i="82"/>
  <c r="D32" i="82"/>
  <c r="AG31" i="82"/>
  <c r="AF31" i="82"/>
  <c r="AB31" i="82"/>
  <c r="Y31" i="82"/>
  <c r="S31" i="82"/>
  <c r="P31" i="82"/>
  <c r="M31" i="82"/>
  <c r="D31" i="82"/>
  <c r="AG29" i="82"/>
  <c r="AF29" i="82"/>
  <c r="AB29" i="82"/>
  <c r="S29" i="82"/>
  <c r="D29" i="82"/>
  <c r="AG28" i="82"/>
  <c r="AF28" i="82"/>
  <c r="AB28" i="82"/>
  <c r="J28" i="82"/>
  <c r="D28" i="82"/>
  <c r="AF27" i="82"/>
  <c r="AG26" i="82"/>
  <c r="AF26" i="82"/>
  <c r="AB26" i="82"/>
  <c r="Y26" i="82"/>
  <c r="V26" i="82"/>
  <c r="S26" i="82"/>
  <c r="P26" i="82"/>
  <c r="D26" i="82"/>
  <c r="AG24" i="82"/>
  <c r="AF24" i="82"/>
  <c r="AB24" i="82"/>
  <c r="Y24" i="82"/>
  <c r="V24" i="82"/>
  <c r="S24" i="82"/>
  <c r="P24" i="82"/>
  <c r="M24" i="82"/>
  <c r="J24" i="82"/>
  <c r="D24" i="82"/>
  <c r="AG23" i="82"/>
  <c r="AE23" i="82"/>
  <c r="AB23" i="82"/>
  <c r="Y23" i="82"/>
  <c r="V23" i="82"/>
  <c r="S23" i="82"/>
  <c r="P23" i="82"/>
  <c r="AF23" i="82"/>
  <c r="J23" i="82"/>
  <c r="G23" i="82"/>
  <c r="D23" i="82"/>
  <c r="AJ20" i="82"/>
  <c r="AI20" i="82"/>
  <c r="AG20" i="82"/>
  <c r="AF20" i="82"/>
  <c r="AE20" i="82"/>
  <c r="AB20" i="82"/>
  <c r="Y20" i="82"/>
  <c r="S20" i="82"/>
  <c r="P20" i="82"/>
  <c r="M20" i="82"/>
  <c r="G20" i="82"/>
  <c r="D20" i="82"/>
  <c r="AJ19" i="82"/>
  <c r="AG19" i="82"/>
  <c r="Y19" i="82"/>
  <c r="V19" i="82"/>
  <c r="S19" i="82"/>
  <c r="P19" i="82"/>
  <c r="M19" i="82"/>
  <c r="J19" i="82"/>
  <c r="G19" i="82"/>
  <c r="D19" i="82"/>
  <c r="AJ18" i="82"/>
  <c r="AI18" i="82"/>
  <c r="AG18" i="82"/>
  <c r="AF18" i="82"/>
  <c r="AH18" i="82" s="1"/>
  <c r="AJ17" i="82"/>
  <c r="AI17" i="82"/>
  <c r="AG17" i="82"/>
  <c r="AF17" i="82"/>
  <c r="AB17" i="82"/>
  <c r="Y17" i="82"/>
  <c r="V17" i="82"/>
  <c r="S17" i="82"/>
  <c r="P17" i="82"/>
  <c r="G17" i="82"/>
  <c r="D17" i="82"/>
  <c r="AJ16" i="82"/>
  <c r="AI16" i="82"/>
  <c r="AG16" i="82"/>
  <c r="AF16" i="82"/>
  <c r="AB16" i="82"/>
  <c r="Y16" i="82"/>
  <c r="S16" i="82"/>
  <c r="P16" i="82"/>
  <c r="M16" i="82"/>
  <c r="D16" i="82"/>
  <c r="AJ15" i="82"/>
  <c r="AI15" i="82"/>
  <c r="AG15" i="82"/>
  <c r="AF15" i="82"/>
  <c r="AB15" i="82"/>
  <c r="Y15" i="82"/>
  <c r="V15" i="82"/>
  <c r="S15" i="82"/>
  <c r="P15" i="82"/>
  <c r="M15" i="82"/>
  <c r="J15" i="82"/>
  <c r="G15" i="82"/>
  <c r="D15" i="82"/>
  <c r="P14" i="82"/>
  <c r="AJ13" i="82"/>
  <c r="AI13" i="82"/>
  <c r="AG13" i="82"/>
  <c r="AF13" i="82"/>
  <c r="AE13" i="82"/>
  <c r="AB13" i="82"/>
  <c r="Y13" i="82"/>
  <c r="S13" i="82"/>
  <c r="P13" i="82"/>
  <c r="M13" i="82"/>
  <c r="D13" i="82"/>
  <c r="AJ12" i="82"/>
  <c r="AI12" i="82"/>
  <c r="AG12" i="82"/>
  <c r="AF12" i="82"/>
  <c r="AE12" i="82"/>
  <c r="AB12" i="82"/>
  <c r="Y12" i="82"/>
  <c r="S12" i="82"/>
  <c r="M12" i="82"/>
  <c r="J12" i="82"/>
  <c r="G12" i="82"/>
  <c r="D12" i="82"/>
  <c r="AJ11" i="82"/>
  <c r="AI11" i="82"/>
  <c r="AG11" i="82"/>
  <c r="AF11" i="82"/>
  <c r="AE11" i="82"/>
  <c r="AB11" i="82"/>
  <c r="Y11" i="82"/>
  <c r="V11" i="82"/>
  <c r="S11" i="82"/>
  <c r="P11" i="82"/>
  <c r="M11" i="82"/>
  <c r="J11" i="82"/>
  <c r="G11" i="82"/>
  <c r="D11" i="82"/>
  <c r="AJ8" i="82"/>
  <c r="AI8" i="82"/>
  <c r="AG8" i="82"/>
  <c r="AF8" i="82"/>
  <c r="AD8" i="82"/>
  <c r="AC8" i="82"/>
  <c r="AA8" i="82"/>
  <c r="Z8" i="82"/>
  <c r="X8" i="82"/>
  <c r="W8" i="82"/>
  <c r="U8" i="82"/>
  <c r="T8" i="82"/>
  <c r="R8" i="82"/>
  <c r="Q8" i="82"/>
  <c r="O8" i="82"/>
  <c r="N8" i="82"/>
  <c r="L8" i="82"/>
  <c r="K8" i="82"/>
  <c r="I8" i="82"/>
  <c r="H8" i="82"/>
  <c r="F8" i="82"/>
  <c r="E8" i="82"/>
  <c r="AH76" i="86" l="1"/>
  <c r="AK76" i="86"/>
  <c r="AH24" i="82"/>
  <c r="G41" i="82"/>
  <c r="AH23" i="86"/>
  <c r="AH52" i="86"/>
  <c r="C11" i="58"/>
  <c r="C12" i="58"/>
  <c r="AH17" i="86"/>
  <c r="AH21" i="86"/>
  <c r="AK25" i="86"/>
  <c r="B19" i="58"/>
  <c r="B18" i="58"/>
  <c r="AH55" i="86"/>
  <c r="C25" i="58"/>
  <c r="B11" i="58"/>
  <c r="B10" i="58"/>
  <c r="C13" i="58"/>
  <c r="B9" i="58"/>
  <c r="C19" i="58"/>
  <c r="C18" i="58"/>
  <c r="AK43" i="86"/>
  <c r="B22" i="58"/>
  <c r="C10" i="58"/>
  <c r="C9" i="58"/>
  <c r="C22" i="58"/>
  <c r="C30" i="58"/>
  <c r="B20" i="58"/>
  <c r="B28" i="58"/>
  <c r="AH32" i="82"/>
  <c r="AH38" i="82"/>
  <c r="C20" i="58"/>
  <c r="AK48" i="86"/>
  <c r="B27" i="58"/>
  <c r="C28" i="58"/>
  <c r="C26" i="58"/>
  <c r="B29" i="58"/>
  <c r="C17" i="58"/>
  <c r="C14" i="58"/>
  <c r="C27" i="58"/>
  <c r="C29" i="58"/>
  <c r="C21" i="58"/>
  <c r="B17" i="58"/>
  <c r="Y41" i="82"/>
  <c r="AH45" i="82"/>
  <c r="AK57" i="86"/>
  <c r="AH91" i="86"/>
  <c r="S41" i="82"/>
  <c r="AE41" i="82"/>
  <c r="AH73" i="86"/>
  <c r="V41" i="82"/>
  <c r="AH22" i="86"/>
  <c r="J41" i="82"/>
  <c r="AK44" i="86"/>
  <c r="D35" i="86"/>
  <c r="AK70" i="86"/>
  <c r="AH90" i="86"/>
  <c r="AH71" i="86"/>
  <c r="AK78" i="86"/>
  <c r="AK12" i="82"/>
  <c r="AK18" i="86"/>
  <c r="AH11" i="82"/>
  <c r="AH41" i="86"/>
  <c r="AK24" i="86"/>
  <c r="AK58" i="86"/>
  <c r="AH13" i="82"/>
  <c r="J20" i="86"/>
  <c r="AH37" i="86"/>
  <c r="G30" i="82"/>
  <c r="AF28" i="86"/>
  <c r="AH28" i="86" s="1"/>
  <c r="V39" i="86"/>
  <c r="AK46" i="86"/>
  <c r="AK52" i="86"/>
  <c r="AH58" i="86"/>
  <c r="AK71" i="86"/>
  <c r="AH23" i="82"/>
  <c r="AK13" i="82"/>
  <c r="AH28" i="82"/>
  <c r="AH33" i="86"/>
  <c r="AK40" i="86"/>
  <c r="AH42" i="86"/>
  <c r="AK69" i="86"/>
  <c r="AB30" i="82"/>
  <c r="M41" i="82"/>
  <c r="AH44" i="86"/>
  <c r="AK51" i="86"/>
  <c r="S87" i="86"/>
  <c r="AH16" i="82"/>
  <c r="S21" i="82"/>
  <c r="V16" i="86"/>
  <c r="AK36" i="86"/>
  <c r="AK77" i="86"/>
  <c r="AH61" i="86"/>
  <c r="AH69" i="86"/>
  <c r="V14" i="82"/>
  <c r="AH20" i="82"/>
  <c r="P30" i="82"/>
  <c r="AH34" i="82"/>
  <c r="AH14" i="86"/>
  <c r="AH24" i="86"/>
  <c r="AH43" i="86"/>
  <c r="AH88" i="86"/>
  <c r="AH15" i="82"/>
  <c r="AH26" i="82"/>
  <c r="AH39" i="82"/>
  <c r="AH43" i="82"/>
  <c r="D20" i="86"/>
  <c r="AG39" i="86"/>
  <c r="AK20" i="82"/>
  <c r="AK14" i="86"/>
  <c r="P35" i="86"/>
  <c r="AH46" i="86"/>
  <c r="AH70" i="86"/>
  <c r="AH77" i="86"/>
  <c r="J80" i="86"/>
  <c r="AK88" i="86"/>
  <c r="AK15" i="82"/>
  <c r="AH25" i="86"/>
  <c r="S35" i="86"/>
  <c r="AK79" i="86"/>
  <c r="S14" i="82"/>
  <c r="AK17" i="82"/>
  <c r="AH29" i="82"/>
  <c r="J30" i="82"/>
  <c r="Y30" i="82"/>
  <c r="AK17" i="86"/>
  <c r="Y20" i="86"/>
  <c r="V35" i="86"/>
  <c r="M39" i="86"/>
  <c r="AH49" i="86"/>
  <c r="AH78" i="86"/>
  <c r="AK86" i="86"/>
  <c r="Y14" i="82"/>
  <c r="AF19" i="82"/>
  <c r="AH19" i="82" s="1"/>
  <c r="J21" i="82"/>
  <c r="V21" i="82"/>
  <c r="AH31" i="82"/>
  <c r="AB41" i="82"/>
  <c r="S20" i="86"/>
  <c r="AH57" i="86"/>
  <c r="AK90" i="86"/>
  <c r="AH12" i="82"/>
  <c r="AB14" i="82"/>
  <c r="AK16" i="82"/>
  <c r="AH40" i="82"/>
  <c r="AG41" i="82"/>
  <c r="Y54" i="86"/>
  <c r="AK73" i="86"/>
  <c r="AF19" i="86"/>
  <c r="AH19" i="86" s="1"/>
  <c r="J14" i="82"/>
  <c r="D21" i="82"/>
  <c r="M23" i="82"/>
  <c r="AF41" i="82"/>
  <c r="P39" i="86"/>
  <c r="AB39" i="86"/>
  <c r="AH68" i="86"/>
  <c r="AI14" i="82"/>
  <c r="AH17" i="82"/>
  <c r="D30" i="82"/>
  <c r="AH18" i="86"/>
  <c r="D54" i="86"/>
  <c r="P54" i="86"/>
  <c r="AK21" i="86"/>
  <c r="AJ14" i="82"/>
  <c r="AK11" i="82"/>
  <c r="D14" i="82"/>
  <c r="M14" i="82"/>
  <c r="AB19" i="82"/>
  <c r="AH33" i="82"/>
  <c r="AH79" i="86"/>
  <c r="V80" i="86"/>
  <c r="AE20" i="86"/>
  <c r="AK33" i="86"/>
  <c r="AH36" i="86"/>
  <c r="AK42" i="86"/>
  <c r="AH51" i="86"/>
  <c r="AH85" i="86"/>
  <c r="AK23" i="86"/>
  <c r="AJ50" i="86"/>
  <c r="AK68" i="86"/>
  <c r="AK89" i="86"/>
  <c r="AK34" i="86"/>
  <c r="AK49" i="86"/>
  <c r="AH53" i="86"/>
  <c r="AH82" i="86"/>
  <c r="AF15" i="86"/>
  <c r="AH15" i="86" s="1"/>
  <c r="P20" i="86"/>
  <c r="D39" i="86"/>
  <c r="AH40" i="86"/>
  <c r="AK41" i="86"/>
  <c r="AK53" i="86"/>
  <c r="AK61" i="86"/>
  <c r="AK82" i="86"/>
  <c r="AH86" i="86"/>
  <c r="AK91" i="86"/>
  <c r="AB21" i="82"/>
  <c r="AE21" i="82"/>
  <c r="AE14" i="82"/>
  <c r="G21" i="82"/>
  <c r="P21" i="82"/>
  <c r="V30" i="82"/>
  <c r="G14" i="82"/>
  <c r="AF14" i="82"/>
  <c r="AI19" i="82"/>
  <c r="AK19" i="82" s="1"/>
  <c r="Y21" i="82"/>
  <c r="AG21" i="82"/>
  <c r="AE30" i="82"/>
  <c r="D41" i="82"/>
  <c r="AG14" i="82"/>
  <c r="AG30" i="82"/>
  <c r="AI21" i="82"/>
  <c r="AJ21" i="82"/>
  <c r="AE19" i="82"/>
  <c r="S30" i="82"/>
  <c r="AI20" i="86"/>
  <c r="M20" i="86"/>
  <c r="AE39" i="86"/>
  <c r="AJ54" i="86"/>
  <c r="AG54" i="86"/>
  <c r="AG16" i="86"/>
  <c r="AF20" i="86"/>
  <c r="AG20" i="86"/>
  <c r="AF59" i="86"/>
  <c r="AH59" i="86" s="1"/>
  <c r="AI59" i="86"/>
  <c r="AK59" i="86" s="1"/>
  <c r="M59" i="86"/>
  <c r="AJ20" i="86"/>
  <c r="AB19" i="86"/>
  <c r="AI19" i="86"/>
  <c r="M87" i="86"/>
  <c r="AI87" i="86"/>
  <c r="AI15" i="86"/>
  <c r="D15" i="86"/>
  <c r="AB20" i="86"/>
  <c r="AI28" i="86"/>
  <c r="AK28" i="86" s="1"/>
  <c r="D28" i="86"/>
  <c r="Y16" i="86"/>
  <c r="AF35" i="86"/>
  <c r="AI38" i="86"/>
  <c r="AF38" i="86"/>
  <c r="AH38" i="86" s="1"/>
  <c r="AB38" i="86"/>
  <c r="P16" i="86"/>
  <c r="AK22" i="86"/>
  <c r="M35" i="86"/>
  <c r="V20" i="86"/>
  <c r="AH34" i="86"/>
  <c r="AK37" i="86"/>
  <c r="P50" i="86"/>
  <c r="S54" i="86"/>
  <c r="AB80" i="86"/>
  <c r="AK85" i="86"/>
  <c r="D87" i="86"/>
  <c r="Y87" i="86"/>
  <c r="AF87" i="86"/>
  <c r="AJ16" i="86"/>
  <c r="AF39" i="86"/>
  <c r="P87" i="86"/>
  <c r="S80" i="86"/>
  <c r="AJ87" i="86"/>
  <c r="AH89" i="86"/>
  <c r="AF56" i="86"/>
  <c r="AH56" i="86" s="1"/>
  <c r="AI56" i="86"/>
  <c r="AK56" i="86" s="1"/>
  <c r="AF80" i="86"/>
  <c r="Y39" i="86"/>
  <c r="AF50" i="86"/>
  <c r="AB56" i="86"/>
  <c r="AE80" i="86"/>
  <c r="AB87" i="86"/>
  <c r="S39" i="86"/>
  <c r="D80" i="86"/>
  <c r="M80" i="86"/>
  <c r="AG35" i="86"/>
  <c r="Y35" i="86"/>
  <c r="AJ35" i="86"/>
  <c r="J39" i="86"/>
  <c r="AI50" i="86"/>
  <c r="P80" i="86"/>
  <c r="Y80" i="86"/>
  <c r="AI80" i="86"/>
  <c r="AG50" i="86"/>
  <c r="AI55" i="86"/>
  <c r="AJ80" i="86"/>
  <c r="AI39" i="86"/>
  <c r="AG87" i="86"/>
  <c r="AJ39" i="86"/>
  <c r="AG80" i="86"/>
  <c r="Y45" i="86" l="1"/>
  <c r="V27" i="86"/>
  <c r="Y93" i="86"/>
  <c r="AF30" i="82"/>
  <c r="AH30" i="82" s="1"/>
  <c r="D45" i="86"/>
  <c r="J42" i="82"/>
  <c r="S35" i="82"/>
  <c r="B14" i="58"/>
  <c r="AK55" i="86"/>
  <c r="B25" i="58"/>
  <c r="AK38" i="86"/>
  <c r="B21" i="58"/>
  <c r="B26" i="58"/>
  <c r="B30" i="58"/>
  <c r="AK15" i="86"/>
  <c r="B12" i="58"/>
  <c r="AK19" i="86"/>
  <c r="B13" i="58"/>
  <c r="Y27" i="86"/>
  <c r="P35" i="82"/>
  <c r="J29" i="86"/>
  <c r="J27" i="86"/>
  <c r="J35" i="82"/>
  <c r="D93" i="86"/>
  <c r="AK14" i="82"/>
  <c r="AH41" i="82"/>
  <c r="AF54" i="86"/>
  <c r="AH54" i="86" s="1"/>
  <c r="V35" i="82"/>
  <c r="AI16" i="86"/>
  <c r="AK16" i="86" s="1"/>
  <c r="AI54" i="86"/>
  <c r="M30" i="82"/>
  <c r="AI35" i="86"/>
  <c r="AB16" i="86"/>
  <c r="AG60" i="86"/>
  <c r="AF27" i="86"/>
  <c r="J93" i="86"/>
  <c r="Y60" i="86"/>
  <c r="AF16" i="86"/>
  <c r="AH16" i="86" s="1"/>
  <c r="D48" i="81"/>
  <c r="AK21" i="82"/>
  <c r="D60" i="86"/>
  <c r="AJ93" i="86"/>
  <c r="P45" i="86"/>
  <c r="AH14" i="82"/>
  <c r="AB54" i="86"/>
  <c r="S60" i="86"/>
  <c r="S93" i="86"/>
  <c r="AH87" i="86"/>
  <c r="V45" i="86"/>
  <c r="AK87" i="86"/>
  <c r="M93" i="86"/>
  <c r="AG45" i="86"/>
  <c r="AJ45" i="86"/>
  <c r="AH50" i="86"/>
  <c r="AB60" i="86"/>
  <c r="P27" i="86"/>
  <c r="AB35" i="86"/>
  <c r="Y62" i="86"/>
  <c r="P93" i="86"/>
  <c r="Y29" i="86"/>
  <c r="V29" i="86"/>
  <c r="P42" i="82"/>
  <c r="AK50" i="86"/>
  <c r="AH80" i="86"/>
  <c r="M45" i="86"/>
  <c r="AH20" i="86"/>
  <c r="D27" i="86"/>
  <c r="Y35" i="82"/>
  <c r="AE35" i="82"/>
  <c r="AG35" i="82"/>
  <c r="D35" i="82"/>
  <c r="AK39" i="86"/>
  <c r="AH35" i="86"/>
  <c r="M54" i="86"/>
  <c r="S27" i="86"/>
  <c r="AB35" i="82"/>
  <c r="AH39" i="86"/>
  <c r="AK20" i="86"/>
  <c r="M21" i="82"/>
  <c r="J44" i="82"/>
  <c r="AG93" i="86"/>
  <c r="AJ27" i="86"/>
  <c r="AG27" i="86"/>
  <c r="AB93" i="86"/>
  <c r="J45" i="86"/>
  <c r="S45" i="86"/>
  <c r="M27" i="86"/>
  <c r="AF21" i="82"/>
  <c r="AK80" i="86"/>
  <c r="AJ60" i="86"/>
  <c r="V93" i="86"/>
  <c r="AE93" i="86"/>
  <c r="P60" i="86"/>
  <c r="G35" i="82"/>
  <c r="H23" i="9"/>
  <c r="C23" i="9" l="1"/>
  <c r="G23" i="9"/>
  <c r="G59" i="9" s="1"/>
  <c r="I59" i="9" s="1"/>
  <c r="D47" i="81"/>
  <c r="AE64" i="86"/>
  <c r="AK35" i="86"/>
  <c r="S42" i="82"/>
  <c r="V42" i="82"/>
  <c r="AI45" i="86"/>
  <c r="F21" i="58" s="1"/>
  <c r="G25" i="58"/>
  <c r="G28" i="58"/>
  <c r="G30" i="58"/>
  <c r="G26" i="58"/>
  <c r="G27" i="58"/>
  <c r="G29" i="58"/>
  <c r="G17" i="58"/>
  <c r="G22" i="58"/>
  <c r="G21" i="58"/>
  <c r="G19" i="58"/>
  <c r="G20" i="58"/>
  <c r="G18" i="58"/>
  <c r="AB27" i="86"/>
  <c r="AI60" i="86"/>
  <c r="AB29" i="86"/>
  <c r="AK54" i="86"/>
  <c r="AI27" i="86"/>
  <c r="AK27" i="86" s="1"/>
  <c r="AB45" i="86"/>
  <c r="AF60" i="86"/>
  <c r="G42" i="82"/>
  <c r="M35" i="82"/>
  <c r="AF42" i="82"/>
  <c r="AF45" i="86"/>
  <c r="S44" i="82"/>
  <c r="J62" i="86"/>
  <c r="AG29" i="86"/>
  <c r="AJ29" i="86"/>
  <c r="AG42" i="82"/>
  <c r="P29" i="86"/>
  <c r="AH93" i="86"/>
  <c r="AB42" i="82"/>
  <c r="Y42" i="82"/>
  <c r="J46" i="82"/>
  <c r="D42" i="82"/>
  <c r="AE27" i="86"/>
  <c r="AG62" i="86"/>
  <c r="AJ62" i="86"/>
  <c r="V62" i="86"/>
  <c r="P62" i="86"/>
  <c r="AH27" i="86"/>
  <c r="P44" i="82"/>
  <c r="AE45" i="86"/>
  <c r="S29" i="86"/>
  <c r="AF35" i="82"/>
  <c r="D29" i="86"/>
  <c r="D62" i="86"/>
  <c r="AH21" i="82"/>
  <c r="M29" i="86"/>
  <c r="S62" i="86"/>
  <c r="M60" i="86"/>
  <c r="AE42" i="82"/>
  <c r="V44" i="82"/>
  <c r="AK93" i="86"/>
  <c r="P64" i="86" l="1"/>
  <c r="I23" i="9"/>
  <c r="M66" i="8"/>
  <c r="B23" i="9"/>
  <c r="M22" i="8" s="1"/>
  <c r="AK45" i="86"/>
  <c r="V64" i="86"/>
  <c r="M64" i="86"/>
  <c r="F22" i="58"/>
  <c r="J64" i="86"/>
  <c r="F20" i="58"/>
  <c r="F18" i="58"/>
  <c r="F17" i="58"/>
  <c r="F19" i="58"/>
  <c r="G13" i="58"/>
  <c r="G9" i="58"/>
  <c r="G14" i="58"/>
  <c r="G11" i="58"/>
  <c r="G12" i="58"/>
  <c r="G10" i="58"/>
  <c r="F27" i="58"/>
  <c r="F28" i="58"/>
  <c r="F29" i="58"/>
  <c r="F30" i="58"/>
  <c r="F25" i="58"/>
  <c r="F26" i="58"/>
  <c r="AF29" i="86"/>
  <c r="AH29" i="86" s="1"/>
  <c r="AI62" i="86"/>
  <c r="AK62" i="86" s="1"/>
  <c r="M62" i="86"/>
  <c r="AH42" i="82"/>
  <c r="AK60" i="86"/>
  <c r="AF62" i="86"/>
  <c r="AH62" i="86" s="1"/>
  <c r="AI29" i="86"/>
  <c r="AK29" i="86" s="1"/>
  <c r="P46" i="82"/>
  <c r="G44" i="82"/>
  <c r="AH35" i="82"/>
  <c r="S64" i="86"/>
  <c r="S46" i="82"/>
  <c r="AH60" i="86"/>
  <c r="Y44" i="82"/>
  <c r="AJ64" i="86"/>
  <c r="D64" i="86"/>
  <c r="AG64" i="86"/>
  <c r="AH45" i="86"/>
  <c r="D44" i="82"/>
  <c r="Y64" i="86"/>
  <c r="AE44" i="82"/>
  <c r="AE62" i="86"/>
  <c r="AB62" i="86"/>
  <c r="AG44" i="82"/>
  <c r="AE29" i="86"/>
  <c r="AB44" i="82"/>
  <c r="AB64" i="86"/>
  <c r="V46" i="82"/>
  <c r="M42" i="82"/>
  <c r="B59" i="9" l="1"/>
  <c r="D23" i="9"/>
  <c r="F11" i="58"/>
  <c r="F9" i="58"/>
  <c r="F10" i="58"/>
  <c r="F12" i="58"/>
  <c r="F14" i="58"/>
  <c r="F13" i="58"/>
  <c r="M44" i="82"/>
  <c r="AF44" i="82"/>
  <c r="AH44" i="82" s="1"/>
  <c r="AG46" i="82"/>
  <c r="AK64" i="86"/>
  <c r="AB46" i="82"/>
  <c r="D46" i="82"/>
  <c r="AE46" i="82"/>
  <c r="Y46" i="82"/>
  <c r="G46" i="82"/>
  <c r="AH64" i="86"/>
  <c r="G16" i="10"/>
  <c r="M46" i="82" l="1"/>
  <c r="AF46" i="82"/>
  <c r="D27" i="58"/>
  <c r="AH46" i="82" l="1"/>
  <c r="B33" i="58"/>
  <c r="D29" i="58"/>
  <c r="D17" i="58"/>
  <c r="D11" i="58"/>
  <c r="D18" i="58"/>
  <c r="C38" i="58"/>
  <c r="D19" i="58"/>
  <c r="D22" i="58"/>
  <c r="D26" i="58"/>
  <c r="C37" i="58"/>
  <c r="D28" i="58"/>
  <c r="C34" i="58"/>
  <c r="C35" i="58"/>
  <c r="C24" i="58"/>
  <c r="C36" i="58"/>
  <c r="D20" i="58"/>
  <c r="C16" i="58"/>
  <c r="D30" i="58"/>
  <c r="C33" i="58"/>
  <c r="C8" i="58"/>
  <c r="D9" i="58"/>
  <c r="D14" i="58"/>
  <c r="B35" i="58"/>
  <c r="D10" i="58"/>
  <c r="B34" i="58"/>
  <c r="G16" i="58" l="1"/>
  <c r="G24" i="58"/>
  <c r="D34" i="58"/>
  <c r="C32" i="58"/>
  <c r="G36" i="58" s="1"/>
  <c r="B38" i="58"/>
  <c r="D38" i="58" s="1"/>
  <c r="D35" i="58"/>
  <c r="D13" i="58"/>
  <c r="B37" i="58"/>
  <c r="D33" i="58"/>
  <c r="D25" i="58"/>
  <c r="B24" i="58"/>
  <c r="D24" i="58" s="1"/>
  <c r="B8" i="58"/>
  <c r="D8" i="58" s="1"/>
  <c r="D12" i="58"/>
  <c r="B36" i="58"/>
  <c r="D21" i="58"/>
  <c r="B16" i="58"/>
  <c r="D16" i="58" s="1"/>
  <c r="H22" i="58" l="1"/>
  <c r="H18" i="58"/>
  <c r="H20" i="58"/>
  <c r="H21" i="58"/>
  <c r="G8" i="58"/>
  <c r="H28" i="58"/>
  <c r="H27" i="58"/>
  <c r="H29" i="58"/>
  <c r="H26" i="58"/>
  <c r="H30" i="58"/>
  <c r="G35" i="58"/>
  <c r="B32" i="58"/>
  <c r="F34" i="58" s="1"/>
  <c r="G33" i="58"/>
  <c r="G37" i="58"/>
  <c r="G38" i="58"/>
  <c r="H19" i="58"/>
  <c r="G34" i="58"/>
  <c r="D36" i="58"/>
  <c r="D37" i="58"/>
  <c r="G32" i="58" l="1"/>
  <c r="F33" i="58"/>
  <c r="H33" i="58" s="1"/>
  <c r="H10" i="58"/>
  <c r="H14" i="58"/>
  <c r="F37" i="58"/>
  <c r="H37" i="58" s="1"/>
  <c r="F38" i="58"/>
  <c r="H38" i="58" s="1"/>
  <c r="H34" i="58"/>
  <c r="F36" i="58"/>
  <c r="H36" i="58" s="1"/>
  <c r="H17" i="58"/>
  <c r="F16" i="58"/>
  <c r="H16" i="58" s="1"/>
  <c r="H12" i="58"/>
  <c r="H13" i="58"/>
  <c r="H25" i="58"/>
  <c r="F24" i="58"/>
  <c r="H24" i="58" s="1"/>
  <c r="F35" i="58"/>
  <c r="H35" i="58" s="1"/>
  <c r="D32" i="58"/>
  <c r="H11" i="58"/>
  <c r="H9" i="58"/>
  <c r="F8" i="58"/>
  <c r="H8" i="58" s="1"/>
  <c r="F32" i="58" l="1"/>
  <c r="H32" i="58" s="1"/>
  <c r="J9" i="79" l="1"/>
  <c r="K8" i="79"/>
  <c r="D7" i="79" l="1"/>
  <c r="K122" i="79"/>
  <c r="J23" i="79"/>
  <c r="L23" i="79" s="1"/>
  <c r="K114" i="79"/>
  <c r="D48" i="79"/>
  <c r="D10" i="79"/>
  <c r="J114" i="79"/>
  <c r="J29" i="79"/>
  <c r="J97" i="79"/>
  <c r="J28" i="79"/>
  <c r="K76" i="79"/>
  <c r="J122" i="79"/>
  <c r="D122" i="79"/>
  <c r="D9" i="79"/>
  <c r="K7" i="79"/>
  <c r="J22" i="79"/>
  <c r="J30" i="79"/>
  <c r="K10" i="79"/>
  <c r="D8" i="79"/>
  <c r="J8" i="79"/>
  <c r="L8" i="79" s="1"/>
  <c r="K22" i="79"/>
  <c r="K23" i="79"/>
  <c r="K28" i="79"/>
  <c r="K29" i="79"/>
  <c r="K30" i="79"/>
  <c r="J10" i="79"/>
  <c r="K9" i="79"/>
  <c r="L9" i="79" s="1"/>
  <c r="J7" i="79"/>
  <c r="D22" i="79"/>
  <c r="D23" i="79"/>
  <c r="D28" i="79"/>
  <c r="D29" i="79"/>
  <c r="D30" i="79"/>
  <c r="D76" i="79"/>
  <c r="K97" i="79"/>
  <c r="J76" i="79"/>
  <c r="D97" i="79"/>
  <c r="D114" i="79"/>
  <c r="L122" i="79" l="1"/>
  <c r="L76" i="79"/>
  <c r="L97" i="79"/>
  <c r="L114" i="79"/>
  <c r="L10" i="79"/>
  <c r="L22" i="79"/>
  <c r="L29" i="79"/>
  <c r="L28" i="79"/>
  <c r="L7" i="79"/>
  <c r="L30" i="79"/>
  <c r="H31" i="9"/>
  <c r="H67" i="9" s="1"/>
  <c r="K119" i="79"/>
  <c r="K111" i="79"/>
  <c r="G31" i="9"/>
  <c r="G67" i="9" s="1"/>
  <c r="D66" i="79"/>
  <c r="C31" i="9"/>
  <c r="C67" i="9" s="1"/>
  <c r="D111" i="79"/>
  <c r="J111" i="79"/>
  <c r="L111" i="79" s="1"/>
  <c r="D119" i="79"/>
  <c r="J119" i="79"/>
  <c r="L119" i="79" l="1"/>
  <c r="D87" i="79"/>
  <c r="K87" i="79"/>
  <c r="D47" i="79"/>
  <c r="B31" i="9"/>
  <c r="B67" i="9" s="1"/>
  <c r="J87" i="79" l="1"/>
  <c r="L87" i="79" s="1"/>
  <c r="J66" i="79"/>
  <c r="K66" i="79"/>
  <c r="L66" i="79" l="1"/>
  <c r="H21" i="9"/>
  <c r="D48" i="78"/>
  <c r="G21" i="9" l="1"/>
  <c r="C21" i="9"/>
  <c r="N20" i="8" s="1"/>
  <c r="D47" i="78"/>
  <c r="H57" i="9"/>
  <c r="N64" i="8"/>
  <c r="M64" i="8" l="1"/>
  <c r="G57" i="9"/>
  <c r="I57" i="9" s="1"/>
  <c r="I21" i="9"/>
  <c r="C57" i="9"/>
  <c r="B21" i="9"/>
  <c r="M20" i="8" l="1"/>
  <c r="D21" i="9"/>
  <c r="B57" i="9"/>
  <c r="D57" i="9" s="1"/>
  <c r="D54" i="77" l="1"/>
  <c r="D55" i="77"/>
  <c r="H11" i="9"/>
  <c r="D48" i="77"/>
  <c r="G11" i="9"/>
  <c r="G47" i="9" s="1"/>
  <c r="D53" i="77" l="1"/>
  <c r="I11" i="9"/>
  <c r="M55" i="8"/>
  <c r="I47" i="9"/>
  <c r="H47" i="9"/>
  <c r="N55" i="8"/>
  <c r="D49" i="77"/>
  <c r="C11" i="9"/>
  <c r="C47" i="9" l="1"/>
  <c r="N10" i="8"/>
  <c r="B11" i="9"/>
  <c r="M10" i="8" s="1"/>
  <c r="D47" i="77"/>
  <c r="D11" i="9" l="1"/>
  <c r="B47" i="9"/>
  <c r="D47" i="9" s="1"/>
  <c r="N121" i="8" l="1"/>
  <c r="M121" i="8"/>
  <c r="N99" i="8"/>
  <c r="M99" i="8"/>
  <c r="N84" i="8"/>
  <c r="M84" i="8"/>
  <c r="N71" i="8"/>
  <c r="M71" i="8"/>
  <c r="N52" i="8"/>
  <c r="M52" i="8"/>
  <c r="N34" i="8"/>
  <c r="M34" i="8"/>
  <c r="H65" i="9" l="1"/>
  <c r="I29" i="9"/>
  <c r="L66" i="9"/>
  <c r="M66" i="9"/>
  <c r="O66" i="9"/>
  <c r="N66" i="9"/>
  <c r="K8" i="74" l="1"/>
  <c r="H30" i="9"/>
  <c r="G30" i="9"/>
  <c r="D8" i="74"/>
  <c r="J8" i="74"/>
  <c r="K7" i="74"/>
  <c r="J7" i="74"/>
  <c r="D48" i="74"/>
  <c r="D7" i="74"/>
  <c r="M72" i="8" l="1"/>
  <c r="G66" i="9"/>
  <c r="L8" i="74"/>
  <c r="C30" i="9"/>
  <c r="L7" i="74"/>
  <c r="D47" i="74"/>
  <c r="H66" i="9"/>
  <c r="N72" i="8"/>
  <c r="B30" i="9"/>
  <c r="M29" i="8" s="1"/>
  <c r="I30" i="9"/>
  <c r="B66" i="9" l="1"/>
  <c r="B22" i="4" l="1"/>
  <c r="E22" i="4"/>
  <c r="F22" i="4"/>
  <c r="C29" i="4"/>
  <c r="F29" i="4"/>
  <c r="C22" i="4"/>
  <c r="B29" i="4"/>
  <c r="E29" i="4"/>
  <c r="G21" i="10" l="1"/>
  <c r="C21" i="10"/>
  <c r="E29" i="79"/>
  <c r="E22" i="79"/>
  <c r="G10" i="10"/>
  <c r="C10" i="10"/>
  <c r="F33" i="4" l="1"/>
  <c r="E24" i="4"/>
  <c r="B25" i="4"/>
  <c r="E32" i="4"/>
  <c r="F26" i="4"/>
  <c r="C25" i="4"/>
  <c r="E30" i="4"/>
  <c r="F24" i="4"/>
  <c r="B24" i="4"/>
  <c r="C32" i="4"/>
  <c r="E33" i="4"/>
  <c r="K32" i="13"/>
  <c r="E23" i="4"/>
  <c r="B30" i="4"/>
  <c r="F23" i="4"/>
  <c r="E25" i="4"/>
  <c r="C30" i="4"/>
  <c r="F30" i="4"/>
  <c r="E31" i="4"/>
  <c r="F32" i="4"/>
  <c r="B23" i="4"/>
  <c r="B31" i="4"/>
  <c r="C23" i="4"/>
  <c r="E26" i="4"/>
  <c r="C31" i="4"/>
  <c r="F31" i="4"/>
  <c r="C24" i="4"/>
  <c r="F25" i="4"/>
  <c r="B32" i="4"/>
  <c r="D23" i="23"/>
  <c r="H23" i="33"/>
  <c r="D23" i="29"/>
  <c r="D30" i="33"/>
  <c r="H24" i="23"/>
  <c r="D30" i="16"/>
  <c r="D25" i="13"/>
  <c r="D31" i="37"/>
  <c r="D32" i="29"/>
  <c r="H30" i="37"/>
  <c r="H30" i="33"/>
  <c r="H30" i="29"/>
  <c r="H30" i="23"/>
  <c r="H30" i="13"/>
  <c r="D23" i="37"/>
  <c r="D23" i="20"/>
  <c r="D30" i="37"/>
  <c r="D30" i="20"/>
  <c r="H23" i="37"/>
  <c r="H24" i="13"/>
  <c r="H31" i="37"/>
  <c r="H31" i="29"/>
  <c r="H31" i="23"/>
  <c r="H31" i="13"/>
  <c r="H25" i="13"/>
  <c r="D31" i="13"/>
  <c r="H32" i="37"/>
  <c r="H32" i="33"/>
  <c r="H32" i="29"/>
  <c r="H33" i="37"/>
  <c r="H33" i="33"/>
  <c r="H33" i="29"/>
  <c r="H33" i="23"/>
  <c r="H23" i="13"/>
  <c r="D30" i="13"/>
  <c r="D31" i="33"/>
  <c r="D31" i="29"/>
  <c r="D32" i="13"/>
  <c r="H24" i="37"/>
  <c r="H24" i="33"/>
  <c r="H31" i="33"/>
  <c r="H25" i="37"/>
  <c r="H25" i="33"/>
  <c r="H25" i="29"/>
  <c r="H32" i="13"/>
  <c r="D24" i="37"/>
  <c r="D24" i="33"/>
  <c r="D24" i="29"/>
  <c r="D24" i="13"/>
  <c r="H26" i="37"/>
  <c r="H26" i="33"/>
  <c r="H26" i="29"/>
  <c r="H26" i="23"/>
  <c r="J30" i="29"/>
  <c r="D30" i="29"/>
  <c r="J30" i="23"/>
  <c r="D30" i="23"/>
  <c r="D23" i="33"/>
  <c r="H23" i="29"/>
  <c r="H23" i="23"/>
  <c r="D23" i="13"/>
  <c r="J33" i="23"/>
  <c r="J33" i="33"/>
  <c r="J33" i="29"/>
  <c r="J25" i="29"/>
  <c r="J25" i="13"/>
  <c r="J32" i="33"/>
  <c r="J32" i="29"/>
  <c r="J26" i="37"/>
  <c r="J26" i="33"/>
  <c r="J26" i="29"/>
  <c r="J26" i="23"/>
  <c r="K23" i="33"/>
  <c r="J33" i="37"/>
  <c r="K31" i="23"/>
  <c r="K30" i="16"/>
  <c r="K25" i="37"/>
  <c r="K25" i="33"/>
  <c r="K25" i="29"/>
  <c r="K25" i="13"/>
  <c r="K23" i="37"/>
  <c r="K23" i="20"/>
  <c r="K32" i="33"/>
  <c r="K32" i="29"/>
  <c r="J30" i="16"/>
  <c r="K33" i="23"/>
  <c r="K26" i="33"/>
  <c r="K26" i="29"/>
  <c r="K23" i="13"/>
  <c r="K33" i="33"/>
  <c r="K33" i="29"/>
  <c r="J23" i="20"/>
  <c r="J23" i="37"/>
  <c r="K26" i="37"/>
  <c r="K26" i="23"/>
  <c r="K31" i="13"/>
  <c r="J23" i="29"/>
  <c r="J23" i="23"/>
  <c r="J25" i="37"/>
  <c r="J25" i="33"/>
  <c r="K24" i="23"/>
  <c r="K24" i="13"/>
  <c r="K31" i="33"/>
  <c r="K31" i="29"/>
  <c r="J23" i="13"/>
  <c r="K30" i="20"/>
  <c r="K30" i="13"/>
  <c r="K24" i="33"/>
  <c r="K24" i="29"/>
  <c r="J31" i="37"/>
  <c r="J31" i="13"/>
  <c r="J24" i="37"/>
  <c r="J24" i="33"/>
  <c r="J24" i="29"/>
  <c r="J24" i="23"/>
  <c r="J24" i="13"/>
  <c r="K23" i="29"/>
  <c r="K23" i="23"/>
  <c r="J31" i="33"/>
  <c r="J31" i="29"/>
  <c r="J31" i="23"/>
  <c r="K24" i="37"/>
  <c r="K30" i="37"/>
  <c r="J30" i="13"/>
  <c r="J23" i="33"/>
  <c r="J30" i="33"/>
  <c r="J32" i="13"/>
  <c r="L32" i="13" s="1"/>
  <c r="J30" i="37"/>
  <c r="J30" i="20"/>
  <c r="J32" i="37"/>
  <c r="K30" i="33"/>
  <c r="K30" i="29"/>
  <c r="K30" i="23"/>
  <c r="K32" i="37"/>
  <c r="K31" i="37"/>
  <c r="K33" i="37"/>
  <c r="L31" i="23" l="1"/>
  <c r="E23" i="79"/>
  <c r="E30" i="79"/>
  <c r="L23" i="33"/>
  <c r="L30" i="37"/>
  <c r="L24" i="23"/>
  <c r="L24" i="29"/>
  <c r="L23" i="20"/>
  <c r="L31" i="29"/>
  <c r="L25" i="29"/>
  <c r="L24" i="33"/>
  <c r="L26" i="33"/>
  <c r="L33" i="23"/>
  <c r="L30" i="20"/>
  <c r="L31" i="13"/>
  <c r="L24" i="13"/>
  <c r="L24" i="37"/>
  <c r="L31" i="37"/>
  <c r="L23" i="23"/>
  <c r="L26" i="37"/>
  <c r="L26" i="29"/>
  <c r="L30" i="29"/>
  <c r="L32" i="37"/>
  <c r="L31" i="33"/>
  <c r="L23" i="13"/>
  <c r="L23" i="29"/>
  <c r="L33" i="37"/>
  <c r="L25" i="13"/>
  <c r="L33" i="29"/>
  <c r="L25" i="33"/>
  <c r="L30" i="16"/>
  <c r="L26" i="23"/>
  <c r="L32" i="29"/>
  <c r="L33" i="33"/>
  <c r="L30" i="13"/>
  <c r="L30" i="33"/>
  <c r="L25" i="37"/>
  <c r="L23" i="37"/>
  <c r="L32" i="33"/>
  <c r="L30" i="23"/>
  <c r="J9" i="72"/>
  <c r="K8" i="72"/>
  <c r="J8" i="72"/>
  <c r="L8" i="72" l="1"/>
  <c r="E31" i="13"/>
  <c r="E31" i="37"/>
  <c r="E31" i="33"/>
  <c r="E31" i="29"/>
  <c r="E23" i="23"/>
  <c r="E23" i="13"/>
  <c r="E23" i="20"/>
  <c r="E23" i="37"/>
  <c r="E23" i="33"/>
  <c r="E23" i="29"/>
  <c r="E25" i="13"/>
  <c r="E30" i="13"/>
  <c r="E30" i="20"/>
  <c r="E30" i="37"/>
  <c r="E30" i="23"/>
  <c r="E30" i="29"/>
  <c r="E30" i="16"/>
  <c r="E30" i="33"/>
  <c r="E32" i="13"/>
  <c r="E32" i="29"/>
  <c r="E24" i="13"/>
  <c r="E24" i="29"/>
  <c r="E24" i="33"/>
  <c r="E24" i="37"/>
  <c r="K7" i="72"/>
  <c r="K9" i="72"/>
  <c r="L9" i="72" s="1"/>
  <c r="J7" i="72"/>
  <c r="D8" i="72"/>
  <c r="D48" i="72"/>
  <c r="D7" i="72"/>
  <c r="D9" i="72"/>
  <c r="L7" i="72" l="1"/>
  <c r="H25" i="9"/>
  <c r="D47" i="72"/>
  <c r="G25" i="9"/>
  <c r="G61" i="9" s="1"/>
  <c r="B25" i="9"/>
  <c r="M24" i="8" s="1"/>
  <c r="C25" i="9" l="1"/>
  <c r="B61" i="9"/>
  <c r="C61" i="9" l="1"/>
  <c r="D61" i="9" s="1"/>
  <c r="N24" i="8"/>
  <c r="G33" i="4"/>
  <c r="I33" i="4" l="1"/>
  <c r="H33" i="4"/>
  <c r="J33" i="4" l="1"/>
  <c r="B97" i="4" l="1"/>
  <c r="C76" i="4"/>
  <c r="B76" i="4"/>
  <c r="C97" i="4"/>
  <c r="K97" i="37"/>
  <c r="J97" i="37"/>
  <c r="D97" i="29"/>
  <c r="K97" i="33"/>
  <c r="K97" i="29"/>
  <c r="J97" i="13"/>
  <c r="J97" i="33"/>
  <c r="J97" i="29"/>
  <c r="D97" i="37"/>
  <c r="D97" i="13"/>
  <c r="K97" i="13"/>
  <c r="D97" i="33"/>
  <c r="K76" i="37"/>
  <c r="D76" i="33"/>
  <c r="D76" i="37"/>
  <c r="K76" i="29"/>
  <c r="J76" i="13"/>
  <c r="J76" i="37"/>
  <c r="D76" i="29"/>
  <c r="K76" i="33"/>
  <c r="J76" i="33"/>
  <c r="J76" i="29"/>
  <c r="D76" i="13"/>
  <c r="K76" i="13"/>
  <c r="J8" i="37"/>
  <c r="K8" i="37"/>
  <c r="J9" i="37"/>
  <c r="K9" i="37"/>
  <c r="J36" i="37"/>
  <c r="J37" i="37"/>
  <c r="L8" i="37" l="1"/>
  <c r="L9" i="37"/>
  <c r="L76" i="33"/>
  <c r="L97" i="33"/>
  <c r="L97" i="29"/>
  <c r="L76" i="29"/>
  <c r="L76" i="13"/>
  <c r="D97" i="4"/>
  <c r="D76" i="4"/>
  <c r="L97" i="37"/>
  <c r="L76" i="37"/>
  <c r="L97" i="13"/>
  <c r="I97" i="4"/>
  <c r="I76" i="4"/>
  <c r="H34" i="37"/>
  <c r="H116" i="37"/>
  <c r="D114" i="37"/>
  <c r="D116" i="37"/>
  <c r="J124" i="37"/>
  <c r="H76" i="4"/>
  <c r="H97" i="4"/>
  <c r="K12" i="37"/>
  <c r="K7" i="37"/>
  <c r="H113" i="37"/>
  <c r="H117" i="37"/>
  <c r="J88" i="37"/>
  <c r="K75" i="37"/>
  <c r="K108" i="37"/>
  <c r="K96" i="37"/>
  <c r="K67" i="37"/>
  <c r="J35" i="37"/>
  <c r="J10" i="37"/>
  <c r="D7" i="37"/>
  <c r="K135" i="37"/>
  <c r="K134" i="37"/>
  <c r="K122" i="37"/>
  <c r="D122" i="37"/>
  <c r="H112" i="37"/>
  <c r="J121" i="37"/>
  <c r="H121" i="37"/>
  <c r="K114" i="37"/>
  <c r="K107" i="37"/>
  <c r="K99" i="37"/>
  <c r="J125" i="37"/>
  <c r="K116" i="37"/>
  <c r="K78" i="37"/>
  <c r="D8" i="37"/>
  <c r="H108" i="37"/>
  <c r="D67" i="37"/>
  <c r="K110" i="37"/>
  <c r="J86" i="37"/>
  <c r="K28" i="37"/>
  <c r="H7" i="37"/>
  <c r="D135" i="37"/>
  <c r="H124" i="37"/>
  <c r="J110" i="37"/>
  <c r="D108" i="37"/>
  <c r="D28" i="37"/>
  <c r="D125" i="37"/>
  <c r="K113" i="37"/>
  <c r="J108" i="37"/>
  <c r="D34" i="37"/>
  <c r="K10" i="37"/>
  <c r="K125" i="37"/>
  <c r="J117" i="37"/>
  <c r="J113" i="37"/>
  <c r="D110" i="37"/>
  <c r="K136" i="37"/>
  <c r="J134" i="37"/>
  <c r="H35" i="37"/>
  <c r="J28" i="37"/>
  <c r="K11" i="37"/>
  <c r="J122" i="37"/>
  <c r="J116" i="37"/>
  <c r="K109" i="37"/>
  <c r="D35" i="37"/>
  <c r="J12" i="37"/>
  <c r="J7" i="37"/>
  <c r="H75" i="37"/>
  <c r="D48" i="37"/>
  <c r="K121" i="37"/>
  <c r="J67" i="37"/>
  <c r="H125" i="37"/>
  <c r="D124" i="37"/>
  <c r="D109" i="37"/>
  <c r="H96" i="37"/>
  <c r="K88" i="37"/>
  <c r="J34" i="37"/>
  <c r="D9" i="37"/>
  <c r="J107" i="37"/>
  <c r="D107" i="37"/>
  <c r="K124" i="37"/>
  <c r="D99" i="37"/>
  <c r="D134" i="37"/>
  <c r="D120" i="37"/>
  <c r="J78" i="37"/>
  <c r="D78" i="37"/>
  <c r="J75" i="37"/>
  <c r="D75" i="37"/>
  <c r="J112" i="37"/>
  <c r="D112" i="37"/>
  <c r="J109" i="37"/>
  <c r="J135" i="37"/>
  <c r="D136" i="37"/>
  <c r="K120" i="37"/>
  <c r="J99" i="37"/>
  <c r="J96" i="37"/>
  <c r="D96" i="37"/>
  <c r="K86" i="37"/>
  <c r="J136" i="37"/>
  <c r="J120" i="37"/>
  <c r="J114" i="37"/>
  <c r="H109" i="37"/>
  <c r="D86" i="37"/>
  <c r="K117" i="37"/>
  <c r="K112" i="37"/>
  <c r="D88" i="37"/>
  <c r="H11" i="37"/>
  <c r="D10" i="37"/>
  <c r="K35" i="37"/>
  <c r="D57" i="37"/>
  <c r="D54" i="37"/>
  <c r="K34" i="37"/>
  <c r="H12" i="37"/>
  <c r="K37" i="37"/>
  <c r="L37" i="37" s="1"/>
  <c r="D37" i="37"/>
  <c r="H10" i="37"/>
  <c r="K36" i="37"/>
  <c r="L36" i="37" s="1"/>
  <c r="D36" i="37"/>
  <c r="J11" i="37"/>
  <c r="L122" i="37" l="1"/>
  <c r="J76" i="4"/>
  <c r="L114" i="37"/>
  <c r="D77" i="37"/>
  <c r="H29" i="37"/>
  <c r="J29" i="37"/>
  <c r="D100" i="37"/>
  <c r="K98" i="37"/>
  <c r="K77" i="37"/>
  <c r="J79" i="37"/>
  <c r="L110" i="37"/>
  <c r="J97" i="4"/>
  <c r="J100" i="37"/>
  <c r="J66" i="37"/>
  <c r="L116" i="37"/>
  <c r="D89" i="37"/>
  <c r="K22" i="37"/>
  <c r="D49" i="37"/>
  <c r="J22" i="37"/>
  <c r="H22" i="37"/>
  <c r="K29" i="37"/>
  <c r="D29" i="37"/>
  <c r="D22" i="37"/>
  <c r="D87" i="37"/>
  <c r="D56" i="37"/>
  <c r="L88" i="37"/>
  <c r="L124" i="37"/>
  <c r="L12" i="37"/>
  <c r="L78" i="37"/>
  <c r="K111" i="37"/>
  <c r="L7" i="37"/>
  <c r="L135" i="37"/>
  <c r="D53" i="37"/>
  <c r="L28" i="37"/>
  <c r="L136" i="37"/>
  <c r="L96" i="37"/>
  <c r="L34" i="37"/>
  <c r="L109" i="37"/>
  <c r="L67" i="37"/>
  <c r="L99" i="37"/>
  <c r="L108" i="37"/>
  <c r="L134" i="37"/>
  <c r="L10" i="37"/>
  <c r="D47" i="37"/>
  <c r="L107" i="37"/>
  <c r="L75" i="37"/>
  <c r="K119" i="37"/>
  <c r="H111" i="37"/>
  <c r="L86" i="37"/>
  <c r="L121" i="37"/>
  <c r="H119" i="37"/>
  <c r="L35" i="37"/>
  <c r="L120" i="37"/>
  <c r="L11" i="37"/>
  <c r="D119" i="37"/>
  <c r="L117" i="37"/>
  <c r="L125" i="37"/>
  <c r="L113" i="37"/>
  <c r="J111" i="37"/>
  <c r="D111" i="37"/>
  <c r="D66" i="37"/>
  <c r="D98" i="37"/>
  <c r="J119" i="37"/>
  <c r="L112" i="37"/>
  <c r="L29" i="37" l="1"/>
  <c r="K79" i="37"/>
  <c r="L79" i="37" s="1"/>
  <c r="K100" i="37"/>
  <c r="L100" i="37" s="1"/>
  <c r="K87" i="37"/>
  <c r="K89" i="37"/>
  <c r="H68" i="37"/>
  <c r="H79" i="37"/>
  <c r="H100" i="37"/>
  <c r="H77" i="37"/>
  <c r="H98" i="37"/>
  <c r="L22" i="37"/>
  <c r="J68" i="37"/>
  <c r="K68" i="37"/>
  <c r="H89" i="37"/>
  <c r="J89" i="37"/>
  <c r="L111" i="37"/>
  <c r="L119" i="37"/>
  <c r="H87" i="37" l="1"/>
  <c r="L89" i="37"/>
  <c r="J98" i="37"/>
  <c r="L98" i="37" s="1"/>
  <c r="J77" i="37"/>
  <c r="L77" i="37" s="1"/>
  <c r="L68" i="37"/>
  <c r="J87" i="37"/>
  <c r="L87" i="37" s="1"/>
  <c r="H66" i="37"/>
  <c r="K66" i="37"/>
  <c r="L66" i="37" s="1"/>
  <c r="L73" i="23" l="1"/>
  <c r="L71" i="23"/>
  <c r="L70" i="23"/>
  <c r="L74" i="23" l="1"/>
  <c r="K123" i="33"/>
  <c r="J123" i="33"/>
  <c r="L123" i="33" s="1"/>
  <c r="H69" i="23"/>
  <c r="H71" i="23"/>
  <c r="H74" i="23"/>
  <c r="H70" i="23"/>
  <c r="H73" i="23"/>
  <c r="G31" i="4"/>
  <c r="I115" i="33" l="1"/>
  <c r="G23" i="4"/>
  <c r="G24" i="4"/>
  <c r="G30" i="4"/>
  <c r="G25" i="4"/>
  <c r="G32" i="4"/>
  <c r="D32" i="4"/>
  <c r="D24" i="4"/>
  <c r="I23" i="37"/>
  <c r="I25" i="37"/>
  <c r="I30" i="37"/>
  <c r="I31" i="37"/>
  <c r="G26" i="4"/>
  <c r="D25" i="4"/>
  <c r="I24" i="37"/>
  <c r="I32" i="37"/>
  <c r="D30" i="4"/>
  <c r="D31" i="4"/>
  <c r="H72" i="23"/>
  <c r="L69" i="23"/>
  <c r="L72" i="23"/>
  <c r="E29" i="23" l="1"/>
  <c r="E29" i="29"/>
  <c r="E29" i="33"/>
  <c r="E29" i="16"/>
  <c r="E29" i="20"/>
  <c r="E29" i="51"/>
  <c r="E29" i="37"/>
  <c r="E29" i="13"/>
  <c r="D23" i="4"/>
  <c r="I26" i="4"/>
  <c r="H26" i="4"/>
  <c r="F16" i="10"/>
  <c r="I26" i="29"/>
  <c r="I26" i="23"/>
  <c r="I26" i="33"/>
  <c r="I26" i="37"/>
  <c r="M26" i="29" l="1"/>
  <c r="J26" i="4"/>
  <c r="M26" i="23"/>
  <c r="M26" i="37"/>
  <c r="M26" i="33"/>
  <c r="G60" i="10" l="1"/>
  <c r="I69" i="23" l="1"/>
  <c r="F60" i="10"/>
  <c r="K28" i="10" l="1"/>
  <c r="J28" i="10"/>
  <c r="K9" i="33" l="1"/>
  <c r="K9" i="29"/>
  <c r="K8" i="51"/>
  <c r="K8" i="29"/>
  <c r="K8" i="33"/>
  <c r="K9" i="51"/>
  <c r="K8" i="25"/>
  <c r="K9" i="25"/>
  <c r="K8" i="22"/>
  <c r="K9" i="22"/>
  <c r="K9" i="20"/>
  <c r="K8" i="20"/>
  <c r="K8" i="19"/>
  <c r="J36" i="13"/>
  <c r="K9" i="19"/>
  <c r="K39" i="13"/>
  <c r="K37" i="13"/>
  <c r="J39" i="13"/>
  <c r="J37" i="13"/>
  <c r="K36" i="13"/>
  <c r="K9" i="13"/>
  <c r="D22" i="16"/>
  <c r="B7" i="4" l="1"/>
  <c r="B9" i="10" s="1"/>
  <c r="E7" i="4"/>
  <c r="F9" i="10" s="1"/>
  <c r="C108" i="4"/>
  <c r="B48" i="4"/>
  <c r="E79" i="4"/>
  <c r="F124" i="4"/>
  <c r="B36" i="4"/>
  <c r="B89" i="4"/>
  <c r="B23" i="10" s="1"/>
  <c r="B55" i="4"/>
  <c r="B57" i="4"/>
  <c r="F10" i="4"/>
  <c r="F135" i="4"/>
  <c r="C10" i="4"/>
  <c r="B135" i="4"/>
  <c r="C86" i="4"/>
  <c r="C125" i="4"/>
  <c r="C107" i="4"/>
  <c r="C34" i="4"/>
  <c r="C67" i="4"/>
  <c r="E116" i="4"/>
  <c r="B10" i="4"/>
  <c r="B20" i="10" s="1"/>
  <c r="E10" i="4"/>
  <c r="F20" i="10" s="1"/>
  <c r="B54" i="4"/>
  <c r="F109" i="4"/>
  <c r="F7" i="4"/>
  <c r="E117" i="4"/>
  <c r="C99" i="4"/>
  <c r="C28" i="4"/>
  <c r="E11" i="4"/>
  <c r="F30" i="10" s="1"/>
  <c r="E134" i="4"/>
  <c r="F15" i="10" s="1"/>
  <c r="F79" i="4"/>
  <c r="F96" i="4"/>
  <c r="C57" i="4"/>
  <c r="B34" i="4"/>
  <c r="C114" i="4"/>
  <c r="B8" i="4"/>
  <c r="F107" i="4"/>
  <c r="F12" i="4"/>
  <c r="E96" i="4"/>
  <c r="F24" i="10" s="1"/>
  <c r="C79" i="4"/>
  <c r="B49" i="4"/>
  <c r="E100" i="4"/>
  <c r="B108" i="4"/>
  <c r="C124" i="4"/>
  <c r="F117" i="4"/>
  <c r="C116" i="4"/>
  <c r="B110" i="4"/>
  <c r="E34" i="4"/>
  <c r="F31" i="10" s="1"/>
  <c r="E12" i="4"/>
  <c r="F41" i="10" s="1"/>
  <c r="C8" i="4"/>
  <c r="C39" i="4"/>
  <c r="B75" i="4"/>
  <c r="B14" i="10" s="1"/>
  <c r="F113" i="4"/>
  <c r="B114" i="4"/>
  <c r="C120" i="4"/>
  <c r="B39" i="4"/>
  <c r="B35" i="4"/>
  <c r="C121" i="4"/>
  <c r="F112" i="4"/>
  <c r="C35" i="4"/>
  <c r="C48" i="4"/>
  <c r="F89" i="4"/>
  <c r="B68" i="4"/>
  <c r="B13" i="10" s="1"/>
  <c r="F100" i="4"/>
  <c r="E109" i="4"/>
  <c r="F125" i="4"/>
  <c r="E108" i="4"/>
  <c r="B28" i="4"/>
  <c r="C88" i="4"/>
  <c r="F68" i="4"/>
  <c r="F86" i="4"/>
  <c r="E107" i="4"/>
  <c r="C68" i="4"/>
  <c r="B116" i="4"/>
  <c r="E113" i="4"/>
  <c r="B134" i="4"/>
  <c r="B15" i="10" s="1"/>
  <c r="C9" i="4"/>
  <c r="B107" i="4"/>
  <c r="F11" i="4"/>
  <c r="B37" i="4"/>
  <c r="C134" i="4"/>
  <c r="C37" i="4"/>
  <c r="E35" i="4"/>
  <c r="F42" i="10" s="1"/>
  <c r="B96" i="4"/>
  <c r="B24" i="10" s="1"/>
  <c r="C54" i="4"/>
  <c r="B120" i="4"/>
  <c r="C100" i="4"/>
  <c r="B79" i="4"/>
  <c r="B109" i="4"/>
  <c r="F108" i="4"/>
  <c r="B86" i="4"/>
  <c r="E86" i="4"/>
  <c r="F116" i="4"/>
  <c r="C96" i="4"/>
  <c r="C89" i="4"/>
  <c r="E75" i="4"/>
  <c r="F14" i="10" s="1"/>
  <c r="F136" i="4"/>
  <c r="C55" i="4"/>
  <c r="B112" i="4"/>
  <c r="B99" i="4"/>
  <c r="C122" i="4"/>
  <c r="C135" i="4"/>
  <c r="B78" i="4"/>
  <c r="F121" i="4"/>
  <c r="E112" i="4"/>
  <c r="F35" i="4"/>
  <c r="B122" i="4"/>
  <c r="B67" i="4"/>
  <c r="E89" i="4"/>
  <c r="B124" i="4"/>
  <c r="B125" i="4"/>
  <c r="F34" i="4"/>
  <c r="E121" i="4"/>
  <c r="C49" i="4"/>
  <c r="C112" i="4"/>
  <c r="C110" i="4"/>
  <c r="C75" i="4"/>
  <c r="B137" i="4"/>
  <c r="B44" i="10" s="1"/>
  <c r="E136" i="4"/>
  <c r="C7" i="4"/>
  <c r="B9" i="4"/>
  <c r="C36" i="4"/>
  <c r="E36" i="37" s="1"/>
  <c r="B121" i="4"/>
  <c r="C136" i="4"/>
  <c r="F75" i="4"/>
  <c r="C137" i="4"/>
  <c r="B88" i="4"/>
  <c r="C78" i="4"/>
  <c r="F134" i="4"/>
  <c r="E135" i="4"/>
  <c r="F25" i="10" s="1"/>
  <c r="B136" i="4"/>
  <c r="B33" i="10" s="1"/>
  <c r="E68" i="4"/>
  <c r="B100" i="4"/>
  <c r="E125" i="4"/>
  <c r="C109" i="4"/>
  <c r="E124" i="4"/>
  <c r="N22" i="8"/>
  <c r="C59" i="9"/>
  <c r="D59" i="9" s="1"/>
  <c r="G15" i="9"/>
  <c r="G51" i="9" s="1"/>
  <c r="H38" i="9"/>
  <c r="C36" i="9"/>
  <c r="H37" i="9"/>
  <c r="G36" i="9"/>
  <c r="H17" i="9"/>
  <c r="N60" i="8" s="1"/>
  <c r="G16" i="9"/>
  <c r="G13" i="9"/>
  <c r="G49" i="9" s="1"/>
  <c r="G14" i="9"/>
  <c r="G50" i="9" s="1"/>
  <c r="C35" i="9"/>
  <c r="B39" i="9"/>
  <c r="C39" i="9"/>
  <c r="G19" i="9"/>
  <c r="C38" i="9"/>
  <c r="H13" i="9"/>
  <c r="G10" i="9"/>
  <c r="G46" i="9" s="1"/>
  <c r="G18" i="9"/>
  <c r="H18" i="9"/>
  <c r="G22" i="9"/>
  <c r="H35" i="9"/>
  <c r="H9" i="9"/>
  <c r="H36" i="9"/>
  <c r="G9" i="9"/>
  <c r="H10" i="9"/>
  <c r="N54" i="8" s="1"/>
  <c r="C37" i="9"/>
  <c r="G20" i="9"/>
  <c r="G56" i="9" s="1"/>
  <c r="G17" i="9"/>
  <c r="G53" i="9" s="1"/>
  <c r="G24" i="9"/>
  <c r="G60" i="9" s="1"/>
  <c r="H39" i="9"/>
  <c r="G26" i="9"/>
  <c r="G28" i="9"/>
  <c r="G35" i="9"/>
  <c r="H20" i="9"/>
  <c r="N63" i="8" s="1"/>
  <c r="B35" i="9"/>
  <c r="B38" i="9"/>
  <c r="K135" i="26"/>
  <c r="H29" i="29"/>
  <c r="K121" i="13"/>
  <c r="H121" i="33"/>
  <c r="H125" i="33"/>
  <c r="H68" i="29"/>
  <c r="K113" i="33"/>
  <c r="H29" i="13"/>
  <c r="K12" i="29"/>
  <c r="J86" i="29"/>
  <c r="K108" i="33"/>
  <c r="H22" i="33"/>
  <c r="K68" i="33"/>
  <c r="H35" i="29"/>
  <c r="H34" i="13"/>
  <c r="K22" i="51"/>
  <c r="K135" i="34"/>
  <c r="K134" i="26"/>
  <c r="K113" i="29"/>
  <c r="H100" i="29"/>
  <c r="K137" i="26"/>
  <c r="J79" i="29"/>
  <c r="K28" i="51"/>
  <c r="H89" i="29"/>
  <c r="K12" i="33"/>
  <c r="K116" i="33"/>
  <c r="K29" i="51"/>
  <c r="H34" i="33"/>
  <c r="H12" i="33"/>
  <c r="H125" i="29"/>
  <c r="K108" i="23"/>
  <c r="K22" i="23"/>
  <c r="H107" i="23"/>
  <c r="K107" i="33"/>
  <c r="K100" i="33"/>
  <c r="K75" i="33"/>
  <c r="K122" i="33"/>
  <c r="K114" i="33"/>
  <c r="H29" i="33"/>
  <c r="H75" i="33"/>
  <c r="D49" i="19"/>
  <c r="D37" i="13"/>
  <c r="K89" i="23"/>
  <c r="K68" i="23"/>
  <c r="H135" i="26"/>
  <c r="H22" i="29"/>
  <c r="H96" i="33"/>
  <c r="H117" i="33"/>
  <c r="K28" i="25"/>
  <c r="K96" i="33"/>
  <c r="H35" i="33"/>
  <c r="K117" i="33"/>
  <c r="K28" i="23"/>
  <c r="K89" i="33"/>
  <c r="D49" i="38"/>
  <c r="D57" i="16"/>
  <c r="D28" i="16"/>
  <c r="D29" i="16"/>
  <c r="D9" i="16"/>
  <c r="D10" i="16"/>
  <c r="D54" i="16"/>
  <c r="D8" i="16"/>
  <c r="D49" i="16"/>
  <c r="D7" i="16"/>
  <c r="D48" i="16"/>
  <c r="H100" i="23"/>
  <c r="B21" i="10"/>
  <c r="K109" i="23"/>
  <c r="K34" i="13"/>
  <c r="K107" i="13"/>
  <c r="K121" i="23"/>
  <c r="H109" i="23"/>
  <c r="H22" i="23"/>
  <c r="H100" i="33"/>
  <c r="H68" i="33"/>
  <c r="K125" i="33"/>
  <c r="D49" i="39"/>
  <c r="K7" i="19"/>
  <c r="K10" i="29"/>
  <c r="H7" i="23"/>
  <c r="H7" i="29"/>
  <c r="H7" i="33"/>
  <c r="K10" i="33"/>
  <c r="H10" i="13"/>
  <c r="K7" i="23"/>
  <c r="K11" i="33"/>
  <c r="K7" i="29"/>
  <c r="H11" i="13"/>
  <c r="K22" i="13"/>
  <c r="K29" i="13"/>
  <c r="H79" i="13"/>
  <c r="K100" i="13"/>
  <c r="K116" i="13"/>
  <c r="K10" i="13"/>
  <c r="H121" i="13"/>
  <c r="K7" i="20"/>
  <c r="K10" i="20"/>
  <c r="D49" i="26"/>
  <c r="K11" i="29"/>
  <c r="H113" i="29"/>
  <c r="K7" i="33"/>
  <c r="H89" i="33"/>
  <c r="H107" i="33"/>
  <c r="K121" i="33"/>
  <c r="H89" i="13"/>
  <c r="K109" i="13"/>
  <c r="K67" i="13"/>
  <c r="K11" i="13"/>
  <c r="H113" i="33"/>
  <c r="H12" i="23"/>
  <c r="H86" i="23"/>
  <c r="H136" i="26"/>
  <c r="K28" i="29"/>
  <c r="K34" i="29"/>
  <c r="H134" i="26"/>
  <c r="K117" i="29"/>
  <c r="H79" i="23"/>
  <c r="H89" i="23"/>
  <c r="H117" i="23"/>
  <c r="K35" i="29"/>
  <c r="H117" i="29"/>
  <c r="H40" i="9"/>
  <c r="D39" i="13"/>
  <c r="H22" i="13"/>
  <c r="K35" i="13"/>
  <c r="K108" i="13"/>
  <c r="K12" i="13"/>
  <c r="H107" i="13"/>
  <c r="C40" i="9"/>
  <c r="D48" i="13"/>
  <c r="J10" i="13"/>
  <c r="D10" i="13"/>
  <c r="K28" i="13"/>
  <c r="K68" i="13"/>
  <c r="K112" i="13"/>
  <c r="K117" i="13"/>
  <c r="H35" i="13"/>
  <c r="H109" i="13"/>
  <c r="J89" i="13"/>
  <c r="D89" i="13"/>
  <c r="J11" i="13"/>
  <c r="J9" i="19"/>
  <c r="L9" i="19" s="1"/>
  <c r="D9" i="19"/>
  <c r="K113" i="13"/>
  <c r="J9" i="13"/>
  <c r="L9" i="13" s="1"/>
  <c r="D9" i="13"/>
  <c r="H68" i="13"/>
  <c r="J88" i="13"/>
  <c r="D88" i="13"/>
  <c r="H100" i="13"/>
  <c r="H12" i="13"/>
  <c r="D78" i="13"/>
  <c r="J78" i="13"/>
  <c r="J12" i="13"/>
  <c r="K120" i="13"/>
  <c r="K88" i="13"/>
  <c r="H117" i="13"/>
  <c r="D48" i="19"/>
  <c r="D35" i="13"/>
  <c r="J35" i="13"/>
  <c r="J68" i="13"/>
  <c r="K86" i="13"/>
  <c r="K89" i="13"/>
  <c r="J107" i="13"/>
  <c r="D107" i="13"/>
  <c r="D112" i="13"/>
  <c r="J112" i="13"/>
  <c r="J117" i="13"/>
  <c r="D86" i="13"/>
  <c r="J86" i="13"/>
  <c r="J125" i="13"/>
  <c r="D8" i="20"/>
  <c r="J8" i="20"/>
  <c r="L8" i="20" s="1"/>
  <c r="J79" i="13"/>
  <c r="D99" i="13"/>
  <c r="J99" i="13"/>
  <c r="J124" i="13"/>
  <c r="D124" i="13"/>
  <c r="H108" i="13"/>
  <c r="H113" i="13"/>
  <c r="D36" i="13"/>
  <c r="D54" i="13"/>
  <c r="D108" i="13"/>
  <c r="J108" i="13"/>
  <c r="J113" i="13"/>
  <c r="K124" i="13"/>
  <c r="J22" i="19"/>
  <c r="D22" i="19"/>
  <c r="J7" i="20"/>
  <c r="D7" i="20"/>
  <c r="D7" i="13"/>
  <c r="D22" i="13"/>
  <c r="J22" i="13"/>
  <c r="J29" i="13"/>
  <c r="D29" i="13"/>
  <c r="D57" i="13"/>
  <c r="K78" i="13"/>
  <c r="K99" i="13"/>
  <c r="D109" i="13"/>
  <c r="J109" i="13"/>
  <c r="J120" i="13"/>
  <c r="D120" i="13"/>
  <c r="H125" i="13"/>
  <c r="J10" i="20"/>
  <c r="D10" i="20"/>
  <c r="J7" i="19"/>
  <c r="D7" i="19"/>
  <c r="J28" i="20"/>
  <c r="D28" i="20"/>
  <c r="D54" i="22"/>
  <c r="D22" i="23"/>
  <c r="J22" i="23"/>
  <c r="D28" i="25"/>
  <c r="J28" i="25"/>
  <c r="J112" i="23"/>
  <c r="D112" i="23"/>
  <c r="D8" i="22"/>
  <c r="J8" i="22"/>
  <c r="L8" i="22" s="1"/>
  <c r="D29" i="23"/>
  <c r="J29" i="23"/>
  <c r="K112" i="23"/>
  <c r="J22" i="51"/>
  <c r="D22" i="51"/>
  <c r="K11" i="23"/>
  <c r="K35" i="23"/>
  <c r="D107" i="23"/>
  <c r="J107" i="23"/>
  <c r="J117" i="23"/>
  <c r="D48" i="25"/>
  <c r="D9" i="22"/>
  <c r="J9" i="22"/>
  <c r="L9" i="22" s="1"/>
  <c r="K12" i="23"/>
  <c r="K67" i="23"/>
  <c r="D78" i="23"/>
  <c r="K78" i="23"/>
  <c r="J108" i="23"/>
  <c r="D108" i="23"/>
  <c r="H113" i="23"/>
  <c r="D67" i="29"/>
  <c r="K67" i="29"/>
  <c r="J75" i="33"/>
  <c r="D75" i="33"/>
  <c r="D48" i="51"/>
  <c r="D54" i="40"/>
  <c r="J28" i="29"/>
  <c r="D28" i="29"/>
  <c r="D136" i="26"/>
  <c r="J136" i="26"/>
  <c r="D7" i="29"/>
  <c r="J7" i="29"/>
  <c r="J12" i="29"/>
  <c r="H12" i="29"/>
  <c r="J109" i="29"/>
  <c r="D109" i="29"/>
  <c r="K120" i="29"/>
  <c r="D68" i="29"/>
  <c r="J68" i="29"/>
  <c r="D86" i="29"/>
  <c r="K86" i="29"/>
  <c r="K89" i="29"/>
  <c r="K107" i="29"/>
  <c r="H121" i="29"/>
  <c r="J10" i="33"/>
  <c r="D10" i="33"/>
  <c r="J68" i="33"/>
  <c r="D68" i="33"/>
  <c r="K78" i="33"/>
  <c r="K112" i="33"/>
  <c r="J8" i="33"/>
  <c r="L8" i="33" s="1"/>
  <c r="D8" i="33"/>
  <c r="H11" i="33"/>
  <c r="K35" i="33"/>
  <c r="D96" i="33"/>
  <c r="J96" i="33"/>
  <c r="J108" i="33"/>
  <c r="D108" i="33"/>
  <c r="K110" i="33"/>
  <c r="D116" i="33"/>
  <c r="J116" i="33"/>
  <c r="D54" i="39"/>
  <c r="L8" i="13"/>
  <c r="D8" i="13"/>
  <c r="J28" i="13"/>
  <c r="D28" i="13"/>
  <c r="J34" i="13"/>
  <c r="D34" i="13"/>
  <c r="D67" i="13"/>
  <c r="J67" i="13"/>
  <c r="K79" i="13"/>
  <c r="D100" i="13"/>
  <c r="J100" i="13"/>
  <c r="J116" i="13"/>
  <c r="D116" i="13"/>
  <c r="J121" i="13"/>
  <c r="K125" i="13"/>
  <c r="J8" i="19"/>
  <c r="L8" i="19" s="1"/>
  <c r="D8" i="19"/>
  <c r="D57" i="22"/>
  <c r="J9" i="20"/>
  <c r="L9" i="20" s="1"/>
  <c r="D9" i="20"/>
  <c r="K22" i="20"/>
  <c r="K29" i="20"/>
  <c r="J113" i="23"/>
  <c r="K7" i="22"/>
  <c r="D49" i="22"/>
  <c r="J10" i="23"/>
  <c r="J34" i="23"/>
  <c r="K113" i="23"/>
  <c r="J125" i="23"/>
  <c r="J7" i="25"/>
  <c r="D7" i="25"/>
  <c r="D29" i="51"/>
  <c r="J29" i="51"/>
  <c r="J12" i="23"/>
  <c r="J78" i="23"/>
  <c r="H29" i="23"/>
  <c r="J68" i="23"/>
  <c r="K79" i="23"/>
  <c r="J88" i="23"/>
  <c r="D88" i="23"/>
  <c r="K99" i="23"/>
  <c r="J109" i="23"/>
  <c r="K120" i="23"/>
  <c r="D48" i="40"/>
  <c r="J29" i="29"/>
  <c r="D29" i="29"/>
  <c r="D134" i="26"/>
  <c r="J134" i="26"/>
  <c r="D137" i="26"/>
  <c r="J137" i="26"/>
  <c r="K7" i="51"/>
  <c r="K10" i="51"/>
  <c r="J78" i="29"/>
  <c r="D78" i="29"/>
  <c r="J22" i="29"/>
  <c r="D22" i="29"/>
  <c r="K68" i="29"/>
  <c r="J88" i="29"/>
  <c r="D88" i="29"/>
  <c r="J11" i="33"/>
  <c r="J121" i="29"/>
  <c r="J134" i="34"/>
  <c r="D134" i="34"/>
  <c r="K108" i="29"/>
  <c r="H77" i="29"/>
  <c r="H107" i="29"/>
  <c r="J117" i="29"/>
  <c r="J135" i="34"/>
  <c r="D135" i="34"/>
  <c r="J9" i="33"/>
  <c r="L9" i="33" s="1"/>
  <c r="D9" i="33"/>
  <c r="J78" i="33"/>
  <c r="D78" i="33"/>
  <c r="J22" i="33"/>
  <c r="D22" i="33"/>
  <c r="J29" i="33"/>
  <c r="D29" i="33"/>
  <c r="J67" i="33"/>
  <c r="K79" i="33"/>
  <c r="J99" i="33"/>
  <c r="D99" i="33"/>
  <c r="D109" i="33"/>
  <c r="J109" i="33"/>
  <c r="D48" i="38"/>
  <c r="G40" i="9"/>
  <c r="J112" i="33"/>
  <c r="D112" i="33"/>
  <c r="J117" i="33"/>
  <c r="D48" i="39"/>
  <c r="D54" i="20"/>
  <c r="D53" i="20"/>
  <c r="D56" i="21"/>
  <c r="D57" i="21"/>
  <c r="K28" i="20"/>
  <c r="J28" i="23"/>
  <c r="D28" i="23"/>
  <c r="D48" i="21"/>
  <c r="D57" i="25"/>
  <c r="J11" i="23"/>
  <c r="J35" i="23"/>
  <c r="J8" i="25"/>
  <c r="L8" i="25" s="1"/>
  <c r="D8" i="25"/>
  <c r="J9" i="51"/>
  <c r="L9" i="51" s="1"/>
  <c r="D9" i="51"/>
  <c r="K29" i="23"/>
  <c r="J67" i="23"/>
  <c r="D67" i="23"/>
  <c r="J79" i="23"/>
  <c r="J99" i="23"/>
  <c r="D99" i="23"/>
  <c r="J120" i="23"/>
  <c r="D120" i="23"/>
  <c r="K125" i="23"/>
  <c r="K7" i="25"/>
  <c r="D48" i="22"/>
  <c r="H10" i="23"/>
  <c r="H34" i="23"/>
  <c r="K86" i="23"/>
  <c r="J89" i="23"/>
  <c r="K100" i="23"/>
  <c r="K116" i="23"/>
  <c r="J121" i="23"/>
  <c r="H125" i="23"/>
  <c r="D54" i="25"/>
  <c r="J7" i="51"/>
  <c r="D7" i="51"/>
  <c r="D10" i="51"/>
  <c r="J10" i="51"/>
  <c r="J34" i="29"/>
  <c r="D34" i="29"/>
  <c r="D10" i="29"/>
  <c r="J10" i="29"/>
  <c r="J89" i="29"/>
  <c r="D89" i="29"/>
  <c r="H10" i="29"/>
  <c r="K22" i="29"/>
  <c r="K29" i="29"/>
  <c r="J120" i="29"/>
  <c r="D120" i="29"/>
  <c r="J107" i="29"/>
  <c r="D107" i="29"/>
  <c r="K78" i="29"/>
  <c r="K99" i="29"/>
  <c r="K109" i="29"/>
  <c r="J125" i="29"/>
  <c r="K134" i="34"/>
  <c r="H27" i="9"/>
  <c r="N69" i="8" s="1"/>
  <c r="H79" i="29"/>
  <c r="J113" i="29"/>
  <c r="K125" i="29"/>
  <c r="I61" i="9"/>
  <c r="D67" i="33"/>
  <c r="K67" i="33"/>
  <c r="J79" i="33"/>
  <c r="D79" i="33"/>
  <c r="J34" i="33"/>
  <c r="D34" i="33"/>
  <c r="K86" i="33"/>
  <c r="D122" i="33"/>
  <c r="J122" i="33"/>
  <c r="K22" i="33"/>
  <c r="K29" i="33"/>
  <c r="H79" i="33"/>
  <c r="J88" i="33"/>
  <c r="D88" i="33"/>
  <c r="J100" i="33"/>
  <c r="D100" i="33"/>
  <c r="K120" i="33"/>
  <c r="J113" i="33"/>
  <c r="D57" i="39"/>
  <c r="J22" i="20"/>
  <c r="D22" i="20"/>
  <c r="J29" i="20"/>
  <c r="D29" i="20"/>
  <c r="D48" i="20"/>
  <c r="J7" i="23"/>
  <c r="K88" i="23"/>
  <c r="J35" i="29"/>
  <c r="D7" i="22"/>
  <c r="J7" i="22"/>
  <c r="H121" i="23"/>
  <c r="K10" i="23"/>
  <c r="K34" i="23"/>
  <c r="H68" i="23"/>
  <c r="D86" i="23"/>
  <c r="J86" i="23"/>
  <c r="J100" i="23"/>
  <c r="D116" i="23"/>
  <c r="J116" i="23"/>
  <c r="J28" i="51"/>
  <c r="D28" i="51"/>
  <c r="H11" i="23"/>
  <c r="H35" i="23"/>
  <c r="K107" i="23"/>
  <c r="K117" i="23"/>
  <c r="J9" i="25"/>
  <c r="L9" i="25" s="1"/>
  <c r="D9" i="25"/>
  <c r="K136" i="26"/>
  <c r="J8" i="51"/>
  <c r="L8" i="51" s="1"/>
  <c r="D8" i="51"/>
  <c r="D135" i="26"/>
  <c r="J135" i="26"/>
  <c r="D57" i="40"/>
  <c r="J8" i="29"/>
  <c r="L8" i="29" s="1"/>
  <c r="D8" i="29"/>
  <c r="J11" i="29"/>
  <c r="J99" i="29"/>
  <c r="D99" i="29"/>
  <c r="D120" i="33"/>
  <c r="J120" i="33"/>
  <c r="D9" i="29"/>
  <c r="J9" i="29"/>
  <c r="L9" i="29" s="1"/>
  <c r="H11" i="29"/>
  <c r="H34" i="29"/>
  <c r="J100" i="29"/>
  <c r="D100" i="29"/>
  <c r="J108" i="29"/>
  <c r="D108" i="29"/>
  <c r="J12" i="33"/>
  <c r="D125" i="33"/>
  <c r="J125" i="33"/>
  <c r="J67" i="29"/>
  <c r="D79" i="29"/>
  <c r="K79" i="29"/>
  <c r="K88" i="29"/>
  <c r="K100" i="29"/>
  <c r="K121" i="29"/>
  <c r="K99" i="33"/>
  <c r="H86" i="29"/>
  <c r="H109" i="29"/>
  <c r="K88" i="33"/>
  <c r="J86" i="33"/>
  <c r="D121" i="33"/>
  <c r="J121" i="33"/>
  <c r="J35" i="33"/>
  <c r="D35" i="33"/>
  <c r="J7" i="33"/>
  <c r="D7" i="33"/>
  <c r="H10" i="33"/>
  <c r="K34" i="33"/>
  <c r="H86" i="33"/>
  <c r="J89" i="33"/>
  <c r="D89" i="33"/>
  <c r="J107" i="33"/>
  <c r="J110" i="33"/>
  <c r="D110" i="33"/>
  <c r="K109" i="33"/>
  <c r="H109" i="33"/>
  <c r="J114" i="33"/>
  <c r="D114" i="33"/>
  <c r="G27" i="9"/>
  <c r="B10" i="10"/>
  <c r="F21" i="10"/>
  <c r="F10" i="10"/>
  <c r="K9" i="16"/>
  <c r="K8" i="16"/>
  <c r="K22" i="16"/>
  <c r="K7" i="16"/>
  <c r="J8" i="16"/>
  <c r="J9" i="16"/>
  <c r="J22" i="16"/>
  <c r="J28" i="16"/>
  <c r="J29" i="16"/>
  <c r="K10" i="16"/>
  <c r="K29" i="16"/>
  <c r="J10" i="16"/>
  <c r="J7" i="16"/>
  <c r="K28" i="16"/>
  <c r="E8" i="13" l="1"/>
  <c r="D34" i="4"/>
  <c r="D35" i="4"/>
  <c r="B25" i="10"/>
  <c r="H135" i="4"/>
  <c r="B26" i="10"/>
  <c r="D37" i="4"/>
  <c r="B16" i="10"/>
  <c r="D36" i="4"/>
  <c r="I7" i="13"/>
  <c r="E37" i="13"/>
  <c r="E37" i="37"/>
  <c r="E36" i="13"/>
  <c r="L22" i="19"/>
  <c r="G125" i="4"/>
  <c r="K77" i="33"/>
  <c r="G89" i="4"/>
  <c r="E48" i="81"/>
  <c r="G112" i="4"/>
  <c r="C98" i="4"/>
  <c r="B53" i="4"/>
  <c r="B38" i="10" s="1"/>
  <c r="G109" i="4"/>
  <c r="E119" i="4"/>
  <c r="B66" i="4"/>
  <c r="E87" i="4"/>
  <c r="G79" i="4"/>
  <c r="F77" i="4"/>
  <c r="C66" i="4"/>
  <c r="F87" i="4"/>
  <c r="F98" i="4"/>
  <c r="B87" i="4"/>
  <c r="B22" i="10" s="1"/>
  <c r="C87" i="4"/>
  <c r="E77" i="4"/>
  <c r="F119" i="4"/>
  <c r="B47" i="4"/>
  <c r="B11" i="10" s="1"/>
  <c r="E98" i="4"/>
  <c r="C53" i="4"/>
  <c r="C47" i="4"/>
  <c r="C77" i="4"/>
  <c r="F66" i="4"/>
  <c r="C119" i="4"/>
  <c r="C111" i="4"/>
  <c r="C56" i="4"/>
  <c r="B77" i="4"/>
  <c r="B119" i="4"/>
  <c r="B43" i="10" s="1"/>
  <c r="B56" i="4"/>
  <c r="B49" i="10" s="1"/>
  <c r="B98" i="4"/>
  <c r="E66" i="4"/>
  <c r="B111" i="4"/>
  <c r="B32" i="10" s="1"/>
  <c r="E111" i="4"/>
  <c r="F32" i="10" s="1"/>
  <c r="F111" i="4"/>
  <c r="M59" i="8"/>
  <c r="G52" i="9"/>
  <c r="M62" i="8"/>
  <c r="G55" i="9"/>
  <c r="M70" i="8"/>
  <c r="G64" i="9"/>
  <c r="M65" i="8"/>
  <c r="M68" i="8"/>
  <c r="M69" i="8"/>
  <c r="G63" i="9"/>
  <c r="M61" i="8"/>
  <c r="G45" i="9"/>
  <c r="G68" i="4"/>
  <c r="G116" i="4"/>
  <c r="G113" i="4"/>
  <c r="G107" i="4"/>
  <c r="G24" i="10"/>
  <c r="C25" i="10"/>
  <c r="G23" i="10"/>
  <c r="C15" i="10"/>
  <c r="G15" i="10"/>
  <c r="C16" i="10"/>
  <c r="C14" i="10"/>
  <c r="G20" i="10"/>
  <c r="G13" i="10"/>
  <c r="G9" i="10"/>
  <c r="C26" i="10"/>
  <c r="N66" i="8"/>
  <c r="H59" i="9"/>
  <c r="C9" i="10"/>
  <c r="C23" i="10"/>
  <c r="C20" i="10"/>
  <c r="C24" i="10"/>
  <c r="C13" i="10"/>
  <c r="G14" i="10"/>
  <c r="G25" i="10"/>
  <c r="G117" i="4"/>
  <c r="D47" i="19"/>
  <c r="G124" i="4"/>
  <c r="G86" i="4"/>
  <c r="G96" i="4"/>
  <c r="G108" i="4"/>
  <c r="F13" i="10"/>
  <c r="G100" i="4"/>
  <c r="G121" i="4"/>
  <c r="G75" i="4"/>
  <c r="N57" i="8"/>
  <c r="H49" i="9"/>
  <c r="F23" i="10"/>
  <c r="M57" i="8"/>
  <c r="D28" i="4"/>
  <c r="N53" i="8"/>
  <c r="M53" i="8"/>
  <c r="M73" i="8"/>
  <c r="L86" i="23"/>
  <c r="E9" i="79"/>
  <c r="E114" i="79"/>
  <c r="E122" i="79"/>
  <c r="E7" i="79"/>
  <c r="E48" i="78"/>
  <c r="E48" i="79"/>
  <c r="E8" i="79"/>
  <c r="E10" i="79"/>
  <c r="E28" i="79"/>
  <c r="H12" i="9"/>
  <c r="N56" i="8" s="1"/>
  <c r="G12" i="9"/>
  <c r="N73" i="8"/>
  <c r="E48" i="77"/>
  <c r="E55" i="77"/>
  <c r="E49" i="77"/>
  <c r="E54" i="77"/>
  <c r="L107" i="23"/>
  <c r="B12" i="9"/>
  <c r="M11" i="8" s="1"/>
  <c r="H77" i="33"/>
  <c r="L29" i="51"/>
  <c r="N124" i="8"/>
  <c r="E28" i="16"/>
  <c r="H54" i="9"/>
  <c r="N61" i="8"/>
  <c r="E28" i="51"/>
  <c r="M67" i="8"/>
  <c r="M60" i="8"/>
  <c r="E28" i="29"/>
  <c r="M63" i="8"/>
  <c r="E28" i="23"/>
  <c r="E28" i="20"/>
  <c r="M54" i="8"/>
  <c r="E28" i="25"/>
  <c r="M58" i="8"/>
  <c r="M124" i="8"/>
  <c r="I9" i="9"/>
  <c r="K98" i="33"/>
  <c r="C12" i="9"/>
  <c r="L22" i="51"/>
  <c r="D47" i="39"/>
  <c r="L7" i="51"/>
  <c r="E34" i="33"/>
  <c r="E34" i="37"/>
  <c r="E34" i="13"/>
  <c r="E34" i="29"/>
  <c r="L110" i="33"/>
  <c r="E8" i="74"/>
  <c r="E7" i="72"/>
  <c r="E7" i="74"/>
  <c r="E48" i="72"/>
  <c r="E48" i="74"/>
  <c r="E28" i="37"/>
  <c r="E28" i="13"/>
  <c r="C29" i="9"/>
  <c r="N28" i="8" s="1"/>
  <c r="D53" i="40"/>
  <c r="L28" i="51"/>
  <c r="L10" i="51"/>
  <c r="E35" i="13"/>
  <c r="E35" i="37"/>
  <c r="E35" i="33"/>
  <c r="H77" i="13"/>
  <c r="B42" i="10"/>
  <c r="D29" i="4"/>
  <c r="E9" i="72"/>
  <c r="E8" i="72"/>
  <c r="D39" i="4"/>
  <c r="I33" i="37"/>
  <c r="I33" i="33"/>
  <c r="I33" i="29"/>
  <c r="I33" i="23"/>
  <c r="B31" i="10"/>
  <c r="D110" i="4"/>
  <c r="L122" i="33"/>
  <c r="L135" i="26"/>
  <c r="E39" i="13"/>
  <c r="D122" i="4"/>
  <c r="L121" i="13"/>
  <c r="L108" i="33"/>
  <c r="E48" i="37"/>
  <c r="I11" i="37"/>
  <c r="E54" i="37"/>
  <c r="I34" i="37"/>
  <c r="I117" i="37"/>
  <c r="E22" i="37"/>
  <c r="I109" i="37"/>
  <c r="E7" i="37"/>
  <c r="E134" i="37"/>
  <c r="I89" i="37"/>
  <c r="I10" i="37"/>
  <c r="I125" i="37"/>
  <c r="I124" i="37"/>
  <c r="I113" i="37"/>
  <c r="I68" i="37"/>
  <c r="I96" i="37"/>
  <c r="E75" i="37"/>
  <c r="E49" i="37"/>
  <c r="I100" i="37"/>
  <c r="E89" i="37"/>
  <c r="D114" i="4"/>
  <c r="I12" i="37"/>
  <c r="I22" i="37"/>
  <c r="I121" i="37"/>
  <c r="I29" i="37"/>
  <c r="I79" i="37"/>
  <c r="I116" i="37"/>
  <c r="I35" i="37"/>
  <c r="I75" i="37"/>
  <c r="E135" i="37"/>
  <c r="I112" i="37"/>
  <c r="I108" i="37"/>
  <c r="E10" i="37"/>
  <c r="E57" i="37"/>
  <c r="I7" i="37"/>
  <c r="E96" i="37"/>
  <c r="E136" i="37"/>
  <c r="L114" i="33"/>
  <c r="H77" i="23"/>
  <c r="K77" i="23"/>
  <c r="D47" i="21"/>
  <c r="D47" i="20"/>
  <c r="L107" i="29"/>
  <c r="L134" i="26"/>
  <c r="L109" i="23"/>
  <c r="L113" i="33"/>
  <c r="L12" i="33"/>
  <c r="D56" i="22"/>
  <c r="E100" i="37"/>
  <c r="E122" i="37"/>
  <c r="E78" i="37"/>
  <c r="E114" i="37"/>
  <c r="E9" i="37"/>
  <c r="E124" i="37"/>
  <c r="E8" i="37"/>
  <c r="E67" i="37"/>
  <c r="E109" i="37"/>
  <c r="E116" i="37"/>
  <c r="E125" i="37"/>
  <c r="E99" i="37"/>
  <c r="E112" i="37"/>
  <c r="E110" i="37"/>
  <c r="E107" i="37"/>
  <c r="E88" i="37"/>
  <c r="E86" i="37"/>
  <c r="E108" i="37"/>
  <c r="E120" i="37"/>
  <c r="D47" i="38"/>
  <c r="L96" i="33"/>
  <c r="L113" i="29"/>
  <c r="L89" i="23"/>
  <c r="L75" i="33"/>
  <c r="L68" i="33"/>
  <c r="L68" i="23"/>
  <c r="H98" i="29"/>
  <c r="K98" i="29"/>
  <c r="L22" i="23"/>
  <c r="L120" i="33"/>
  <c r="K87" i="29"/>
  <c r="L137" i="26"/>
  <c r="D47" i="40"/>
  <c r="L28" i="23"/>
  <c r="L12" i="29"/>
  <c r="D53" i="13"/>
  <c r="K87" i="33"/>
  <c r="K87" i="23"/>
  <c r="L89" i="33"/>
  <c r="H87" i="29"/>
  <c r="L135" i="34"/>
  <c r="L10" i="29"/>
  <c r="L7" i="33"/>
  <c r="H66" i="23"/>
  <c r="L35" i="29"/>
  <c r="D56" i="39"/>
  <c r="L11" i="29"/>
  <c r="H111" i="13"/>
  <c r="L35" i="23"/>
  <c r="N123" i="8"/>
  <c r="C10" i="9"/>
  <c r="N9" i="8" s="1"/>
  <c r="N102" i="8"/>
  <c r="C22" i="9"/>
  <c r="N21" i="8" s="1"/>
  <c r="C13" i="9"/>
  <c r="C20" i="9"/>
  <c r="N19" i="8" s="1"/>
  <c r="C26" i="9"/>
  <c r="N25" i="8" s="1"/>
  <c r="K111" i="13"/>
  <c r="L107" i="33"/>
  <c r="L100" i="33"/>
  <c r="M102" i="8"/>
  <c r="L108" i="13"/>
  <c r="D56" i="40"/>
  <c r="N126" i="8"/>
  <c r="H119" i="23"/>
  <c r="L116" i="33"/>
  <c r="C18" i="9"/>
  <c r="N17" i="8" s="1"/>
  <c r="D53" i="22"/>
  <c r="L35" i="33"/>
  <c r="L8" i="16"/>
  <c r="L67" i="29"/>
  <c r="L29" i="20"/>
  <c r="L116" i="23"/>
  <c r="L108" i="23"/>
  <c r="L28" i="25"/>
  <c r="L9" i="16"/>
  <c r="H98" i="13"/>
  <c r="K111" i="29"/>
  <c r="L7" i="16"/>
  <c r="D53" i="16"/>
  <c r="D56" i="25"/>
  <c r="L117" i="33"/>
  <c r="L12" i="13"/>
  <c r="D56" i="16"/>
  <c r="N122" i="8"/>
  <c r="L99" i="23"/>
  <c r="L7" i="20"/>
  <c r="K119" i="13"/>
  <c r="M103" i="8"/>
  <c r="K66" i="23"/>
  <c r="L11" i="33"/>
  <c r="H119" i="13"/>
  <c r="L22" i="16"/>
  <c r="L29" i="16"/>
  <c r="C14" i="9"/>
  <c r="N13" i="8" s="1"/>
  <c r="L10" i="16"/>
  <c r="D47" i="16"/>
  <c r="L28" i="16"/>
  <c r="N125" i="8"/>
  <c r="L7" i="13"/>
  <c r="B27" i="9"/>
  <c r="M26" i="8" s="1"/>
  <c r="M104" i="8"/>
  <c r="M125" i="8"/>
  <c r="N101" i="8"/>
  <c r="N127" i="8"/>
  <c r="C27" i="9"/>
  <c r="N26" i="8" s="1"/>
  <c r="C19" i="9"/>
  <c r="N18" i="8" s="1"/>
  <c r="M101" i="8"/>
  <c r="B9" i="9"/>
  <c r="B15" i="9"/>
  <c r="M14" i="8" s="1"/>
  <c r="M105" i="8"/>
  <c r="H119" i="33"/>
  <c r="L125" i="33"/>
  <c r="L121" i="23"/>
  <c r="M123" i="8"/>
  <c r="L116" i="13"/>
  <c r="N104" i="8"/>
  <c r="L10" i="33"/>
  <c r="C17" i="9"/>
  <c r="N16" i="8" s="1"/>
  <c r="B17" i="9"/>
  <c r="M16" i="8" s="1"/>
  <c r="L22" i="13"/>
  <c r="L107" i="13"/>
  <c r="L10" i="13"/>
  <c r="L121" i="33"/>
  <c r="C24" i="9"/>
  <c r="N23" i="8" s="1"/>
  <c r="H87" i="23"/>
  <c r="L7" i="23"/>
  <c r="H87" i="33"/>
  <c r="L120" i="29"/>
  <c r="D47" i="22"/>
  <c r="L11" i="23"/>
  <c r="L117" i="29"/>
  <c r="K119" i="23"/>
  <c r="L34" i="13"/>
  <c r="M126" i="8"/>
  <c r="B19" i="9"/>
  <c r="M18" i="8" s="1"/>
  <c r="B18" i="9"/>
  <c r="M17" i="8" s="1"/>
  <c r="L7" i="19"/>
  <c r="M100" i="8"/>
  <c r="L11" i="13"/>
  <c r="C9" i="9"/>
  <c r="N8" i="8" s="1"/>
  <c r="C28" i="9"/>
  <c r="N27" i="8" s="1"/>
  <c r="E48" i="39"/>
  <c r="E48" i="16"/>
  <c r="I73" i="23"/>
  <c r="I89" i="13"/>
  <c r="I89" i="29"/>
  <c r="I89" i="33"/>
  <c r="I89" i="23"/>
  <c r="I35" i="23"/>
  <c r="I35" i="29"/>
  <c r="I35" i="33"/>
  <c r="I35" i="13"/>
  <c r="G42" i="10"/>
  <c r="I134" i="26"/>
  <c r="I10" i="23"/>
  <c r="I10" i="29"/>
  <c r="I10" i="33"/>
  <c r="I10" i="13"/>
  <c r="E49" i="39"/>
  <c r="E49" i="16"/>
  <c r="I23" i="33"/>
  <c r="I23" i="13"/>
  <c r="I23" i="23"/>
  <c r="I23" i="29"/>
  <c r="E54" i="39"/>
  <c r="E54" i="16"/>
  <c r="C31" i="10"/>
  <c r="I86" i="23"/>
  <c r="I86" i="29"/>
  <c r="I86" i="33"/>
  <c r="C33" i="10"/>
  <c r="H16" i="9"/>
  <c r="N59" i="8" s="1"/>
  <c r="B14" i="9"/>
  <c r="M13" i="8" s="1"/>
  <c r="M127" i="8"/>
  <c r="B10" i="9"/>
  <c r="M9" i="8" s="1"/>
  <c r="H61" i="9"/>
  <c r="N100" i="8"/>
  <c r="I29" i="33"/>
  <c r="I29" i="23"/>
  <c r="I29" i="29"/>
  <c r="I29" i="13"/>
  <c r="I25" i="29"/>
  <c r="I25" i="33"/>
  <c r="I25" i="13"/>
  <c r="I30" i="23"/>
  <c r="I30" i="29"/>
  <c r="I30" i="33"/>
  <c r="I30" i="13"/>
  <c r="I107" i="13"/>
  <c r="I107" i="23"/>
  <c r="I107" i="29"/>
  <c r="I107" i="33"/>
  <c r="C44" i="10"/>
  <c r="I75" i="33"/>
  <c r="I32" i="13"/>
  <c r="I32" i="29"/>
  <c r="I32" i="33"/>
  <c r="I100" i="13"/>
  <c r="I100" i="23"/>
  <c r="I100" i="29"/>
  <c r="I100" i="33"/>
  <c r="I22" i="23"/>
  <c r="I22" i="29"/>
  <c r="I22" i="33"/>
  <c r="I22" i="13"/>
  <c r="I121" i="13"/>
  <c r="I121" i="23"/>
  <c r="I121" i="33"/>
  <c r="I121" i="29"/>
  <c r="I113" i="23"/>
  <c r="I113" i="13"/>
  <c r="I113" i="33"/>
  <c r="I113" i="29"/>
  <c r="I108" i="13"/>
  <c r="N103" i="8"/>
  <c r="B37" i="9"/>
  <c r="B13" i="9"/>
  <c r="B29" i="9"/>
  <c r="M28" i="8" s="1"/>
  <c r="G39" i="9"/>
  <c r="G62" i="9" s="1"/>
  <c r="H19" i="9"/>
  <c r="N62" i="8" s="1"/>
  <c r="C15" i="9"/>
  <c r="N14" i="8" s="1"/>
  <c r="B28" i="9"/>
  <c r="M27" i="8" s="1"/>
  <c r="H26" i="9"/>
  <c r="N68" i="8" s="1"/>
  <c r="B36" i="9"/>
  <c r="I71" i="23"/>
  <c r="I136" i="26"/>
  <c r="G33" i="10"/>
  <c r="I7" i="29"/>
  <c r="I7" i="33"/>
  <c r="I7" i="23"/>
  <c r="B45" i="10"/>
  <c r="I31" i="13"/>
  <c r="I31" i="33"/>
  <c r="I31" i="23"/>
  <c r="I31" i="29"/>
  <c r="C45" i="10"/>
  <c r="C42" i="10"/>
  <c r="I24" i="13"/>
  <c r="I24" i="33"/>
  <c r="I24" i="23"/>
  <c r="B26" i="9"/>
  <c r="M25" i="8" s="1"/>
  <c r="H15" i="9"/>
  <c r="M122" i="8"/>
  <c r="B40" i="9"/>
  <c r="N105" i="8"/>
  <c r="C16" i="9"/>
  <c r="N15" i="8" s="1"/>
  <c r="H28" i="9"/>
  <c r="N70" i="8" s="1"/>
  <c r="I70" i="23"/>
  <c r="I74" i="23"/>
  <c r="I135" i="26"/>
  <c r="I96" i="33"/>
  <c r="I68" i="23"/>
  <c r="I68" i="29"/>
  <c r="I68" i="33"/>
  <c r="I68" i="13"/>
  <c r="G136" i="4"/>
  <c r="F33" i="10"/>
  <c r="I79" i="13"/>
  <c r="I79" i="23"/>
  <c r="I79" i="33"/>
  <c r="I79" i="29"/>
  <c r="I109" i="13"/>
  <c r="I109" i="29"/>
  <c r="I109" i="23"/>
  <c r="I109" i="33"/>
  <c r="I12" i="29"/>
  <c r="I12" i="33"/>
  <c r="I12" i="23"/>
  <c r="I12" i="13"/>
  <c r="G41" i="10"/>
  <c r="I11" i="13"/>
  <c r="I11" i="23"/>
  <c r="I11" i="33"/>
  <c r="G30" i="10"/>
  <c r="I11" i="29"/>
  <c r="I125" i="13"/>
  <c r="I125" i="23"/>
  <c r="I125" i="29"/>
  <c r="I125" i="33"/>
  <c r="I34" i="13"/>
  <c r="I34" i="23"/>
  <c r="I34" i="29"/>
  <c r="I34" i="33"/>
  <c r="G31" i="10"/>
  <c r="D96" i="4"/>
  <c r="I117" i="13"/>
  <c r="I117" i="23"/>
  <c r="I117" i="29"/>
  <c r="I117" i="33"/>
  <c r="D75" i="4"/>
  <c r="E57" i="39"/>
  <c r="E57" i="16"/>
  <c r="L120" i="23"/>
  <c r="L67" i="23"/>
  <c r="H98" i="33"/>
  <c r="L100" i="13"/>
  <c r="D53" i="39"/>
  <c r="L109" i="29"/>
  <c r="L7" i="29"/>
  <c r="L28" i="29"/>
  <c r="L117" i="23"/>
  <c r="H98" i="23"/>
  <c r="L10" i="20"/>
  <c r="K98" i="13"/>
  <c r="L29" i="13"/>
  <c r="G37" i="9"/>
  <c r="G54" i="9" s="1"/>
  <c r="B16" i="9"/>
  <c r="M15" i="8" s="1"/>
  <c r="G38" i="9"/>
  <c r="G58" i="9" s="1"/>
  <c r="B20" i="9"/>
  <c r="M19" i="8" s="1"/>
  <c r="H14" i="9"/>
  <c r="N58" i="8" s="1"/>
  <c r="B24" i="9"/>
  <c r="M23" i="8" s="1"/>
  <c r="N30" i="8"/>
  <c r="H24" i="9"/>
  <c r="N67" i="8" s="1"/>
  <c r="B22" i="9"/>
  <c r="M21" i="8" s="1"/>
  <c r="H22" i="9"/>
  <c r="N65" i="8" s="1"/>
  <c r="L22" i="20"/>
  <c r="L109" i="33"/>
  <c r="L99" i="33"/>
  <c r="H111" i="29"/>
  <c r="L10" i="23"/>
  <c r="L28" i="13"/>
  <c r="D56" i="13"/>
  <c r="L99" i="29"/>
  <c r="K119" i="33"/>
  <c r="L88" i="33"/>
  <c r="L79" i="33"/>
  <c r="L34" i="29"/>
  <c r="H66" i="33"/>
  <c r="L78" i="33"/>
  <c r="L67" i="13"/>
  <c r="L109" i="13"/>
  <c r="L112" i="13"/>
  <c r="L35" i="13"/>
  <c r="L79" i="29"/>
  <c r="L86" i="29"/>
  <c r="L7" i="22"/>
  <c r="K66" i="33"/>
  <c r="L89" i="29"/>
  <c r="L12" i="23"/>
  <c r="H87" i="13"/>
  <c r="L120" i="13"/>
  <c r="L68" i="13"/>
  <c r="L7" i="25"/>
  <c r="L134" i="34"/>
  <c r="L108" i="29"/>
  <c r="D53" i="25"/>
  <c r="L112" i="33"/>
  <c r="L29" i="33"/>
  <c r="L121" i="29"/>
  <c r="L29" i="29"/>
  <c r="H111" i="23"/>
  <c r="L68" i="29"/>
  <c r="L136" i="26"/>
  <c r="D47" i="25"/>
  <c r="L112" i="23"/>
  <c r="L113" i="13"/>
  <c r="L117" i="13"/>
  <c r="L86" i="33"/>
  <c r="H119" i="29"/>
  <c r="L100" i="29"/>
  <c r="L34" i="33"/>
  <c r="L125" i="29"/>
  <c r="L88" i="29"/>
  <c r="L78" i="29"/>
  <c r="L88" i="23"/>
  <c r="L125" i="23"/>
  <c r="L113" i="23"/>
  <c r="H111" i="33"/>
  <c r="D47" i="51"/>
  <c r="D47" i="26"/>
  <c r="L29" i="23"/>
  <c r="L28" i="20"/>
  <c r="L100" i="23"/>
  <c r="L79" i="23"/>
  <c r="L67" i="33"/>
  <c r="L22" i="33"/>
  <c r="L22" i="29"/>
  <c r="J77" i="29"/>
  <c r="K98" i="23"/>
  <c r="L78" i="23"/>
  <c r="L34" i="23"/>
  <c r="L124" i="13"/>
  <c r="L79" i="13"/>
  <c r="L89" i="13"/>
  <c r="L99" i="13"/>
  <c r="L125" i="13"/>
  <c r="L78" i="13"/>
  <c r="K66" i="13"/>
  <c r="L86" i="13"/>
  <c r="K87" i="13"/>
  <c r="J77" i="13"/>
  <c r="L88" i="13"/>
  <c r="H66" i="13"/>
  <c r="D47" i="13"/>
  <c r="D66" i="33"/>
  <c r="J66" i="33"/>
  <c r="J98" i="23"/>
  <c r="D98" i="23"/>
  <c r="D111" i="33"/>
  <c r="J111" i="33"/>
  <c r="D66" i="13"/>
  <c r="J66" i="13"/>
  <c r="K111" i="33"/>
  <c r="J111" i="29"/>
  <c r="J111" i="23"/>
  <c r="D111" i="23"/>
  <c r="J87" i="13"/>
  <c r="D87" i="13"/>
  <c r="J119" i="33"/>
  <c r="D119" i="33"/>
  <c r="D77" i="29"/>
  <c r="K77" i="29"/>
  <c r="D77" i="13"/>
  <c r="K77" i="13"/>
  <c r="J66" i="29"/>
  <c r="J87" i="33"/>
  <c r="D87" i="33"/>
  <c r="D119" i="29"/>
  <c r="J119" i="29"/>
  <c r="D98" i="33"/>
  <c r="J98" i="33"/>
  <c r="J87" i="29"/>
  <c r="D87" i="29"/>
  <c r="J87" i="23"/>
  <c r="D87" i="23"/>
  <c r="K119" i="29"/>
  <c r="K111" i="23"/>
  <c r="D119" i="13"/>
  <c r="J119" i="13"/>
  <c r="D98" i="13"/>
  <c r="J98" i="13"/>
  <c r="D111" i="13"/>
  <c r="J111" i="13"/>
  <c r="J98" i="29"/>
  <c r="D98" i="29"/>
  <c r="H66" i="29"/>
  <c r="D119" i="23"/>
  <c r="J119" i="23"/>
  <c r="J66" i="23"/>
  <c r="D66" i="23"/>
  <c r="D77" i="33"/>
  <c r="J77" i="33"/>
  <c r="J77" i="23"/>
  <c r="D77" i="23"/>
  <c r="D66" i="29"/>
  <c r="K66" i="29"/>
  <c r="E48" i="38"/>
  <c r="E49" i="38"/>
  <c r="E88" i="33"/>
  <c r="E108" i="33"/>
  <c r="E22" i="33"/>
  <c r="E99" i="33"/>
  <c r="E9" i="33"/>
  <c r="E110" i="33"/>
  <c r="E122" i="33"/>
  <c r="E75" i="33"/>
  <c r="E116" i="33"/>
  <c r="E10" i="33"/>
  <c r="E79" i="33"/>
  <c r="E7" i="33"/>
  <c r="E89" i="33"/>
  <c r="E100" i="33"/>
  <c r="E125" i="33"/>
  <c r="E68" i="33"/>
  <c r="E96" i="33"/>
  <c r="E8" i="33"/>
  <c r="E78" i="33"/>
  <c r="E67" i="33"/>
  <c r="E112" i="33"/>
  <c r="E109" i="33"/>
  <c r="E114" i="33"/>
  <c r="E121" i="33"/>
  <c r="E120" i="33"/>
  <c r="E99" i="29"/>
  <c r="E9" i="29"/>
  <c r="E86" i="29"/>
  <c r="E134" i="34"/>
  <c r="E68" i="29"/>
  <c r="E88" i="29"/>
  <c r="E108" i="29"/>
  <c r="E22" i="29"/>
  <c r="E10" i="29"/>
  <c r="E79" i="29"/>
  <c r="E135" i="34"/>
  <c r="E7" i="29"/>
  <c r="E89" i="29"/>
  <c r="E100" i="29"/>
  <c r="E107" i="29"/>
  <c r="E8" i="29"/>
  <c r="E78" i="29"/>
  <c r="E67" i="29"/>
  <c r="E109" i="29"/>
  <c r="E120" i="29"/>
  <c r="E48" i="40"/>
  <c r="E57" i="40"/>
  <c r="E54" i="40"/>
  <c r="E9" i="51"/>
  <c r="E48" i="51"/>
  <c r="E22" i="51"/>
  <c r="E10" i="51"/>
  <c r="E7" i="51"/>
  <c r="E8" i="51"/>
  <c r="E9" i="25"/>
  <c r="E57" i="25"/>
  <c r="E48" i="25"/>
  <c r="E137" i="26"/>
  <c r="E49" i="26"/>
  <c r="E54" i="25"/>
  <c r="E135" i="26"/>
  <c r="E7" i="25"/>
  <c r="E136" i="26"/>
  <c r="E134" i="26"/>
  <c r="E8" i="25"/>
  <c r="E99" i="23"/>
  <c r="E86" i="23"/>
  <c r="E88" i="23"/>
  <c r="E108" i="23"/>
  <c r="E116" i="23"/>
  <c r="E22" i="23"/>
  <c r="E107" i="23"/>
  <c r="E78" i="23"/>
  <c r="E67" i="23"/>
  <c r="E112" i="23"/>
  <c r="E120" i="23"/>
  <c r="E9" i="22"/>
  <c r="E48" i="21"/>
  <c r="E48" i="22"/>
  <c r="E57" i="21"/>
  <c r="E57" i="22"/>
  <c r="E49" i="22"/>
  <c r="E54" i="22"/>
  <c r="E7" i="22"/>
  <c r="E8" i="22"/>
  <c r="E22" i="19"/>
  <c r="E22" i="20"/>
  <c r="E10" i="20"/>
  <c r="E49" i="19"/>
  <c r="E54" i="20"/>
  <c r="E7" i="19"/>
  <c r="E7" i="20"/>
  <c r="E9" i="19"/>
  <c r="E9" i="20"/>
  <c r="E48" i="19"/>
  <c r="E48" i="20"/>
  <c r="E8" i="19"/>
  <c r="E8" i="20"/>
  <c r="E99" i="13"/>
  <c r="E9" i="13"/>
  <c r="E48" i="13"/>
  <c r="E86" i="13"/>
  <c r="E88" i="13"/>
  <c r="E124" i="13"/>
  <c r="E108" i="13"/>
  <c r="E116" i="13"/>
  <c r="E22" i="13"/>
  <c r="E10" i="13"/>
  <c r="E57" i="13"/>
  <c r="E54" i="13"/>
  <c r="E7" i="13"/>
  <c r="E89" i="13"/>
  <c r="E100" i="13"/>
  <c r="E107" i="13"/>
  <c r="E78" i="13"/>
  <c r="E67" i="13"/>
  <c r="E112" i="13"/>
  <c r="E109" i="13"/>
  <c r="E120" i="13"/>
  <c r="D116" i="4"/>
  <c r="D108" i="4"/>
  <c r="D124" i="4"/>
  <c r="D125" i="4"/>
  <c r="D109" i="4"/>
  <c r="E22" i="16"/>
  <c r="E9" i="16"/>
  <c r="D22" i="4"/>
  <c r="D136" i="4"/>
  <c r="D57" i="4"/>
  <c r="E10" i="16"/>
  <c r="G22" i="4"/>
  <c r="D137" i="4"/>
  <c r="D10" i="4"/>
  <c r="D112" i="4"/>
  <c r="D55" i="4"/>
  <c r="D120" i="4"/>
  <c r="D7" i="4"/>
  <c r="E7" i="16"/>
  <c r="D68" i="4"/>
  <c r="D8" i="4"/>
  <c r="E8" i="16"/>
  <c r="D134" i="4"/>
  <c r="G7" i="4"/>
  <c r="D48" i="4"/>
  <c r="D54" i="4"/>
  <c r="D49" i="4"/>
  <c r="G12" i="4"/>
  <c r="G34" i="4"/>
  <c r="D121" i="4"/>
  <c r="G11" i="4"/>
  <c r="H22" i="4"/>
  <c r="G29" i="4"/>
  <c r="D67" i="4"/>
  <c r="D100" i="4"/>
  <c r="G10" i="4"/>
  <c r="D89" i="4"/>
  <c r="G35" i="4"/>
  <c r="D99" i="4"/>
  <c r="D86" i="4"/>
  <c r="D107" i="4"/>
  <c r="D135" i="4"/>
  <c r="G135" i="4"/>
  <c r="G134" i="4"/>
  <c r="D78" i="4"/>
  <c r="D88" i="4"/>
  <c r="D79" i="4"/>
  <c r="D9" i="4"/>
  <c r="L77" i="33" l="1"/>
  <c r="M56" i="8"/>
  <c r="G48" i="9"/>
  <c r="G68" i="9" s="1"/>
  <c r="G12" i="10"/>
  <c r="G22" i="10"/>
  <c r="C12" i="10"/>
  <c r="C22" i="10"/>
  <c r="C11" i="10"/>
  <c r="E47" i="81"/>
  <c r="G77" i="4"/>
  <c r="G87" i="4"/>
  <c r="G111" i="4"/>
  <c r="G119" i="4"/>
  <c r="G98" i="4"/>
  <c r="F43" i="10"/>
  <c r="M12" i="8"/>
  <c r="B49" i="9"/>
  <c r="N12" i="8"/>
  <c r="C49" i="9"/>
  <c r="C32" i="9"/>
  <c r="H32" i="9"/>
  <c r="J23" i="9" s="1"/>
  <c r="M8" i="8"/>
  <c r="B32" i="9"/>
  <c r="G32" i="9"/>
  <c r="M30" i="8"/>
  <c r="E66" i="79"/>
  <c r="E111" i="79"/>
  <c r="E97" i="79"/>
  <c r="E76" i="79"/>
  <c r="E47" i="78"/>
  <c r="E47" i="79"/>
  <c r="E119" i="79"/>
  <c r="E87" i="79"/>
  <c r="I12" i="9"/>
  <c r="H48" i="9"/>
  <c r="E47" i="77"/>
  <c r="E53" i="77"/>
  <c r="B48" i="9"/>
  <c r="L98" i="33"/>
  <c r="C48" i="9"/>
  <c r="N11" i="8"/>
  <c r="D12" i="9"/>
  <c r="E47" i="72"/>
  <c r="E47" i="74"/>
  <c r="L77" i="23"/>
  <c r="I77" i="29"/>
  <c r="I77" i="23"/>
  <c r="I77" i="13"/>
  <c r="I77" i="33"/>
  <c r="E56" i="37"/>
  <c r="I111" i="37"/>
  <c r="E119" i="37"/>
  <c r="I119" i="37"/>
  <c r="E47" i="37"/>
  <c r="I87" i="37"/>
  <c r="E111" i="37"/>
  <c r="E53" i="37"/>
  <c r="I66" i="37"/>
  <c r="I77" i="37"/>
  <c r="L87" i="29"/>
  <c r="E97" i="33"/>
  <c r="E97" i="29"/>
  <c r="E97" i="37"/>
  <c r="E97" i="13"/>
  <c r="I98" i="37"/>
  <c r="L119" i="13"/>
  <c r="E76" i="33"/>
  <c r="E76" i="29"/>
  <c r="E76" i="37"/>
  <c r="E76" i="13"/>
  <c r="E66" i="37"/>
  <c r="E87" i="33"/>
  <c r="E87" i="37"/>
  <c r="E98" i="37"/>
  <c r="E77" i="37"/>
  <c r="L111" i="29"/>
  <c r="L111" i="13"/>
  <c r="L87" i="33"/>
  <c r="L98" i="29"/>
  <c r="L119" i="23"/>
  <c r="L87" i="23"/>
  <c r="L98" i="23"/>
  <c r="E87" i="13"/>
  <c r="E87" i="23"/>
  <c r="D98" i="4"/>
  <c r="E98" i="29"/>
  <c r="E98" i="33"/>
  <c r="L119" i="33"/>
  <c r="L98" i="13"/>
  <c r="L66" i="33"/>
  <c r="L66" i="23"/>
  <c r="L66" i="13"/>
  <c r="E66" i="23"/>
  <c r="E66" i="13"/>
  <c r="E66" i="29"/>
  <c r="E66" i="33"/>
  <c r="L111" i="33"/>
  <c r="D87" i="4"/>
  <c r="E98" i="23"/>
  <c r="E87" i="29"/>
  <c r="C43" i="10"/>
  <c r="I119" i="13"/>
  <c r="I119" i="23"/>
  <c r="I119" i="29"/>
  <c r="I119" i="33"/>
  <c r="G43" i="10"/>
  <c r="F22" i="10"/>
  <c r="I98" i="13"/>
  <c r="I98" i="23"/>
  <c r="I98" i="29"/>
  <c r="I98" i="33"/>
  <c r="D66" i="4"/>
  <c r="B12" i="10"/>
  <c r="I66" i="13"/>
  <c r="I66" i="29"/>
  <c r="I66" i="33"/>
  <c r="I66" i="23"/>
  <c r="G66" i="4"/>
  <c r="F12" i="10"/>
  <c r="E53" i="39"/>
  <c r="C38" i="10"/>
  <c r="E53" i="16"/>
  <c r="I72" i="23"/>
  <c r="I111" i="13"/>
  <c r="I111" i="23"/>
  <c r="I111" i="29"/>
  <c r="I111" i="33"/>
  <c r="G32" i="10"/>
  <c r="E56" i="39"/>
  <c r="E56" i="16"/>
  <c r="C49" i="10"/>
  <c r="C32" i="10"/>
  <c r="E47" i="39"/>
  <c r="E47" i="16"/>
  <c r="I87" i="13"/>
  <c r="I87" i="29"/>
  <c r="I87" i="23"/>
  <c r="I87" i="33"/>
  <c r="L87" i="13"/>
  <c r="L119" i="29"/>
  <c r="L66" i="29"/>
  <c r="L77" i="29"/>
  <c r="L111" i="23"/>
  <c r="E98" i="13"/>
  <c r="L77" i="13"/>
  <c r="E47" i="38"/>
  <c r="E77" i="33"/>
  <c r="E111" i="33"/>
  <c r="E119" i="33"/>
  <c r="E119" i="29"/>
  <c r="E77" i="29"/>
  <c r="E53" i="40"/>
  <c r="E56" i="40"/>
  <c r="E47" i="40"/>
  <c r="E47" i="51"/>
  <c r="E53" i="25"/>
  <c r="E47" i="25"/>
  <c r="E47" i="26"/>
  <c r="E56" i="25"/>
  <c r="E119" i="23"/>
  <c r="E77" i="23"/>
  <c r="E111" i="23"/>
  <c r="E56" i="21"/>
  <c r="E56" i="22"/>
  <c r="E47" i="21"/>
  <c r="E47" i="22"/>
  <c r="E53" i="22"/>
  <c r="E53" i="20"/>
  <c r="E47" i="19"/>
  <c r="E47" i="20"/>
  <c r="E53" i="13"/>
  <c r="E77" i="13"/>
  <c r="E56" i="13"/>
  <c r="E111" i="13"/>
  <c r="E47" i="13"/>
  <c r="E119" i="13"/>
  <c r="D111" i="4"/>
  <c r="D77" i="4"/>
  <c r="D119" i="4"/>
  <c r="D53" i="4"/>
  <c r="D56" i="4"/>
  <c r="D47" i="4"/>
  <c r="E21" i="9" l="1"/>
  <c r="E23" i="9"/>
  <c r="J28" i="9"/>
  <c r="J15" i="9"/>
  <c r="J27" i="9"/>
  <c r="J11" i="9"/>
  <c r="J25" i="9"/>
  <c r="J9" i="9"/>
  <c r="J31" i="9"/>
  <c r="J22" i="9"/>
  <c r="J24" i="9"/>
  <c r="J16" i="9"/>
  <c r="J30" i="9"/>
  <c r="J21" i="9"/>
  <c r="J14" i="9"/>
  <c r="J12" i="9"/>
  <c r="J18" i="9"/>
  <c r="J26" i="9"/>
  <c r="J10" i="9"/>
  <c r="J29" i="9"/>
  <c r="J20" i="9"/>
  <c r="J13" i="9"/>
  <c r="J19" i="9"/>
  <c r="J17" i="9"/>
  <c r="I48" i="9"/>
  <c r="D48" i="9"/>
  <c r="M73" i="23"/>
  <c r="C60" i="10"/>
  <c r="H107" i="4"/>
  <c r="H114" i="4"/>
  <c r="H116" i="4"/>
  <c r="H28" i="4"/>
  <c r="J32" i="9" l="1"/>
  <c r="H98" i="4"/>
  <c r="H117" i="4"/>
  <c r="H99" i="4"/>
  <c r="H24" i="4"/>
  <c r="H78" i="4"/>
  <c r="D9" i="10"/>
  <c r="H124" i="4"/>
  <c r="H112" i="4"/>
  <c r="H88" i="4"/>
  <c r="H9" i="4"/>
  <c r="H8" i="4"/>
  <c r="H79" i="4"/>
  <c r="H122" i="4"/>
  <c r="H14" i="10"/>
  <c r="H37" i="4"/>
  <c r="H121" i="4"/>
  <c r="I121" i="4"/>
  <c r="I112" i="4"/>
  <c r="I9" i="4"/>
  <c r="I109" i="4"/>
  <c r="K49" i="10"/>
  <c r="H113" i="4"/>
  <c r="I108" i="4"/>
  <c r="H11" i="4"/>
  <c r="I122" i="4"/>
  <c r="I79" i="4"/>
  <c r="I100" i="4"/>
  <c r="H110" i="4"/>
  <c r="H25" i="4"/>
  <c r="H125" i="4"/>
  <c r="H86" i="4"/>
  <c r="H42" i="10"/>
  <c r="H21" i="10"/>
  <c r="I120" i="4"/>
  <c r="I28" i="4"/>
  <c r="H109" i="4"/>
  <c r="I32" i="4"/>
  <c r="I67" i="4"/>
  <c r="K11" i="10"/>
  <c r="I23" i="4"/>
  <c r="H22" i="10"/>
  <c r="H108" i="4"/>
  <c r="H10" i="4"/>
  <c r="I77" i="4"/>
  <c r="I88" i="4"/>
  <c r="I117" i="4"/>
  <c r="H67" i="4"/>
  <c r="H12" i="10"/>
  <c r="I116" i="4"/>
  <c r="H120" i="4"/>
  <c r="I110" i="4"/>
  <c r="I113" i="4"/>
  <c r="I78" i="4"/>
  <c r="M115" i="33"/>
  <c r="K26" i="10"/>
  <c r="I98" i="4"/>
  <c r="I99" i="4"/>
  <c r="K9" i="10"/>
  <c r="H77" i="4"/>
  <c r="H24" i="10"/>
  <c r="I31" i="4"/>
  <c r="I24" i="4"/>
  <c r="K16" i="10"/>
  <c r="I30" i="4"/>
  <c r="H36" i="4"/>
  <c r="K45" i="10"/>
  <c r="H39" i="4"/>
  <c r="I107" i="4"/>
  <c r="I8" i="4"/>
  <c r="I114" i="4"/>
  <c r="I86" i="4"/>
  <c r="H10" i="10"/>
  <c r="I124" i="4"/>
  <c r="H100" i="4"/>
  <c r="H7" i="4"/>
  <c r="H23" i="4"/>
  <c r="H15" i="10"/>
  <c r="I125" i="4"/>
  <c r="M28" i="79" l="1"/>
  <c r="M97" i="79"/>
  <c r="M114" i="79"/>
  <c r="M23" i="79"/>
  <c r="M76" i="79"/>
  <c r="M8" i="79"/>
  <c r="M122" i="79"/>
  <c r="M30" i="79"/>
  <c r="M9" i="79"/>
  <c r="M9" i="72"/>
  <c r="M8" i="72"/>
  <c r="M8" i="74"/>
  <c r="J23" i="4"/>
  <c r="J24" i="4"/>
  <c r="J110" i="4"/>
  <c r="M67" i="37"/>
  <c r="M107" i="37"/>
  <c r="M32" i="37"/>
  <c r="M79" i="37"/>
  <c r="M124" i="37"/>
  <c r="M88" i="37"/>
  <c r="M78" i="37"/>
  <c r="M100" i="37"/>
  <c r="M86" i="37"/>
  <c r="M122" i="37"/>
  <c r="M109" i="37"/>
  <c r="M99" i="37"/>
  <c r="M113" i="37"/>
  <c r="M117" i="37"/>
  <c r="M28" i="37"/>
  <c r="M114" i="37"/>
  <c r="M110" i="37"/>
  <c r="M9" i="37"/>
  <c r="M31" i="37"/>
  <c r="M8" i="37"/>
  <c r="M24" i="37"/>
  <c r="M108" i="37"/>
  <c r="M112" i="37"/>
  <c r="J122" i="4"/>
  <c r="M23" i="37"/>
  <c r="M121" i="37"/>
  <c r="M125" i="37"/>
  <c r="M30" i="37"/>
  <c r="M116" i="37"/>
  <c r="M120" i="37"/>
  <c r="J114" i="4"/>
  <c r="M98" i="37"/>
  <c r="M97" i="37"/>
  <c r="M97" i="13"/>
  <c r="M97" i="29"/>
  <c r="M97" i="33"/>
  <c r="M77" i="37"/>
  <c r="M76" i="37"/>
  <c r="M76" i="33"/>
  <c r="M76" i="29"/>
  <c r="M76" i="13"/>
  <c r="M70" i="23"/>
  <c r="M74" i="23"/>
  <c r="M24" i="13"/>
  <c r="M24" i="23"/>
  <c r="M24" i="33"/>
  <c r="M24" i="29"/>
  <c r="M69" i="23"/>
  <c r="M88" i="13"/>
  <c r="M88" i="29"/>
  <c r="M88" i="23"/>
  <c r="M88" i="33"/>
  <c r="J28" i="4"/>
  <c r="M28" i="20"/>
  <c r="M28" i="25"/>
  <c r="M28" i="23"/>
  <c r="M28" i="51"/>
  <c r="M28" i="29"/>
  <c r="M28" i="16"/>
  <c r="M28" i="13"/>
  <c r="M121" i="23"/>
  <c r="M121" i="13"/>
  <c r="M121" i="29"/>
  <c r="M121" i="33"/>
  <c r="M71" i="23"/>
  <c r="M125" i="23"/>
  <c r="M125" i="13"/>
  <c r="M125" i="29"/>
  <c r="M125" i="33"/>
  <c r="M124" i="13"/>
  <c r="M114" i="33"/>
  <c r="M72" i="23"/>
  <c r="M31" i="23"/>
  <c r="M31" i="13"/>
  <c r="M31" i="29"/>
  <c r="M31" i="33"/>
  <c r="M78" i="23"/>
  <c r="M78" i="13"/>
  <c r="M78" i="29"/>
  <c r="M78" i="33"/>
  <c r="M113" i="23"/>
  <c r="M113" i="13"/>
  <c r="M113" i="29"/>
  <c r="M113" i="33"/>
  <c r="J116" i="4"/>
  <c r="M116" i="13"/>
  <c r="M116" i="23"/>
  <c r="M116" i="33"/>
  <c r="M117" i="23"/>
  <c r="M117" i="13"/>
  <c r="M117" i="29"/>
  <c r="M117" i="33"/>
  <c r="M23" i="20"/>
  <c r="M23" i="23"/>
  <c r="M23" i="13"/>
  <c r="M23" i="29"/>
  <c r="M23" i="33"/>
  <c r="M32" i="13"/>
  <c r="M32" i="33"/>
  <c r="M32" i="29"/>
  <c r="M79" i="13"/>
  <c r="M79" i="23"/>
  <c r="M79" i="33"/>
  <c r="M79" i="29"/>
  <c r="M8" i="20"/>
  <c r="M8" i="13"/>
  <c r="M8" i="22"/>
  <c r="M8" i="51"/>
  <c r="M8" i="25"/>
  <c r="M8" i="29"/>
  <c r="M8" i="33"/>
  <c r="M8" i="19"/>
  <c r="M8" i="16"/>
  <c r="M30" i="20"/>
  <c r="M30" i="13"/>
  <c r="M30" i="23"/>
  <c r="M30" i="33"/>
  <c r="M30" i="29"/>
  <c r="M30" i="16"/>
  <c r="M99" i="23"/>
  <c r="M99" i="29"/>
  <c r="M99" i="13"/>
  <c r="M99" i="33"/>
  <c r="M110" i="33"/>
  <c r="M120" i="13"/>
  <c r="M120" i="23"/>
  <c r="M120" i="29"/>
  <c r="M120" i="33"/>
  <c r="M100" i="13"/>
  <c r="M100" i="29"/>
  <c r="M100" i="33"/>
  <c r="M100" i="23"/>
  <c r="M122" i="33"/>
  <c r="M108" i="13"/>
  <c r="M108" i="23"/>
  <c r="M108" i="33"/>
  <c r="M108" i="29"/>
  <c r="M9" i="19"/>
  <c r="M9" i="25"/>
  <c r="M9" i="20"/>
  <c r="M9" i="22"/>
  <c r="M9" i="51"/>
  <c r="M9" i="13"/>
  <c r="M9" i="16"/>
  <c r="M9" i="29"/>
  <c r="M9" i="33"/>
  <c r="M86" i="23"/>
  <c r="M86" i="29"/>
  <c r="M86" i="13"/>
  <c r="M86" i="33"/>
  <c r="J107" i="4"/>
  <c r="M107" i="23"/>
  <c r="M107" i="13"/>
  <c r="M107" i="29"/>
  <c r="M107" i="33"/>
  <c r="M123" i="33"/>
  <c r="M98" i="13"/>
  <c r="M98" i="23"/>
  <c r="M98" i="29"/>
  <c r="M98" i="33"/>
  <c r="M77" i="13"/>
  <c r="M77" i="23"/>
  <c r="M77" i="29"/>
  <c r="M77" i="33"/>
  <c r="M67" i="13"/>
  <c r="M67" i="23"/>
  <c r="M67" i="29"/>
  <c r="M67" i="33"/>
  <c r="M109" i="13"/>
  <c r="M109" i="23"/>
  <c r="M109" i="29"/>
  <c r="M109" i="33"/>
  <c r="M112" i="13"/>
  <c r="M112" i="23"/>
  <c r="M112" i="33"/>
  <c r="J108" i="4"/>
  <c r="M38" i="8"/>
  <c r="D38" i="9"/>
  <c r="H60" i="9"/>
  <c r="H46" i="9"/>
  <c r="N40" i="8"/>
  <c r="I15" i="9"/>
  <c r="B65" i="9"/>
  <c r="D29" i="9"/>
  <c r="D14" i="9"/>
  <c r="B50" i="9"/>
  <c r="D20" i="9"/>
  <c r="B56" i="9"/>
  <c r="B41" i="9"/>
  <c r="I10" i="9"/>
  <c r="I22" i="9"/>
  <c r="H50" i="9"/>
  <c r="B64" i="9"/>
  <c r="D28" i="9"/>
  <c r="I18" i="9"/>
  <c r="N38" i="8"/>
  <c r="C46" i="9"/>
  <c r="C56" i="9"/>
  <c r="B54" i="9"/>
  <c r="D18" i="9"/>
  <c r="H51" i="9"/>
  <c r="N37" i="8"/>
  <c r="N36" i="8"/>
  <c r="C63" i="9"/>
  <c r="N39" i="8"/>
  <c r="M40" i="8"/>
  <c r="D40" i="9"/>
  <c r="B63" i="9"/>
  <c r="I31" i="9"/>
  <c r="C45" i="9"/>
  <c r="M85" i="8"/>
  <c r="I35" i="9"/>
  <c r="I14" i="9"/>
  <c r="H53" i="9"/>
  <c r="D39" i="9"/>
  <c r="M39" i="8"/>
  <c r="H56" i="9"/>
  <c r="I19" i="9"/>
  <c r="D13" i="9"/>
  <c r="B60" i="9"/>
  <c r="D24" i="9"/>
  <c r="C54" i="9"/>
  <c r="D31" i="9"/>
  <c r="D9" i="9"/>
  <c r="B45" i="9"/>
  <c r="I25" i="9"/>
  <c r="M86" i="8"/>
  <c r="I36" i="9"/>
  <c r="I20" i="9"/>
  <c r="I26" i="9"/>
  <c r="H62" i="9"/>
  <c r="H63" i="9"/>
  <c r="N90" i="8"/>
  <c r="H58" i="9"/>
  <c r="N86" i="8"/>
  <c r="H45" i="9"/>
  <c r="C51" i="9"/>
  <c r="I38" i="9"/>
  <c r="M88" i="8"/>
  <c r="N88" i="8"/>
  <c r="C65" i="9"/>
  <c r="C62" i="9"/>
  <c r="D19" i="9"/>
  <c r="B55" i="9"/>
  <c r="C52" i="9"/>
  <c r="N89" i="8"/>
  <c r="C41" i="9"/>
  <c r="M37" i="8"/>
  <c r="D37" i="9"/>
  <c r="I24" i="9"/>
  <c r="B58" i="9"/>
  <c r="D22" i="9"/>
  <c r="D35" i="9"/>
  <c r="M35" i="8"/>
  <c r="N87" i="8"/>
  <c r="D27" i="9"/>
  <c r="H41" i="9"/>
  <c r="C60" i="9"/>
  <c r="N35" i="8"/>
  <c r="B52" i="9"/>
  <c r="D16" i="9"/>
  <c r="C55" i="9"/>
  <c r="N85" i="8"/>
  <c r="C64" i="9"/>
  <c r="I37" i="9"/>
  <c r="M87" i="8"/>
  <c r="D10" i="9"/>
  <c r="B46" i="9"/>
  <c r="C50" i="9"/>
  <c r="G41" i="9"/>
  <c r="F27" i="10" s="1"/>
  <c r="D26" i="9"/>
  <c r="B62" i="9"/>
  <c r="H52" i="9"/>
  <c r="M89" i="8"/>
  <c r="I39" i="9"/>
  <c r="H55" i="9"/>
  <c r="D17" i="9"/>
  <c r="B53" i="9"/>
  <c r="H64" i="9"/>
  <c r="C53" i="9"/>
  <c r="M90" i="8"/>
  <c r="I40" i="9"/>
  <c r="I17" i="9"/>
  <c r="M36" i="8"/>
  <c r="D36" i="9"/>
  <c r="D25" i="9"/>
  <c r="B51" i="9"/>
  <c r="D15" i="9"/>
  <c r="I28" i="9"/>
  <c r="I13" i="9"/>
  <c r="I27" i="9"/>
  <c r="I16" i="9"/>
  <c r="C58" i="9"/>
  <c r="J109" i="4"/>
  <c r="J117" i="4"/>
  <c r="J125" i="4"/>
  <c r="J124" i="4"/>
  <c r="J120" i="4"/>
  <c r="J8" i="4"/>
  <c r="J112" i="4"/>
  <c r="J78" i="4"/>
  <c r="J9" i="4"/>
  <c r="J67" i="4"/>
  <c r="J86" i="4"/>
  <c r="J113" i="4"/>
  <c r="J88" i="4"/>
  <c r="J99" i="4"/>
  <c r="J100" i="4"/>
  <c r="J121" i="4"/>
  <c r="J77" i="4"/>
  <c r="J79" i="4"/>
  <c r="J98" i="4"/>
  <c r="K21" i="10"/>
  <c r="H75" i="4"/>
  <c r="H25" i="10"/>
  <c r="G55" i="10"/>
  <c r="H136" i="4"/>
  <c r="H96" i="4"/>
  <c r="K42" i="10"/>
  <c r="G53" i="10"/>
  <c r="H29" i="4"/>
  <c r="H89" i="4"/>
  <c r="K12" i="10"/>
  <c r="K14" i="10"/>
  <c r="K23" i="10"/>
  <c r="H87" i="4"/>
  <c r="H111" i="4"/>
  <c r="K44" i="10"/>
  <c r="K24" i="10"/>
  <c r="G46" i="10"/>
  <c r="H43" i="10"/>
  <c r="H31" i="4"/>
  <c r="J31" i="4" s="1"/>
  <c r="H32" i="4"/>
  <c r="J32" i="4" s="1"/>
  <c r="J10" i="10"/>
  <c r="D10" i="10"/>
  <c r="J24" i="10"/>
  <c r="D24" i="10"/>
  <c r="I25" i="4"/>
  <c r="B60" i="10"/>
  <c r="D38" i="10"/>
  <c r="J38" i="10"/>
  <c r="I37" i="4"/>
  <c r="F55" i="10"/>
  <c r="H33" i="10"/>
  <c r="D23" i="10"/>
  <c r="J23" i="10"/>
  <c r="H34" i="4"/>
  <c r="H134" i="4"/>
  <c r="J14" i="10"/>
  <c r="D14" i="10"/>
  <c r="I87" i="4"/>
  <c r="J11" i="10"/>
  <c r="L11" i="10" s="1"/>
  <c r="D11" i="10"/>
  <c r="K32" i="10"/>
  <c r="C54" i="10"/>
  <c r="K15" i="10"/>
  <c r="H41" i="10"/>
  <c r="F46" i="10"/>
  <c r="D42" i="10"/>
  <c r="J42" i="10"/>
  <c r="C35" i="10"/>
  <c r="K30" i="10"/>
  <c r="H23" i="10"/>
  <c r="K25" i="10"/>
  <c r="D33" i="10"/>
  <c r="B55" i="10"/>
  <c r="J33" i="10"/>
  <c r="D45" i="10"/>
  <c r="J45" i="10"/>
  <c r="L45" i="10" s="1"/>
  <c r="J16" i="10"/>
  <c r="L16" i="10" s="1"/>
  <c r="D16" i="10"/>
  <c r="I75" i="4"/>
  <c r="I137" i="4"/>
  <c r="D22" i="10"/>
  <c r="J22" i="10"/>
  <c r="G54" i="10"/>
  <c r="J31" i="10"/>
  <c r="B53" i="10"/>
  <c r="D31" i="10"/>
  <c r="J15" i="10"/>
  <c r="D15" i="10"/>
  <c r="I96" i="4"/>
  <c r="H20" i="10"/>
  <c r="K22" i="10"/>
  <c r="K10" i="10"/>
  <c r="D44" i="10"/>
  <c r="J44" i="10"/>
  <c r="I111" i="4"/>
  <c r="C55" i="10"/>
  <c r="K33" i="10"/>
  <c r="J13" i="10"/>
  <c r="D13" i="10"/>
  <c r="K13" i="10"/>
  <c r="H35" i="4"/>
  <c r="C56" i="10"/>
  <c r="K56" i="10" s="1"/>
  <c r="I119" i="4"/>
  <c r="F35" i="10"/>
  <c r="F52" i="10"/>
  <c r="H30" i="10"/>
  <c r="I135" i="4"/>
  <c r="I29" i="4"/>
  <c r="H31" i="10"/>
  <c r="F53" i="10"/>
  <c r="I89" i="4"/>
  <c r="J32" i="10"/>
  <c r="D32" i="10"/>
  <c r="B54" i="10"/>
  <c r="I66" i="4"/>
  <c r="J20" i="10"/>
  <c r="D20" i="10"/>
  <c r="B56" i="10"/>
  <c r="H66" i="4"/>
  <c r="H32" i="10"/>
  <c r="F54" i="10"/>
  <c r="I22" i="4"/>
  <c r="K41" i="10"/>
  <c r="C46" i="10"/>
  <c r="H119" i="4"/>
  <c r="H137" i="4"/>
  <c r="I136" i="4"/>
  <c r="H68" i="4"/>
  <c r="I68" i="4"/>
  <c r="K43" i="10"/>
  <c r="I10" i="4"/>
  <c r="H12" i="4"/>
  <c r="J26" i="10"/>
  <c r="L26" i="10" s="1"/>
  <c r="D26" i="10"/>
  <c r="I34" i="4"/>
  <c r="H9" i="10"/>
  <c r="J9" i="10"/>
  <c r="L9" i="10" s="1"/>
  <c r="J49" i="10"/>
  <c r="L49" i="10" s="1"/>
  <c r="D49" i="10"/>
  <c r="D21" i="10"/>
  <c r="J21" i="10"/>
  <c r="I39" i="4"/>
  <c r="I36" i="4"/>
  <c r="B35" i="10"/>
  <c r="J30" i="10"/>
  <c r="I7" i="4"/>
  <c r="K60" i="10"/>
  <c r="K38" i="10"/>
  <c r="H13" i="10"/>
  <c r="G35" i="10"/>
  <c r="G52" i="10"/>
  <c r="I35" i="4"/>
  <c r="D12" i="10"/>
  <c r="J12" i="10"/>
  <c r="I12" i="4"/>
  <c r="D43" i="10"/>
  <c r="J43" i="10"/>
  <c r="I134" i="4"/>
  <c r="I11" i="4"/>
  <c r="K20" i="10"/>
  <c r="D25" i="10"/>
  <c r="J25" i="10"/>
  <c r="J41" i="10"/>
  <c r="B46" i="10"/>
  <c r="K31" i="10"/>
  <c r="C53" i="10"/>
  <c r="L37" i="9"/>
  <c r="B68" i="9" l="1"/>
  <c r="H68" i="9"/>
  <c r="M119" i="79"/>
  <c r="M111" i="79"/>
  <c r="M22" i="79"/>
  <c r="M29" i="79"/>
  <c r="M10" i="79"/>
  <c r="M66" i="79"/>
  <c r="M7" i="79"/>
  <c r="M87" i="79"/>
  <c r="J66" i="9"/>
  <c r="B17" i="10"/>
  <c r="M27" i="9"/>
  <c r="L15" i="9"/>
  <c r="J57" i="9" l="1"/>
  <c r="J59" i="9"/>
  <c r="J47" i="9"/>
  <c r="M7" i="72"/>
  <c r="M7" i="74"/>
  <c r="J37" i="9"/>
  <c r="M22" i="9"/>
  <c r="M19" i="9"/>
  <c r="M35" i="9"/>
  <c r="N26" i="9"/>
  <c r="L19" i="9"/>
  <c r="M20" i="9"/>
  <c r="N20" i="9"/>
  <c r="L25" i="9"/>
  <c r="M37" i="9"/>
  <c r="N40" i="9"/>
  <c r="N28" i="9"/>
  <c r="L40" i="9"/>
  <c r="O29" i="9"/>
  <c r="O15" i="9"/>
  <c r="N22" i="9"/>
  <c r="O16" i="9"/>
  <c r="L38" i="9"/>
  <c r="M14" i="9"/>
  <c r="L12" i="9"/>
  <c r="N18" i="9"/>
  <c r="O36" i="9"/>
  <c r="N38" i="9"/>
  <c r="O10" i="9"/>
  <c r="O35" i="9"/>
  <c r="M31" i="9"/>
  <c r="N25" i="9"/>
  <c r="O22" i="9"/>
  <c r="L27" i="9"/>
  <c r="N10" i="9"/>
  <c r="M28" i="9"/>
  <c r="M10" i="9"/>
  <c r="N9" i="9"/>
  <c r="L20" i="9"/>
  <c r="O18" i="9"/>
  <c r="N14" i="9"/>
  <c r="O20" i="9"/>
  <c r="M38" i="9"/>
  <c r="L39" i="9"/>
  <c r="O24" i="9"/>
  <c r="M12" i="9"/>
  <c r="L26" i="9"/>
  <c r="M36" i="9"/>
  <c r="M26" i="9"/>
  <c r="M25" i="9"/>
  <c r="O38" i="9"/>
  <c r="O30" i="9"/>
  <c r="L16" i="9"/>
  <c r="L10" i="9"/>
  <c r="O17" i="9"/>
  <c r="L28" i="9"/>
  <c r="M40" i="9"/>
  <c r="N16" i="9"/>
  <c r="N36" i="9"/>
  <c r="O37" i="9"/>
  <c r="O31" i="9"/>
  <c r="N35" i="9"/>
  <c r="N19" i="9"/>
  <c r="O19" i="9"/>
  <c r="L24" i="9"/>
  <c r="O40" i="9"/>
  <c r="L9" i="9"/>
  <c r="O25" i="9"/>
  <c r="L17" i="9"/>
  <c r="N30" i="9"/>
  <c r="M30" i="9"/>
  <c r="O14" i="9"/>
  <c r="N12" i="9"/>
  <c r="N31" i="9"/>
  <c r="M17" i="9"/>
  <c r="N24" i="9"/>
  <c r="L14" i="9"/>
  <c r="L18" i="9"/>
  <c r="M15" i="9"/>
  <c r="L22" i="9"/>
  <c r="M29" i="9"/>
  <c r="N27" i="9"/>
  <c r="O28" i="9"/>
  <c r="L31" i="9"/>
  <c r="N15" i="9"/>
  <c r="M9" i="9"/>
  <c r="L35" i="9"/>
  <c r="M39" i="9"/>
  <c r="M24" i="9"/>
  <c r="N29" i="9"/>
  <c r="M16" i="9"/>
  <c r="M18" i="9"/>
  <c r="N17" i="9"/>
  <c r="O9" i="9"/>
  <c r="O26" i="9"/>
  <c r="L36" i="9"/>
  <c r="N39" i="9"/>
  <c r="L29" i="9"/>
  <c r="N37" i="9"/>
  <c r="O39" i="9"/>
  <c r="O12" i="9"/>
  <c r="O27" i="9"/>
  <c r="J25" i="4" l="1"/>
  <c r="M33" i="23"/>
  <c r="M33" i="33"/>
  <c r="M33" i="37"/>
  <c r="M33" i="29"/>
  <c r="M35" i="37"/>
  <c r="M22" i="37"/>
  <c r="M29" i="37"/>
  <c r="M135" i="37"/>
  <c r="M37" i="37"/>
  <c r="M66" i="37"/>
  <c r="M111" i="37"/>
  <c r="M10" i="37"/>
  <c r="M136" i="37"/>
  <c r="M75" i="37"/>
  <c r="M134" i="37"/>
  <c r="M36" i="37"/>
  <c r="M12" i="37"/>
  <c r="M89" i="37"/>
  <c r="M87" i="37"/>
  <c r="M25" i="37"/>
  <c r="M11" i="37"/>
  <c r="M7" i="37"/>
  <c r="M34" i="37"/>
  <c r="M119" i="37"/>
  <c r="M68" i="37"/>
  <c r="M96" i="37"/>
  <c r="L24" i="10"/>
  <c r="L14" i="10"/>
  <c r="J39" i="4"/>
  <c r="J75" i="4"/>
  <c r="J96" i="4"/>
  <c r="L15" i="10"/>
  <c r="L45" i="9"/>
  <c r="M41" i="9"/>
  <c r="M63" i="9"/>
  <c r="O62" i="9"/>
  <c r="L50" i="9"/>
  <c r="M45" i="9"/>
  <c r="M52" i="9"/>
  <c r="O52" i="9"/>
  <c r="N55" i="9"/>
  <c r="O65" i="9"/>
  <c r="O51" i="9"/>
  <c r="M55" i="9"/>
  <c r="N52" i="9"/>
  <c r="N49" i="9"/>
  <c r="O64" i="9"/>
  <c r="M62" i="9"/>
  <c r="L60" i="9"/>
  <c r="L53" i="9"/>
  <c r="L58" i="9"/>
  <c r="M67" i="9"/>
  <c r="L64" i="9"/>
  <c r="M32" i="9"/>
  <c r="O50" i="9"/>
  <c r="L41" i="9"/>
  <c r="L49" i="9"/>
  <c r="M65" i="9"/>
  <c r="N32" i="9"/>
  <c r="M56" i="9"/>
  <c r="O41" i="9"/>
  <c r="N51" i="9"/>
  <c r="O45" i="9"/>
  <c r="L55" i="9"/>
  <c r="N65" i="9"/>
  <c r="M58" i="9"/>
  <c r="O58" i="9"/>
  <c r="N63" i="9"/>
  <c r="O54" i="9"/>
  <c r="L56" i="9"/>
  <c r="L63" i="9"/>
  <c r="N60" i="9"/>
  <c r="N50" i="9"/>
  <c r="O55" i="9"/>
  <c r="O67" i="9"/>
  <c r="O63" i="9"/>
  <c r="L54" i="9"/>
  <c r="O60" i="9"/>
  <c r="N45" i="9"/>
  <c r="L67" i="9"/>
  <c r="M64" i="9"/>
  <c r="N58" i="9"/>
  <c r="M50" i="9"/>
  <c r="O32" i="9"/>
  <c r="M53" i="9"/>
  <c r="M54" i="9"/>
  <c r="N64" i="9"/>
  <c r="N46" i="9"/>
  <c r="L62" i="9"/>
  <c r="M49" i="9"/>
  <c r="M51" i="9"/>
  <c r="N41" i="9"/>
  <c r="N56" i="9"/>
  <c r="M46" i="9"/>
  <c r="N67" i="9"/>
  <c r="N54" i="9"/>
  <c r="L32" i="9"/>
  <c r="M60" i="9"/>
  <c r="L51" i="9"/>
  <c r="O53" i="9"/>
  <c r="O49" i="9"/>
  <c r="O46" i="9"/>
  <c r="N62" i="9"/>
  <c r="O56" i="9"/>
  <c r="L46" i="9"/>
  <c r="L42" i="10"/>
  <c r="J11" i="4"/>
  <c r="M11" i="13"/>
  <c r="M11" i="33"/>
  <c r="M11" i="23"/>
  <c r="M11" i="29"/>
  <c r="J10" i="4"/>
  <c r="M10" i="20"/>
  <c r="M10" i="23"/>
  <c r="M10" i="13"/>
  <c r="M10" i="51"/>
  <c r="M10" i="16"/>
  <c r="M10" i="29"/>
  <c r="M10" i="33"/>
  <c r="M68" i="13"/>
  <c r="M68" i="23"/>
  <c r="M68" i="29"/>
  <c r="M68" i="33"/>
  <c r="M136" i="26"/>
  <c r="M119" i="23"/>
  <c r="M119" i="13"/>
  <c r="M119" i="29"/>
  <c r="M119" i="33"/>
  <c r="M111" i="23"/>
  <c r="M111" i="29"/>
  <c r="M111" i="13"/>
  <c r="M111" i="33"/>
  <c r="J7" i="4"/>
  <c r="M7" i="19"/>
  <c r="M7" i="13"/>
  <c r="M7" i="23"/>
  <c r="M7" i="22"/>
  <c r="M7" i="25"/>
  <c r="M7" i="20"/>
  <c r="M7" i="29"/>
  <c r="M7" i="16"/>
  <c r="M7" i="51"/>
  <c r="M7" i="33"/>
  <c r="J22" i="4"/>
  <c r="M22" i="20"/>
  <c r="M22" i="13"/>
  <c r="M22" i="51"/>
  <c r="M22" i="19"/>
  <c r="M22" i="23"/>
  <c r="M22" i="29"/>
  <c r="M22" i="33"/>
  <c r="M22" i="16"/>
  <c r="M29" i="23"/>
  <c r="M29" i="13"/>
  <c r="M29" i="29"/>
  <c r="M29" i="51"/>
  <c r="M29" i="16"/>
  <c r="M29" i="20"/>
  <c r="M29" i="33"/>
  <c r="M137" i="26"/>
  <c r="M87" i="13"/>
  <c r="M87" i="23"/>
  <c r="M87" i="33"/>
  <c r="M87" i="29"/>
  <c r="M35" i="13"/>
  <c r="M35" i="23"/>
  <c r="M35" i="29"/>
  <c r="M35" i="33"/>
  <c r="M39" i="13"/>
  <c r="M34" i="13"/>
  <c r="M34" i="23"/>
  <c r="M34" i="29"/>
  <c r="M34" i="33"/>
  <c r="M66" i="13"/>
  <c r="M66" i="33"/>
  <c r="M66" i="23"/>
  <c r="M66" i="29"/>
  <c r="M89" i="13"/>
  <c r="M89" i="23"/>
  <c r="M89" i="29"/>
  <c r="M89" i="33"/>
  <c r="M96" i="33"/>
  <c r="M75" i="33"/>
  <c r="J37" i="4"/>
  <c r="M37" i="13"/>
  <c r="I63" i="9"/>
  <c r="M134" i="26"/>
  <c r="M134" i="34"/>
  <c r="M12" i="13"/>
  <c r="M12" i="23"/>
  <c r="M12" i="29"/>
  <c r="M12" i="33"/>
  <c r="J36" i="4"/>
  <c r="M36" i="13"/>
  <c r="L21" i="10"/>
  <c r="H53" i="10"/>
  <c r="M135" i="26"/>
  <c r="M135" i="34"/>
  <c r="M25" i="13"/>
  <c r="M25" i="29"/>
  <c r="M25" i="33"/>
  <c r="L31" i="10"/>
  <c r="L22" i="10"/>
  <c r="L12" i="10"/>
  <c r="L10" i="10"/>
  <c r="I58" i="9"/>
  <c r="I67" i="9"/>
  <c r="I52" i="9"/>
  <c r="I49" i="9"/>
  <c r="I32" i="9"/>
  <c r="D41" i="9"/>
  <c r="G17" i="10"/>
  <c r="E36" i="9"/>
  <c r="E35" i="9"/>
  <c r="E40" i="9"/>
  <c r="E39" i="9"/>
  <c r="E38" i="9"/>
  <c r="F17" i="10"/>
  <c r="J17" i="10" s="1"/>
  <c r="E37" i="9"/>
  <c r="B27" i="10"/>
  <c r="J27" i="10" s="1"/>
  <c r="J38" i="9"/>
  <c r="G27" i="10"/>
  <c r="H27" i="10" s="1"/>
  <c r="J48" i="9"/>
  <c r="C27" i="10"/>
  <c r="J39" i="9"/>
  <c r="J35" i="9"/>
  <c r="I41" i="9"/>
  <c r="J36" i="9"/>
  <c r="J40" i="9"/>
  <c r="J119" i="4"/>
  <c r="J137" i="4"/>
  <c r="J135" i="4"/>
  <c r="J111" i="4"/>
  <c r="J12" i="4"/>
  <c r="J66" i="4"/>
  <c r="J35" i="4"/>
  <c r="J134" i="4"/>
  <c r="J34" i="4"/>
  <c r="J136" i="4"/>
  <c r="J68" i="4"/>
  <c r="J89" i="4"/>
  <c r="J87" i="4"/>
  <c r="J29" i="4"/>
  <c r="K53" i="10"/>
  <c r="K55" i="10"/>
  <c r="L44" i="10"/>
  <c r="L23" i="10"/>
  <c r="H55" i="10"/>
  <c r="L30" i="10"/>
  <c r="G57" i="10"/>
  <c r="L32" i="10"/>
  <c r="H54" i="10"/>
  <c r="L43" i="10"/>
  <c r="K46" i="10"/>
  <c r="H46" i="10"/>
  <c r="L41" i="10"/>
  <c r="L13" i="10"/>
  <c r="L25" i="10"/>
  <c r="H30" i="4"/>
  <c r="J30" i="4" s="1"/>
  <c r="K54" i="10"/>
  <c r="L38" i="10"/>
  <c r="D46" i="10"/>
  <c r="J46" i="10"/>
  <c r="J52" i="10"/>
  <c r="B57" i="10"/>
  <c r="J54" i="10"/>
  <c r="D54" i="10"/>
  <c r="F57" i="10"/>
  <c r="H52" i="10"/>
  <c r="L33" i="10"/>
  <c r="K35" i="10"/>
  <c r="L20" i="10"/>
  <c r="H35" i="10"/>
  <c r="J53" i="10"/>
  <c r="D53" i="10"/>
  <c r="D55" i="10"/>
  <c r="J55" i="10"/>
  <c r="K52" i="10"/>
  <c r="C57" i="10"/>
  <c r="J60" i="10"/>
  <c r="L60" i="10" s="1"/>
  <c r="D60" i="10"/>
  <c r="J35" i="10"/>
  <c r="D35" i="10"/>
  <c r="D56" i="10"/>
  <c r="J56" i="10"/>
  <c r="L56" i="10" s="1"/>
  <c r="L30" i="9"/>
  <c r="N53" i="9" l="1"/>
  <c r="L52" i="9"/>
  <c r="L68" i="9" s="1"/>
  <c r="L65" i="9"/>
  <c r="J65" i="9"/>
  <c r="I65" i="9" s="1"/>
  <c r="J61" i="9"/>
  <c r="L55" i="10"/>
  <c r="M68" i="9"/>
  <c r="O68" i="9"/>
  <c r="N68" i="9"/>
  <c r="L53" i="10"/>
  <c r="J41" i="9"/>
  <c r="I68" i="9"/>
  <c r="E41" i="9"/>
  <c r="H17" i="10"/>
  <c r="J52" i="9"/>
  <c r="J51" i="9"/>
  <c r="I51" i="9" s="1"/>
  <c r="D27" i="10"/>
  <c r="K27" i="10"/>
  <c r="J46" i="9"/>
  <c r="I46" i="9" s="1"/>
  <c r="J54" i="9"/>
  <c r="I54" i="9" s="1"/>
  <c r="J56" i="9"/>
  <c r="I56" i="9" s="1"/>
  <c r="J45" i="9"/>
  <c r="I45" i="9" s="1"/>
  <c r="J58" i="9"/>
  <c r="J53" i="9"/>
  <c r="I53" i="9" s="1"/>
  <c r="J60" i="9"/>
  <c r="I60" i="9" s="1"/>
  <c r="J49" i="9"/>
  <c r="J67" i="9"/>
  <c r="J64" i="9"/>
  <c r="I64" i="9" s="1"/>
  <c r="J55" i="9"/>
  <c r="I55" i="9" s="1"/>
  <c r="J50" i="9"/>
  <c r="I50" i="9" s="1"/>
  <c r="J62" i="9"/>
  <c r="I62" i="9" s="1"/>
  <c r="J63" i="9"/>
  <c r="K57" i="10"/>
  <c r="H57" i="10"/>
  <c r="L46" i="10"/>
  <c r="L35" i="10"/>
  <c r="L54" i="10"/>
  <c r="J57" i="10"/>
  <c r="D57" i="10"/>
  <c r="L52" i="10"/>
  <c r="L27" i="10" l="1"/>
  <c r="J68" i="9"/>
  <c r="L57" i="10"/>
  <c r="D30" i="9" l="1"/>
  <c r="N29" i="8" l="1"/>
  <c r="C66" i="9"/>
  <c r="D66" i="9" l="1"/>
  <c r="C68" i="9"/>
  <c r="E59" i="9" s="1"/>
  <c r="E11" i="9"/>
  <c r="E25" i="9"/>
  <c r="D32" i="9"/>
  <c r="E22" i="9"/>
  <c r="E13" i="9"/>
  <c r="E31" i="9"/>
  <c r="E19" i="9"/>
  <c r="E28" i="9"/>
  <c r="E14" i="9"/>
  <c r="E9" i="9"/>
  <c r="E24" i="9"/>
  <c r="E12" i="9"/>
  <c r="C17" i="10"/>
  <c r="K17" i="10" s="1"/>
  <c r="L17" i="10" s="1"/>
  <c r="E26" i="9"/>
  <c r="E30" i="9"/>
  <c r="E17" i="9"/>
  <c r="E20" i="9"/>
  <c r="E16" i="9"/>
  <c r="E10" i="9"/>
  <c r="E27" i="9"/>
  <c r="E29" i="9"/>
  <c r="E15" i="9"/>
  <c r="E18" i="9"/>
  <c r="E66" i="9"/>
  <c r="E32" i="9" l="1"/>
  <c r="E47" i="9"/>
  <c r="E57" i="9"/>
  <c r="D68" i="9"/>
  <c r="D17" i="10"/>
  <c r="E48" i="9"/>
  <c r="E56" i="9"/>
  <c r="D56" i="9" s="1"/>
  <c r="E67" i="9"/>
  <c r="D67" i="9" s="1"/>
  <c r="E60" i="9"/>
  <c r="D60" i="9" s="1"/>
  <c r="E62" i="9"/>
  <c r="D62" i="9" s="1"/>
  <c r="E51" i="9"/>
  <c r="D51" i="9" s="1"/>
  <c r="E54" i="9"/>
  <c r="D54" i="9" s="1"/>
  <c r="E46" i="9"/>
  <c r="D46" i="9" s="1"/>
  <c r="E55" i="9"/>
  <c r="D55" i="9" s="1"/>
  <c r="E45" i="9"/>
  <c r="D45" i="9" s="1"/>
  <c r="E52" i="9"/>
  <c r="D52" i="9" s="1"/>
  <c r="E63" i="9"/>
  <c r="D63" i="9" s="1"/>
  <c r="E61" i="9"/>
  <c r="E49" i="9"/>
  <c r="D49" i="9" s="1"/>
  <c r="E65" i="9"/>
  <c r="D65" i="9" s="1"/>
  <c r="E53" i="9"/>
  <c r="D53" i="9" s="1"/>
  <c r="E64" i="9"/>
  <c r="D64" i="9" s="1"/>
  <c r="E50" i="9"/>
  <c r="D50" i="9" s="1"/>
  <c r="E58" i="9"/>
  <c r="D58" i="9" s="1"/>
  <c r="E68"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Spørring - Data" description="Tilkobling til spørringen Data i arbeidsboken." type="5" refreshedVersion="8" background="1" refreshOnLoad="1">
    <dbPr connection="Provider=Microsoft.Mashup.OleDb.1;Data Source=$Workbook$;Location=Data;Extended Properties=&quot;&quot;" command="SELECT * FROM [Data]"/>
  </connection>
</connections>
</file>

<file path=xl/sharedStrings.xml><?xml version="1.0" encoding="utf-8"?>
<sst xmlns="http://schemas.openxmlformats.org/spreadsheetml/2006/main" count="5414" uniqueCount="421">
  <si>
    <t>Produkter uten investeringsvalg</t>
  </si>
  <si>
    <t>Produkter med investeringsvalg</t>
  </si>
  <si>
    <t>Totalt</t>
  </si>
  <si>
    <t>Endring</t>
  </si>
  <si>
    <t>i %</t>
  </si>
  <si>
    <t xml:space="preserve">                     </t>
  </si>
  <si>
    <t xml:space="preserve">      Gjeldsgruppeliv</t>
  </si>
  <si>
    <t xml:space="preserve">      Foreningsgruppeliv</t>
  </si>
  <si>
    <t xml:space="preserve">      Andre grupper</t>
  </si>
  <si>
    <t xml:space="preserve">   Ytelsesbasert</t>
  </si>
  <si>
    <t xml:space="preserve">   Innskuddsbasert</t>
  </si>
  <si>
    <t xml:space="preserve">      herav kapitaliseringsprodukt IPA+IPS</t>
  </si>
  <si>
    <t xml:space="preserve">        Inv.valg foretak</t>
  </si>
  <si>
    <t xml:space="preserve">        Inv.valg kontohaver</t>
  </si>
  <si>
    <t xml:space="preserve">    Til pensjonskasser</t>
  </si>
  <si>
    <t xml:space="preserve">    Fra pensjonskasser</t>
  </si>
  <si>
    <t>Noter til tabellene</t>
  </si>
  <si>
    <t>Gruppeliv bedrift tilsvarer tjenestegruppeliv.</t>
  </si>
  <si>
    <t>Gruppeliv privat består av foreningsgruppeliv, gjeldsgruppeliv og annet.</t>
  </si>
  <si>
    <t xml:space="preserve">Engangsbetalt alderspensjon er innskuddsbasert pensjon med dødelighetsarv. </t>
  </si>
  <si>
    <t>LOF/LOI betyr lov om foretakspensjon og lov om innskuddspensjon.</t>
  </si>
  <si>
    <t>Overførte reserver fra andre tilsvarer post 1.3 i resultatregnskapet samt overførte tilleggsavsetninger som tilsvarer post 6.6 i  resultatregnskapet.</t>
  </si>
  <si>
    <t>Flytting av en gruppelivsordning fra andre eller til andre måles i brutto årlig premie (ikke brutto forfalt premie).</t>
  </si>
  <si>
    <r>
      <t xml:space="preserve">Brutto forfalt premie </t>
    </r>
    <r>
      <rPr>
        <b/>
        <vertAlign val="superscript"/>
        <sz val="10"/>
        <rFont val="Times New Roman"/>
        <family val="1"/>
      </rPr>
      <t>1</t>
    </r>
  </si>
  <si>
    <r>
      <t xml:space="preserve">    Herav brutto risikopremie uførekapital </t>
    </r>
    <r>
      <rPr>
        <vertAlign val="superscript"/>
        <sz val="10"/>
        <rFont val="Times New Roman"/>
        <family val="1"/>
      </rPr>
      <t>2</t>
    </r>
  </si>
  <si>
    <r>
      <t xml:space="preserve">    Herav brutto risikopremie død </t>
    </r>
    <r>
      <rPr>
        <vertAlign val="superscript"/>
        <sz val="10"/>
        <rFont val="Times New Roman"/>
        <family val="1"/>
      </rPr>
      <t>2</t>
    </r>
  </si>
  <si>
    <t xml:space="preserve">   Etter tjenestepensjonsloven</t>
  </si>
  <si>
    <t>Tabell 5: Kommunale ordninger</t>
  </si>
  <si>
    <t>Tabell 1 : Individuell kapitalforsikring*</t>
  </si>
  <si>
    <t>Markeds-</t>
  </si>
  <si>
    <t>andel</t>
  </si>
  <si>
    <t>INNHOLDSFORTEGNELSE</t>
  </si>
  <si>
    <t>FIGURER</t>
  </si>
  <si>
    <t>Figur 1</t>
  </si>
  <si>
    <t>Brutto forfalt premie livprodukter - produkter uten investeringsvalg</t>
  </si>
  <si>
    <t>Figur 2</t>
  </si>
  <si>
    <t>Brutto forfalt premie livprodukter - produkter med investeringsvalg</t>
  </si>
  <si>
    <t>Figur 3</t>
  </si>
  <si>
    <t>Figur 4</t>
  </si>
  <si>
    <t>Figur 5</t>
  </si>
  <si>
    <t>Forsikringsforpliktelser livprodukter - produkter uten investeringsvalg</t>
  </si>
  <si>
    <t>Figur 6</t>
  </si>
  <si>
    <t>Forsikringsforpliktelser livprodukter - produkter med investeringsvalg</t>
  </si>
  <si>
    <t>Netto tilflytting livprodukter - produkter uten investeringsvalg</t>
  </si>
  <si>
    <t>Netto tilflytting livprodukter - produkter med investeringsvalg</t>
  </si>
  <si>
    <t>TABELLER</t>
  </si>
  <si>
    <t>MARKEDSDEL</t>
  </si>
  <si>
    <t>Tabell 1.1</t>
  </si>
  <si>
    <t>Hovedtall - produkter uten  og med investeringsvalg</t>
  </si>
  <si>
    <t>Tabell 1.2</t>
  </si>
  <si>
    <t>Hovedtall - fordelt på bransjer</t>
  </si>
  <si>
    <t>NOTER OG KOMMENTARER</t>
  </si>
  <si>
    <t>Tilbake</t>
  </si>
  <si>
    <t xml:space="preserve">Brutto forfalt premie livprodukter </t>
  </si>
  <si>
    <t>DNB Liv</t>
  </si>
  <si>
    <t>Eika Forsikring</t>
  </si>
  <si>
    <t>Frende Livsfors</t>
  </si>
  <si>
    <t>Frende Skade</t>
  </si>
  <si>
    <t>Gjensidige Fors</t>
  </si>
  <si>
    <t>Gjensidige Pensj</t>
  </si>
  <si>
    <t>If Skadefors</t>
  </si>
  <si>
    <t>KLP</t>
  </si>
  <si>
    <t>KLP Skadef</t>
  </si>
  <si>
    <t>Nordea Liv</t>
  </si>
  <si>
    <t>OPF</t>
  </si>
  <si>
    <t>SpareBank 1</t>
  </si>
  <si>
    <t>Telenor Fors</t>
  </si>
  <si>
    <t>Tryg Fors</t>
  </si>
  <si>
    <t>Storebrand</t>
  </si>
  <si>
    <t>Forsikringsforpliktelser i livsforsikring</t>
  </si>
  <si>
    <t xml:space="preserve">Netto tilflytting </t>
  </si>
  <si>
    <t>Netto tilflytting</t>
  </si>
  <si>
    <t>Markedsdel, endelig år</t>
  </si>
  <si>
    <t>Tabell 1.1 Hovedtall</t>
  </si>
  <si>
    <t>Produkter med og uten investeringsvalg</t>
  </si>
  <si>
    <r>
      <t>Brutto forfalt premie</t>
    </r>
    <r>
      <rPr>
        <sz val="14"/>
        <rFont val="Times New Roman"/>
        <family val="1"/>
      </rPr>
      <t xml:space="preserve"> </t>
    </r>
    <r>
      <rPr>
        <vertAlign val="superscript"/>
        <sz val="14"/>
        <rFont val="Times New Roman"/>
        <family val="1"/>
      </rPr>
      <t>1)</t>
    </r>
  </si>
  <si>
    <t>%-</t>
  </si>
  <si>
    <t>Beløp i 1000  kroner</t>
  </si>
  <si>
    <t>endring</t>
  </si>
  <si>
    <t>DNB Livsforsikring</t>
  </si>
  <si>
    <t>Eika Forsikring AS</t>
  </si>
  <si>
    <t>Frende Livsforsikring</t>
  </si>
  <si>
    <t>Frende Skadeforsikring</t>
  </si>
  <si>
    <t>Gjensidige Forsikring</t>
  </si>
  <si>
    <t>Gjensidige Pensjon</t>
  </si>
  <si>
    <t>If Skadeforsikring NUF</t>
  </si>
  <si>
    <t>KLP Skadeforsikring AS</t>
  </si>
  <si>
    <t xml:space="preserve">Nordea Liv </t>
  </si>
  <si>
    <t>Oslo Pensjonsforsikring</t>
  </si>
  <si>
    <t>Storebrand Livsforsikring</t>
  </si>
  <si>
    <t>Telenor Forsikring</t>
  </si>
  <si>
    <t>Tryg Forsikring</t>
  </si>
  <si>
    <t>Totalt uten investeringsvalg</t>
  </si>
  <si>
    <t>Totalt med investeringsvalg</t>
  </si>
  <si>
    <t>Alle produkter</t>
  </si>
  <si>
    <t>Noter : Se "Noter og kommentarer"</t>
  </si>
  <si>
    <t>Tabell 1.2 Hovedtall</t>
  </si>
  <si>
    <t>Fordelt på bransjer</t>
  </si>
  <si>
    <t>Totalt alle produkter</t>
  </si>
  <si>
    <t>%</t>
  </si>
  <si>
    <t>Beløp i 1000 kr.</t>
  </si>
  <si>
    <r>
      <t xml:space="preserve">Brutto forfalt premie </t>
    </r>
    <r>
      <rPr>
        <vertAlign val="superscript"/>
        <sz val="14"/>
        <rFont val="Times New Roman"/>
        <family val="1"/>
      </rPr>
      <t>1)</t>
    </r>
  </si>
  <si>
    <t xml:space="preserve">   Individuell kapitalforsikring</t>
  </si>
  <si>
    <t xml:space="preserve">   Individuell pensjonsforsikring</t>
  </si>
  <si>
    <t xml:space="preserve">   Gruppeliv</t>
  </si>
  <si>
    <t xml:space="preserve">   Privat kollektiv pensjon</t>
  </si>
  <si>
    <t xml:space="preserve">     - herav innskuddsbasert *</t>
  </si>
  <si>
    <t xml:space="preserve">     - herav etter tjenestepensjonsloven</t>
  </si>
  <si>
    <t xml:space="preserve">   Foreningskollektiv</t>
  </si>
  <si>
    <t>Totalt brutto forfalt premie</t>
  </si>
  <si>
    <r>
      <t xml:space="preserve">     - herav innskuddsbasert </t>
    </r>
    <r>
      <rPr>
        <vertAlign val="superscript"/>
        <sz val="14"/>
        <rFont val="Times New Roman"/>
        <family val="1"/>
      </rPr>
      <t>*</t>
    </r>
  </si>
  <si>
    <t>Totalt forsikringsforpliktelser</t>
  </si>
  <si>
    <t>Totalt overførte reserver fra andre</t>
  </si>
  <si>
    <t>Totalt overførte reserver til andre</t>
  </si>
  <si>
    <t>Totalt netto overførte reserver fra andre</t>
  </si>
  <si>
    <t xml:space="preserve">* "Innskuddsbasert" er summen av "Engangsbetalt" og "Innskuddspensjon". </t>
  </si>
  <si>
    <t>** Bokført verdi, se tabell 6 i statistikken.</t>
  </si>
  <si>
    <t>DNB Livsforsikring ASA</t>
  </si>
  <si>
    <t>Frende Livsforsikring AS</t>
  </si>
  <si>
    <t>Frende Skadeforsikring AS</t>
  </si>
  <si>
    <t>If Skadeforsikring nuf</t>
  </si>
  <si>
    <t>Telenor Forsikring AS</t>
  </si>
  <si>
    <t>SpareBank 1 Forsikring AS</t>
  </si>
  <si>
    <t>KLP Skadeforsikring</t>
  </si>
  <si>
    <t>Selskap</t>
  </si>
  <si>
    <t>Flytting fra andre</t>
  </si>
  <si>
    <t>Flytting til andre</t>
  </si>
  <si>
    <t>Q8</t>
  </si>
  <si>
    <t>Q9</t>
  </si>
  <si>
    <t>Q10</t>
  </si>
  <si>
    <t>Q16</t>
  </si>
  <si>
    <t>R7</t>
  </si>
  <si>
    <t>R8</t>
  </si>
  <si>
    <t>R9</t>
  </si>
  <si>
    <t>R10</t>
  </si>
  <si>
    <t>R14</t>
  </si>
  <si>
    <t>R15</t>
  </si>
  <si>
    <t>Q17</t>
  </si>
  <si>
    <t>Q18</t>
  </si>
  <si>
    <t>R11</t>
  </si>
  <si>
    <t>Tabell 1.3 Hovedtall</t>
  </si>
  <si>
    <t>Aktivaposter (aggregert)</t>
  </si>
  <si>
    <t>i mill. kr</t>
  </si>
  <si>
    <t>prosentvis andel</t>
  </si>
  <si>
    <t>Selskapsporteføljen</t>
  </si>
  <si>
    <t xml:space="preserve">   Aksjer</t>
  </si>
  <si>
    <t xml:space="preserve">   Eiendom</t>
  </si>
  <si>
    <t xml:space="preserve">   Datterforetak m.m.</t>
  </si>
  <si>
    <t xml:space="preserve">   Utlån</t>
  </si>
  <si>
    <t xml:space="preserve">   Annet</t>
  </si>
  <si>
    <t>Kollektivporteføljen</t>
  </si>
  <si>
    <t>Investeringsvalgporteføljen</t>
  </si>
  <si>
    <t>Tallene er hentet fra tabell 6 Balanse.</t>
  </si>
  <si>
    <t>Regnskapsdel, endelig år</t>
  </si>
  <si>
    <t>Tabell 6</t>
  </si>
  <si>
    <t>Balanse</t>
  </si>
  <si>
    <t>DNB</t>
  </si>
  <si>
    <t>Frende</t>
  </si>
  <si>
    <t>Gjensidige</t>
  </si>
  <si>
    <t xml:space="preserve"> </t>
  </si>
  <si>
    <t>Oslo</t>
  </si>
  <si>
    <t>Pensjonsforsikring</t>
  </si>
  <si>
    <t>Livsforsikring</t>
  </si>
  <si>
    <t>Pensjon</t>
  </si>
  <si>
    <r>
      <t>alle livselskaper</t>
    </r>
    <r>
      <rPr>
        <b/>
        <vertAlign val="superscript"/>
        <sz val="14"/>
        <rFont val="Times New Roman"/>
        <family val="1"/>
      </rPr>
      <t xml:space="preserve"> </t>
    </r>
  </si>
  <si>
    <t>Beløp i millioner kroner</t>
  </si>
  <si>
    <t>EIENDELER</t>
  </si>
  <si>
    <t>EIENDELER I SELSKAPSPORTEFØLJEN</t>
  </si>
  <si>
    <t>2. Investeringer i selskapsporteføljen</t>
  </si>
  <si>
    <t xml:space="preserve">    2.1 Bygninger og andre faste eiendommer</t>
  </si>
  <si>
    <t xml:space="preserve">    2.2 Datterforetak, tilknyttede foretak og felleskontrollerte foretak</t>
  </si>
  <si>
    <t xml:space="preserve">    2.3 Finansielle eiendeler som måles til amortisert kost</t>
  </si>
  <si>
    <t xml:space="preserve">            - Obligasjoner</t>
  </si>
  <si>
    <t xml:space="preserve">         2.3.2 Utlån og fordringer</t>
  </si>
  <si>
    <t xml:space="preserve">    2.4 Finansielle eiendeler som måles til virkelig verdi</t>
  </si>
  <si>
    <t xml:space="preserve">         2.4.1 Aksjer og andeler (inkl. aksjer og andeler målt til kost)</t>
  </si>
  <si>
    <t xml:space="preserve">         2.4.3 Utlån og fordringer</t>
  </si>
  <si>
    <t xml:space="preserve">         2.4.4 Finansielle derivater</t>
  </si>
  <si>
    <t xml:space="preserve">         2.4.5 Andre finansielle eiendeler</t>
  </si>
  <si>
    <t xml:space="preserve">    2.5 Gjenforsikringsdepoter</t>
  </si>
  <si>
    <t xml:space="preserve">    Sum investeringer i selskapsporteføljen</t>
  </si>
  <si>
    <t>Annet - postene 1, 3, 4 og 5</t>
  </si>
  <si>
    <t>Sum eiendeler i selskapsporteføljen</t>
  </si>
  <si>
    <t>EIENDELER I KUNDEPORTEFØLJENE</t>
  </si>
  <si>
    <t>6. Investeringer i kollektivporteføljen</t>
  </si>
  <si>
    <t xml:space="preserve">    6.1 Bygninger og andre faste eiendommer</t>
  </si>
  <si>
    <t xml:space="preserve">    6.2 Datterforetak, tilknyttede foretak og felleskontrollerte foretak</t>
  </si>
  <si>
    <t xml:space="preserve">    6.3 Finansielle eiendeler som måles til amortisert kost</t>
  </si>
  <si>
    <t xml:space="preserve">         6.3.2 Utlån og fordringer</t>
  </si>
  <si>
    <t xml:space="preserve">    6.4 Finansielle eiendeler som måles til virkelig verdi</t>
  </si>
  <si>
    <t xml:space="preserve">         6.4.1 Aksjer og andeler (inkl. aksjer og andeler målt til kost)</t>
  </si>
  <si>
    <t xml:space="preserve">         6.4.3 Utlån og fordringer</t>
  </si>
  <si>
    <t xml:space="preserve">         6.4.4 Finansielle derivater</t>
  </si>
  <si>
    <t xml:space="preserve">         6.4.5 Andre finansielle eiendeler</t>
  </si>
  <si>
    <t xml:space="preserve">    Sum investeringer i kollektivporteføljen</t>
  </si>
  <si>
    <t>8. Investeringer i investeringsvalgporteføljen</t>
  </si>
  <si>
    <t xml:space="preserve">    8.1 Bygninger og andre faste eiendommer</t>
  </si>
  <si>
    <t xml:space="preserve">    8.2 Datterforetak, tilknyttede foretak og felleskontrollerte foretak</t>
  </si>
  <si>
    <t xml:space="preserve">    8.3 Finansielle eiendeler som måles til amortisert kost</t>
  </si>
  <si>
    <t xml:space="preserve">         8.3.2 Utlån og fordringer</t>
  </si>
  <si>
    <t xml:space="preserve">    8.4 Finansielle eiendeler som måles til virkelig verdi</t>
  </si>
  <si>
    <t xml:space="preserve">         8.4.1 Aksjer og andeler (inkl. aksjer og andeler målt til kost)</t>
  </si>
  <si>
    <t xml:space="preserve">         8.4.3 Utlån og fordringer</t>
  </si>
  <si>
    <t xml:space="preserve">         8.4.4 Finansielle derivater</t>
  </si>
  <si>
    <t xml:space="preserve">         8.4.5 Andre finansielle eiendeler</t>
  </si>
  <si>
    <t xml:space="preserve">    Sum investeringer i investeringsvalgsporteføljen</t>
  </si>
  <si>
    <t>Sum eiendeler i kundeporteføljene</t>
  </si>
  <si>
    <t>SUM EIENDELER</t>
  </si>
  <si>
    <t>EGENKAPITAL OG FORPLIKTELSER</t>
  </si>
  <si>
    <t>10. Innskutt egenkapital</t>
  </si>
  <si>
    <t>11. Opptjent egenkapital</t>
  </si>
  <si>
    <t xml:space="preserve">    11.1 Risikoutjevningsfond</t>
  </si>
  <si>
    <t>12. Ansvarlig lånekapital mv.</t>
  </si>
  <si>
    <t>13. Forsikringsforpliktelser i livsforsikring - KF</t>
  </si>
  <si>
    <t xml:space="preserve">    Ufordelte overskuddsmidler til forsikringskontraktene</t>
  </si>
  <si>
    <t>Sum forsikringsforpliktelser i livsforsikring - KF</t>
  </si>
  <si>
    <t>14. Forsikringsforpliktelser i livsforsikring - SI</t>
  </si>
  <si>
    <t>Sum forsikringsforpliktelser i livsforsikring - SI</t>
  </si>
  <si>
    <t>15. Avsetninger for forpliktelser</t>
  </si>
  <si>
    <t>16. Premiedepot fra gjenforsikringsselskaper</t>
  </si>
  <si>
    <t>17. Forpliktelser</t>
  </si>
  <si>
    <t>18. Påløpte kostnader og mottatte ikke opptjente inntekter</t>
  </si>
  <si>
    <t>SUM EGENKAPTAL OG FORPLIKTELSER</t>
  </si>
  <si>
    <t>Noter: Se "Noter og kommentarer"</t>
  </si>
  <si>
    <t>KF=Kontraktsfastsatte forpliktelser</t>
  </si>
  <si>
    <t>SI=Særskilt investeringsportefølje</t>
  </si>
  <si>
    <t>REGNSKAPSDEL</t>
  </si>
  <si>
    <t>Tabell 4</t>
  </si>
  <si>
    <t>Resultatregnskap - alle produkter</t>
  </si>
  <si>
    <t>Tabell 5.1</t>
  </si>
  <si>
    <t>Resultatanalyse - Individuell kapital og individuell pensjon - alle produkter</t>
  </si>
  <si>
    <t>Tabell 5.2</t>
  </si>
  <si>
    <t>Resultatanalyse - Kollektiv pensjon - alle produkter</t>
  </si>
  <si>
    <t>Tabell 5.3</t>
  </si>
  <si>
    <t>Resultatanalyse - Gruppeliv, ulykke o.a. og total - alle produkter</t>
  </si>
  <si>
    <t>Balanse - alle produkter</t>
  </si>
  <si>
    <t>Tabell 7a</t>
  </si>
  <si>
    <t>Spesifikasjon av post 12 - forsikringsforpliktelser - produkter uten investeringsvalg</t>
  </si>
  <si>
    <t>Tabell 7b</t>
  </si>
  <si>
    <t>Spesifikasjon post 13 forsikringsforpliktelser - produkter med investeringsvalg</t>
  </si>
  <si>
    <t>Tabell 8</t>
  </si>
  <si>
    <t>Diverse nøkkeltall - produkter uten investeringsvalg</t>
  </si>
  <si>
    <t>Totalt - alle produkter</t>
  </si>
  <si>
    <t>Tabell 2: Individuell  pensjonsforsikring, herunder foreningskollektiv</t>
  </si>
  <si>
    <t>Tabell 3: Gruppelivsforsikring</t>
  </si>
  <si>
    <t>Tabell 4: Privat kollektiv pensjonsforsikring, herunder fripoliser, pensjonskapitalbevis og pensjonsbevis</t>
  </si>
  <si>
    <t>* Brutto risiokopremie for invidiuell uførepensjon fremkommer i tabell 2.</t>
  </si>
  <si>
    <r>
      <t xml:space="preserve">Brutto risikopremie for individuell uførepensjon </t>
    </r>
    <r>
      <rPr>
        <vertAlign val="superscript"/>
        <sz val="10"/>
        <rFont val="Times New Roman"/>
        <family val="1"/>
      </rPr>
      <t>3</t>
    </r>
  </si>
  <si>
    <t>Brutto risikopremie rapporteres for produkter både med og uten sparing. Risikopremie for tilknyttede dekninger, som kritisk sykdom, ulykke m.m. skal ikke tas med. For Brutto risikopremie for individuell uførepensjon, se note 3.</t>
  </si>
  <si>
    <t xml:space="preserve">Risikopremie for individuell uførepensjon blir i noen selskap regnskapsført under Individuell kapital, mens den for de fleste regnskapsføres under Individuell pensjon. Brutto risikopremie for uførepensjon er derfor ikke en heravpost for verken Individuell kapital eller Individuell pensjon, men gjelder som en heravpost samlet for disse. </t>
  </si>
  <si>
    <t xml:space="preserve">Forsikringsforpliktelser i livsforsikring tilsvarer post 13 i balansen, ekskl. post 13.3 Kursreguleringsfond for produkter uten investeringsvalg og post 14 i balansen for produkter med investeringsvalg. Gjenforsikringsandel skal ikke tas hensyn til i markedsdelen. </t>
  </si>
  <si>
    <t>Herav fripoliser med investeringsvalg betraktes som innskuddsbasert.</t>
  </si>
  <si>
    <t>Innskuddspensjon er innskuddsbasert pensjon uten dødelighetsarv.</t>
  </si>
  <si>
    <t>Herav fripoliser, herav pensjonskapitalbevis og herav pensjonsbevis omfatter også fortsettelsesforsikringer. Herav-postene er uttrekk fra hovedpostene i tabellen Privat kollektiv pensjonsforsikring, uansett om det er Innenfor LOF/LOI eller Utenfor LOF/LOI - Livrenter.</t>
  </si>
  <si>
    <t>Gjelder ikke ordninger etter lov om tjenestepensjon</t>
  </si>
  <si>
    <r>
      <t xml:space="preserve">Brutto forfalt premie - Foreningskollektiv </t>
    </r>
    <r>
      <rPr>
        <b/>
        <vertAlign val="superscript"/>
        <sz val="10"/>
        <rFont val="Times New Roman"/>
        <family val="1"/>
      </rPr>
      <t>1</t>
    </r>
  </si>
  <si>
    <t>Regnskapsdel, endelig kvartal</t>
  </si>
  <si>
    <t>Resultatregnskap</t>
  </si>
  <si>
    <t xml:space="preserve">Totalt </t>
  </si>
  <si>
    <t>norske livselskaper</t>
  </si>
  <si>
    <t>alle livselskaper</t>
  </si>
  <si>
    <t xml:space="preserve">Beløp i millioner kroner </t>
  </si>
  <si>
    <t>TEKNISK REGNSKAP FOR LIVSFORSIKRING</t>
  </si>
  <si>
    <t xml:space="preserve">    1.1 Forfalt premier, brutto</t>
  </si>
  <si>
    <t xml:space="preserve">    1.2 - Avgitte gjenforsikringspremier</t>
  </si>
  <si>
    <t xml:space="preserve">    Sum premieinntekter f.e.r.</t>
  </si>
  <si>
    <t>2. Netto inntekter fra investeringer i kollektivporteføljen</t>
  </si>
  <si>
    <t>3. Netto inntekter fra investeringer i investeringsvalgporteføljen</t>
  </si>
  <si>
    <t>4. Andre forsikringsrelaterte inntekter</t>
  </si>
  <si>
    <t>5. Erstatninger</t>
  </si>
  <si>
    <t xml:space="preserve">    5.1 Utbetalte erstatninger</t>
  </si>
  <si>
    <t>Sum erstatninger f.e.r.</t>
  </si>
  <si>
    <t>6. Resultatførte endringer i forsikringsforpliktelser - KF</t>
  </si>
  <si>
    <t>Sum resultatførte endringer i forsikringsforpliktelser - KF</t>
  </si>
  <si>
    <t>7. Resultatførte endringer i forsikringsforpliktelser - SI</t>
  </si>
  <si>
    <t>8. Midler tilordnet forsikringskontrakter -KF</t>
  </si>
  <si>
    <t>9. Forsikringsrelaterte driftskostnader</t>
  </si>
  <si>
    <t>10. Andre forsikringsrelaterte kostnader</t>
  </si>
  <si>
    <t>11.Resultat av teknisk regnskap</t>
  </si>
  <si>
    <t>IKKE-TEKNISK REGNSKAP FOR LIVSFORSIKRING</t>
  </si>
  <si>
    <t>12. Netto inntekter fra investeringer i selskapsporteføljen</t>
  </si>
  <si>
    <t>13. Andre inntekter</t>
  </si>
  <si>
    <t>14. Forvaltningskostnader og andre kostnader knyttet til selskapsporteføljen</t>
  </si>
  <si>
    <t>15. Resultat av ikke-teknisk regnskap</t>
  </si>
  <si>
    <t>16. Resultat før skattekostnad</t>
  </si>
  <si>
    <t>17. Skattekostnader</t>
  </si>
  <si>
    <t>20. TOTALRESULTAT</t>
  </si>
  <si>
    <t>Overføringer og disponeringer</t>
  </si>
  <si>
    <t xml:space="preserve">    Overføringer</t>
  </si>
  <si>
    <t xml:space="preserve">        Mottatt konsernbidrag</t>
  </si>
  <si>
    <t xml:space="preserve">        Overført fra annen egenkapital</t>
  </si>
  <si>
    <t xml:space="preserve">    Sum overføringer</t>
  </si>
  <si>
    <t xml:space="preserve">    Disponeringer</t>
  </si>
  <si>
    <t xml:space="preserve">        Utbytte</t>
  </si>
  <si>
    <t xml:space="preserve">        Avgitt konsernbidrag</t>
  </si>
  <si>
    <t xml:space="preserve">        Overført til annen egenkapital</t>
  </si>
  <si>
    <t xml:space="preserve">    Sum disponeringer</t>
  </si>
  <si>
    <t>Sum overføringer og disponeringer</t>
  </si>
  <si>
    <t>Diverse nøkkeltall</t>
  </si>
  <si>
    <t>7. Gjenforsikringsandel av forsikringsforpliktelser i kollektivporteføljen</t>
  </si>
  <si>
    <t>9. Gjenforsikringsandel av forsikringsforpliktelser i investeringsvalgporteføljen</t>
  </si>
  <si>
    <t xml:space="preserve">Med kommunal kollektiv pensjon menes kollektive pensjonsordninger som definert i lov om forsikringsvirksomhet § 4-1 og § 4-2.   </t>
  </si>
  <si>
    <t>Tabell 1.3</t>
  </si>
  <si>
    <t>Hovedtall - aktivaposter</t>
  </si>
  <si>
    <t>Skjema total MA</t>
  </si>
  <si>
    <t>Tall pr. selskap - alle produkter</t>
  </si>
  <si>
    <t>Selskapsnavn</t>
  </si>
  <si>
    <t xml:space="preserve">   Etter tjenestepensjonsloven - Uførepensjon</t>
  </si>
  <si>
    <t xml:space="preserve">   Etter tjenestepensjonsloven - Alderspensjon</t>
  </si>
  <si>
    <t xml:space="preserve">  Etter tjenestepensjonsloven - Uførepensjon</t>
  </si>
  <si>
    <t xml:space="preserve">  Etter tjenestepensjonsloven - Alderspensjon</t>
  </si>
  <si>
    <t>Brutto forfalt premie tilsvarer post 1.1 i resultatregnskapet, jf. forskrift til årsregnskap for livsforsikringsfortak.</t>
  </si>
  <si>
    <t>Overførte reserver til andre tilsvarer post 5.2 i resultatregnskapet.</t>
  </si>
  <si>
    <r>
      <t xml:space="preserve">   Kommunal kollektiv pensjon </t>
    </r>
    <r>
      <rPr>
        <vertAlign val="superscript"/>
        <sz val="14"/>
        <rFont val="Times New Roman"/>
        <family val="1"/>
      </rPr>
      <t>15)</t>
    </r>
  </si>
  <si>
    <r>
      <t xml:space="preserve">Forsikringsforpliktelser </t>
    </r>
    <r>
      <rPr>
        <vertAlign val="superscript"/>
        <sz val="14"/>
        <rFont val="Times New Roman"/>
        <family val="1"/>
      </rPr>
      <t>4)</t>
    </r>
  </si>
  <si>
    <r>
      <t xml:space="preserve">Overførte reserver fra andre </t>
    </r>
    <r>
      <rPr>
        <vertAlign val="superscript"/>
        <sz val="14"/>
        <rFont val="Times New Roman"/>
        <family val="1"/>
      </rPr>
      <t>5)</t>
    </r>
  </si>
  <si>
    <r>
      <t xml:space="preserve">Flytting fra andre </t>
    </r>
    <r>
      <rPr>
        <vertAlign val="superscript"/>
        <sz val="14"/>
        <rFont val="Times New Roman"/>
        <family val="1"/>
      </rPr>
      <t>9)</t>
    </r>
  </si>
  <si>
    <r>
      <t xml:space="preserve">Overførte reserver til andre </t>
    </r>
    <r>
      <rPr>
        <vertAlign val="superscript"/>
        <sz val="14"/>
        <rFont val="Times New Roman"/>
        <family val="1"/>
      </rPr>
      <t>6)</t>
    </r>
  </si>
  <si>
    <r>
      <t xml:space="preserve">Flytting til andre </t>
    </r>
    <r>
      <rPr>
        <vertAlign val="superscript"/>
        <sz val="14"/>
        <rFont val="Times New Roman"/>
        <family val="1"/>
      </rPr>
      <t>9)</t>
    </r>
  </si>
  <si>
    <r>
      <t xml:space="preserve">Netto overførte reserver fra andre </t>
    </r>
    <r>
      <rPr>
        <b/>
        <vertAlign val="superscript"/>
        <sz val="14"/>
        <rFont val="Times New Roman"/>
        <family val="1"/>
      </rPr>
      <t>9)</t>
    </r>
  </si>
  <si>
    <r>
      <t xml:space="preserve">Netto flytting fra andre </t>
    </r>
    <r>
      <rPr>
        <vertAlign val="superscript"/>
        <sz val="14"/>
        <rFont val="Times New Roman"/>
        <family val="1"/>
      </rPr>
      <t>9)</t>
    </r>
  </si>
  <si>
    <t>Livrenter, IPA og IPS er individuelle pensjonsspareavtaler etter skattereglene (kun i årsstatistikken / 4.kvartal). IPS forsikring etablert før 1.11.2017 defineres som IPS forsikring 2008, etter lov om individuell pensjonsordning vedtatt i 2008. Nye ordningen for skattefavorisert individuell pensjonssparing fra 1. november 2017 defineres som IPS forsikring.</t>
  </si>
  <si>
    <t>Protector Forsikring</t>
  </si>
  <si>
    <r>
      <t xml:space="preserve">Forsikringsforpliktelser </t>
    </r>
    <r>
      <rPr>
        <b/>
        <vertAlign val="superscript"/>
        <sz val="10"/>
        <rFont val="Times New Roman"/>
        <family val="1"/>
      </rPr>
      <t>4</t>
    </r>
  </si>
  <si>
    <r>
      <t xml:space="preserve">Overførte reserver fra andre </t>
    </r>
    <r>
      <rPr>
        <b/>
        <vertAlign val="superscript"/>
        <sz val="10"/>
        <rFont val="Times New Roman"/>
        <family val="1"/>
      </rPr>
      <t>5</t>
    </r>
  </si>
  <si>
    <r>
      <t>Overførte reserver til andre</t>
    </r>
    <r>
      <rPr>
        <b/>
        <vertAlign val="superscript"/>
        <sz val="10"/>
        <rFont val="Times New Roman"/>
        <family val="1"/>
      </rPr>
      <t xml:space="preserve"> 6</t>
    </r>
  </si>
  <si>
    <r>
      <t xml:space="preserve">    Livrenter </t>
    </r>
    <r>
      <rPr>
        <vertAlign val="superscript"/>
        <sz val="10"/>
        <rFont val="Times New Roman"/>
        <family val="1"/>
      </rPr>
      <t>10</t>
    </r>
  </si>
  <si>
    <r>
      <t xml:space="preserve">    IPA </t>
    </r>
    <r>
      <rPr>
        <vertAlign val="superscript"/>
        <sz val="10"/>
        <rFont val="Times New Roman"/>
        <family val="1"/>
      </rPr>
      <t>10</t>
    </r>
  </si>
  <si>
    <r>
      <t xml:space="preserve">    IPS 2008 </t>
    </r>
    <r>
      <rPr>
        <vertAlign val="superscript"/>
        <sz val="10"/>
        <rFont val="Times New Roman"/>
        <family val="1"/>
      </rPr>
      <t>10</t>
    </r>
  </si>
  <si>
    <r>
      <t xml:space="preserve">    IPS </t>
    </r>
    <r>
      <rPr>
        <vertAlign val="superscript"/>
        <sz val="10"/>
        <rFont val="Times New Roman"/>
        <family val="1"/>
      </rPr>
      <t>10</t>
    </r>
  </si>
  <si>
    <r>
      <t xml:space="preserve">Forsikringsforpliktelser </t>
    </r>
    <r>
      <rPr>
        <b/>
        <vertAlign val="superscript"/>
        <sz val="10"/>
        <rFont val="Times New Roman"/>
        <family val="1"/>
      </rPr>
      <t>6</t>
    </r>
  </si>
  <si>
    <r>
      <t xml:space="preserve">Forsikringsforpliktelser  - Foreningskollektiv </t>
    </r>
    <r>
      <rPr>
        <b/>
        <vertAlign val="superscript"/>
        <sz val="10"/>
        <rFont val="Times New Roman"/>
        <family val="1"/>
      </rPr>
      <t>4</t>
    </r>
  </si>
  <si>
    <r>
      <t xml:space="preserve">Overførte reserver fra andre - Foreningskollektiv </t>
    </r>
    <r>
      <rPr>
        <b/>
        <vertAlign val="superscript"/>
        <sz val="10"/>
        <rFont val="Times New Roman"/>
        <family val="1"/>
      </rPr>
      <t>5</t>
    </r>
  </si>
  <si>
    <r>
      <t xml:space="preserve">Overførte reserver til andre - Foreningskollektiv </t>
    </r>
    <r>
      <rPr>
        <b/>
        <vertAlign val="superscript"/>
        <sz val="10"/>
        <rFont val="Times New Roman"/>
        <family val="1"/>
      </rPr>
      <t>6</t>
    </r>
  </si>
  <si>
    <r>
      <t xml:space="preserve">    Bedrift </t>
    </r>
    <r>
      <rPr>
        <vertAlign val="superscript"/>
        <sz val="10"/>
        <rFont val="Times New Roman"/>
        <family val="1"/>
      </rPr>
      <t>7</t>
    </r>
  </si>
  <si>
    <r>
      <t xml:space="preserve">    Privat </t>
    </r>
    <r>
      <rPr>
        <vertAlign val="superscript"/>
        <sz val="10"/>
        <rFont val="Times New Roman"/>
        <family val="1"/>
      </rPr>
      <t>8</t>
    </r>
  </si>
  <si>
    <r>
      <t xml:space="preserve">Flytting fra andre </t>
    </r>
    <r>
      <rPr>
        <b/>
        <vertAlign val="superscript"/>
        <sz val="10"/>
        <rFont val="Times New Roman"/>
        <family val="1"/>
      </rPr>
      <t>9</t>
    </r>
  </si>
  <si>
    <r>
      <t xml:space="preserve">Flytting til andre </t>
    </r>
    <r>
      <rPr>
        <b/>
        <vertAlign val="superscript"/>
        <sz val="10"/>
        <rFont val="Times New Roman"/>
        <family val="1"/>
      </rPr>
      <t>9</t>
    </r>
  </si>
  <si>
    <r>
      <t xml:space="preserve">      Engangsbetalt </t>
    </r>
    <r>
      <rPr>
        <vertAlign val="superscript"/>
        <sz val="10"/>
        <rFont val="Times New Roman"/>
        <family val="1"/>
      </rPr>
      <t>11</t>
    </r>
  </si>
  <si>
    <r>
      <t xml:space="preserve">      Innskuddspensjon </t>
    </r>
    <r>
      <rPr>
        <vertAlign val="superscript"/>
        <sz val="10"/>
        <rFont val="Times New Roman"/>
        <family val="1"/>
      </rPr>
      <t>12</t>
    </r>
  </si>
  <si>
    <r>
      <t xml:space="preserve">  Innenfor LOF/LOI </t>
    </r>
    <r>
      <rPr>
        <vertAlign val="superscript"/>
        <sz val="10"/>
        <rFont val="Times New Roman"/>
        <family val="1"/>
      </rPr>
      <t>13</t>
    </r>
  </si>
  <si>
    <r>
      <t xml:space="preserve">  Utenfor LOF/LOI - Livrenter </t>
    </r>
    <r>
      <rPr>
        <vertAlign val="superscript"/>
        <sz val="10"/>
        <rFont val="Times New Roman"/>
        <family val="1"/>
      </rPr>
      <t>13,17</t>
    </r>
  </si>
  <si>
    <r>
      <t xml:space="preserve">  Herav fripoliser </t>
    </r>
    <r>
      <rPr>
        <vertAlign val="superscript"/>
        <sz val="10"/>
        <rFont val="Times New Roman"/>
        <family val="1"/>
      </rPr>
      <t>14,16</t>
    </r>
  </si>
  <si>
    <r>
      <t xml:space="preserve">  Herav pensjonsbevis</t>
    </r>
    <r>
      <rPr>
        <vertAlign val="superscript"/>
        <sz val="10"/>
        <rFont val="Times New Roman"/>
        <family val="1"/>
      </rPr>
      <t>14</t>
    </r>
  </si>
  <si>
    <r>
      <t xml:space="preserve">   Herav fripoliser </t>
    </r>
    <r>
      <rPr>
        <vertAlign val="superscript"/>
        <sz val="10"/>
        <rFont val="Times New Roman"/>
        <family val="1"/>
      </rPr>
      <t>14,16</t>
    </r>
  </si>
  <si>
    <r>
      <t xml:space="preserve">Brutto forfalt premie </t>
    </r>
    <r>
      <rPr>
        <b/>
        <vertAlign val="superscript"/>
        <sz val="10"/>
        <rFont val="Times New Roman"/>
        <family val="1"/>
      </rPr>
      <t>1, 15</t>
    </r>
  </si>
  <si>
    <r>
      <t xml:space="preserve">Forsikringsforpliktelser </t>
    </r>
    <r>
      <rPr>
        <b/>
        <vertAlign val="superscript"/>
        <sz val="10"/>
        <rFont val="Times New Roman"/>
        <family val="1"/>
      </rPr>
      <t>4, 15</t>
    </r>
  </si>
  <si>
    <r>
      <t xml:space="preserve">Overførte reserver fra andre </t>
    </r>
    <r>
      <rPr>
        <b/>
        <vertAlign val="superscript"/>
        <sz val="10"/>
        <rFont val="Times New Roman"/>
        <family val="1"/>
      </rPr>
      <t>5, 15</t>
    </r>
  </si>
  <si>
    <r>
      <t>Overførte reserver til andre</t>
    </r>
    <r>
      <rPr>
        <b/>
        <vertAlign val="superscript"/>
        <sz val="10"/>
        <rFont val="Times New Roman"/>
        <family val="1"/>
      </rPr>
      <t xml:space="preserve"> 6, 15</t>
    </r>
  </si>
  <si>
    <r>
      <t xml:space="preserve">  Herav fripoliser </t>
    </r>
    <r>
      <rPr>
        <vertAlign val="superscript"/>
        <sz val="10"/>
        <rFont val="Times New Roman"/>
        <family val="1"/>
      </rPr>
      <t>14</t>
    </r>
  </si>
  <si>
    <r>
      <t xml:space="preserve">Forsikringsforpliktelser </t>
    </r>
    <r>
      <rPr>
        <b/>
        <vertAlign val="superscript"/>
        <sz val="10"/>
        <rFont val="Times New Roman"/>
        <family val="1"/>
      </rPr>
      <t>5, 15</t>
    </r>
  </si>
  <si>
    <r>
      <t>Forsikringsforpliktelser</t>
    </r>
    <r>
      <rPr>
        <sz val="14"/>
        <rFont val="Times New Roman"/>
        <family val="1"/>
      </rPr>
      <t xml:space="preserve"> </t>
    </r>
    <r>
      <rPr>
        <vertAlign val="superscript"/>
        <sz val="14"/>
        <rFont val="Times New Roman"/>
        <family val="1"/>
      </rPr>
      <t>4)</t>
    </r>
  </si>
  <si>
    <t>Protector Fors</t>
  </si>
  <si>
    <t xml:space="preserve">    13.1 Premiereserve mv.</t>
  </si>
  <si>
    <t>Fremtind Livsforsikring</t>
  </si>
  <si>
    <t>WaterCircle Forsikring</t>
  </si>
  <si>
    <t>Fremtind Livsfors</t>
  </si>
  <si>
    <t>Landkreditt Fors.</t>
  </si>
  <si>
    <t>Fremtind Liv</t>
  </si>
  <si>
    <t>Avkastningstall (%)</t>
  </si>
  <si>
    <r>
      <t xml:space="preserve">Soliditetskapital </t>
    </r>
    <r>
      <rPr>
        <sz val="14"/>
        <rFont val="Times New Roman"/>
        <family val="1"/>
      </rPr>
      <t>(%)</t>
    </r>
  </si>
  <si>
    <t>Mer/mindre-verdier</t>
  </si>
  <si>
    <t>Landkreditt Forsikring</t>
  </si>
  <si>
    <t>WaterCircles Fors.</t>
  </si>
  <si>
    <t>WaterCicles Fors.</t>
  </si>
  <si>
    <t>WaterCircles Forsikring</t>
  </si>
  <si>
    <t>Landkreditt Fors</t>
  </si>
  <si>
    <t>Euro Accident</t>
  </si>
  <si>
    <t xml:space="preserve">   Innskuddsbasert (inkl. EPK)</t>
  </si>
  <si>
    <t>Forsikring</t>
  </si>
  <si>
    <t>SpareBank 1 Forsikring</t>
  </si>
  <si>
    <t>Ly Forsikring</t>
  </si>
  <si>
    <t>Youplus Livsforsikring</t>
  </si>
  <si>
    <t>Youplus</t>
  </si>
  <si>
    <t>Youplus Livsf</t>
  </si>
  <si>
    <t>Postene Herav pensjonskapitalbevis omfatter pensjonskapitalbevis innenfor og utenfor Egen pensjonskonto. Med pensjonskapitalbevis innenfor Egen pensjonskonto menes passiv kapital. Se for øvrig note 14.</t>
  </si>
  <si>
    <r>
      <t xml:space="preserve">  Herav pensjonskapitalbevis innenfor og utenfor EPK</t>
    </r>
    <r>
      <rPr>
        <vertAlign val="superscript"/>
        <sz val="10"/>
        <rFont val="Times New Roman"/>
        <family val="1"/>
      </rPr>
      <t>14) 18)</t>
    </r>
  </si>
  <si>
    <t xml:space="preserve">    6.1 Endring i premiereserve mv.</t>
  </si>
  <si>
    <t>18. Resultat før andre inntekter og kostnader</t>
  </si>
  <si>
    <t>19. Andre inntekter og kostnader</t>
  </si>
  <si>
    <t>Bufferfond</t>
  </si>
  <si>
    <t>Storebrand Liv</t>
  </si>
  <si>
    <t>1. Premieinntekter f.e.r.</t>
  </si>
  <si>
    <t xml:space="preserve">    1.3 Overføring av premiereserve og pensjonskapital mv. fra andre f.selskap/p.kasser</t>
  </si>
  <si>
    <t xml:space="preserve">    6.2 Endring i bufferfond</t>
  </si>
  <si>
    <t xml:space="preserve">    6.3 Endring i premiefond, innskuddsfond og fond for regulering av pensjoner mv.</t>
  </si>
  <si>
    <t xml:space="preserve">    6.4 Endring i tekniske avsetninger for skadeforsikringsvirksomhet</t>
  </si>
  <si>
    <r>
      <t>norske livselskaper</t>
    </r>
    <r>
      <rPr>
        <b/>
        <vertAlign val="superscript"/>
        <sz val="14"/>
        <rFont val="Times New Roman"/>
        <family val="1"/>
      </rPr>
      <t xml:space="preserve"> </t>
    </r>
  </si>
  <si>
    <t xml:space="preserve">    13.2 Bufferfond</t>
  </si>
  <si>
    <t xml:space="preserve">    13.4 Andre tekniske avsetninger for skadeforsikringsvirksomheten</t>
  </si>
  <si>
    <t xml:space="preserve">    14.1 Pensjonskapital mv.</t>
  </si>
  <si>
    <t xml:space="preserve">    14.2 Bufferfond</t>
  </si>
  <si>
    <t xml:space="preserve">    14.3 Premiefond, innskuddsfond og fond for regulering av pensjoner mv.</t>
  </si>
  <si>
    <t>31.03.</t>
  </si>
  <si>
    <t xml:space="preserve">         2.3.1 Rentebærende verdipapirer</t>
  </si>
  <si>
    <t xml:space="preserve">         2.4.2 Rentebærende verdipapirer</t>
  </si>
  <si>
    <t xml:space="preserve">         6.3.1 Rentebærende verdipapirer</t>
  </si>
  <si>
    <t xml:space="preserve">         6.4.2 Rentebærende verdipapirer</t>
  </si>
  <si>
    <t xml:space="preserve">         8.3.1 Rentebærende verdipapirer</t>
  </si>
  <si>
    <t xml:space="preserve">         8.4.2 Rentebærende verdipapirer</t>
  </si>
  <si>
    <t xml:space="preserve">   Rentebærende verdipapirer</t>
  </si>
  <si>
    <t>Oslo Forsikring</t>
  </si>
  <si>
    <t xml:space="preserve">    6.5 Overføring av bufferfond fra andre fors.selskap/pensj.kasser</t>
  </si>
  <si>
    <t xml:space="preserve">    5.2 Overføring av premiereserve, pensjonskapital mv. og bufferfond til andre f.selskap/p.kasser</t>
  </si>
  <si>
    <t xml:space="preserve">    13.3 Premiefond, innskuddsfond og fond for regulering av pensjoner mv.</t>
  </si>
  <si>
    <r>
      <t xml:space="preserve">    Kursreguleringsfond</t>
    </r>
    <r>
      <rPr>
        <i/>
        <vertAlign val="superscript"/>
        <sz val="14"/>
        <rFont val="Times New Roman"/>
        <family val="1"/>
      </rPr>
      <t>19</t>
    </r>
  </si>
  <si>
    <t>Fra og med 2024 inngår mye av kursreserven i bufferfondet og er dermed rapportert i egen post.</t>
  </si>
  <si>
    <r>
      <t xml:space="preserve">    Endring i kursreguleringsfond</t>
    </r>
    <r>
      <rPr>
        <i/>
        <vertAlign val="superscript"/>
        <sz val="14"/>
        <rFont val="Times New Roman"/>
        <family val="1"/>
      </rPr>
      <t>19</t>
    </r>
  </si>
  <si>
    <t>Nordea Liv Forsikring AS</t>
  </si>
  <si>
    <t>Kapitalavkastning hittil i år</t>
  </si>
  <si>
    <t/>
  </si>
  <si>
    <t>Figur 1  Brutto forfalt premie livprodukter  -  produkter uten investeringsvalg pr. 31.03.</t>
  </si>
  <si>
    <t>Figur 2  Brutto forfalt premie livprodukter  -  produkter med investeringsvalg pr. 31.03.</t>
  </si>
  <si>
    <t>Figur 3  Forsikringsforpliktelser i livsforsikring  -  produkter uten investeringsvalg pr. 31.03.</t>
  </si>
  <si>
    <t>Figur 4  Forsikringsforpliktelser i livsforsikring -  produkter med investeringsvalg pr. 31.03.</t>
  </si>
  <si>
    <t>Figur 5  Netto tilflytting livprodukter  -  produkter uten investeringsvalg pr. 31.03.</t>
  </si>
  <si>
    <t>Figur 6  Netto tilflytting livprodukter  -  produkter med investeringsvalg pr. 31.03.</t>
  </si>
  <si>
    <t>31.3.2024</t>
  </si>
  <si>
    <t>31.3.2025</t>
  </si>
  <si>
    <t xml:space="preserve">    Endring i tilleggsavsetninger</t>
  </si>
  <si>
    <t xml:space="preserve">    Tilleggsavsetninger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</si>
</sst>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0"/>
    <numFmt numFmtId="165" formatCode="_ * #,##0_ ;_ * \-#,##0_ ;_ * &quot;-&quot;??_ ;_ @_ "/>
    <numFmt numFmtId="166" formatCode="dd/mm/yy;@"/>
    <numFmt numFmtId="167" formatCode="0;\-0;;@"/>
    <numFmt numFmtId="168" formatCode="0.0"/>
    <numFmt numFmtId="169" formatCode="#,##0_ ;\-#,##0\ "/>
    <numFmt numFmtId="170" formatCode="_ * #,##0_ ;_ * \-#,##0_ ;_ * &quot;&quot;??_ ;_ @_ "/>
    <numFmt numFmtId="171" formatCode="_ * #,##0.0_ ;_ * \-#,##0.0_ ;_ * &quot;&quot;??_ ;_ @_ "/>
    <numFmt numFmtId="172" formatCode="0.0\ %"/>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12"/>
      <name val="Times New Roman"/>
      <family val="1"/>
    </font>
    <font>
      <b/>
      <sz val="10"/>
      <name val="Times New Roman"/>
      <family val="1"/>
    </font>
    <font>
      <b/>
      <sz val="9"/>
      <name val="Times New Roman"/>
      <family val="1"/>
    </font>
    <font>
      <sz val="10"/>
      <name val="Times New Roman"/>
      <family val="1"/>
    </font>
    <font>
      <sz val="10"/>
      <color rgb="FFFF0000"/>
      <name val="Times New Roman"/>
      <family val="1"/>
    </font>
    <font>
      <sz val="10"/>
      <name val="Arial"/>
      <family val="2"/>
    </font>
    <font>
      <b/>
      <vertAlign val="superscript"/>
      <sz val="10"/>
      <name val="Times New Roman"/>
      <family val="1"/>
    </font>
    <font>
      <sz val="12"/>
      <color rgb="FFFF0000"/>
      <name val="Times New Roman"/>
      <family val="1"/>
    </font>
    <font>
      <sz val="10"/>
      <color theme="1"/>
      <name val="Times New Roman"/>
      <family val="1"/>
    </font>
    <font>
      <i/>
      <sz val="10"/>
      <name val="Times New Roman"/>
      <family val="1"/>
    </font>
    <font>
      <vertAlign val="superscript"/>
      <sz val="10"/>
      <name val="Times New Roman"/>
      <family val="1"/>
    </font>
    <font>
      <sz val="10"/>
      <name val="Arial"/>
      <family val="2"/>
    </font>
    <font>
      <sz val="10"/>
      <color indexed="23"/>
      <name val="Arial"/>
      <family val="2"/>
    </font>
    <font>
      <sz val="18"/>
      <color indexed="23"/>
      <name val="Times New Roman"/>
      <family val="1"/>
    </font>
    <font>
      <b/>
      <sz val="28"/>
      <color rgb="FF3B6E8F"/>
      <name val="Cambria"/>
      <family val="1"/>
      <scheme val="major"/>
    </font>
    <font>
      <b/>
      <sz val="26"/>
      <color rgb="FF3B6E8F"/>
      <name val="Cambria"/>
      <family val="1"/>
      <scheme val="major"/>
    </font>
    <font>
      <sz val="14"/>
      <name val="Times New Roman"/>
      <family val="1"/>
    </font>
    <font>
      <sz val="12"/>
      <name val="Arial"/>
      <family val="2"/>
    </font>
    <font>
      <sz val="20"/>
      <color theme="1"/>
      <name val="Calibri"/>
      <family val="2"/>
      <scheme val="minor"/>
    </font>
    <font>
      <sz val="14"/>
      <color theme="1"/>
      <name val="Calibri"/>
      <family val="2"/>
      <scheme val="minor"/>
    </font>
    <font>
      <b/>
      <sz val="28"/>
      <color rgb="FF54758C"/>
      <name val="Arial"/>
      <family val="2"/>
    </font>
    <font>
      <sz val="26"/>
      <color rgb="FF54758C"/>
      <name val="Arial"/>
      <family val="2"/>
    </font>
    <font>
      <sz val="14"/>
      <name val="Arial"/>
      <family val="2"/>
    </font>
    <font>
      <sz val="20"/>
      <name val="Arial"/>
      <family val="2"/>
    </font>
    <font>
      <sz val="18"/>
      <name val="Times New Roman"/>
      <family val="1"/>
    </font>
    <font>
      <sz val="18"/>
      <name val="Arial"/>
      <family val="2"/>
    </font>
    <font>
      <b/>
      <sz val="16"/>
      <name val="Times New Roman"/>
      <family val="1"/>
    </font>
    <font>
      <sz val="16"/>
      <name val="Times New Roman"/>
      <family val="1"/>
    </font>
    <font>
      <u/>
      <sz val="10"/>
      <color indexed="12"/>
      <name val="Arial"/>
      <family val="2"/>
    </font>
    <font>
      <sz val="20"/>
      <name val="Times New Roman"/>
      <family val="1"/>
    </font>
    <font>
      <b/>
      <sz val="14"/>
      <name val="Times New Roman"/>
      <family val="1"/>
    </font>
    <font>
      <sz val="14"/>
      <color rgb="FFFF0000"/>
      <name val="Times New Roman"/>
      <family val="1"/>
    </font>
    <font>
      <vertAlign val="superscript"/>
      <sz val="14"/>
      <name val="Times New Roman"/>
      <family val="1"/>
    </font>
    <font>
      <b/>
      <i/>
      <sz val="12"/>
      <color indexed="63"/>
      <name val="Times New Roman"/>
      <family val="1"/>
    </font>
    <font>
      <b/>
      <sz val="10"/>
      <name val="Arial"/>
      <family val="2"/>
    </font>
    <font>
      <b/>
      <i/>
      <sz val="12"/>
      <name val="Times New Roman"/>
      <family val="1"/>
    </font>
    <font>
      <sz val="14"/>
      <color theme="1"/>
      <name val="Times New Roman"/>
      <family val="1"/>
    </font>
    <font>
      <sz val="14"/>
      <color rgb="FFFF0000"/>
      <name val="Arial"/>
      <family val="2"/>
    </font>
    <font>
      <b/>
      <sz val="14"/>
      <name val="Arial"/>
      <family val="2"/>
    </font>
    <font>
      <b/>
      <vertAlign val="superscript"/>
      <sz val="14"/>
      <name val="Times New Roman"/>
      <family val="1"/>
    </font>
    <font>
      <sz val="11"/>
      <name val="Calibri"/>
      <family val="2"/>
      <scheme val="minor"/>
    </font>
    <font>
      <b/>
      <sz val="10"/>
      <color rgb="FFFF0000"/>
      <name val="Times New Roman"/>
      <family val="1"/>
    </font>
    <font>
      <b/>
      <sz val="16"/>
      <color indexed="10"/>
      <name val="Times New Roman"/>
      <family val="1"/>
    </font>
    <font>
      <b/>
      <sz val="14"/>
      <color indexed="8"/>
      <name val="Times New Roman"/>
      <family val="1"/>
    </font>
    <font>
      <b/>
      <sz val="10"/>
      <color indexed="8"/>
      <name val="Times New Roman"/>
      <family val="1"/>
    </font>
    <font>
      <b/>
      <sz val="14"/>
      <color indexed="63"/>
      <name val="Times New Roman"/>
      <family val="1"/>
    </font>
    <font>
      <sz val="14"/>
      <color indexed="10"/>
      <name val="Times New Roman"/>
      <family val="1"/>
    </font>
    <font>
      <b/>
      <sz val="14"/>
      <color indexed="10"/>
      <name val="Times New Roman"/>
      <family val="1"/>
    </font>
    <font>
      <sz val="12"/>
      <color indexed="10"/>
      <name val="Times New Roman"/>
      <family val="1"/>
    </font>
    <font>
      <sz val="20"/>
      <color rgb="FFFF0000"/>
      <name val="Times New Roman"/>
      <family val="1"/>
    </font>
    <font>
      <sz val="20"/>
      <color rgb="FFFF0000"/>
      <name val="Arial"/>
      <family val="2"/>
    </font>
    <font>
      <sz val="16"/>
      <color theme="1"/>
      <name val="Times New Roman"/>
      <family val="1"/>
    </font>
    <font>
      <b/>
      <sz val="10"/>
      <color theme="1"/>
      <name val="Times New Roman"/>
      <family val="1"/>
    </font>
    <font>
      <sz val="12"/>
      <color theme="1"/>
      <name val="Times New Roman"/>
      <family val="1"/>
    </font>
    <font>
      <b/>
      <sz val="14"/>
      <color rgb="FFFF0000"/>
      <name val="Times New Roman"/>
      <family val="1"/>
    </font>
    <font>
      <u/>
      <sz val="12"/>
      <name val="Times New Roman"/>
      <family val="1"/>
    </font>
    <font>
      <b/>
      <sz val="12"/>
      <color rgb="FFFF0000"/>
      <name val="Times New Roman"/>
      <family val="1"/>
    </font>
    <font>
      <sz val="10"/>
      <color theme="0"/>
      <name val="Times New Roman"/>
      <family val="1"/>
    </font>
    <font>
      <b/>
      <sz val="10"/>
      <color rgb="FFFF0000"/>
      <name val="Arial"/>
      <family val="2"/>
    </font>
    <font>
      <b/>
      <sz val="15"/>
      <name val="Arial"/>
      <family val="2"/>
    </font>
    <font>
      <i/>
      <sz val="14"/>
      <name val="Times New Roman"/>
      <family val="1"/>
    </font>
    <font>
      <b/>
      <i/>
      <sz val="16"/>
      <color rgb="FFFF0000"/>
      <name val="Times New Roman"/>
      <family val="1"/>
    </font>
    <font>
      <i/>
      <vertAlign val="superscript"/>
      <sz val="14"/>
      <name val="Times New Roman"/>
      <family val="1"/>
    </font>
    <font>
      <sz val="10"/>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indexed="9"/>
        <bgColor indexed="64"/>
      </patternFill>
    </fill>
    <fill>
      <patternFill patternType="solid">
        <fgColor rgb="FFFFFFCC"/>
      </patternFill>
    </fill>
    <fill>
      <patternFill patternType="solid">
        <fgColor theme="7" tint="0.59999389629810485"/>
        <bgColor indexed="65"/>
      </patternFill>
    </fill>
    <fill>
      <patternFill patternType="solid">
        <fgColor theme="5" tint="0.79998168889431442"/>
        <bgColor indexed="65"/>
      </patternFill>
    </fill>
    <fill>
      <patternFill patternType="solid">
        <fgColor theme="2"/>
        <bgColor indexed="64"/>
      </patternFill>
    </fill>
    <fill>
      <patternFill patternType="solid">
        <fgColor rgb="FFFFFF00"/>
        <bgColor indexed="64"/>
      </patternFill>
    </fill>
    <fill>
      <patternFill patternType="solid">
        <fgColor indexed="9"/>
        <bgColor indexed="9"/>
      </patternFill>
    </fill>
    <fill>
      <patternFill patternType="solid">
        <fgColor rgb="FFFFC000"/>
        <bgColor indexed="64"/>
      </patternFill>
    </fill>
  </fills>
  <borders count="17">
    <border>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s>
  <cellStyleXfs count="854">
    <xf numFmtId="0" fontId="0" fillId="0" borderId="0"/>
    <xf numFmtId="0" fontId="20" fillId="0" borderId="0"/>
    <xf numFmtId="43" fontId="26" fillId="0" borderId="0" applyFont="0" applyFill="0" applyBorder="0" applyAlignment="0" applyProtection="0"/>
    <xf numFmtId="0" fontId="43" fillId="0" borderId="0" applyNumberFormat="0" applyFill="0" applyBorder="0" applyAlignment="0" applyProtection="0">
      <alignment vertical="top"/>
      <protection locked="0"/>
    </xf>
    <xf numFmtId="0" fontId="13" fillId="0" borderId="0"/>
    <xf numFmtId="0" fontId="20" fillId="0" borderId="0"/>
    <xf numFmtId="0" fontId="12" fillId="0" borderId="0"/>
    <xf numFmtId="0" fontId="20" fillId="0" borderId="0"/>
    <xf numFmtId="0" fontId="11" fillId="0" borderId="0"/>
    <xf numFmtId="0" fontId="20" fillId="0" borderId="0"/>
    <xf numFmtId="0" fontId="26" fillId="0" borderId="0"/>
    <xf numFmtId="0" fontId="11"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1" fillId="0" borderId="0" applyFont="0" applyFill="0" applyBorder="0" applyAlignment="0" applyProtection="0"/>
    <xf numFmtId="43" fontId="20" fillId="0" borderId="0" applyFont="0" applyFill="0" applyBorder="0" applyAlignment="0" applyProtection="0"/>
    <xf numFmtId="0" fontId="11" fillId="0" borderId="0"/>
    <xf numFmtId="0" fontId="20" fillId="0" borderId="0"/>
    <xf numFmtId="0" fontId="20" fillId="0" borderId="0"/>
    <xf numFmtId="43" fontId="20"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20"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6" borderId="0" applyNumberFormat="0" applyBorder="0" applyAlignment="0" applyProtection="0"/>
    <xf numFmtId="0" fontId="20" fillId="0" borderId="0"/>
    <xf numFmtId="43" fontId="20"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20"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20" fillId="0" borderId="0"/>
    <xf numFmtId="43" fontId="20"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6" borderId="0" applyNumberFormat="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20" fillId="5" borderId="16" applyNumberFormat="0" applyFont="0" applyAlignment="0" applyProtection="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43" fontId="26" fillId="0" borderId="0" applyFont="0" applyFill="0" applyBorder="0" applyAlignment="0" applyProtection="0"/>
    <xf numFmtId="0" fontId="11"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6"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6"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6"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6"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6" borderId="0" applyNumberFormat="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6" borderId="0" applyNumberFormat="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6"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6"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6"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6" borderId="0" applyNumberFormat="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6"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6"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6"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6"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0" fontId="3" fillId="0" borderId="0"/>
    <xf numFmtId="43" fontId="20"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6" borderId="0" applyNumberFormat="0" applyBorder="0" applyAlignment="0" applyProtection="0"/>
    <xf numFmtId="43" fontId="20"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20"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6"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2" fillId="7" borderId="0" applyNumberFormat="0" applyBorder="0" applyAlignment="0" applyProtection="0"/>
    <xf numFmtId="0" fontId="15" fillId="0" borderId="0"/>
    <xf numFmtId="170" fontId="16" fillId="0" borderId="7" applyFont="0" applyFill="0" applyBorder="0" applyAlignment="0" applyProtection="0">
      <alignment horizontal="right"/>
    </xf>
    <xf numFmtId="43" fontId="20" fillId="0" borderId="0" applyFont="0" applyFill="0" applyBorder="0" applyAlignment="0" applyProtection="0"/>
    <xf numFmtId="0" fontId="15" fillId="0" borderId="0"/>
    <xf numFmtId="43" fontId="20" fillId="0" borderId="0" applyFont="0" applyFill="0" applyBorder="0" applyAlignment="0" applyProtection="0"/>
    <xf numFmtId="43" fontId="20" fillId="0" borderId="0" applyFont="0" applyFill="0" applyBorder="0" applyAlignment="0" applyProtection="0"/>
    <xf numFmtId="0" fontId="1" fillId="0" borderId="0"/>
    <xf numFmtId="0" fontId="20" fillId="0" borderId="0"/>
    <xf numFmtId="9" fontId="78" fillId="0" borderId="0" applyFont="0" applyFill="0" applyBorder="0" applyAlignment="0" applyProtection="0"/>
  </cellStyleXfs>
  <cellXfs count="595">
    <xf numFmtId="0" fontId="0" fillId="0" borderId="0" xfId="0"/>
    <xf numFmtId="0" fontId="18" fillId="0" borderId="0" xfId="1" applyFont="1"/>
    <xf numFmtId="0" fontId="24" fillId="0" borderId="0" xfId="1" applyFont="1"/>
    <xf numFmtId="49" fontId="18" fillId="0" borderId="0" xfId="1" applyNumberFormat="1" applyFont="1" applyAlignment="1">
      <alignment horizontal="center"/>
    </xf>
    <xf numFmtId="164" fontId="18" fillId="0" borderId="0" xfId="1" applyNumberFormat="1" applyFont="1"/>
    <xf numFmtId="0" fontId="18" fillId="0" borderId="0" xfId="1" applyFont="1" applyAlignment="1">
      <alignment horizontal="left"/>
    </xf>
    <xf numFmtId="164" fontId="16" fillId="3" borderId="5" xfId="1" applyNumberFormat="1" applyFont="1" applyFill="1" applyBorder="1" applyAlignment="1">
      <alignment horizontal="right"/>
    </xf>
    <xf numFmtId="0" fontId="18" fillId="0" borderId="6" xfId="1" applyFont="1" applyBorder="1"/>
    <xf numFmtId="164" fontId="16" fillId="3" borderId="2" xfId="1" applyNumberFormat="1" applyFont="1" applyFill="1" applyBorder="1" applyAlignment="1">
      <alignment horizontal="right"/>
    </xf>
    <xf numFmtId="0" fontId="16" fillId="0" borderId="4" xfId="1" applyFont="1" applyBorder="1"/>
    <xf numFmtId="0" fontId="16" fillId="0" borderId="3" xfId="1" applyFont="1" applyBorder="1"/>
    <xf numFmtId="0" fontId="16" fillId="0" borderId="7" xfId="1" applyFont="1" applyBorder="1"/>
    <xf numFmtId="0" fontId="16" fillId="0" borderId="6" xfId="1" applyFont="1" applyBorder="1" applyAlignment="1">
      <alignment horizontal="center"/>
    </xf>
    <xf numFmtId="0" fontId="16" fillId="0" borderId="11" xfId="1" applyFont="1" applyBorder="1" applyAlignment="1">
      <alignment horizontal="center"/>
    </xf>
    <xf numFmtId="0" fontId="16" fillId="0" borderId="5" xfId="1" applyFont="1" applyBorder="1" applyAlignment="1">
      <alignment horizontal="center"/>
    </xf>
    <xf numFmtId="0" fontId="16" fillId="0" borderId="11" xfId="1" applyFont="1" applyBorder="1"/>
    <xf numFmtId="0" fontId="16" fillId="0" borderId="7" xfId="1" applyFont="1" applyBorder="1" applyAlignment="1">
      <alignment horizontal="center"/>
    </xf>
    <xf numFmtId="14" fontId="17" fillId="0" borderId="4" xfId="1" applyNumberFormat="1" applyFont="1" applyBorder="1" applyAlignment="1">
      <alignment horizontal="center"/>
    </xf>
    <xf numFmtId="0" fontId="18" fillId="0" borderId="3" xfId="1" applyFont="1" applyBorder="1"/>
    <xf numFmtId="164" fontId="18" fillId="3" borderId="6" xfId="1" applyNumberFormat="1" applyFont="1" applyFill="1" applyBorder="1" applyAlignment="1">
      <alignment horizontal="right"/>
    </xf>
    <xf numFmtId="164" fontId="18" fillId="3" borderId="3" xfId="1" applyNumberFormat="1" applyFont="1" applyFill="1" applyBorder="1" applyAlignment="1">
      <alignment horizontal="right"/>
    </xf>
    <xf numFmtId="164" fontId="16" fillId="3" borderId="3" xfId="1" applyNumberFormat="1" applyFont="1" applyFill="1" applyBorder="1" applyAlignment="1">
      <alignment horizontal="right"/>
    </xf>
    <xf numFmtId="3" fontId="18" fillId="0" borderId="0" xfId="1" applyNumberFormat="1" applyFont="1"/>
    <xf numFmtId="164" fontId="18" fillId="3" borderId="2" xfId="1" applyNumberFormat="1" applyFont="1" applyFill="1" applyBorder="1" applyAlignment="1">
      <alignment horizontal="right"/>
    </xf>
    <xf numFmtId="0" fontId="15" fillId="0" borderId="0" xfId="1" applyFont="1"/>
    <xf numFmtId="0" fontId="22" fillId="0" borderId="0" xfId="1" applyFont="1"/>
    <xf numFmtId="164" fontId="16" fillId="0" borderId="0" xfId="1" applyNumberFormat="1" applyFont="1" applyAlignment="1">
      <alignment horizontal="right"/>
    </xf>
    <xf numFmtId="3" fontId="18" fillId="0" borderId="0" xfId="1" applyNumberFormat="1" applyFont="1" applyAlignment="1">
      <alignment horizontal="center"/>
    </xf>
    <xf numFmtId="164" fontId="18" fillId="0" borderId="0" xfId="1" applyNumberFormat="1" applyFont="1" applyAlignment="1">
      <alignment horizontal="right"/>
    </xf>
    <xf numFmtId="49" fontId="18" fillId="0" borderId="0" xfId="1" applyNumberFormat="1" applyFont="1" applyAlignment="1">
      <alignment horizontal="right"/>
    </xf>
    <xf numFmtId="164" fontId="16" fillId="3" borderId="6" xfId="1" applyNumberFormat="1" applyFont="1" applyFill="1" applyBorder="1" applyAlignment="1">
      <alignment horizontal="right"/>
    </xf>
    <xf numFmtId="3" fontId="18" fillId="0" borderId="0" xfId="1" quotePrefix="1" applyNumberFormat="1" applyFont="1" applyAlignment="1">
      <alignment horizontal="center"/>
    </xf>
    <xf numFmtId="0" fontId="16" fillId="0" borderId="0" xfId="1" applyFont="1" applyAlignment="1">
      <alignment horizontal="center"/>
    </xf>
    <xf numFmtId="0" fontId="16" fillId="0" borderId="6" xfId="1" applyFont="1" applyBorder="1"/>
    <xf numFmtId="14" fontId="17" fillId="0" borderId="0" xfId="1" applyNumberFormat="1" applyFont="1" applyAlignment="1">
      <alignment horizontal="center"/>
    </xf>
    <xf numFmtId="0" fontId="16" fillId="0" borderId="0" xfId="1" applyFont="1"/>
    <xf numFmtId="3" fontId="18" fillId="0" borderId="3" xfId="1" applyNumberFormat="1" applyFont="1" applyBorder="1" applyAlignment="1">
      <alignment horizontal="right"/>
    </xf>
    <xf numFmtId="3" fontId="18" fillId="0" borderId="6" xfId="1" applyNumberFormat="1" applyFont="1" applyBorder="1" applyAlignment="1">
      <alignment horizontal="right"/>
    </xf>
    <xf numFmtId="3" fontId="19" fillId="0" borderId="0" xfId="1" applyNumberFormat="1" applyFont="1" applyAlignment="1">
      <alignment horizontal="right"/>
    </xf>
    <xf numFmtId="0" fontId="18" fillId="0" borderId="4" xfId="1" applyFont="1" applyBorder="1"/>
    <xf numFmtId="0" fontId="18" fillId="0" borderId="0" xfId="1" applyFont="1" applyAlignment="1">
      <alignment horizontal="right"/>
    </xf>
    <xf numFmtId="0" fontId="38" fillId="0" borderId="0" xfId="0" applyFont="1"/>
    <xf numFmtId="0" fontId="39" fillId="0" borderId="0" xfId="0" applyFont="1"/>
    <xf numFmtId="0" fontId="40" fillId="0" borderId="0" xfId="0" applyFont="1"/>
    <xf numFmtId="0" fontId="42" fillId="0" borderId="0" xfId="0" applyFont="1"/>
    <xf numFmtId="0" fontId="42" fillId="0" borderId="0" xfId="3" applyFont="1" applyAlignment="1" applyProtection="1"/>
    <xf numFmtId="0" fontId="44" fillId="0" borderId="0" xfId="0" applyFont="1"/>
    <xf numFmtId="0" fontId="18" fillId="0" borderId="0" xfId="3" applyFont="1" applyFill="1" applyAlignment="1" applyProtection="1"/>
    <xf numFmtId="0" fontId="31" fillId="0" borderId="0" xfId="0" applyFont="1"/>
    <xf numFmtId="0" fontId="45" fillId="0" borderId="0" xfId="0" applyFont="1"/>
    <xf numFmtId="0" fontId="46" fillId="0" borderId="0" xfId="0" applyFont="1"/>
    <xf numFmtId="3" fontId="31" fillId="0" borderId="0" xfId="0" applyNumberFormat="1" applyFont="1"/>
    <xf numFmtId="0" fontId="41" fillId="0" borderId="0" xfId="0" applyFont="1"/>
    <xf numFmtId="0" fontId="37" fillId="0" borderId="0" xfId="0" applyFont="1"/>
    <xf numFmtId="14" fontId="14" fillId="0" borderId="13" xfId="0" applyNumberFormat="1" applyFont="1" applyBorder="1" applyAlignment="1">
      <alignment horizontal="left"/>
    </xf>
    <xf numFmtId="0" fontId="31" fillId="0" borderId="10" xfId="0" applyFont="1" applyBorder="1"/>
    <xf numFmtId="0" fontId="31" fillId="0" borderId="8" xfId="0" applyFont="1" applyBorder="1"/>
    <xf numFmtId="0" fontId="31" fillId="0" borderId="9" xfId="0" applyFont="1" applyBorder="1"/>
    <xf numFmtId="0" fontId="31" fillId="0" borderId="3" xfId="0" applyFont="1" applyBorder="1"/>
    <xf numFmtId="0" fontId="18" fillId="0" borderId="0" xfId="0" applyFont="1"/>
    <xf numFmtId="3" fontId="45" fillId="0" borderId="7" xfId="0" applyNumberFormat="1" applyFont="1" applyBorder="1"/>
    <xf numFmtId="0" fontId="45" fillId="0" borderId="0" xfId="0" applyFont="1" applyAlignment="1">
      <alignment horizontal="center"/>
    </xf>
    <xf numFmtId="0" fontId="45" fillId="0" borderId="3" xfId="0" applyFont="1" applyBorder="1" applyAlignment="1">
      <alignment horizontal="center"/>
    </xf>
    <xf numFmtId="3" fontId="45" fillId="0" borderId="3" xfId="0" applyNumberFormat="1" applyFont="1" applyBorder="1"/>
    <xf numFmtId="0" fontId="16" fillId="0" borderId="4" xfId="0" applyFont="1" applyBorder="1" applyAlignment="1">
      <alignment horizontal="center"/>
    </xf>
    <xf numFmtId="0" fontId="16" fillId="0" borderId="1" xfId="0" applyFont="1" applyBorder="1" applyAlignment="1">
      <alignment horizontal="center"/>
    </xf>
    <xf numFmtId="0" fontId="16" fillId="0" borderId="7" xfId="0" applyFont="1" applyBorder="1" applyAlignment="1">
      <alignment horizontal="center"/>
    </xf>
    <xf numFmtId="0" fontId="16" fillId="0" borderId="3" xfId="0" applyFont="1" applyBorder="1" applyAlignment="1">
      <alignment horizontal="center"/>
    </xf>
    <xf numFmtId="3" fontId="48" fillId="4" borderId="6" xfId="0" applyNumberFormat="1" applyFont="1" applyFill="1" applyBorder="1"/>
    <xf numFmtId="0" fontId="14" fillId="0" borderId="11" xfId="0" applyFont="1" applyBorder="1" applyAlignment="1">
      <alignment horizontal="center"/>
    </xf>
    <xf numFmtId="0" fontId="16" fillId="0" borderId="11" xfId="0" applyFont="1" applyBorder="1" applyAlignment="1">
      <alignment horizontal="center"/>
    </xf>
    <xf numFmtId="0" fontId="16" fillId="0" borderId="6" xfId="0" applyFont="1" applyBorder="1" applyAlignment="1">
      <alignment horizontal="center"/>
    </xf>
    <xf numFmtId="0" fontId="16" fillId="0" borderId="0" xfId="0" applyFont="1" applyAlignment="1">
      <alignment horizontal="center"/>
    </xf>
    <xf numFmtId="0" fontId="45" fillId="0" borderId="3" xfId="0" applyFont="1" applyBorder="1"/>
    <xf numFmtId="0" fontId="31" fillId="0" borderId="1" xfId="0" applyFont="1" applyBorder="1"/>
    <xf numFmtId="3" fontId="31" fillId="0" borderId="4" xfId="0" applyNumberFormat="1" applyFont="1" applyBorder="1"/>
    <xf numFmtId="3" fontId="31" fillId="0" borderId="4" xfId="0" applyNumberFormat="1" applyFont="1" applyBorder="1" applyAlignment="1">
      <alignment horizontal="right"/>
    </xf>
    <xf numFmtId="0" fontId="31" fillId="0" borderId="4" xfId="0" applyFont="1" applyBorder="1"/>
    <xf numFmtId="3" fontId="45" fillId="0" borderId="4" xfId="0" applyNumberFormat="1" applyFont="1" applyBorder="1"/>
    <xf numFmtId="3" fontId="45" fillId="0" borderId="4" xfId="0" applyNumberFormat="1" applyFont="1" applyBorder="1" applyAlignment="1">
      <alignment horizontal="right"/>
    </xf>
    <xf numFmtId="0" fontId="16" fillId="0" borderId="0" xfId="0" applyFont="1"/>
    <xf numFmtId="0" fontId="45" fillId="0" borderId="6" xfId="0" applyFont="1" applyBorder="1"/>
    <xf numFmtId="3" fontId="45" fillId="0" borderId="11" xfId="0" applyNumberFormat="1" applyFont="1" applyBorder="1"/>
    <xf numFmtId="3" fontId="45" fillId="0" borderId="11" xfId="0" applyNumberFormat="1" applyFont="1" applyBorder="1" applyAlignment="1">
      <alignment horizontal="right"/>
    </xf>
    <xf numFmtId="0" fontId="31" fillId="0" borderId="0" xfId="0" applyFont="1" applyAlignment="1">
      <alignment horizontal="left"/>
    </xf>
    <xf numFmtId="0" fontId="45" fillId="0" borderId="0" xfId="0" applyFont="1" applyAlignment="1">
      <alignment horizontal="left"/>
    </xf>
    <xf numFmtId="0" fontId="31" fillId="0" borderId="14" xfId="0" applyFont="1" applyBorder="1"/>
    <xf numFmtId="0" fontId="31" fillId="0" borderId="15" xfId="0" applyFont="1" applyBorder="1"/>
    <xf numFmtId="166" fontId="45" fillId="0" borderId="7" xfId="0" applyNumberFormat="1" applyFont="1" applyBorder="1" applyAlignment="1">
      <alignment horizontal="left"/>
    </xf>
    <xf numFmtId="0" fontId="45" fillId="0" borderId="2" xfId="0" applyFont="1" applyBorder="1" applyAlignment="1">
      <alignment horizontal="center"/>
    </xf>
    <xf numFmtId="166" fontId="45" fillId="0" borderId="3" xfId="0" applyNumberFormat="1" applyFont="1" applyBorder="1" applyAlignment="1">
      <alignment horizontal="left"/>
    </xf>
    <xf numFmtId="0" fontId="45" fillId="0" borderId="4" xfId="0" applyFont="1" applyBorder="1" applyAlignment="1">
      <alignment horizontal="center"/>
    </xf>
    <xf numFmtId="0" fontId="45" fillId="0" borderId="1" xfId="0" applyFont="1" applyBorder="1" applyAlignment="1">
      <alignment horizontal="center"/>
    </xf>
    <xf numFmtId="0" fontId="16" fillId="0" borderId="2" xfId="0" applyFont="1" applyBorder="1" applyAlignment="1">
      <alignment horizontal="center"/>
    </xf>
    <xf numFmtId="166" fontId="50" fillId="0" borderId="6" xfId="0" applyNumberFormat="1" applyFont="1" applyBorder="1" applyAlignment="1">
      <alignment horizontal="left"/>
    </xf>
    <xf numFmtId="0" fontId="14" fillId="0" borderId="6" xfId="0" applyFont="1" applyBorder="1" applyAlignment="1">
      <alignment horizontal="center"/>
    </xf>
    <xf numFmtId="0" fontId="16" fillId="0" borderId="12" xfId="0" applyFont="1" applyBorder="1" applyAlignment="1">
      <alignment horizontal="center"/>
    </xf>
    <xf numFmtId="3" fontId="31" fillId="0" borderId="1" xfId="0" applyNumberFormat="1" applyFont="1" applyBorder="1"/>
    <xf numFmtId="3" fontId="31" fillId="0" borderId="2" xfId="0" applyNumberFormat="1" applyFont="1" applyBorder="1"/>
    <xf numFmtId="3" fontId="51" fillId="0" borderId="4" xfId="0" applyNumberFormat="1" applyFont="1" applyBorder="1" applyAlignment="1">
      <alignment horizontal="right"/>
    </xf>
    <xf numFmtId="0" fontId="52" fillId="0" borderId="0" xfId="0" applyFont="1"/>
    <xf numFmtId="3" fontId="53" fillId="0" borderId="0" xfId="0" applyNumberFormat="1" applyFont="1"/>
    <xf numFmtId="0" fontId="53" fillId="0" borderId="0" xfId="0" applyFont="1"/>
    <xf numFmtId="0" fontId="45" fillId="0" borderId="4" xfId="0" applyFont="1" applyBorder="1"/>
    <xf numFmtId="3" fontId="45" fillId="0" borderId="0" xfId="0" applyNumberFormat="1" applyFont="1" applyAlignment="1">
      <alignment horizontal="right"/>
    </xf>
    <xf numFmtId="3" fontId="16" fillId="0" borderId="4" xfId="1" applyNumberFormat="1" applyFont="1" applyBorder="1"/>
    <xf numFmtId="3" fontId="15" fillId="0" borderId="0" xfId="1" applyNumberFormat="1" applyFont="1"/>
    <xf numFmtId="3" fontId="16" fillId="0" borderId="0" xfId="1" applyNumberFormat="1" applyFont="1"/>
    <xf numFmtId="3" fontId="16" fillId="0" borderId="1" xfId="1" applyNumberFormat="1" applyFont="1" applyBorder="1"/>
    <xf numFmtId="3" fontId="18" fillId="0" borderId="0" xfId="1" applyNumberFormat="1" applyFont="1" applyAlignment="1">
      <alignment horizontal="right"/>
    </xf>
    <xf numFmtId="3" fontId="14" fillId="0" borderId="0" xfId="1" applyNumberFormat="1" applyFont="1"/>
    <xf numFmtId="3" fontId="16" fillId="0" borderId="5" xfId="1" applyNumberFormat="1" applyFont="1" applyBorder="1" applyAlignment="1">
      <alignment horizontal="center"/>
    </xf>
    <xf numFmtId="3" fontId="22" fillId="0" borderId="0" xfId="1" applyNumberFormat="1" applyFont="1"/>
    <xf numFmtId="3" fontId="17" fillId="0" borderId="4" xfId="1" applyNumberFormat="1" applyFont="1" applyBorder="1" applyAlignment="1">
      <alignment horizontal="center"/>
    </xf>
    <xf numFmtId="3" fontId="18" fillId="0" borderId="4" xfId="1" applyNumberFormat="1" applyFont="1" applyBorder="1"/>
    <xf numFmtId="3" fontId="18" fillId="0" borderId="0" xfId="1" applyNumberFormat="1" applyFont="1" applyAlignment="1">
      <alignment horizontal="left"/>
    </xf>
    <xf numFmtId="3" fontId="16" fillId="0" borderId="6" xfId="1" applyNumberFormat="1" applyFont="1" applyBorder="1" applyAlignment="1">
      <alignment horizontal="center"/>
    </xf>
    <xf numFmtId="3" fontId="16" fillId="0" borderId="3" xfId="1" applyNumberFormat="1" applyFont="1" applyBorder="1"/>
    <xf numFmtId="3" fontId="16" fillId="0" borderId="0" xfId="1" applyNumberFormat="1" applyFont="1" applyAlignment="1">
      <alignment horizontal="right"/>
    </xf>
    <xf numFmtId="3" fontId="16" fillId="3" borderId="2" xfId="1" applyNumberFormat="1" applyFont="1" applyFill="1" applyBorder="1" applyAlignment="1">
      <alignment horizontal="right"/>
    </xf>
    <xf numFmtId="3" fontId="16" fillId="0" borderId="11" xfId="1" applyNumberFormat="1" applyFont="1" applyBorder="1" applyAlignment="1">
      <alignment horizontal="center"/>
    </xf>
    <xf numFmtId="3" fontId="16" fillId="0" borderId="7" xfId="1" applyNumberFormat="1" applyFont="1" applyBorder="1" applyAlignment="1">
      <alignment horizontal="center"/>
    </xf>
    <xf numFmtId="3" fontId="14" fillId="0" borderId="12" xfId="1" applyNumberFormat="1" applyFont="1" applyBorder="1"/>
    <xf numFmtId="3" fontId="18" fillId="3" borderId="3" xfId="1" applyNumberFormat="1" applyFont="1" applyFill="1" applyBorder="1" applyAlignment="1">
      <alignment horizontal="right"/>
    </xf>
    <xf numFmtId="3" fontId="18" fillId="3" borderId="6" xfId="1" applyNumberFormat="1" applyFont="1" applyFill="1" applyBorder="1" applyAlignment="1">
      <alignment horizontal="right"/>
    </xf>
    <xf numFmtId="3" fontId="16" fillId="3" borderId="6" xfId="1" applyNumberFormat="1" applyFont="1" applyFill="1" applyBorder="1" applyAlignment="1">
      <alignment horizontal="right"/>
    </xf>
    <xf numFmtId="3" fontId="16" fillId="3" borderId="5" xfId="1" applyNumberFormat="1" applyFont="1" applyFill="1" applyBorder="1" applyAlignment="1">
      <alignment horizontal="right"/>
    </xf>
    <xf numFmtId="3" fontId="16" fillId="3" borderId="3" xfId="1" applyNumberFormat="1" applyFont="1" applyFill="1" applyBorder="1" applyAlignment="1">
      <alignment horizontal="right"/>
    </xf>
    <xf numFmtId="3" fontId="18" fillId="0" borderId="10" xfId="1" applyNumberFormat="1" applyFont="1" applyBorder="1" applyAlignment="1">
      <alignment horizontal="left"/>
    </xf>
    <xf numFmtId="3" fontId="17" fillId="0" borderId="7" xfId="1" applyNumberFormat="1" applyFont="1" applyBorder="1" applyAlignment="1">
      <alignment horizontal="center"/>
    </xf>
    <xf numFmtId="3" fontId="16" fillId="0" borderId="0" xfId="1" applyNumberFormat="1" applyFont="1" applyAlignment="1">
      <alignment horizontal="center"/>
    </xf>
    <xf numFmtId="3" fontId="17" fillId="0" borderId="0" xfId="1" applyNumberFormat="1" applyFont="1" applyAlignment="1">
      <alignment horizontal="center"/>
    </xf>
    <xf numFmtId="3" fontId="18" fillId="3" borderId="2" xfId="1" applyNumberFormat="1" applyFont="1" applyFill="1" applyBorder="1" applyAlignment="1">
      <alignment horizontal="right"/>
    </xf>
    <xf numFmtId="3" fontId="31" fillId="0" borderId="3" xfId="0" applyNumberFormat="1" applyFont="1" applyBorder="1"/>
    <xf numFmtId="3" fontId="45" fillId="0" borderId="0" xfId="0" applyNumberFormat="1" applyFont="1"/>
    <xf numFmtId="3" fontId="45" fillId="0" borderId="6" xfId="0" applyNumberFormat="1" applyFont="1" applyBorder="1"/>
    <xf numFmtId="3" fontId="31" fillId="0" borderId="0" xfId="0" applyNumberFormat="1" applyFont="1" applyAlignment="1">
      <alignment horizontal="right"/>
    </xf>
    <xf numFmtId="3" fontId="51" fillId="0" borderId="0" xfId="0" applyNumberFormat="1" applyFont="1" applyAlignment="1">
      <alignment horizontal="right"/>
    </xf>
    <xf numFmtId="0" fontId="14" fillId="0" borderId="4" xfId="0" applyFont="1" applyBorder="1" applyAlignment="1">
      <alignment horizontal="center"/>
    </xf>
    <xf numFmtId="0" fontId="14" fillId="0" borderId="3" xfId="0" applyFont="1" applyBorder="1" applyAlignment="1">
      <alignment horizontal="center"/>
    </xf>
    <xf numFmtId="3" fontId="18" fillId="2" borderId="3" xfId="1" applyNumberFormat="1" applyFont="1" applyFill="1" applyBorder="1" applyAlignment="1">
      <alignment horizontal="right"/>
    </xf>
    <xf numFmtId="3" fontId="23" fillId="0" borderId="4" xfId="1" applyNumberFormat="1" applyFont="1" applyBorder="1" applyAlignment="1">
      <alignment horizontal="right"/>
    </xf>
    <xf numFmtId="3" fontId="23" fillId="0" borderId="3" xfId="1" applyNumberFormat="1" applyFont="1" applyBorder="1" applyAlignment="1">
      <alignment horizontal="right"/>
    </xf>
    <xf numFmtId="3" fontId="18" fillId="0" borderId="4" xfId="1" quotePrefix="1" applyNumberFormat="1" applyFont="1" applyBorder="1" applyAlignment="1">
      <alignment horizontal="right"/>
    </xf>
    <xf numFmtId="166" fontId="45" fillId="0" borderId="4" xfId="0" applyNumberFormat="1" applyFont="1" applyBorder="1" applyAlignment="1">
      <alignment horizontal="left"/>
    </xf>
    <xf numFmtId="0" fontId="51" fillId="0" borderId="4" xfId="0" applyFont="1" applyBorder="1"/>
    <xf numFmtId="0" fontId="45" fillId="0" borderId="11" xfId="0" applyFont="1" applyBorder="1"/>
    <xf numFmtId="3" fontId="31" fillId="0" borderId="3" xfId="0" applyNumberFormat="1" applyFont="1" applyBorder="1" applyAlignment="1">
      <alignment horizontal="right"/>
    </xf>
    <xf numFmtId="3" fontId="51" fillId="0" borderId="3" xfId="0" applyNumberFormat="1" applyFont="1" applyBorder="1" applyAlignment="1">
      <alignment horizontal="right"/>
    </xf>
    <xf numFmtId="3" fontId="45" fillId="0" borderId="3" xfId="0" applyNumberFormat="1" applyFont="1" applyBorder="1" applyAlignment="1">
      <alignment horizontal="right"/>
    </xf>
    <xf numFmtId="3" fontId="45" fillId="0" borderId="6" xfId="0" applyNumberFormat="1" applyFont="1" applyBorder="1" applyAlignment="1">
      <alignment horizontal="right"/>
    </xf>
    <xf numFmtId="0" fontId="37" fillId="0" borderId="4" xfId="0" applyFont="1" applyBorder="1" applyAlignment="1">
      <alignment horizontal="right"/>
    </xf>
    <xf numFmtId="3" fontId="31" fillId="0" borderId="7" xfId="0" applyNumberFormat="1" applyFont="1" applyBorder="1" applyAlignment="1">
      <alignment horizontal="right"/>
    </xf>
    <xf numFmtId="3" fontId="31" fillId="0" borderId="14" xfId="0" applyNumberFormat="1" applyFont="1" applyBorder="1" applyAlignment="1">
      <alignment horizontal="right"/>
    </xf>
    <xf numFmtId="0" fontId="37" fillId="0" borderId="3" xfId="0" applyFont="1" applyBorder="1" applyAlignment="1">
      <alignment horizontal="right"/>
    </xf>
    <xf numFmtId="3" fontId="31" fillId="0" borderId="6" xfId="0" applyNumberFormat="1" applyFont="1" applyBorder="1" applyAlignment="1">
      <alignment horizontal="right"/>
    </xf>
    <xf numFmtId="3" fontId="16" fillId="0" borderId="0" xfId="0" applyNumberFormat="1" applyFont="1"/>
    <xf numFmtId="3" fontId="16" fillId="0" borderId="4" xfId="1" applyNumberFormat="1" applyFont="1" applyBorder="1" applyAlignment="1">
      <alignment horizontal="center"/>
    </xf>
    <xf numFmtId="3" fontId="18" fillId="0" borderId="0" xfId="0" applyNumberFormat="1" applyFont="1"/>
    <xf numFmtId="0" fontId="18" fillId="8" borderId="1" xfId="0" applyFont="1" applyFill="1" applyBorder="1"/>
    <xf numFmtId="0" fontId="18" fillId="8" borderId="15" xfId="0" applyFont="1" applyFill="1" applyBorder="1"/>
    <xf numFmtId="0" fontId="18" fillId="8" borderId="14" xfId="0" applyFont="1" applyFill="1" applyBorder="1"/>
    <xf numFmtId="0" fontId="16" fillId="8" borderId="1" xfId="0" applyFont="1" applyFill="1" applyBorder="1" applyAlignment="1">
      <alignment horizontal="center"/>
    </xf>
    <xf numFmtId="0" fontId="16" fillId="8" borderId="15" xfId="0" applyFont="1" applyFill="1" applyBorder="1" applyAlignment="1">
      <alignment horizontal="center"/>
    </xf>
    <xf numFmtId="0" fontId="16" fillId="8" borderId="14" xfId="0" applyFont="1" applyFill="1" applyBorder="1" applyAlignment="1">
      <alignment horizontal="center"/>
    </xf>
    <xf numFmtId="0" fontId="16" fillId="8" borderId="11" xfId="0" applyFont="1" applyFill="1" applyBorder="1" applyAlignment="1">
      <alignment horizontal="center"/>
    </xf>
    <xf numFmtId="0" fontId="16" fillId="8" borderId="5" xfId="0" applyFont="1" applyFill="1" applyBorder="1" applyAlignment="1">
      <alignment horizontal="center"/>
    </xf>
    <xf numFmtId="0" fontId="16" fillId="8" borderId="12" xfId="0" applyFont="1" applyFill="1" applyBorder="1" applyAlignment="1">
      <alignment horizontal="center"/>
    </xf>
    <xf numFmtId="0" fontId="16" fillId="8" borderId="3" xfId="0" applyFont="1" applyFill="1" applyBorder="1"/>
    <xf numFmtId="3" fontId="18" fillId="8" borderId="2" xfId="0" applyNumberFormat="1" applyFont="1" applyFill="1" applyBorder="1"/>
    <xf numFmtId="3" fontId="18" fillId="8" borderId="7" xfId="0" applyNumberFormat="1" applyFont="1" applyFill="1" applyBorder="1"/>
    <xf numFmtId="3" fontId="18" fillId="8" borderId="3" xfId="0" applyNumberFormat="1" applyFont="1" applyFill="1" applyBorder="1"/>
    <xf numFmtId="0" fontId="16" fillId="8" borderId="3" xfId="0" applyFont="1" applyFill="1" applyBorder="1" applyAlignment="1">
      <alignment horizontal="center"/>
    </xf>
    <xf numFmtId="0" fontId="16" fillId="8" borderId="2" xfId="0" applyFont="1" applyFill="1" applyBorder="1" applyAlignment="1">
      <alignment horizontal="center"/>
    </xf>
    <xf numFmtId="0" fontId="18" fillId="8" borderId="2" xfId="0" applyFont="1" applyFill="1" applyBorder="1"/>
    <xf numFmtId="0" fontId="18" fillId="8" borderId="3" xfId="0" applyFont="1" applyFill="1" applyBorder="1"/>
    <xf numFmtId="3" fontId="16" fillId="8" borderId="6" xfId="0" applyNumberFormat="1" applyFont="1" applyFill="1" applyBorder="1"/>
    <xf numFmtId="3" fontId="16" fillId="8" borderId="5" xfId="0" applyNumberFormat="1" applyFont="1" applyFill="1" applyBorder="1"/>
    <xf numFmtId="3" fontId="31" fillId="0" borderId="2" xfId="0" quotePrefix="1" applyNumberFormat="1" applyFont="1" applyBorder="1" applyAlignment="1">
      <alignment horizontal="right"/>
    </xf>
    <xf numFmtId="0" fontId="37" fillId="0" borderId="1" xfId="0" applyFont="1" applyBorder="1" applyAlignment="1">
      <alignment horizontal="right"/>
    </xf>
    <xf numFmtId="3" fontId="31" fillId="0" borderId="3" xfId="0" quotePrefix="1" applyNumberFormat="1" applyFont="1" applyBorder="1" applyAlignment="1">
      <alignment horizontal="right"/>
    </xf>
    <xf numFmtId="3" fontId="18" fillId="0" borderId="2" xfId="1" applyNumberFormat="1" applyFont="1" applyBorder="1" applyAlignment="1">
      <alignment horizontal="right"/>
    </xf>
    <xf numFmtId="3" fontId="18" fillId="2" borderId="2" xfId="1" applyNumberFormat="1" applyFont="1" applyFill="1" applyBorder="1" applyAlignment="1">
      <alignment horizontal="right"/>
    </xf>
    <xf numFmtId="3" fontId="16" fillId="0" borderId="3" xfId="1" applyNumberFormat="1" applyFont="1" applyBorder="1" applyAlignment="1">
      <alignment horizontal="right"/>
    </xf>
    <xf numFmtId="3" fontId="18" fillId="0" borderId="2" xfId="1" quotePrefix="1" applyNumberFormat="1" applyFont="1" applyBorder="1" applyAlignment="1">
      <alignment horizontal="right"/>
    </xf>
    <xf numFmtId="3" fontId="18" fillId="0" borderId="6" xfId="1" quotePrefix="1" applyNumberFormat="1" applyFont="1" applyBorder="1" applyAlignment="1">
      <alignment horizontal="right"/>
    </xf>
    <xf numFmtId="3" fontId="18" fillId="0" borderId="5" xfId="1" quotePrefix="1" applyNumberFormat="1" applyFont="1" applyBorder="1" applyAlignment="1">
      <alignment horizontal="right"/>
    </xf>
    <xf numFmtId="3" fontId="18" fillId="3" borderId="0" xfId="1" applyNumberFormat="1" applyFont="1" applyFill="1" applyAlignment="1">
      <alignment horizontal="right"/>
    </xf>
    <xf numFmtId="164" fontId="55" fillId="7" borderId="3" xfId="844" applyNumberFormat="1" applyFont="1" applyBorder="1" applyAlignment="1">
      <alignment horizontal="right"/>
    </xf>
    <xf numFmtId="3" fontId="45" fillId="0" borderId="2" xfId="0" applyNumberFormat="1" applyFont="1" applyBorder="1"/>
    <xf numFmtId="3" fontId="14" fillId="0" borderId="9" xfId="1" applyNumberFormat="1" applyFont="1" applyBorder="1" applyAlignment="1">
      <alignment horizontal="center"/>
    </xf>
    <xf numFmtId="3" fontId="17" fillId="0" borderId="6" xfId="1" applyNumberFormat="1" applyFont="1" applyBorder="1" applyAlignment="1">
      <alignment horizontal="center"/>
    </xf>
    <xf numFmtId="3" fontId="16" fillId="0" borderId="3" xfId="1" applyNumberFormat="1" applyFont="1" applyBorder="1" applyAlignment="1">
      <alignment horizontal="center"/>
    </xf>
    <xf numFmtId="3" fontId="16" fillId="0" borderId="2" xfId="1" applyNumberFormat="1" applyFont="1" applyBorder="1" applyAlignment="1">
      <alignment horizontal="center"/>
    </xf>
    <xf numFmtId="3" fontId="14" fillId="0" borderId="1" xfId="1" applyNumberFormat="1" applyFont="1" applyBorder="1"/>
    <xf numFmtId="0" fontId="18" fillId="0" borderId="6" xfId="0" applyFont="1" applyBorder="1"/>
    <xf numFmtId="0" fontId="16" fillId="0" borderId="3" xfId="1" applyFont="1" applyBorder="1" applyAlignment="1">
      <alignment horizontal="center"/>
    </xf>
    <xf numFmtId="0" fontId="16" fillId="0" borderId="15" xfId="1" applyFont="1" applyBorder="1" applyAlignment="1">
      <alignment horizontal="center"/>
    </xf>
    <xf numFmtId="14" fontId="17" fillId="0" borderId="1" xfId="1" applyNumberFormat="1" applyFont="1" applyBorder="1" applyAlignment="1">
      <alignment horizontal="center"/>
    </xf>
    <xf numFmtId="14" fontId="17" fillId="0" borderId="7" xfId="1" applyNumberFormat="1" applyFont="1" applyBorder="1" applyAlignment="1">
      <alignment horizontal="center"/>
    </xf>
    <xf numFmtId="14" fontId="17" fillId="0" borderId="15" xfId="1" applyNumberFormat="1" applyFont="1" applyBorder="1" applyAlignment="1">
      <alignment horizontal="center"/>
    </xf>
    <xf numFmtId="0" fontId="18" fillId="0" borderId="5" xfId="1" applyFont="1" applyBorder="1"/>
    <xf numFmtId="0" fontId="18" fillId="0" borderId="9" xfId="1" applyFont="1" applyBorder="1"/>
    <xf numFmtId="167" fontId="18" fillId="0" borderId="0" xfId="1" applyNumberFormat="1" applyFont="1" applyAlignment="1">
      <alignment horizontal="center"/>
    </xf>
    <xf numFmtId="167" fontId="18" fillId="3" borderId="3" xfId="1" applyNumberFormat="1" applyFont="1" applyFill="1" applyBorder="1" applyAlignment="1">
      <alignment horizontal="right"/>
    </xf>
    <xf numFmtId="167" fontId="18" fillId="3" borderId="6" xfId="1" applyNumberFormat="1" applyFont="1" applyFill="1" applyBorder="1" applyAlignment="1">
      <alignment horizontal="right"/>
    </xf>
    <xf numFmtId="0" fontId="45" fillId="0" borderId="7" xfId="0" applyFont="1" applyBorder="1"/>
    <xf numFmtId="166" fontId="16" fillId="0" borderId="4" xfId="0" applyNumberFormat="1" applyFont="1" applyBorder="1" applyAlignment="1">
      <alignment horizontal="center"/>
    </xf>
    <xf numFmtId="166" fontId="16" fillId="0" borderId="11" xfId="0" applyNumberFormat="1" applyFont="1" applyBorder="1" applyAlignment="1">
      <alignment horizontal="center"/>
    </xf>
    <xf numFmtId="0" fontId="16" fillId="0" borderId="5" xfId="0" applyFont="1" applyBorder="1" applyAlignment="1">
      <alignment horizontal="center"/>
    </xf>
    <xf numFmtId="164" fontId="45" fillId="0" borderId="4" xfId="0" applyNumberFormat="1" applyFont="1" applyBorder="1" applyAlignment="1">
      <alignment horizontal="right"/>
    </xf>
    <xf numFmtId="164" fontId="45" fillId="0" borderId="3" xfId="0" applyNumberFormat="1" applyFont="1" applyBorder="1" applyAlignment="1">
      <alignment horizontal="right"/>
    </xf>
    <xf numFmtId="164" fontId="31" fillId="0" borderId="4" xfId="0" applyNumberFormat="1" applyFont="1" applyBorder="1" applyAlignment="1">
      <alignment horizontal="right"/>
    </xf>
    <xf numFmtId="164" fontId="31" fillId="0" borderId="3" xfId="0" applyNumberFormat="1" applyFont="1" applyBorder="1" applyAlignment="1">
      <alignment horizontal="right"/>
    </xf>
    <xf numFmtId="0" fontId="31" fillId="0" borderId="11" xfId="0" applyFont="1" applyBorder="1"/>
    <xf numFmtId="3" fontId="31" fillId="0" borderId="11" xfId="0" applyNumberFormat="1" applyFont="1" applyBorder="1"/>
    <xf numFmtId="164" fontId="31" fillId="0" borderId="11" xfId="0" applyNumberFormat="1" applyFont="1" applyBorder="1" applyAlignment="1">
      <alignment horizontal="right"/>
    </xf>
    <xf numFmtId="164" fontId="31" fillId="0" borderId="6" xfId="0" applyNumberFormat="1" applyFont="1" applyBorder="1" applyAlignment="1">
      <alignment horizontal="right"/>
    </xf>
    <xf numFmtId="0" fontId="42" fillId="9" borderId="0" xfId="0" applyFont="1" applyFill="1"/>
    <xf numFmtId="0" fontId="66" fillId="0" borderId="0" xfId="3" applyFont="1" applyAlignment="1" applyProtection="1"/>
    <xf numFmtId="0" fontId="41" fillId="0" borderId="0" xfId="0" applyFont="1" applyAlignment="1">
      <alignment horizontal="center"/>
    </xf>
    <xf numFmtId="3" fontId="16" fillId="0" borderId="6" xfId="1" applyNumberFormat="1" applyFont="1" applyBorder="1" applyAlignment="1">
      <alignment horizontal="right"/>
    </xf>
    <xf numFmtId="3" fontId="67" fillId="0" borderId="4" xfId="1" applyNumberFormat="1" applyFont="1" applyBorder="1" applyAlignment="1">
      <alignment horizontal="right"/>
    </xf>
    <xf numFmtId="3" fontId="67" fillId="0" borderId="3" xfId="1" applyNumberFormat="1" applyFont="1" applyBorder="1" applyAlignment="1">
      <alignment horizontal="right"/>
    </xf>
    <xf numFmtId="3" fontId="67" fillId="0" borderId="11" xfId="1" applyNumberFormat="1" applyFont="1" applyBorder="1" applyAlignment="1">
      <alignment horizontal="right"/>
    </xf>
    <xf numFmtId="3" fontId="67" fillId="0" borderId="6" xfId="1" applyNumberFormat="1" applyFont="1" applyBorder="1" applyAlignment="1">
      <alignment horizontal="right"/>
    </xf>
    <xf numFmtId="3" fontId="18" fillId="0" borderId="3" xfId="2" applyNumberFormat="1" applyFont="1" applyFill="1" applyBorder="1" applyAlignment="1">
      <alignment horizontal="right"/>
    </xf>
    <xf numFmtId="3" fontId="18" fillId="0" borderId="4" xfId="2" applyNumberFormat="1" applyFont="1" applyFill="1" applyBorder="1" applyAlignment="1">
      <alignment horizontal="right"/>
    </xf>
    <xf numFmtId="3" fontId="18" fillId="0" borderId="6" xfId="2" applyNumberFormat="1" applyFont="1" applyFill="1" applyBorder="1" applyAlignment="1">
      <alignment horizontal="right"/>
    </xf>
    <xf numFmtId="3" fontId="18" fillId="0" borderId="11" xfId="2" applyNumberFormat="1" applyFont="1" applyFill="1" applyBorder="1" applyAlignment="1">
      <alignment horizontal="right"/>
    </xf>
    <xf numFmtId="3" fontId="18" fillId="2" borderId="3" xfId="2" applyNumberFormat="1" applyFont="1" applyFill="1" applyBorder="1" applyAlignment="1">
      <alignment horizontal="right"/>
    </xf>
    <xf numFmtId="3" fontId="18" fillId="2" borderId="4" xfId="2" applyNumberFormat="1" applyFont="1" applyFill="1" applyBorder="1" applyAlignment="1">
      <alignment horizontal="right"/>
    </xf>
    <xf numFmtId="3" fontId="18" fillId="0" borderId="4" xfId="1" applyNumberFormat="1" applyFont="1" applyBorder="1" applyAlignment="1">
      <alignment horizontal="right"/>
    </xf>
    <xf numFmtId="3" fontId="18" fillId="0" borderId="11" xfId="1" applyNumberFormat="1" applyFont="1" applyBorder="1" applyAlignment="1">
      <alignment horizontal="right"/>
    </xf>
    <xf numFmtId="3" fontId="18" fillId="2" borderId="0" xfId="1" applyNumberFormat="1" applyFont="1" applyFill="1" applyAlignment="1">
      <alignment horizontal="right"/>
    </xf>
    <xf numFmtId="3" fontId="18" fillId="0" borderId="3" xfId="2" applyNumberFormat="1" applyFont="1" applyBorder="1" applyAlignment="1">
      <alignment horizontal="right"/>
    </xf>
    <xf numFmtId="3" fontId="23" fillId="0" borderId="2" xfId="1" applyNumberFormat="1" applyFont="1" applyBorder="1" applyAlignment="1">
      <alignment horizontal="right"/>
    </xf>
    <xf numFmtId="3" fontId="23" fillId="0" borderId="0" xfId="1" applyNumberFormat="1" applyFont="1" applyAlignment="1">
      <alignment horizontal="right"/>
    </xf>
    <xf numFmtId="3" fontId="18" fillId="0" borderId="3" xfId="2" applyNumberFormat="1" applyFont="1" applyBorder="1" applyAlignment="1">
      <alignment horizontal="left"/>
    </xf>
    <xf numFmtId="0" fontId="14" fillId="0" borderId="0" xfId="1" applyFont="1" applyAlignment="1">
      <alignment horizontal="center"/>
    </xf>
    <xf numFmtId="3" fontId="14" fillId="0" borderId="0" xfId="1" applyNumberFormat="1" applyFont="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4" fillId="0" borderId="12" xfId="1" applyNumberFormat="1" applyFont="1" applyBorder="1" applyAlignment="1">
      <alignment horizontal="center"/>
    </xf>
    <xf numFmtId="3" fontId="16" fillId="0" borderId="9" xfId="1" applyNumberFormat="1" applyFont="1" applyBorder="1" applyAlignment="1">
      <alignment horizontal="center"/>
    </xf>
    <xf numFmtId="3" fontId="16" fillId="0" borderId="1" xfId="1" applyNumberFormat="1" applyFont="1" applyBorder="1" applyAlignment="1">
      <alignment horizontal="center"/>
    </xf>
    <xf numFmtId="3" fontId="16" fillId="0" borderId="7" xfId="2" applyNumberFormat="1" applyFont="1" applyFill="1" applyBorder="1" applyAlignment="1">
      <alignment horizontal="right"/>
    </xf>
    <xf numFmtId="3" fontId="16" fillId="0" borderId="1" xfId="2" applyNumberFormat="1" applyFont="1" applyFill="1" applyBorder="1" applyAlignment="1">
      <alignment horizontal="right"/>
    </xf>
    <xf numFmtId="3" fontId="16" fillId="0" borderId="2" xfId="1" applyNumberFormat="1" applyFont="1" applyBorder="1" applyAlignment="1">
      <alignment horizontal="right"/>
    </xf>
    <xf numFmtId="3" fontId="16" fillId="0" borderId="4" xfId="1" applyNumberFormat="1" applyFont="1" applyBorder="1" applyAlignment="1">
      <alignment horizontal="right"/>
    </xf>
    <xf numFmtId="3" fontId="16" fillId="0" borderId="3" xfId="2" applyNumberFormat="1" applyFont="1" applyFill="1" applyBorder="1" applyAlignment="1">
      <alignment horizontal="right"/>
    </xf>
    <xf numFmtId="3" fontId="16" fillId="0" borderId="4" xfId="2" applyNumberFormat="1" applyFont="1" applyFill="1" applyBorder="1" applyAlignment="1">
      <alignment horizontal="right"/>
    </xf>
    <xf numFmtId="3" fontId="16" fillId="0" borderId="6" xfId="2" applyNumberFormat="1" applyFont="1" applyFill="1" applyBorder="1" applyAlignment="1">
      <alignment horizontal="right"/>
    </xf>
    <xf numFmtId="3" fontId="16" fillId="0" borderId="11" xfId="2" applyNumberFormat="1" applyFont="1" applyFill="1" applyBorder="1" applyAlignment="1">
      <alignment horizontal="right"/>
    </xf>
    <xf numFmtId="3" fontId="16" fillId="0" borderId="5" xfId="1" applyNumberFormat="1" applyFont="1" applyBorder="1" applyAlignment="1">
      <alignment horizontal="right"/>
    </xf>
    <xf numFmtId="3" fontId="16" fillId="0" borderId="11" xfId="1" applyNumberFormat="1" applyFont="1" applyBorder="1" applyAlignment="1">
      <alignment horizontal="right"/>
    </xf>
    <xf numFmtId="3" fontId="16" fillId="0" borderId="7" xfId="1" applyNumberFormat="1" applyFont="1" applyBorder="1" applyAlignment="1">
      <alignment horizontal="right"/>
    </xf>
    <xf numFmtId="3" fontId="16" fillId="0" borderId="1" xfId="1" applyNumberFormat="1" applyFont="1" applyBorder="1" applyAlignment="1">
      <alignment horizontal="right"/>
    </xf>
    <xf numFmtId="3" fontId="16" fillId="0" borderId="15" xfId="1" applyNumberFormat="1" applyFont="1" applyBorder="1" applyAlignment="1">
      <alignment horizontal="right"/>
    </xf>
    <xf numFmtId="3" fontId="16" fillId="2" borderId="2" xfId="1" applyNumberFormat="1" applyFont="1" applyFill="1" applyBorder="1" applyAlignment="1">
      <alignment horizontal="right"/>
    </xf>
    <xf numFmtId="3" fontId="16" fillId="2" borderId="0" xfId="1" applyNumberFormat="1" applyFont="1" applyFill="1" applyAlignment="1">
      <alignment horizontal="right"/>
    </xf>
    <xf numFmtId="3" fontId="16" fillId="2" borderId="4" xfId="1" applyNumberFormat="1" applyFont="1" applyFill="1" applyBorder="1" applyAlignment="1">
      <alignment horizontal="right"/>
    </xf>
    <xf numFmtId="3" fontId="16" fillId="2" borderId="5" xfId="1" applyNumberFormat="1" applyFont="1" applyFill="1" applyBorder="1" applyAlignment="1">
      <alignment horizontal="right"/>
    </xf>
    <xf numFmtId="3" fontId="16" fillId="2" borderId="11" xfId="1" applyNumberFormat="1" applyFont="1" applyFill="1" applyBorder="1" applyAlignment="1">
      <alignment horizontal="right"/>
    </xf>
    <xf numFmtId="3" fontId="16" fillId="2" borderId="3" xfId="1" applyNumberFormat="1" applyFont="1" applyFill="1" applyBorder="1" applyAlignment="1">
      <alignment horizontal="right"/>
    </xf>
    <xf numFmtId="3" fontId="16" fillId="2" borderId="6" xfId="1" applyNumberFormat="1" applyFont="1" applyFill="1" applyBorder="1" applyAlignment="1">
      <alignment horizontal="right"/>
    </xf>
    <xf numFmtId="14" fontId="17" fillId="0" borderId="10" xfId="1" applyNumberFormat="1" applyFont="1" applyBorder="1"/>
    <xf numFmtId="0" fontId="0" fillId="0" borderId="8" xfId="0" applyBorder="1"/>
    <xf numFmtId="3" fontId="16" fillId="0" borderId="2" xfId="1" quotePrefix="1" applyNumberFormat="1" applyFont="1" applyBorder="1" applyAlignment="1">
      <alignment horizontal="right"/>
    </xf>
    <xf numFmtId="0" fontId="56" fillId="0" borderId="0" xfId="1" applyFont="1"/>
    <xf numFmtId="0" fontId="15" fillId="0" borderId="0" xfId="1" applyFont="1" applyAlignment="1">
      <alignment horizontal="right" vertical="top"/>
    </xf>
    <xf numFmtId="0" fontId="15" fillId="0" borderId="0" xfId="1" applyFont="1" applyAlignment="1">
      <alignment vertical="top" wrapText="1"/>
    </xf>
    <xf numFmtId="0" fontId="15" fillId="0" borderId="0" xfId="1" applyFont="1" applyAlignment="1">
      <alignment horizontal="right"/>
    </xf>
    <xf numFmtId="0" fontId="15" fillId="0" borderId="0" xfId="1" applyFont="1" applyAlignment="1">
      <alignment wrapText="1"/>
    </xf>
    <xf numFmtId="0" fontId="14" fillId="0" borderId="0" xfId="1" applyFont="1" applyAlignment="1">
      <alignment horizontal="left"/>
    </xf>
    <xf numFmtId="3" fontId="31" fillId="4" borderId="3" xfId="0" applyNumberFormat="1" applyFont="1" applyFill="1" applyBorder="1" applyAlignment="1" applyProtection="1">
      <alignment horizontal="right"/>
      <protection locked="0"/>
    </xf>
    <xf numFmtId="0" fontId="68" fillId="0" borderId="0" xfId="0" applyFont="1" applyAlignment="1">
      <alignment horizontal="left" vertical="center" readingOrder="1"/>
    </xf>
    <xf numFmtId="0" fontId="70" fillId="0" borderId="0" xfId="1" applyFont="1" applyAlignment="1">
      <alignment horizontal="left"/>
    </xf>
    <xf numFmtId="0" fontId="19" fillId="0" borderId="0" xfId="1" applyFont="1"/>
    <xf numFmtId="0" fontId="42" fillId="9" borderId="0" xfId="3" applyFont="1" applyFill="1" applyAlignment="1" applyProtection="1"/>
    <xf numFmtId="0" fontId="64" fillId="0" borderId="0" xfId="0" applyFont="1"/>
    <xf numFmtId="0" fontId="65" fillId="0" borderId="0" xfId="0" applyFont="1"/>
    <xf numFmtId="0" fontId="42" fillId="0" borderId="0" xfId="3" applyFont="1" applyFill="1" applyAlignment="1" applyProtection="1"/>
    <xf numFmtId="3" fontId="16" fillId="3" borderId="7" xfId="1" applyNumberFormat="1" applyFont="1" applyFill="1" applyBorder="1" applyAlignment="1">
      <alignment horizontal="right"/>
    </xf>
    <xf numFmtId="0" fontId="72" fillId="0" borderId="0" xfId="1" applyFont="1" applyAlignment="1">
      <alignment horizontal="left"/>
    </xf>
    <xf numFmtId="3" fontId="67" fillId="0" borderId="2" xfId="1" applyNumberFormat="1" applyFont="1" applyBorder="1" applyAlignment="1">
      <alignment horizontal="right"/>
    </xf>
    <xf numFmtId="3" fontId="59" fillId="0" borderId="2" xfId="1" applyNumberFormat="1" applyFont="1" applyBorder="1" applyAlignment="1">
      <alignment horizontal="right"/>
    </xf>
    <xf numFmtId="3" fontId="14" fillId="0" borderId="14" xfId="1" applyNumberFormat="1" applyFont="1" applyBorder="1" applyAlignment="1">
      <alignment horizontal="center"/>
    </xf>
    <xf numFmtId="170" fontId="16" fillId="0" borderId="7" xfId="846" applyFont="1" applyFill="1" applyBorder="1" applyAlignment="1">
      <alignment horizontal="right"/>
    </xf>
    <xf numFmtId="170" fontId="16" fillId="0" borderId="1" xfId="846" applyFont="1" applyFill="1" applyBorder="1" applyAlignment="1">
      <alignment horizontal="right"/>
    </xf>
    <xf numFmtId="170" fontId="18" fillId="0" borderId="3" xfId="846" applyFont="1" applyBorder="1" applyAlignment="1">
      <alignment horizontal="right"/>
    </xf>
    <xf numFmtId="170" fontId="18" fillId="0" borderId="3" xfId="846" applyFont="1" applyFill="1" applyBorder="1" applyAlignment="1">
      <alignment horizontal="right"/>
    </xf>
    <xf numFmtId="170" fontId="18" fillId="0" borderId="4" xfId="846" applyFont="1" applyFill="1" applyBorder="1" applyAlignment="1">
      <alignment horizontal="right"/>
    </xf>
    <xf numFmtId="170" fontId="16" fillId="0" borderId="3" xfId="846" applyFont="1" applyFill="1" applyBorder="1" applyAlignment="1">
      <alignment horizontal="right"/>
    </xf>
    <xf numFmtId="170" fontId="16" fillId="0" borderId="4" xfId="846" applyFont="1" applyFill="1" applyBorder="1" applyAlignment="1">
      <alignment horizontal="right"/>
    </xf>
    <xf numFmtId="170" fontId="16" fillId="0" borderId="6" xfId="846" applyFont="1" applyFill="1" applyBorder="1" applyAlignment="1">
      <alignment horizontal="right"/>
    </xf>
    <xf numFmtId="170" fontId="16" fillId="0" borderId="11" xfId="846" applyFont="1" applyFill="1" applyBorder="1" applyAlignment="1">
      <alignment horizontal="right"/>
    </xf>
    <xf numFmtId="170" fontId="18" fillId="3" borderId="7" xfId="846" applyFont="1" applyFill="1" applyBorder="1" applyAlignment="1">
      <alignment horizontal="right"/>
    </xf>
    <xf numFmtId="170" fontId="18" fillId="3" borderId="2" xfId="846" applyFont="1" applyFill="1" applyBorder="1" applyAlignment="1">
      <alignment horizontal="right"/>
    </xf>
    <xf numFmtId="170" fontId="16" fillId="0" borderId="2" xfId="846" applyFont="1" applyFill="1" applyBorder="1" applyAlignment="1">
      <alignment horizontal="right"/>
    </xf>
    <xf numFmtId="170" fontId="18" fillId="3" borderId="3" xfId="846" applyFont="1" applyFill="1" applyBorder="1" applyAlignment="1">
      <alignment horizontal="right"/>
    </xf>
    <xf numFmtId="170" fontId="18" fillId="2" borderId="3" xfId="846" applyFont="1" applyFill="1" applyBorder="1" applyAlignment="1">
      <alignment horizontal="right"/>
    </xf>
    <xf numFmtId="170" fontId="18" fillId="2" borderId="4" xfId="846" applyFont="1" applyFill="1" applyBorder="1" applyAlignment="1">
      <alignment horizontal="right"/>
    </xf>
    <xf numFmtId="170" fontId="18" fillId="0" borderId="2" xfId="846" applyFont="1" applyFill="1" applyBorder="1" applyAlignment="1">
      <alignment horizontal="right"/>
    </xf>
    <xf numFmtId="170" fontId="18" fillId="3" borderId="6" xfId="846" applyFont="1" applyFill="1" applyBorder="1" applyAlignment="1">
      <alignment horizontal="right"/>
    </xf>
    <xf numFmtId="170" fontId="16" fillId="0" borderId="5" xfId="846" applyFont="1" applyFill="1" applyBorder="1" applyAlignment="1">
      <alignment horizontal="right"/>
    </xf>
    <xf numFmtId="170" fontId="16" fillId="0" borderId="15" xfId="846" applyFont="1" applyFill="1" applyBorder="1" applyAlignment="1">
      <alignment horizontal="right"/>
    </xf>
    <xf numFmtId="170" fontId="16" fillId="2" borderId="2" xfId="846" applyFont="1" applyFill="1" applyBorder="1" applyAlignment="1">
      <alignment horizontal="right"/>
    </xf>
    <xf numFmtId="170" fontId="16" fillId="2" borderId="0" xfId="846" applyFont="1" applyFill="1" applyBorder="1" applyAlignment="1">
      <alignment horizontal="right"/>
    </xf>
    <xf numFmtId="170" fontId="16" fillId="2" borderId="4" xfId="846" applyFont="1" applyFill="1" applyBorder="1" applyAlignment="1">
      <alignment horizontal="right"/>
    </xf>
    <xf numFmtId="170" fontId="16" fillId="2" borderId="5" xfId="846" applyFont="1" applyFill="1" applyBorder="1" applyAlignment="1">
      <alignment horizontal="right"/>
    </xf>
    <xf numFmtId="170" fontId="16" fillId="2" borderId="11" xfId="846" applyFont="1" applyFill="1" applyBorder="1" applyAlignment="1">
      <alignment horizontal="right"/>
    </xf>
    <xf numFmtId="170" fontId="18" fillId="0" borderId="6" xfId="846" applyFont="1" applyFill="1" applyBorder="1" applyAlignment="1">
      <alignment horizontal="right"/>
    </xf>
    <xf numFmtId="170" fontId="18" fillId="0" borderId="11" xfId="846" applyFont="1" applyFill="1" applyBorder="1" applyAlignment="1">
      <alignment horizontal="right"/>
    </xf>
    <xf numFmtId="170" fontId="67" fillId="0" borderId="2" xfId="846" applyFont="1" applyFill="1" applyBorder="1" applyAlignment="1">
      <alignment horizontal="right"/>
    </xf>
    <xf numFmtId="170" fontId="18" fillId="0" borderId="0" xfId="846" applyFont="1" applyFill="1" applyBorder="1" applyAlignment="1">
      <alignment horizontal="right"/>
    </xf>
    <xf numFmtId="170" fontId="23" fillId="0" borderId="2" xfId="846" applyFont="1" applyFill="1" applyBorder="1" applyAlignment="1">
      <alignment horizontal="right"/>
    </xf>
    <xf numFmtId="170" fontId="23" fillId="0" borderId="0" xfId="846" applyFont="1" applyFill="1" applyBorder="1" applyAlignment="1">
      <alignment horizontal="right"/>
    </xf>
    <xf numFmtId="170" fontId="18" fillId="2" borderId="2" xfId="846" applyFont="1" applyFill="1" applyBorder="1" applyAlignment="1">
      <alignment horizontal="right"/>
    </xf>
    <xf numFmtId="170" fontId="18" fillId="2" borderId="0" xfId="846" applyFont="1" applyFill="1" applyBorder="1" applyAlignment="1">
      <alignment horizontal="right"/>
    </xf>
    <xf numFmtId="170" fontId="16" fillId="0" borderId="0" xfId="846" applyFont="1" applyFill="1" applyBorder="1" applyAlignment="1">
      <alignment horizontal="right"/>
    </xf>
    <xf numFmtId="170" fontId="18" fillId="3" borderId="5" xfId="846" applyFont="1" applyFill="1" applyBorder="1" applyAlignment="1">
      <alignment horizontal="right"/>
    </xf>
    <xf numFmtId="170" fontId="18" fillId="3" borderId="0" xfId="846" applyFont="1" applyFill="1" applyBorder="1" applyAlignment="1">
      <alignment horizontal="right"/>
    </xf>
    <xf numFmtId="170" fontId="18" fillId="3" borderId="1" xfId="846" applyFont="1" applyFill="1" applyBorder="1" applyAlignment="1">
      <alignment horizontal="right"/>
    </xf>
    <xf numFmtId="170" fontId="18" fillId="3" borderId="4" xfId="846" applyFont="1" applyFill="1" applyBorder="1" applyAlignment="1">
      <alignment horizontal="right"/>
    </xf>
    <xf numFmtId="170" fontId="18" fillId="3" borderId="11" xfId="846" applyFont="1" applyFill="1" applyBorder="1" applyAlignment="1">
      <alignment horizontal="right"/>
    </xf>
    <xf numFmtId="164" fontId="31" fillId="0" borderId="3" xfId="0" applyNumberFormat="1" applyFont="1" applyBorder="1"/>
    <xf numFmtId="164" fontId="45" fillId="0" borderId="3" xfId="0" applyNumberFormat="1" applyFont="1" applyBorder="1"/>
    <xf numFmtId="164" fontId="45" fillId="0" borderId="6" xfId="0" applyNumberFormat="1" applyFont="1" applyBorder="1"/>
    <xf numFmtId="171" fontId="18" fillId="3" borderId="2" xfId="846" applyNumberFormat="1" applyFont="1" applyFill="1" applyBorder="1" applyAlignment="1">
      <alignment horizontal="right"/>
    </xf>
    <xf numFmtId="171" fontId="18" fillId="3" borderId="3" xfId="846" applyNumberFormat="1" applyFont="1" applyFill="1" applyBorder="1" applyAlignment="1">
      <alignment horizontal="right"/>
    </xf>
    <xf numFmtId="171" fontId="18" fillId="3" borderId="6" xfId="846" applyNumberFormat="1" applyFont="1" applyFill="1" applyBorder="1" applyAlignment="1">
      <alignment horizontal="right"/>
    </xf>
    <xf numFmtId="164" fontId="16" fillId="0" borderId="6" xfId="1" applyNumberFormat="1" applyFont="1" applyBorder="1" applyAlignment="1">
      <alignment horizontal="center"/>
    </xf>
    <xf numFmtId="164" fontId="18" fillId="3" borderId="0" xfId="1" applyNumberFormat="1" applyFont="1" applyFill="1" applyAlignment="1">
      <alignment horizontal="right"/>
    </xf>
    <xf numFmtId="164" fontId="18" fillId="3" borderId="5" xfId="1" applyNumberFormat="1" applyFont="1" applyFill="1" applyBorder="1" applyAlignment="1">
      <alignment horizontal="right"/>
    </xf>
    <xf numFmtId="49" fontId="16" fillId="0" borderId="0" xfId="1" applyNumberFormat="1" applyFont="1" applyAlignment="1">
      <alignment horizontal="right"/>
    </xf>
    <xf numFmtId="49" fontId="16" fillId="0" borderId="0" xfId="1" applyNumberFormat="1" applyFont="1" applyAlignment="1">
      <alignment horizontal="center"/>
    </xf>
    <xf numFmtId="3" fontId="16" fillId="0" borderId="0" xfId="1" quotePrefix="1" applyNumberFormat="1" applyFont="1" applyAlignment="1">
      <alignment horizontal="center"/>
    </xf>
    <xf numFmtId="170" fontId="16" fillId="3" borderId="7" xfId="846" applyFont="1" applyFill="1" applyBorder="1" applyAlignment="1">
      <alignment horizontal="right"/>
    </xf>
    <xf numFmtId="171" fontId="16" fillId="3" borderId="2" xfId="846" applyNumberFormat="1" applyFont="1" applyFill="1" applyBorder="1" applyAlignment="1">
      <alignment horizontal="right"/>
    </xf>
    <xf numFmtId="167" fontId="16" fillId="3" borderId="7" xfId="1" applyNumberFormat="1" applyFont="1" applyFill="1" applyBorder="1" applyAlignment="1">
      <alignment horizontal="right"/>
    </xf>
    <xf numFmtId="167" fontId="16" fillId="3" borderId="3" xfId="1" applyNumberFormat="1" applyFont="1" applyFill="1" applyBorder="1" applyAlignment="1">
      <alignment horizontal="right"/>
    </xf>
    <xf numFmtId="167" fontId="16" fillId="3" borderId="6" xfId="1" applyNumberFormat="1" applyFont="1" applyFill="1" applyBorder="1" applyAlignment="1">
      <alignment horizontal="right"/>
    </xf>
    <xf numFmtId="3" fontId="16" fillId="3" borderId="0" xfId="1" applyNumberFormat="1" applyFont="1" applyFill="1" applyAlignment="1">
      <alignment horizontal="right"/>
    </xf>
    <xf numFmtId="3" fontId="16" fillId="3" borderId="1" xfId="1" applyNumberFormat="1" applyFont="1" applyFill="1" applyBorder="1" applyAlignment="1">
      <alignment horizontal="right"/>
    </xf>
    <xf numFmtId="3" fontId="16" fillId="3" borderId="4" xfId="1" applyNumberFormat="1" applyFont="1" applyFill="1" applyBorder="1" applyAlignment="1">
      <alignment horizontal="right"/>
    </xf>
    <xf numFmtId="3" fontId="16" fillId="3" borderId="11" xfId="1" applyNumberFormat="1" applyFont="1" applyFill="1" applyBorder="1" applyAlignment="1">
      <alignment horizontal="right"/>
    </xf>
    <xf numFmtId="164" fontId="16" fillId="3" borderId="0" xfId="1" applyNumberFormat="1" applyFont="1" applyFill="1" applyAlignment="1">
      <alignment horizontal="right"/>
    </xf>
    <xf numFmtId="3" fontId="60" fillId="4" borderId="3" xfId="0" applyNumberFormat="1" applyFont="1" applyFill="1" applyBorder="1" applyAlignment="1" applyProtection="1">
      <alignment horizontal="right"/>
      <protection locked="0"/>
    </xf>
    <xf numFmtId="3" fontId="31" fillId="4" borderId="4" xfId="0" applyNumberFormat="1" applyFont="1" applyFill="1" applyBorder="1" applyAlignment="1" applyProtection="1">
      <alignment horizontal="right"/>
      <protection locked="0"/>
    </xf>
    <xf numFmtId="3" fontId="45" fillId="4" borderId="3" xfId="0" applyNumberFormat="1" applyFont="1" applyFill="1" applyBorder="1" applyAlignment="1" applyProtection="1">
      <alignment horizontal="right"/>
      <protection locked="0"/>
    </xf>
    <xf numFmtId="3" fontId="45" fillId="0" borderId="3" xfId="0" applyNumberFormat="1" applyFont="1" applyBorder="1" applyAlignment="1" applyProtection="1">
      <alignment horizontal="right"/>
      <protection locked="0"/>
    </xf>
    <xf numFmtId="3" fontId="31" fillId="0" borderId="3" xfId="0" applyNumberFormat="1" applyFont="1" applyBorder="1" applyAlignment="1" applyProtection="1">
      <alignment horizontal="right"/>
      <protection locked="0"/>
    </xf>
    <xf numFmtId="3" fontId="31" fillId="4" borderId="3" xfId="845" applyNumberFormat="1" applyFont="1" applyFill="1" applyBorder="1" applyAlignment="1" applyProtection="1">
      <alignment horizontal="right"/>
      <protection locked="0"/>
    </xf>
    <xf numFmtId="3" fontId="45" fillId="4" borderId="4" xfId="0" applyNumberFormat="1" applyFont="1" applyFill="1" applyBorder="1" applyAlignment="1" applyProtection="1">
      <alignment horizontal="right"/>
      <protection locked="0"/>
    </xf>
    <xf numFmtId="3" fontId="45" fillId="4" borderId="3" xfId="845" applyNumberFormat="1" applyFont="1" applyFill="1" applyBorder="1" applyAlignment="1" applyProtection="1">
      <alignment horizontal="right"/>
      <protection locked="0"/>
    </xf>
    <xf numFmtId="3" fontId="45" fillId="0" borderId="6" xfId="0" applyNumberFormat="1" applyFont="1" applyBorder="1" applyAlignment="1" applyProtection="1">
      <alignment horizontal="right"/>
      <protection locked="0"/>
    </xf>
    <xf numFmtId="3" fontId="45" fillId="4" borderId="6" xfId="0" applyNumberFormat="1" applyFont="1" applyFill="1" applyBorder="1" applyAlignment="1" applyProtection="1">
      <alignment horizontal="right"/>
      <protection locked="0"/>
    </xf>
    <xf numFmtId="3" fontId="45" fillId="4" borderId="6" xfId="845" applyNumberFormat="1" applyFont="1" applyFill="1" applyBorder="1" applyAlignment="1" applyProtection="1">
      <alignment horizontal="right"/>
      <protection locked="0"/>
    </xf>
    <xf numFmtId="3" fontId="50" fillId="4" borderId="11" xfId="0" applyNumberFormat="1" applyFont="1" applyFill="1" applyBorder="1" applyProtection="1">
      <protection locked="0"/>
    </xf>
    <xf numFmtId="3" fontId="60" fillId="4" borderId="4" xfId="0" applyNumberFormat="1" applyFont="1" applyFill="1" applyBorder="1" applyProtection="1">
      <protection locked="0"/>
    </xf>
    <xf numFmtId="3" fontId="45" fillId="4" borderId="4" xfId="0" applyNumberFormat="1" applyFont="1" applyFill="1" applyBorder="1" applyProtection="1">
      <protection locked="0"/>
    </xf>
    <xf numFmtId="0" fontId="31" fillId="0" borderId="0" xfId="0" applyFont="1" applyProtection="1">
      <protection locked="0"/>
    </xf>
    <xf numFmtId="0" fontId="0" fillId="0" borderId="0" xfId="0" applyProtection="1">
      <protection locked="0"/>
    </xf>
    <xf numFmtId="0" fontId="20" fillId="0" borderId="0" xfId="0" applyFont="1" applyProtection="1">
      <protection locked="0"/>
    </xf>
    <xf numFmtId="0" fontId="61" fillId="0" borderId="0" xfId="0" applyFont="1" applyProtection="1">
      <protection locked="0"/>
    </xf>
    <xf numFmtId="0" fontId="41" fillId="0" borderId="0" xfId="0" applyFont="1" applyProtection="1">
      <protection locked="0"/>
    </xf>
    <xf numFmtId="0" fontId="57" fillId="0" borderId="0" xfId="0" applyFont="1" applyProtection="1">
      <protection locked="0"/>
    </xf>
    <xf numFmtId="3" fontId="58" fillId="4" borderId="12" xfId="0" applyNumberFormat="1" applyFont="1" applyFill="1" applyBorder="1" applyProtection="1">
      <protection locked="0"/>
    </xf>
    <xf numFmtId="0" fontId="18" fillId="0" borderId="8" xfId="0" applyFont="1" applyBorder="1" applyProtection="1">
      <protection locked="0"/>
    </xf>
    <xf numFmtId="0" fontId="18" fillId="0" borderId="10" xfId="0" applyFont="1" applyBorder="1" applyProtection="1">
      <protection locked="0"/>
    </xf>
    <xf numFmtId="0" fontId="18" fillId="0" borderId="9" xfId="0" applyFont="1" applyBorder="1" applyProtection="1">
      <protection locked="0"/>
    </xf>
    <xf numFmtId="0" fontId="49" fillId="0" borderId="0" xfId="0" applyFont="1" applyProtection="1">
      <protection locked="0"/>
    </xf>
    <xf numFmtId="0" fontId="63" fillId="0" borderId="0" xfId="0" applyFont="1" applyProtection="1">
      <protection locked="0"/>
    </xf>
    <xf numFmtId="3" fontId="31" fillId="4" borderId="4" xfId="15" applyNumberFormat="1" applyFont="1" applyFill="1" applyBorder="1" applyAlignment="1" applyProtection="1">
      <alignment horizontal="right"/>
      <protection locked="0"/>
    </xf>
    <xf numFmtId="165" fontId="31" fillId="0" borderId="3" xfId="847" applyNumberFormat="1" applyFont="1" applyBorder="1" applyAlignment="1" applyProtection="1">
      <alignment horizontal="right"/>
      <protection locked="0"/>
    </xf>
    <xf numFmtId="169" fontId="31" fillId="0" borderId="3" xfId="847" applyNumberFormat="1" applyFont="1" applyBorder="1" applyAlignment="1" applyProtection="1">
      <alignment horizontal="right"/>
      <protection locked="0"/>
    </xf>
    <xf numFmtId="165" fontId="31" fillId="4" borderId="4" xfId="847" applyNumberFormat="1" applyFont="1" applyFill="1" applyBorder="1" applyAlignment="1" applyProtection="1">
      <alignment horizontal="right"/>
      <protection locked="0"/>
    </xf>
    <xf numFmtId="165" fontId="31" fillId="4" borderId="3" xfId="847" applyNumberFormat="1" applyFont="1" applyFill="1" applyBorder="1" applyAlignment="1" applyProtection="1">
      <alignment horizontal="right"/>
      <protection locked="0"/>
    </xf>
    <xf numFmtId="3" fontId="45" fillId="4" borderId="4" xfId="15" applyNumberFormat="1" applyFont="1" applyFill="1" applyBorder="1" applyAlignment="1" applyProtection="1">
      <alignment horizontal="right"/>
      <protection locked="0"/>
    </xf>
    <xf numFmtId="3" fontId="45" fillId="4" borderId="11" xfId="15" applyNumberFormat="1" applyFont="1" applyFill="1" applyBorder="1" applyAlignment="1" applyProtection="1">
      <alignment horizontal="right"/>
      <protection locked="0"/>
    </xf>
    <xf numFmtId="3" fontId="18" fillId="0" borderId="3" xfId="847" applyNumberFormat="1" applyFont="1" applyBorder="1" applyAlignment="1">
      <alignment horizontal="left"/>
    </xf>
    <xf numFmtId="3" fontId="18" fillId="0" borderId="3" xfId="847" applyNumberFormat="1" applyFont="1" applyFill="1" applyBorder="1" applyAlignment="1">
      <alignment horizontal="left"/>
    </xf>
    <xf numFmtId="0" fontId="45" fillId="2" borderId="3" xfId="0" applyFont="1" applyFill="1" applyBorder="1" applyProtection="1">
      <protection locked="0"/>
    </xf>
    <xf numFmtId="0" fontId="45" fillId="2" borderId="6" xfId="0" applyFont="1" applyFill="1" applyBorder="1" applyProtection="1">
      <protection locked="0"/>
    </xf>
    <xf numFmtId="3" fontId="31" fillId="4" borderId="1" xfId="0" applyNumberFormat="1" applyFont="1" applyFill="1" applyBorder="1" applyAlignment="1" applyProtection="1">
      <alignment horizontal="right"/>
      <protection locked="0"/>
    </xf>
    <xf numFmtId="0" fontId="31" fillId="0" borderId="3" xfId="0" applyFont="1" applyBorder="1" applyAlignment="1" applyProtection="1">
      <alignment horizontal="right"/>
      <protection locked="0"/>
    </xf>
    <xf numFmtId="3" fontId="31" fillId="4" borderId="7" xfId="0" applyNumberFormat="1" applyFont="1" applyFill="1" applyBorder="1" applyAlignment="1" applyProtection="1">
      <alignment horizontal="right"/>
      <protection locked="0"/>
    </xf>
    <xf numFmtId="1" fontId="31" fillId="0" borderId="3" xfId="0" applyNumberFormat="1" applyFont="1" applyBorder="1" applyAlignment="1" applyProtection="1">
      <alignment horizontal="right"/>
      <protection locked="0"/>
    </xf>
    <xf numFmtId="0" fontId="31" fillId="0" borderId="0" xfId="7" applyFont="1" applyProtection="1">
      <protection locked="0"/>
    </xf>
    <xf numFmtId="4" fontId="31" fillId="4" borderId="4" xfId="7" applyNumberFormat="1" applyFont="1" applyFill="1" applyBorder="1" applyAlignment="1" applyProtection="1">
      <alignment horizontal="right"/>
      <protection locked="0"/>
    </xf>
    <xf numFmtId="3" fontId="31" fillId="4" borderId="4" xfId="7" applyNumberFormat="1" applyFont="1" applyFill="1" applyBorder="1" applyAlignment="1" applyProtection="1">
      <alignment horizontal="right"/>
      <protection locked="0"/>
    </xf>
    <xf numFmtId="3" fontId="31" fillId="4" borderId="11" xfId="7" applyNumberFormat="1" applyFont="1" applyFill="1" applyBorder="1" applyAlignment="1" applyProtection="1">
      <alignment horizontal="right"/>
      <protection locked="0"/>
    </xf>
    <xf numFmtId="170" fontId="16" fillId="0" borderId="3" xfId="846" applyFont="1" applyBorder="1" applyAlignment="1">
      <alignment horizontal="right"/>
    </xf>
    <xf numFmtId="3" fontId="31" fillId="0" borderId="4" xfId="0" applyNumberFormat="1" applyFont="1" applyBorder="1" applyAlignment="1" applyProtection="1">
      <alignment horizontal="right"/>
      <protection locked="0"/>
    </xf>
    <xf numFmtId="0" fontId="41" fillId="0" borderId="0" xfId="7" applyFont="1" applyProtection="1">
      <protection locked="0"/>
    </xf>
    <xf numFmtId="0" fontId="20" fillId="0" borderId="0" xfId="7" applyProtection="1">
      <protection locked="0"/>
    </xf>
    <xf numFmtId="3" fontId="58" fillId="4" borderId="0" xfId="7" applyNumberFormat="1" applyFont="1" applyFill="1" applyProtection="1">
      <protection locked="0"/>
    </xf>
    <xf numFmtId="14" fontId="14" fillId="0" borderId="7" xfId="7" applyNumberFormat="1" applyFont="1" applyBorder="1" applyAlignment="1" applyProtection="1">
      <alignment horizontal="left"/>
      <protection locked="0"/>
    </xf>
    <xf numFmtId="0" fontId="18" fillId="0" borderId="10" xfId="7" applyFont="1" applyBorder="1" applyProtection="1">
      <protection locked="0"/>
    </xf>
    <xf numFmtId="0" fontId="18" fillId="0" borderId="8" xfId="7" applyFont="1" applyBorder="1" applyProtection="1">
      <protection locked="0"/>
    </xf>
    <xf numFmtId="0" fontId="18" fillId="0" borderId="9" xfId="7" applyFont="1" applyBorder="1" applyProtection="1">
      <protection locked="0"/>
    </xf>
    <xf numFmtId="0" fontId="69" fillId="0" borderId="8" xfId="7" applyFont="1" applyBorder="1" applyAlignment="1" applyProtection="1">
      <alignment horizontal="center"/>
      <protection locked="0"/>
    </xf>
    <xf numFmtId="0" fontId="18" fillId="4" borderId="0" xfId="7" applyFont="1" applyFill="1" applyProtection="1">
      <protection locked="0"/>
    </xf>
    <xf numFmtId="3" fontId="45" fillId="0" borderId="1" xfId="7" applyNumberFormat="1" applyFont="1" applyBorder="1" applyProtection="1">
      <protection locked="0"/>
    </xf>
    <xf numFmtId="3" fontId="45" fillId="0" borderId="4" xfId="7" applyNumberFormat="1" applyFont="1" applyBorder="1" applyProtection="1">
      <protection locked="0"/>
    </xf>
    <xf numFmtId="0" fontId="16" fillId="0" borderId="1" xfId="7" applyFont="1" applyBorder="1" applyAlignment="1" applyProtection="1">
      <alignment horizontal="center"/>
      <protection locked="0"/>
    </xf>
    <xf numFmtId="0" fontId="16" fillId="0" borderId="7" xfId="7" applyFont="1" applyBorder="1" applyAlignment="1" applyProtection="1">
      <alignment horizontal="center"/>
      <protection locked="0"/>
    </xf>
    <xf numFmtId="3" fontId="50" fillId="4" borderId="11" xfId="7" applyNumberFormat="1" applyFont="1" applyFill="1" applyBorder="1" applyProtection="1">
      <protection locked="0"/>
    </xf>
    <xf numFmtId="0" fontId="14" fillId="0" borderId="6" xfId="7" applyFont="1" applyBorder="1" applyAlignment="1" applyProtection="1">
      <alignment horizontal="center"/>
      <protection locked="0"/>
    </xf>
    <xf numFmtId="168" fontId="16" fillId="0" borderId="6" xfId="7" applyNumberFormat="1" applyFont="1" applyBorder="1" applyAlignment="1" applyProtection="1">
      <alignment horizontal="center"/>
      <protection locked="0"/>
    </xf>
    <xf numFmtId="168" fontId="14" fillId="4" borderId="0" xfId="7" applyNumberFormat="1" applyFont="1" applyFill="1" applyAlignment="1" applyProtection="1">
      <alignment horizontal="center"/>
      <protection locked="0"/>
    </xf>
    <xf numFmtId="0" fontId="14" fillId="4" borderId="0" xfId="7" applyFont="1" applyFill="1" applyAlignment="1" applyProtection="1">
      <alignment horizontal="center"/>
      <protection locked="0"/>
    </xf>
    <xf numFmtId="0" fontId="45" fillId="0" borderId="7" xfId="7" applyFont="1" applyBorder="1" applyProtection="1">
      <protection locked="0"/>
    </xf>
    <xf numFmtId="4" fontId="31" fillId="4" borderId="7" xfId="7" applyNumberFormat="1" applyFont="1" applyFill="1" applyBorder="1" applyAlignment="1" applyProtection="1">
      <alignment horizontal="right"/>
      <protection locked="0"/>
    </xf>
    <xf numFmtId="0" fontId="31" fillId="0" borderId="3" xfId="7" applyFont="1" applyBorder="1" applyProtection="1">
      <protection locked="0"/>
    </xf>
    <xf numFmtId="0" fontId="31" fillId="0" borderId="6" xfId="7" applyFont="1" applyBorder="1" applyProtection="1">
      <protection locked="0"/>
    </xf>
    <xf numFmtId="0" fontId="14" fillId="0" borderId="6" xfId="0" applyFont="1" applyBorder="1" applyAlignment="1" applyProtection="1">
      <alignment horizontal="center"/>
      <protection locked="0"/>
    </xf>
    <xf numFmtId="0" fontId="14" fillId="0" borderId="11" xfId="0" applyFont="1" applyBorder="1" applyAlignment="1" applyProtection="1">
      <alignment horizontal="center"/>
      <protection locked="0"/>
    </xf>
    <xf numFmtId="4" fontId="31" fillId="4" borderId="3" xfId="7" applyNumberFormat="1" applyFont="1" applyFill="1" applyBorder="1" applyAlignment="1" applyProtection="1">
      <alignment horizontal="right"/>
      <protection locked="0"/>
    </xf>
    <xf numFmtId="3" fontId="31" fillId="4" borderId="3" xfId="7" applyNumberFormat="1" applyFont="1" applyFill="1" applyBorder="1" applyAlignment="1" applyProtection="1">
      <alignment horizontal="right"/>
      <protection locked="0"/>
    </xf>
    <xf numFmtId="3" fontId="31" fillId="4" borderId="6" xfId="7" applyNumberFormat="1" applyFont="1" applyFill="1" applyBorder="1" applyAlignment="1" applyProtection="1">
      <alignment horizontal="right"/>
      <protection locked="0"/>
    </xf>
    <xf numFmtId="164" fontId="31" fillId="4" borderId="6" xfId="7" applyNumberFormat="1" applyFont="1" applyFill="1" applyBorder="1" applyAlignment="1" applyProtection="1">
      <alignment horizontal="right"/>
      <protection locked="0"/>
    </xf>
    <xf numFmtId="0" fontId="56" fillId="0" borderId="0" xfId="0" applyFont="1"/>
    <xf numFmtId="0" fontId="18" fillId="11" borderId="0" xfId="1" applyFont="1" applyFill="1"/>
    <xf numFmtId="0" fontId="15" fillId="0" borderId="0" xfId="7" applyFont="1" applyAlignment="1">
      <alignment horizontal="right" vertical="top"/>
    </xf>
    <xf numFmtId="0" fontId="15" fillId="0" borderId="0" xfId="7" applyFont="1" applyAlignment="1">
      <alignment horizontal="right"/>
    </xf>
    <xf numFmtId="0" fontId="31" fillId="0" borderId="4" xfId="0" applyFont="1" applyBorder="1" applyProtection="1">
      <protection locked="0"/>
    </xf>
    <xf numFmtId="3" fontId="45" fillId="0" borderId="1" xfId="0" applyNumberFormat="1" applyFont="1" applyBorder="1" applyProtection="1">
      <protection locked="0"/>
    </xf>
    <xf numFmtId="3" fontId="45" fillId="0" borderId="4" xfId="0" applyNumberFormat="1" applyFont="1" applyBorder="1" applyProtection="1">
      <protection locked="0"/>
    </xf>
    <xf numFmtId="0" fontId="16" fillId="0" borderId="7" xfId="0" applyFont="1" applyBorder="1" applyAlignment="1" applyProtection="1">
      <alignment horizontal="center"/>
      <protection locked="0"/>
    </xf>
    <xf numFmtId="3" fontId="50" fillId="4" borderId="6" xfId="0" applyNumberFormat="1" applyFont="1" applyFill="1" applyBorder="1" applyProtection="1">
      <protection locked="0"/>
    </xf>
    <xf numFmtId="168" fontId="16" fillId="0" borderId="6" xfId="0" applyNumberFormat="1" applyFont="1" applyBorder="1" applyAlignment="1" applyProtection="1">
      <alignment horizontal="center"/>
      <protection locked="0"/>
    </xf>
    <xf numFmtId="0" fontId="31" fillId="4" borderId="7" xfId="0" applyFont="1" applyFill="1" applyBorder="1" applyAlignment="1" applyProtection="1">
      <alignment horizontal="right"/>
      <protection locked="0"/>
    </xf>
    <xf numFmtId="3" fontId="31" fillId="4" borderId="4" xfId="0" applyNumberFormat="1" applyFont="1" applyFill="1" applyBorder="1" applyAlignment="1">
      <alignment horizontal="right"/>
    </xf>
    <xf numFmtId="3" fontId="31" fillId="4" borderId="3" xfId="0" applyNumberFormat="1" applyFont="1" applyFill="1" applyBorder="1" applyAlignment="1">
      <alignment horizontal="right"/>
    </xf>
    <xf numFmtId="0" fontId="31" fillId="4" borderId="3" xfId="0" applyFont="1" applyFill="1" applyBorder="1" applyAlignment="1" applyProtection="1">
      <alignment horizontal="right"/>
      <protection locked="0"/>
    </xf>
    <xf numFmtId="3" fontId="31" fillId="10" borderId="3" xfId="0" applyNumberFormat="1" applyFont="1" applyFill="1" applyBorder="1" applyAlignment="1" applyProtection="1">
      <alignment horizontal="right"/>
      <protection locked="0"/>
    </xf>
    <xf numFmtId="0" fontId="45" fillId="0" borderId="11" xfId="0" applyFont="1" applyBorder="1" applyProtection="1">
      <protection locked="0"/>
    </xf>
    <xf numFmtId="0" fontId="45" fillId="0" borderId="4" xfId="0" applyFont="1" applyBorder="1" applyProtection="1">
      <protection locked="0"/>
    </xf>
    <xf numFmtId="3" fontId="45" fillId="4" borderId="7" xfId="0" applyNumberFormat="1" applyFont="1" applyFill="1" applyBorder="1" applyAlignment="1" applyProtection="1">
      <alignment horizontal="right"/>
      <protection locked="0"/>
    </xf>
    <xf numFmtId="0" fontId="45" fillId="4" borderId="7" xfId="0" applyFont="1" applyFill="1" applyBorder="1" applyAlignment="1" applyProtection="1">
      <alignment horizontal="right"/>
      <protection locked="0"/>
    </xf>
    <xf numFmtId="0" fontId="45" fillId="4" borderId="15" xfId="0" applyFont="1" applyFill="1" applyBorder="1" applyAlignment="1" applyProtection="1">
      <alignment horizontal="right"/>
      <protection locked="0"/>
    </xf>
    <xf numFmtId="0" fontId="49" fillId="0" borderId="7" xfId="0" applyFont="1" applyBorder="1" applyAlignment="1" applyProtection="1">
      <alignment horizontal="right"/>
      <protection locked="0"/>
    </xf>
    <xf numFmtId="0" fontId="45" fillId="4" borderId="3" xfId="0" applyFont="1" applyFill="1" applyBorder="1" applyAlignment="1" applyProtection="1">
      <alignment horizontal="right"/>
      <protection locked="0"/>
    </xf>
    <xf numFmtId="0" fontId="45" fillId="4" borderId="2" xfId="0" applyFont="1" applyFill="1" applyBorder="1" applyAlignment="1" applyProtection="1">
      <alignment horizontal="right"/>
      <protection locked="0"/>
    </xf>
    <xf numFmtId="0" fontId="49" fillId="0" borderId="3" xfId="0" applyFont="1" applyBorder="1" applyAlignment="1" applyProtection="1">
      <alignment horizontal="right"/>
      <protection locked="0"/>
    </xf>
    <xf numFmtId="0" fontId="31" fillId="4" borderId="2" xfId="0" applyFont="1" applyFill="1" applyBorder="1" applyAlignment="1" applyProtection="1">
      <alignment horizontal="right"/>
      <protection locked="0"/>
    </xf>
    <xf numFmtId="3" fontId="31" fillId="4" borderId="2" xfId="0" applyNumberFormat="1" applyFont="1" applyFill="1" applyBorder="1" applyAlignment="1" applyProtection="1">
      <alignment horizontal="right"/>
      <protection locked="0"/>
    </xf>
    <xf numFmtId="3" fontId="45" fillId="4" borderId="2" xfId="0" applyNumberFormat="1" applyFont="1" applyFill="1" applyBorder="1" applyAlignment="1" applyProtection="1">
      <alignment horizontal="right"/>
      <protection locked="0"/>
    </xf>
    <xf numFmtId="0" fontId="45" fillId="0" borderId="0" xfId="0" applyFont="1" applyProtection="1">
      <protection locked="0"/>
    </xf>
    <xf numFmtId="0" fontId="45" fillId="4" borderId="6" xfId="0" applyFont="1" applyFill="1" applyBorder="1" applyAlignment="1" applyProtection="1">
      <alignment horizontal="right"/>
      <protection locked="0"/>
    </xf>
    <xf numFmtId="0" fontId="45" fillId="4" borderId="5" xfId="0" applyFont="1" applyFill="1" applyBorder="1" applyAlignment="1" applyProtection="1">
      <alignment horizontal="right"/>
      <protection locked="0"/>
    </xf>
    <xf numFmtId="0" fontId="45" fillId="0" borderId="6" xfId="0" applyFont="1" applyBorder="1" applyAlignment="1" applyProtection="1">
      <alignment horizontal="right"/>
      <protection locked="0"/>
    </xf>
    <xf numFmtId="0" fontId="45" fillId="0" borderId="7" xfId="0" applyFont="1" applyBorder="1" applyProtection="1">
      <protection locked="0"/>
    </xf>
    <xf numFmtId="3" fontId="45" fillId="4" borderId="1" xfId="15" applyNumberFormat="1" applyFont="1" applyFill="1" applyBorder="1" applyAlignment="1" applyProtection="1">
      <alignment horizontal="right"/>
      <protection locked="0"/>
    </xf>
    <xf numFmtId="3" fontId="45" fillId="4" borderId="1" xfId="0" applyNumberFormat="1" applyFont="1" applyFill="1" applyBorder="1" applyAlignment="1" applyProtection="1">
      <alignment horizontal="right"/>
      <protection locked="0"/>
    </xf>
    <xf numFmtId="0" fontId="45" fillId="4" borderId="1" xfId="0" applyFont="1" applyFill="1" applyBorder="1" applyAlignment="1" applyProtection="1">
      <alignment horizontal="right"/>
      <protection locked="0"/>
    </xf>
    <xf numFmtId="0" fontId="45" fillId="0" borderId="7" xfId="0" applyFont="1" applyBorder="1" applyAlignment="1" applyProtection="1">
      <alignment horizontal="right"/>
      <protection locked="0"/>
    </xf>
    <xf numFmtId="0" fontId="31" fillId="2" borderId="3" xfId="0" applyFont="1" applyFill="1" applyBorder="1" applyProtection="1">
      <protection locked="0"/>
    </xf>
    <xf numFmtId="0" fontId="31" fillId="2" borderId="6" xfId="0" applyFont="1" applyFill="1" applyBorder="1" applyProtection="1">
      <protection locked="0"/>
    </xf>
    <xf numFmtId="3" fontId="60" fillId="4" borderId="3" xfId="0" applyNumberFormat="1" applyFont="1" applyFill="1" applyBorder="1" applyAlignment="1">
      <alignment horizontal="right"/>
    </xf>
    <xf numFmtId="3" fontId="45" fillId="4" borderId="3" xfId="0" applyNumberFormat="1" applyFont="1" applyFill="1" applyBorder="1" applyAlignment="1">
      <alignment horizontal="right"/>
    </xf>
    <xf numFmtId="0" fontId="31" fillId="0" borderId="3" xfId="0" applyFont="1" applyBorder="1" applyProtection="1">
      <protection locked="0"/>
    </xf>
    <xf numFmtId="3" fontId="31" fillId="0" borderId="3" xfId="845" applyNumberFormat="1" applyFont="1" applyBorder="1" applyAlignment="1" applyProtection="1">
      <alignment horizontal="right"/>
      <protection locked="0"/>
    </xf>
    <xf numFmtId="0" fontId="20" fillId="0" borderId="3" xfId="0" applyFont="1" applyBorder="1" applyProtection="1">
      <protection locked="0"/>
    </xf>
    <xf numFmtId="3" fontId="45" fillId="0" borderId="4" xfId="0" applyNumberFormat="1" applyFont="1" applyBorder="1" applyAlignment="1" applyProtection="1">
      <alignment horizontal="right"/>
      <protection locked="0"/>
    </xf>
    <xf numFmtId="3" fontId="31" fillId="0" borderId="0" xfId="0" applyNumberFormat="1" applyFont="1" applyProtection="1">
      <protection locked="0"/>
    </xf>
    <xf numFmtId="3" fontId="62" fillId="0" borderId="0" xfId="0" applyNumberFormat="1" applyFont="1" applyProtection="1">
      <protection locked="0"/>
    </xf>
    <xf numFmtId="0" fontId="20" fillId="0" borderId="0" xfId="852"/>
    <xf numFmtId="0" fontId="27" fillId="0" borderId="0" xfId="852" applyFont="1"/>
    <xf numFmtId="0" fontId="0" fillId="0" borderId="0" xfId="852" applyFont="1"/>
    <xf numFmtId="0" fontId="28" fillId="0" borderId="0" xfId="852" applyFont="1" applyAlignment="1">
      <alignment horizontal="right"/>
    </xf>
    <xf numFmtId="0" fontId="20" fillId="0" borderId="0" xfId="20"/>
    <xf numFmtId="0" fontId="29" fillId="0" borderId="0" xfId="852" applyFont="1" applyAlignment="1">
      <alignment horizontal="left"/>
    </xf>
    <xf numFmtId="0" fontId="30" fillId="0" borderId="0" xfId="852" applyFont="1" applyAlignment="1">
      <alignment horizontal="left"/>
    </xf>
    <xf numFmtId="0" fontId="31" fillId="0" borderId="0" xfId="20" applyFont="1" applyAlignment="1">
      <alignment horizontal="left"/>
    </xf>
    <xf numFmtId="0" fontId="32" fillId="0" borderId="0" xfId="852" applyFont="1" applyAlignment="1">
      <alignment horizontal="right"/>
    </xf>
    <xf numFmtId="0" fontId="20" fillId="0" borderId="0" xfId="852" applyAlignment="1">
      <alignment horizontal="right"/>
    </xf>
    <xf numFmtId="0" fontId="33" fillId="0" borderId="0" xfId="852" applyFont="1" applyAlignment="1">
      <alignment horizontal="left"/>
    </xf>
    <xf numFmtId="14" fontId="34" fillId="0" borderId="0" xfId="852" applyNumberFormat="1" applyFont="1" applyAlignment="1">
      <alignment horizontal="left"/>
    </xf>
    <xf numFmtId="0" fontId="34" fillId="0" borderId="0" xfId="852" applyFont="1" applyAlignment="1">
      <alignment horizontal="left"/>
    </xf>
    <xf numFmtId="0" fontId="35" fillId="0" borderId="0" xfId="20" applyFont="1" applyAlignment="1">
      <alignment vertical="center"/>
    </xf>
    <xf numFmtId="0" fontId="36" fillId="0" borderId="0" xfId="20" applyFont="1" applyAlignment="1">
      <alignment vertical="center"/>
    </xf>
    <xf numFmtId="0" fontId="74" fillId="0" borderId="0" xfId="0" applyFont="1" applyProtection="1">
      <protection locked="0"/>
    </xf>
    <xf numFmtId="0" fontId="71" fillId="0" borderId="0" xfId="848" applyFont="1" applyProtection="1">
      <protection locked="0"/>
    </xf>
    <xf numFmtId="0" fontId="22" fillId="0" borderId="0" xfId="848" applyFont="1" applyProtection="1">
      <protection locked="0"/>
    </xf>
    <xf numFmtId="0" fontId="73" fillId="0" borderId="0" xfId="0" applyFont="1" applyProtection="1">
      <protection locked="0"/>
    </xf>
    <xf numFmtId="3" fontId="45" fillId="4" borderId="0" xfId="0" applyNumberFormat="1" applyFont="1" applyFill="1" applyProtection="1">
      <protection locked="0"/>
    </xf>
    <xf numFmtId="3" fontId="16" fillId="4" borderId="0" xfId="0" applyNumberFormat="1" applyFont="1" applyFill="1" applyProtection="1">
      <protection locked="0"/>
    </xf>
    <xf numFmtId="14" fontId="14" fillId="0" borderId="7" xfId="0" applyNumberFormat="1" applyFont="1" applyBorder="1" applyAlignment="1" applyProtection="1">
      <alignment horizontal="left"/>
      <protection locked="0"/>
    </xf>
    <xf numFmtId="3" fontId="14" fillId="0" borderId="10" xfId="0" quotePrefix="1" applyNumberFormat="1" applyFont="1" applyBorder="1" applyAlignment="1" applyProtection="1">
      <alignment horizontal="center"/>
      <protection locked="0"/>
    </xf>
    <xf numFmtId="3" fontId="14" fillId="0" borderId="8" xfId="0" quotePrefix="1" applyNumberFormat="1" applyFont="1" applyBorder="1" applyAlignment="1" applyProtection="1">
      <alignment horizontal="center"/>
      <protection locked="0"/>
    </xf>
    <xf numFmtId="3" fontId="14" fillId="0" borderId="9" xfId="0" quotePrefix="1" applyNumberFormat="1" applyFont="1" applyBorder="1" applyAlignment="1" applyProtection="1">
      <alignment horizontal="center"/>
      <protection locked="0"/>
    </xf>
    <xf numFmtId="0" fontId="18" fillId="4" borderId="10" xfId="0" applyFont="1" applyFill="1" applyBorder="1" applyProtection="1">
      <protection locked="0"/>
    </xf>
    <xf numFmtId="0" fontId="18" fillId="4" borderId="8" xfId="0" applyFont="1" applyFill="1" applyBorder="1" applyProtection="1">
      <protection locked="0"/>
    </xf>
    <xf numFmtId="0" fontId="18" fillId="4" borderId="9" xfId="0" applyFont="1" applyFill="1" applyBorder="1" applyProtection="1">
      <protection locked="0"/>
    </xf>
    <xf numFmtId="0" fontId="20" fillId="0" borderId="9" xfId="0" applyFont="1" applyBorder="1" applyProtection="1">
      <protection locked="0"/>
    </xf>
    <xf numFmtId="3" fontId="59" fillId="4" borderId="0" xfId="0" applyNumberFormat="1" applyFont="1" applyFill="1" applyProtection="1">
      <protection locked="0"/>
    </xf>
    <xf numFmtId="3" fontId="14" fillId="0" borderId="8" xfId="0" quotePrefix="1" applyNumberFormat="1" applyFont="1" applyBorder="1" applyProtection="1">
      <protection locked="0"/>
    </xf>
    <xf numFmtId="3" fontId="14" fillId="0" borderId="9" xfId="0" quotePrefix="1" applyNumberFormat="1" applyFont="1" applyBorder="1" applyProtection="1">
      <protection locked="0"/>
    </xf>
    <xf numFmtId="3" fontId="14" fillId="0" borderId="10" xfId="0" quotePrefix="1" applyNumberFormat="1" applyFont="1" applyBorder="1" applyProtection="1">
      <protection locked="0"/>
    </xf>
    <xf numFmtId="0" fontId="18" fillId="4" borderId="0" xfId="0" applyFont="1" applyFill="1" applyProtection="1">
      <protection locked="0"/>
    </xf>
    <xf numFmtId="0" fontId="16" fillId="0" borderId="1" xfId="0" applyFont="1" applyBorder="1" applyAlignment="1" applyProtection="1">
      <alignment horizontal="center"/>
      <protection locked="0"/>
    </xf>
    <xf numFmtId="0" fontId="14" fillId="4" borderId="0" xfId="0" applyFont="1" applyFill="1" applyAlignment="1" applyProtection="1">
      <alignment horizontal="center"/>
      <protection locked="0"/>
    </xf>
    <xf numFmtId="168" fontId="14" fillId="4" borderId="0" xfId="0" applyNumberFormat="1" applyFont="1" applyFill="1" applyAlignment="1" applyProtection="1">
      <alignment horizontal="center"/>
      <protection locked="0"/>
    </xf>
    <xf numFmtId="3" fontId="45" fillId="4" borderId="11" xfId="0" applyNumberFormat="1" applyFont="1" applyFill="1" applyBorder="1" applyAlignment="1" applyProtection="1">
      <alignment horizontal="right"/>
      <protection locked="0"/>
    </xf>
    <xf numFmtId="0" fontId="76" fillId="0" borderId="0" xfId="0" applyFont="1"/>
    <xf numFmtId="14" fontId="14" fillId="0" borderId="6" xfId="0" applyNumberFormat="1" applyFont="1" applyBorder="1" applyAlignment="1">
      <alignment horizontal="left"/>
    </xf>
    <xf numFmtId="14" fontId="14" fillId="0" borderId="3" xfId="0" applyNumberFormat="1" applyFont="1" applyBorder="1" applyAlignment="1">
      <alignment horizontal="center"/>
    </xf>
    <xf numFmtId="0" fontId="45" fillId="0" borderId="1" xfId="7" applyFont="1" applyBorder="1" applyAlignment="1" applyProtection="1">
      <alignment horizontal="center"/>
      <protection locked="0"/>
    </xf>
    <xf numFmtId="0" fontId="45" fillId="0" borderId="14" xfId="7" applyFont="1" applyBorder="1" applyAlignment="1" applyProtection="1">
      <alignment horizontal="center"/>
      <protection locked="0"/>
    </xf>
    <xf numFmtId="0" fontId="45" fillId="0" borderId="15" xfId="7" applyFont="1" applyBorder="1" applyAlignment="1" applyProtection="1">
      <alignment horizontal="center"/>
      <protection locked="0"/>
    </xf>
    <xf numFmtId="0" fontId="45" fillId="4" borderId="0" xfId="0" applyFont="1" applyFill="1" applyAlignment="1" applyProtection="1">
      <alignment horizontal="center"/>
      <protection locked="0"/>
    </xf>
    <xf numFmtId="0" fontId="45" fillId="4" borderId="0" xfId="7" applyFont="1" applyFill="1" applyAlignment="1" applyProtection="1">
      <alignment horizontal="center"/>
      <protection locked="0"/>
    </xf>
    <xf numFmtId="0" fontId="69" fillId="0" borderId="0" xfId="0" applyFont="1"/>
    <xf numFmtId="0" fontId="19" fillId="0" borderId="0" xfId="0" applyFont="1"/>
    <xf numFmtId="0" fontId="18" fillId="0" borderId="0" xfId="7" applyFont="1" applyAlignment="1">
      <alignment horizontal="right"/>
    </xf>
    <xf numFmtId="0" fontId="15" fillId="0" borderId="0" xfId="7" applyFont="1" applyAlignment="1">
      <alignment wrapText="1"/>
    </xf>
    <xf numFmtId="3" fontId="17" fillId="0" borderId="0" xfId="1" applyNumberFormat="1" applyFont="1" applyAlignment="1">
      <alignment horizontal="left"/>
    </xf>
    <xf numFmtId="3" fontId="16" fillId="0" borderId="0" xfId="1" applyNumberFormat="1" applyFont="1" applyAlignment="1">
      <alignment horizontal="left"/>
    </xf>
    <xf numFmtId="3" fontId="19" fillId="0" borderId="0" xfId="1" applyNumberFormat="1" applyFont="1" applyAlignment="1">
      <alignment horizontal="left"/>
    </xf>
    <xf numFmtId="0" fontId="45" fillId="0" borderId="1" xfId="0" applyFont="1" applyBorder="1" applyAlignment="1" applyProtection="1">
      <alignment horizontal="center"/>
      <protection locked="0"/>
    </xf>
    <xf numFmtId="0" fontId="45" fillId="0" borderId="14" xfId="0" applyFont="1" applyBorder="1" applyAlignment="1" applyProtection="1">
      <alignment horizontal="center"/>
      <protection locked="0"/>
    </xf>
    <xf numFmtId="0" fontId="45" fillId="0" borderId="15" xfId="0" applyFont="1" applyBorder="1" applyAlignment="1" applyProtection="1">
      <alignment horizontal="center"/>
      <protection locked="0"/>
    </xf>
    <xf numFmtId="3" fontId="31" fillId="4" borderId="1" xfId="0" applyNumberFormat="1" applyFont="1" applyFill="1" applyBorder="1" applyAlignment="1">
      <alignment horizontal="right"/>
    </xf>
    <xf numFmtId="169" fontId="31" fillId="0" borderId="3" xfId="847" applyNumberFormat="1" applyFont="1" applyBorder="1" applyAlignment="1" applyProtection="1">
      <alignment horizontal="right"/>
    </xf>
    <xf numFmtId="165" fontId="31" fillId="4" borderId="3" xfId="847" applyNumberFormat="1" applyFont="1" applyFill="1" applyBorder="1" applyAlignment="1" applyProtection="1">
      <alignment horizontal="right"/>
    </xf>
    <xf numFmtId="0" fontId="31" fillId="0" borderId="3" xfId="0" applyFont="1" applyBorder="1" applyAlignment="1">
      <alignment horizontal="right"/>
    </xf>
    <xf numFmtId="3" fontId="45" fillId="4" borderId="4" xfId="15" applyNumberFormat="1" applyFont="1" applyFill="1" applyBorder="1" applyAlignment="1" applyProtection="1">
      <alignment horizontal="right"/>
    </xf>
    <xf numFmtId="3" fontId="31" fillId="4" borderId="4" xfId="15" applyNumberFormat="1" applyFont="1" applyFill="1" applyBorder="1" applyAlignment="1" applyProtection="1">
      <alignment horizontal="right"/>
    </xf>
    <xf numFmtId="3" fontId="45" fillId="4" borderId="11" xfId="15" applyNumberFormat="1" applyFont="1" applyFill="1" applyBorder="1" applyAlignment="1" applyProtection="1">
      <alignment horizontal="right"/>
    </xf>
    <xf numFmtId="0" fontId="31" fillId="0" borderId="3" xfId="7" applyFont="1" applyBorder="1" applyAlignment="1" applyProtection="1">
      <alignment wrapText="1"/>
      <protection locked="0"/>
    </xf>
    <xf numFmtId="165" fontId="31" fillId="0" borderId="3" xfId="847" applyNumberFormat="1" applyFont="1" applyBorder="1" applyAlignment="1" applyProtection="1">
      <alignment horizontal="right"/>
    </xf>
    <xf numFmtId="165" fontId="31" fillId="4" borderId="4" xfId="847" applyNumberFormat="1" applyFont="1" applyFill="1" applyBorder="1" applyAlignment="1" applyProtection="1">
      <alignment horizontal="right"/>
    </xf>
    <xf numFmtId="3" fontId="71" fillId="0" borderId="0" xfId="1" applyNumberFormat="1" applyFont="1" applyAlignment="1">
      <alignment horizontal="center"/>
    </xf>
    <xf numFmtId="0" fontId="23" fillId="0" borderId="6" xfId="0" applyFont="1" applyBorder="1"/>
    <xf numFmtId="171" fontId="23" fillId="3" borderId="2" xfId="846" applyNumberFormat="1" applyFont="1" applyFill="1" applyBorder="1" applyAlignment="1">
      <alignment horizontal="right"/>
    </xf>
    <xf numFmtId="1" fontId="31" fillId="0" borderId="3" xfId="0" applyNumberFormat="1" applyFont="1" applyBorder="1" applyAlignment="1">
      <alignment horizontal="right"/>
    </xf>
    <xf numFmtId="3" fontId="16" fillId="0" borderId="0" xfId="0" applyNumberFormat="1" applyFont="1" applyProtection="1">
      <protection locked="0"/>
    </xf>
    <xf numFmtId="4" fontId="31" fillId="0" borderId="3" xfId="7" applyNumberFormat="1" applyFont="1" applyBorder="1" applyAlignment="1" applyProtection="1">
      <alignment horizontal="right"/>
      <protection locked="0"/>
    </xf>
    <xf numFmtId="3" fontId="31" fillId="0" borderId="3" xfId="7" applyNumberFormat="1" applyFont="1" applyBorder="1" applyAlignment="1" applyProtection="1">
      <alignment horizontal="right"/>
      <protection locked="0"/>
    </xf>
    <xf numFmtId="164" fontId="31" fillId="0" borderId="6" xfId="7" applyNumberFormat="1" applyFont="1" applyBorder="1" applyAlignment="1" applyProtection="1">
      <alignment horizontal="right"/>
      <protection locked="0"/>
    </xf>
    <xf numFmtId="172" fontId="31" fillId="4" borderId="4" xfId="853" applyNumberFormat="1" applyFont="1" applyFill="1" applyBorder="1" applyAlignment="1" applyProtection="1">
      <alignment horizontal="right"/>
      <protection locked="0"/>
    </xf>
    <xf numFmtId="4" fontId="31" fillId="4" borderId="3" xfId="7" applyNumberFormat="1" applyFont="1" applyFill="1" applyBorder="1" applyAlignment="1">
      <alignment horizontal="right"/>
    </xf>
    <xf numFmtId="3" fontId="31" fillId="4" borderId="7" xfId="0" applyNumberFormat="1" applyFont="1" applyFill="1" applyBorder="1" applyAlignment="1">
      <alignment horizontal="right"/>
    </xf>
    <xf numFmtId="3" fontId="31" fillId="0" borderId="4" xfId="7" applyNumberFormat="1" applyFont="1" applyBorder="1" applyAlignment="1" applyProtection="1">
      <alignment horizontal="right"/>
      <protection locked="0"/>
    </xf>
    <xf numFmtId="3" fontId="18" fillId="0" borderId="3" xfId="2" applyNumberFormat="1" applyFont="1" applyFill="1" applyBorder="1" applyAlignment="1">
      <alignment horizontal="left"/>
    </xf>
    <xf numFmtId="3" fontId="16" fillId="0" borderId="11" xfId="1" applyNumberFormat="1" applyFont="1" applyBorder="1"/>
    <xf numFmtId="3" fontId="16" fillId="0" borderId="6" xfId="1" applyNumberFormat="1" applyFont="1" applyBorder="1"/>
    <xf numFmtId="3" fontId="18" fillId="0" borderId="8" xfId="1" applyNumberFormat="1" applyFont="1" applyBorder="1"/>
    <xf numFmtId="0" fontId="31" fillId="0" borderId="4" xfId="0" applyFont="1" applyBorder="1" applyAlignment="1" applyProtection="1">
      <alignment wrapText="1"/>
      <protection locked="0"/>
    </xf>
    <xf numFmtId="0" fontId="75" fillId="0" borderId="4" xfId="0" applyFont="1" applyBorder="1" applyProtection="1">
      <protection locked="0"/>
    </xf>
    <xf numFmtId="0" fontId="16" fillId="8" borderId="0" xfId="0" applyFont="1" applyFill="1" applyAlignment="1">
      <alignment horizontal="center"/>
    </xf>
    <xf numFmtId="0" fontId="16" fillId="8" borderId="2" xfId="0" applyFont="1" applyFill="1" applyBorder="1" applyAlignment="1">
      <alignment horizontal="center"/>
    </xf>
    <xf numFmtId="0" fontId="45" fillId="0" borderId="12" xfId="0" applyFont="1" applyBorder="1" applyAlignment="1">
      <alignment horizontal="left"/>
    </xf>
    <xf numFmtId="0" fontId="45" fillId="0" borderId="10" xfId="0" applyFont="1" applyBorder="1" applyAlignment="1">
      <alignment horizontal="center"/>
    </xf>
    <xf numFmtId="0" fontId="45" fillId="0" borderId="8" xfId="0" applyFont="1" applyBorder="1" applyAlignment="1">
      <alignment horizontal="center"/>
    </xf>
    <xf numFmtId="0" fontId="45" fillId="0" borderId="9" xfId="0" applyFont="1" applyBorder="1" applyAlignment="1">
      <alignment horizontal="center"/>
    </xf>
    <xf numFmtId="0" fontId="16" fillId="8" borderId="4" xfId="0" applyFont="1" applyFill="1" applyBorder="1" applyAlignment="1">
      <alignment horizontal="center"/>
    </xf>
    <xf numFmtId="0" fontId="45" fillId="0" borderId="14" xfId="0" applyFont="1" applyBorder="1" applyAlignment="1">
      <alignment horizontal="center"/>
    </xf>
    <xf numFmtId="0" fontId="45" fillId="0" borderId="15" xfId="0" applyFont="1" applyBorder="1" applyAlignment="1">
      <alignment horizontal="center"/>
    </xf>
    <xf numFmtId="0" fontId="45" fillId="0" borderId="1" xfId="0" applyFont="1" applyBorder="1" applyAlignment="1">
      <alignment horizontal="center"/>
    </xf>
    <xf numFmtId="14" fontId="14" fillId="0" borderId="11" xfId="0" applyNumberFormat="1" applyFont="1" applyBorder="1" applyAlignment="1">
      <alignment horizontal="center"/>
    </xf>
    <xf numFmtId="14" fontId="14" fillId="0" borderId="12" xfId="0" applyNumberFormat="1" applyFont="1" applyBorder="1" applyAlignment="1">
      <alignment horizontal="center"/>
    </xf>
    <xf numFmtId="14" fontId="14" fillId="0" borderId="5" xfId="0" applyNumberFormat="1" applyFont="1" applyBorder="1" applyAlignment="1">
      <alignment horizontal="center"/>
    </xf>
    <xf numFmtId="3" fontId="45" fillId="0" borderId="11" xfId="0" applyNumberFormat="1" applyFont="1" applyBorder="1" applyAlignment="1">
      <alignment horizontal="center"/>
    </xf>
    <xf numFmtId="3" fontId="45" fillId="0" borderId="12" xfId="0" applyNumberFormat="1" applyFont="1" applyBorder="1" applyAlignment="1">
      <alignment horizontal="center"/>
    </xf>
    <xf numFmtId="3" fontId="45" fillId="0" borderId="5" xfId="0" applyNumberFormat="1" applyFont="1" applyBorder="1" applyAlignment="1">
      <alignment horizontal="center"/>
    </xf>
    <xf numFmtId="0" fontId="16" fillId="0" borderId="10" xfId="1" applyFont="1" applyBorder="1" applyAlignment="1">
      <alignment horizontal="center"/>
    </xf>
    <xf numFmtId="0" fontId="16" fillId="0" borderId="8" xfId="1" applyFont="1" applyBorder="1" applyAlignment="1">
      <alignment horizontal="center"/>
    </xf>
    <xf numFmtId="0" fontId="16" fillId="0" borderId="9" xfId="1" applyFont="1" applyBorder="1" applyAlignment="1">
      <alignment horizontal="center"/>
    </xf>
    <xf numFmtId="0" fontId="14" fillId="0" borderId="0" xfId="1" applyFont="1" applyAlignment="1">
      <alignment horizontal="center"/>
    </xf>
    <xf numFmtId="3" fontId="16" fillId="0" borderId="10" xfId="1" applyNumberFormat="1" applyFont="1" applyBorder="1" applyAlignment="1">
      <alignment horizontal="center"/>
    </xf>
    <xf numFmtId="3" fontId="16" fillId="0" borderId="8" xfId="1" applyNumberFormat="1" applyFont="1" applyBorder="1" applyAlignment="1">
      <alignment horizontal="center"/>
    </xf>
    <xf numFmtId="3" fontId="16" fillId="0" borderId="9" xfId="1" applyNumberFormat="1" applyFont="1" applyBorder="1" applyAlignment="1">
      <alignment horizontal="center"/>
    </xf>
    <xf numFmtId="3" fontId="14" fillId="0" borderId="12" xfId="1" applyNumberFormat="1" applyFont="1" applyBorder="1" applyAlignment="1">
      <alignment horizontal="center"/>
    </xf>
    <xf numFmtId="3" fontId="14" fillId="0" borderId="0" xfId="1" applyNumberFormat="1" applyFont="1" applyAlignment="1">
      <alignment horizontal="center"/>
    </xf>
    <xf numFmtId="3" fontId="14" fillId="0" borderId="14" xfId="1" applyNumberFormat="1" applyFont="1" applyBorder="1" applyAlignment="1">
      <alignment horizontal="center"/>
    </xf>
    <xf numFmtId="3" fontId="71" fillId="0" borderId="0" xfId="1" applyNumberFormat="1" applyFont="1" applyAlignment="1">
      <alignment horizontal="center"/>
    </xf>
    <xf numFmtId="0" fontId="45" fillId="0" borderId="1" xfId="0" applyFont="1" applyBorder="1" applyAlignment="1" applyProtection="1">
      <alignment horizontal="center"/>
      <protection locked="0"/>
    </xf>
    <xf numFmtId="0" fontId="45" fillId="0" borderId="14" xfId="0" applyFont="1" applyBorder="1" applyAlignment="1" applyProtection="1">
      <alignment horizontal="center"/>
      <protection locked="0"/>
    </xf>
    <xf numFmtId="0" fontId="45" fillId="0" borderId="15" xfId="0" applyFont="1" applyBorder="1" applyAlignment="1" applyProtection="1">
      <alignment horizontal="center"/>
      <protection locked="0"/>
    </xf>
    <xf numFmtId="0" fontId="45" fillId="0" borderId="11" xfId="0" applyFont="1" applyBorder="1" applyAlignment="1" applyProtection="1">
      <alignment horizontal="center"/>
      <protection locked="0"/>
    </xf>
    <xf numFmtId="0" fontId="45" fillId="0" borderId="12" xfId="0" applyFont="1" applyBorder="1" applyAlignment="1" applyProtection="1">
      <alignment horizontal="center"/>
      <protection locked="0"/>
    </xf>
    <xf numFmtId="0" fontId="45" fillId="0" borderId="5" xfId="0" applyFont="1" applyBorder="1" applyAlignment="1" applyProtection="1">
      <alignment horizontal="center"/>
      <protection locked="0"/>
    </xf>
    <xf numFmtId="0" fontId="45" fillId="4" borderId="0" xfId="0" applyFont="1" applyFill="1" applyAlignment="1" applyProtection="1">
      <alignment horizontal="center"/>
      <protection locked="0"/>
    </xf>
    <xf numFmtId="0" fontId="45" fillId="4" borderId="0" xfId="7" applyFont="1" applyFill="1" applyAlignment="1" applyProtection="1">
      <alignment horizontal="center"/>
      <protection locked="0"/>
    </xf>
    <xf numFmtId="0" fontId="45" fillId="0" borderId="11" xfId="7" applyFont="1" applyBorder="1" applyAlignment="1" applyProtection="1">
      <alignment horizontal="center"/>
      <protection locked="0"/>
    </xf>
    <xf numFmtId="0" fontId="45" fillId="0" borderId="12" xfId="7" applyFont="1" applyBorder="1" applyAlignment="1" applyProtection="1">
      <alignment horizontal="center"/>
      <protection locked="0"/>
    </xf>
    <xf numFmtId="0" fontId="45" fillId="0" borderId="5" xfId="7" applyFont="1" applyBorder="1" applyAlignment="1" applyProtection="1">
      <alignment horizontal="center"/>
      <protection locked="0"/>
    </xf>
    <xf numFmtId="0" fontId="45" fillId="0" borderId="1" xfId="7" applyFont="1" applyBorder="1" applyAlignment="1" applyProtection="1">
      <alignment horizontal="center"/>
      <protection locked="0"/>
    </xf>
    <xf numFmtId="0" fontId="45" fillId="0" borderId="14" xfId="7" applyFont="1" applyBorder="1" applyAlignment="1" applyProtection="1">
      <alignment horizontal="center"/>
      <protection locked="0"/>
    </xf>
    <xf numFmtId="0" fontId="45" fillId="0" borderId="15" xfId="7" applyFont="1" applyBorder="1" applyAlignment="1" applyProtection="1">
      <alignment horizontal="center"/>
      <protection locked="0"/>
    </xf>
    <xf numFmtId="0" fontId="68" fillId="0" borderId="0" xfId="0" applyFont="1" applyAlignment="1">
      <alignment horizontal="left" vertical="top" wrapText="1" readingOrder="1"/>
    </xf>
  </cellXfs>
  <cellStyles count="854">
    <cellStyle name="20 % – uthevingsfarge 2" xfId="844" builtinId="34"/>
    <cellStyle name="40% - uthevingsfarge 4 2" xfId="38" xr:uid="{00000000-0005-0000-0000-000001000000}"/>
    <cellStyle name="40% - uthevingsfarge 4 2 10" xfId="771" xr:uid="{00000000-0005-0000-0000-000002000000}"/>
    <cellStyle name="40% - uthevingsfarge 4 2 2" xfId="80" xr:uid="{00000000-0005-0000-0000-000003000000}"/>
    <cellStyle name="40% - uthevingsfarge 4 2 2 2" xfId="173" xr:uid="{00000000-0005-0000-0000-000004000000}"/>
    <cellStyle name="40% - uthevingsfarge 4 2 2 3" xfId="263" xr:uid="{00000000-0005-0000-0000-000005000000}"/>
    <cellStyle name="40% - uthevingsfarge 4 2 2 4" xfId="353" xr:uid="{00000000-0005-0000-0000-000006000000}"/>
    <cellStyle name="40% - uthevingsfarge 4 2 2 5" xfId="443" xr:uid="{00000000-0005-0000-0000-000007000000}"/>
    <cellStyle name="40% - uthevingsfarge 4 2 2 6" xfId="533" xr:uid="{00000000-0005-0000-0000-000008000000}"/>
    <cellStyle name="40% - uthevingsfarge 4 2 2 7" xfId="623" xr:uid="{00000000-0005-0000-0000-000009000000}"/>
    <cellStyle name="40% - uthevingsfarge 4 2 2 8" xfId="713" xr:uid="{00000000-0005-0000-0000-00000A000000}"/>
    <cellStyle name="40% - uthevingsfarge 4 2 2 9" xfId="810" xr:uid="{00000000-0005-0000-0000-00000B000000}"/>
    <cellStyle name="40% - uthevingsfarge 4 2 3" xfId="136" xr:uid="{00000000-0005-0000-0000-00000C000000}"/>
    <cellStyle name="40% - uthevingsfarge 4 2 4" xfId="226" xr:uid="{00000000-0005-0000-0000-00000D000000}"/>
    <cellStyle name="40% - uthevingsfarge 4 2 5" xfId="316" xr:uid="{00000000-0005-0000-0000-00000E000000}"/>
    <cellStyle name="40% - uthevingsfarge 4 2 6" xfId="406" xr:uid="{00000000-0005-0000-0000-00000F000000}"/>
    <cellStyle name="40% - uthevingsfarge 4 2 7" xfId="496" xr:uid="{00000000-0005-0000-0000-000010000000}"/>
    <cellStyle name="40% - uthevingsfarge 4 2 8" xfId="586" xr:uid="{00000000-0005-0000-0000-000011000000}"/>
    <cellStyle name="40% - uthevingsfarge 4 2 9" xfId="676" xr:uid="{00000000-0005-0000-0000-000012000000}"/>
    <cellStyle name="Hyperkobling" xfId="3" builtinId="8"/>
    <cellStyle name="Komma" xfId="2" builtinId="3"/>
    <cellStyle name="Komma 2" xfId="847" xr:uid="{00000000-0005-0000-0000-000015000000}"/>
    <cellStyle name="Komma 2 3" xfId="850" xr:uid="{0D7BB789-C0BC-4F58-B366-11FD845789ED}"/>
    <cellStyle name="Merknad 2" xfId="94" xr:uid="{00000000-0005-0000-0000-000016000000}"/>
    <cellStyle name="Normal" xfId="0" builtinId="0"/>
    <cellStyle name="Normal 10" xfId="31" xr:uid="{00000000-0005-0000-0000-000018000000}"/>
    <cellStyle name="Normal 10 10" xfId="670" xr:uid="{00000000-0005-0000-0000-000019000000}"/>
    <cellStyle name="Normal 10 11" xfId="765" xr:uid="{00000000-0005-0000-0000-00001A000000}"/>
    <cellStyle name="Normal 10 2" xfId="53" xr:uid="{00000000-0005-0000-0000-00001B000000}"/>
    <cellStyle name="Normal 10 2 10" xfId="785" xr:uid="{00000000-0005-0000-0000-00001C000000}"/>
    <cellStyle name="Normal 10 2 2" xfId="93" xr:uid="{00000000-0005-0000-0000-00001D000000}"/>
    <cellStyle name="Normal 10 2 2 10" xfId="823" xr:uid="{00000000-0005-0000-0000-00001E000000}"/>
    <cellStyle name="Normal 10 2 2 2" xfId="6" xr:uid="{00000000-0005-0000-0000-00001F000000}"/>
    <cellStyle name="Normal 10 2 2 2 2" xfId="116" xr:uid="{00000000-0005-0000-0000-000020000000}"/>
    <cellStyle name="Normal 10 2 2 3" xfId="186" xr:uid="{00000000-0005-0000-0000-000021000000}"/>
    <cellStyle name="Normal 10 2 2 4" xfId="276" xr:uid="{00000000-0005-0000-0000-000022000000}"/>
    <cellStyle name="Normal 10 2 2 5" xfId="366" xr:uid="{00000000-0005-0000-0000-000023000000}"/>
    <cellStyle name="Normal 10 2 2 6" xfId="456" xr:uid="{00000000-0005-0000-0000-000024000000}"/>
    <cellStyle name="Normal 10 2 2 7" xfId="546" xr:uid="{00000000-0005-0000-0000-000025000000}"/>
    <cellStyle name="Normal 10 2 2 8" xfId="636" xr:uid="{00000000-0005-0000-0000-000026000000}"/>
    <cellStyle name="Normal 10 2 2 9" xfId="726" xr:uid="{00000000-0005-0000-0000-000027000000}"/>
    <cellStyle name="Normal 10 2 3" xfId="149" xr:uid="{00000000-0005-0000-0000-000028000000}"/>
    <cellStyle name="Normal 10 2 4" xfId="239" xr:uid="{00000000-0005-0000-0000-000029000000}"/>
    <cellStyle name="Normal 10 2 5" xfId="329" xr:uid="{00000000-0005-0000-0000-00002A000000}"/>
    <cellStyle name="Normal 10 2 6" xfId="419" xr:uid="{00000000-0005-0000-0000-00002B000000}"/>
    <cellStyle name="Normal 10 2 7" xfId="509" xr:uid="{00000000-0005-0000-0000-00002C000000}"/>
    <cellStyle name="Normal 10 2 8" xfId="599" xr:uid="{00000000-0005-0000-0000-00002D000000}"/>
    <cellStyle name="Normal 10 2 9" xfId="689" xr:uid="{00000000-0005-0000-0000-00002E000000}"/>
    <cellStyle name="Normal 10 3" xfId="74" xr:uid="{00000000-0005-0000-0000-00002F000000}"/>
    <cellStyle name="Normal 10 3 2" xfId="167" xr:uid="{00000000-0005-0000-0000-000030000000}"/>
    <cellStyle name="Normal 10 3 3" xfId="257" xr:uid="{00000000-0005-0000-0000-000031000000}"/>
    <cellStyle name="Normal 10 3 4" xfId="347" xr:uid="{00000000-0005-0000-0000-000032000000}"/>
    <cellStyle name="Normal 10 3 5" xfId="437" xr:uid="{00000000-0005-0000-0000-000033000000}"/>
    <cellStyle name="Normal 10 3 6" xfId="527" xr:uid="{00000000-0005-0000-0000-000034000000}"/>
    <cellStyle name="Normal 10 3 7" xfId="617" xr:uid="{00000000-0005-0000-0000-000035000000}"/>
    <cellStyle name="Normal 10 3 8" xfId="707" xr:uid="{00000000-0005-0000-0000-000036000000}"/>
    <cellStyle name="Normal 10 3 9" xfId="804" xr:uid="{00000000-0005-0000-0000-000037000000}"/>
    <cellStyle name="Normal 10 4" xfId="130" xr:uid="{00000000-0005-0000-0000-000038000000}"/>
    <cellStyle name="Normal 10 5" xfId="220" xr:uid="{00000000-0005-0000-0000-000039000000}"/>
    <cellStyle name="Normal 10 6" xfId="310" xr:uid="{00000000-0005-0000-0000-00003A000000}"/>
    <cellStyle name="Normal 10 7" xfId="400" xr:uid="{00000000-0005-0000-0000-00003B000000}"/>
    <cellStyle name="Normal 10 8" xfId="490" xr:uid="{00000000-0005-0000-0000-00003C000000}"/>
    <cellStyle name="Normal 10 9" xfId="580" xr:uid="{00000000-0005-0000-0000-00003D000000}"/>
    <cellStyle name="Normal 11" xfId="35" xr:uid="{00000000-0005-0000-0000-00003E000000}"/>
    <cellStyle name="Normal 11 10" xfId="673" xr:uid="{00000000-0005-0000-0000-00003F000000}"/>
    <cellStyle name="Normal 11 11" xfId="768" xr:uid="{00000000-0005-0000-0000-000040000000}"/>
    <cellStyle name="Normal 11 2" xfId="57" xr:uid="{00000000-0005-0000-0000-000041000000}"/>
    <cellStyle name="Normal 11 2 10" xfId="788" xr:uid="{00000000-0005-0000-0000-000042000000}"/>
    <cellStyle name="Normal 11 2 2" xfId="97" xr:uid="{00000000-0005-0000-0000-000043000000}"/>
    <cellStyle name="Normal 11 2 2 2" xfId="189" xr:uid="{00000000-0005-0000-0000-000044000000}"/>
    <cellStyle name="Normal 11 2 2 3" xfId="279" xr:uid="{00000000-0005-0000-0000-000045000000}"/>
    <cellStyle name="Normal 11 2 2 4" xfId="369" xr:uid="{00000000-0005-0000-0000-000046000000}"/>
    <cellStyle name="Normal 11 2 2 5" xfId="459" xr:uid="{00000000-0005-0000-0000-000047000000}"/>
    <cellStyle name="Normal 11 2 2 6" xfId="549" xr:uid="{00000000-0005-0000-0000-000048000000}"/>
    <cellStyle name="Normal 11 2 2 7" xfId="639" xr:uid="{00000000-0005-0000-0000-000049000000}"/>
    <cellStyle name="Normal 11 2 2 8" xfId="729" xr:uid="{00000000-0005-0000-0000-00004A000000}"/>
    <cellStyle name="Normal 11 2 2 9" xfId="826" xr:uid="{00000000-0005-0000-0000-00004B000000}"/>
    <cellStyle name="Normal 11 2 3" xfId="152" xr:uid="{00000000-0005-0000-0000-00004C000000}"/>
    <cellStyle name="Normal 11 2 4" xfId="242" xr:uid="{00000000-0005-0000-0000-00004D000000}"/>
    <cellStyle name="Normal 11 2 5" xfId="332" xr:uid="{00000000-0005-0000-0000-00004E000000}"/>
    <cellStyle name="Normal 11 2 6" xfId="422" xr:uid="{00000000-0005-0000-0000-00004F000000}"/>
    <cellStyle name="Normal 11 2 7" xfId="512" xr:uid="{00000000-0005-0000-0000-000050000000}"/>
    <cellStyle name="Normal 11 2 8" xfId="602" xr:uid="{00000000-0005-0000-0000-000051000000}"/>
    <cellStyle name="Normal 11 2 9" xfId="692" xr:uid="{00000000-0005-0000-0000-000052000000}"/>
    <cellStyle name="Normal 11 3" xfId="77" xr:uid="{00000000-0005-0000-0000-000053000000}"/>
    <cellStyle name="Normal 11 3 2" xfId="170" xr:uid="{00000000-0005-0000-0000-000054000000}"/>
    <cellStyle name="Normal 11 3 3" xfId="260" xr:uid="{00000000-0005-0000-0000-000055000000}"/>
    <cellStyle name="Normal 11 3 4" xfId="350" xr:uid="{00000000-0005-0000-0000-000056000000}"/>
    <cellStyle name="Normal 11 3 5" xfId="440" xr:uid="{00000000-0005-0000-0000-000057000000}"/>
    <cellStyle name="Normal 11 3 6" xfId="530" xr:uid="{00000000-0005-0000-0000-000058000000}"/>
    <cellStyle name="Normal 11 3 7" xfId="620" xr:uid="{00000000-0005-0000-0000-000059000000}"/>
    <cellStyle name="Normal 11 3 8" xfId="710" xr:uid="{00000000-0005-0000-0000-00005A000000}"/>
    <cellStyle name="Normal 11 3 9" xfId="807" xr:uid="{00000000-0005-0000-0000-00005B000000}"/>
    <cellStyle name="Normal 11 4" xfId="133" xr:uid="{00000000-0005-0000-0000-00005C000000}"/>
    <cellStyle name="Normal 11 5" xfId="223" xr:uid="{00000000-0005-0000-0000-00005D000000}"/>
    <cellStyle name="Normal 11 6" xfId="313" xr:uid="{00000000-0005-0000-0000-00005E000000}"/>
    <cellStyle name="Normal 11 7" xfId="403" xr:uid="{00000000-0005-0000-0000-00005F000000}"/>
    <cellStyle name="Normal 11 8" xfId="493" xr:uid="{00000000-0005-0000-0000-000060000000}"/>
    <cellStyle name="Normal 11 9" xfId="583" xr:uid="{00000000-0005-0000-0000-000061000000}"/>
    <cellStyle name="Normal 12" xfId="100" xr:uid="{00000000-0005-0000-0000-000062000000}"/>
    <cellStyle name="Normal 12 2" xfId="192" xr:uid="{00000000-0005-0000-0000-000063000000}"/>
    <cellStyle name="Normal 12 3" xfId="282" xr:uid="{00000000-0005-0000-0000-000064000000}"/>
    <cellStyle name="Normal 12 4" xfId="372" xr:uid="{00000000-0005-0000-0000-000065000000}"/>
    <cellStyle name="Normal 12 5" xfId="462" xr:uid="{00000000-0005-0000-0000-000066000000}"/>
    <cellStyle name="Normal 12 6" xfId="552" xr:uid="{00000000-0005-0000-0000-000067000000}"/>
    <cellStyle name="Normal 12 7" xfId="642" xr:uid="{00000000-0005-0000-0000-000068000000}"/>
    <cellStyle name="Normal 12 8" xfId="732" xr:uid="{00000000-0005-0000-0000-000069000000}"/>
    <cellStyle name="Normal 12 9" xfId="829" xr:uid="{00000000-0005-0000-0000-00006A000000}"/>
    <cellStyle name="Normal 13" xfId="103" xr:uid="{00000000-0005-0000-0000-00006B000000}"/>
    <cellStyle name="Normal 13 2" xfId="195" xr:uid="{00000000-0005-0000-0000-00006C000000}"/>
    <cellStyle name="Normal 13 3" xfId="285" xr:uid="{00000000-0005-0000-0000-00006D000000}"/>
    <cellStyle name="Normal 13 4" xfId="375" xr:uid="{00000000-0005-0000-0000-00006E000000}"/>
    <cellStyle name="Normal 13 5" xfId="465" xr:uid="{00000000-0005-0000-0000-00006F000000}"/>
    <cellStyle name="Normal 13 6" xfId="555" xr:uid="{00000000-0005-0000-0000-000070000000}"/>
    <cellStyle name="Normal 13 7" xfId="645" xr:uid="{00000000-0005-0000-0000-000071000000}"/>
    <cellStyle name="Normal 13 8" xfId="735" xr:uid="{00000000-0005-0000-0000-000072000000}"/>
    <cellStyle name="Normal 13 9" xfId="832" xr:uid="{00000000-0005-0000-0000-000073000000}"/>
    <cellStyle name="Normal 14" xfId="106" xr:uid="{00000000-0005-0000-0000-000074000000}"/>
    <cellStyle name="Normal 14 2" xfId="198" xr:uid="{00000000-0005-0000-0000-000075000000}"/>
    <cellStyle name="Normal 14 3" xfId="288" xr:uid="{00000000-0005-0000-0000-000076000000}"/>
    <cellStyle name="Normal 14 4" xfId="378" xr:uid="{00000000-0005-0000-0000-000077000000}"/>
    <cellStyle name="Normal 14 5" xfId="468" xr:uid="{00000000-0005-0000-0000-000078000000}"/>
    <cellStyle name="Normal 14 6" xfId="558" xr:uid="{00000000-0005-0000-0000-000079000000}"/>
    <cellStyle name="Normal 14 7" xfId="648" xr:uid="{00000000-0005-0000-0000-00007A000000}"/>
    <cellStyle name="Normal 14 8" xfId="738" xr:uid="{00000000-0005-0000-0000-00007B000000}"/>
    <cellStyle name="Normal 14 9" xfId="835" xr:uid="{00000000-0005-0000-0000-00007C000000}"/>
    <cellStyle name="Normal 15" xfId="109" xr:uid="{00000000-0005-0000-0000-00007D000000}"/>
    <cellStyle name="Normal 15 2" xfId="201" xr:uid="{00000000-0005-0000-0000-00007E000000}"/>
    <cellStyle name="Normal 15 3" xfId="291" xr:uid="{00000000-0005-0000-0000-00007F000000}"/>
    <cellStyle name="Normal 15 4" xfId="381" xr:uid="{00000000-0005-0000-0000-000080000000}"/>
    <cellStyle name="Normal 15 5" xfId="471" xr:uid="{00000000-0005-0000-0000-000081000000}"/>
    <cellStyle name="Normal 15 6" xfId="561" xr:uid="{00000000-0005-0000-0000-000082000000}"/>
    <cellStyle name="Normal 15 7" xfId="651" xr:uid="{00000000-0005-0000-0000-000083000000}"/>
    <cellStyle name="Normal 15 8" xfId="741" xr:uid="{00000000-0005-0000-0000-000084000000}"/>
    <cellStyle name="Normal 15 9" xfId="838" xr:uid="{00000000-0005-0000-0000-000085000000}"/>
    <cellStyle name="Normal 16" xfId="112" xr:uid="{00000000-0005-0000-0000-000086000000}"/>
    <cellStyle name="Normal 16 2" xfId="204" xr:uid="{00000000-0005-0000-0000-000087000000}"/>
    <cellStyle name="Normal 16 3" xfId="294" xr:uid="{00000000-0005-0000-0000-000088000000}"/>
    <cellStyle name="Normal 16 4" xfId="384" xr:uid="{00000000-0005-0000-0000-000089000000}"/>
    <cellStyle name="Normal 16 5" xfId="474" xr:uid="{00000000-0005-0000-0000-00008A000000}"/>
    <cellStyle name="Normal 16 6" xfId="564" xr:uid="{00000000-0005-0000-0000-00008B000000}"/>
    <cellStyle name="Normal 16 7" xfId="654" xr:uid="{00000000-0005-0000-0000-00008C000000}"/>
    <cellStyle name="Normal 16 8" xfId="744" xr:uid="{00000000-0005-0000-0000-00008D000000}"/>
    <cellStyle name="Normal 16 9" xfId="841" xr:uid="{00000000-0005-0000-0000-00008E000000}"/>
    <cellStyle name="Normal 17" xfId="8" xr:uid="{00000000-0005-0000-0000-00008F000000}"/>
    <cellStyle name="Normal 18" xfId="10" xr:uid="{00000000-0005-0000-0000-000090000000}"/>
    <cellStyle name="Normal 19" xfId="117" xr:uid="{00000000-0005-0000-0000-000091000000}"/>
    <cellStyle name="Normal 2" xfId="1" xr:uid="{00000000-0005-0000-0000-000092000000}"/>
    <cellStyle name="Normal 2 2" xfId="7" xr:uid="{00000000-0005-0000-0000-000093000000}"/>
    <cellStyle name="Normal 2 2 2" xfId="852" xr:uid="{1C7488BD-D0A7-4BD6-89BE-682016A3202E}"/>
    <cellStyle name="Normal 2 3" xfId="20" xr:uid="{00000000-0005-0000-0000-000094000000}"/>
    <cellStyle name="Normal 2 4" xfId="39" xr:uid="{00000000-0005-0000-0000-000095000000}"/>
    <cellStyle name="Normal 2 5" xfId="60" xr:uid="{00000000-0005-0000-0000-000096000000}"/>
    <cellStyle name="Normal 20" xfId="207" xr:uid="{00000000-0005-0000-0000-000097000000}"/>
    <cellStyle name="Normal 21" xfId="297" xr:uid="{00000000-0005-0000-0000-000098000000}"/>
    <cellStyle name="Normal 22" xfId="387" xr:uid="{00000000-0005-0000-0000-000099000000}"/>
    <cellStyle name="Normal 23" xfId="477" xr:uid="{00000000-0005-0000-0000-00009A000000}"/>
    <cellStyle name="Normal 24" xfId="567" xr:uid="{00000000-0005-0000-0000-00009B000000}"/>
    <cellStyle name="Normal 25" xfId="657" xr:uid="{00000000-0005-0000-0000-00009C000000}"/>
    <cellStyle name="Normal 26" xfId="747" xr:uid="{00000000-0005-0000-0000-00009D000000}"/>
    <cellStyle name="Normal 27" xfId="851" xr:uid="{ED50C316-25E5-4ED7-8355-A3104735F1B2}"/>
    <cellStyle name="Normal 3" xfId="4" xr:uid="{00000000-0005-0000-0000-00009E000000}"/>
    <cellStyle name="Normal 3 10" xfId="104" xr:uid="{00000000-0005-0000-0000-00009F000000}"/>
    <cellStyle name="Normal 3 10 2" xfId="196" xr:uid="{00000000-0005-0000-0000-0000A0000000}"/>
    <cellStyle name="Normal 3 10 3" xfId="286" xr:uid="{00000000-0005-0000-0000-0000A1000000}"/>
    <cellStyle name="Normal 3 10 4" xfId="376" xr:uid="{00000000-0005-0000-0000-0000A2000000}"/>
    <cellStyle name="Normal 3 10 5" xfId="466" xr:uid="{00000000-0005-0000-0000-0000A3000000}"/>
    <cellStyle name="Normal 3 10 6" xfId="556" xr:uid="{00000000-0005-0000-0000-0000A4000000}"/>
    <cellStyle name="Normal 3 10 7" xfId="646" xr:uid="{00000000-0005-0000-0000-0000A5000000}"/>
    <cellStyle name="Normal 3 10 8" xfId="736" xr:uid="{00000000-0005-0000-0000-0000A6000000}"/>
    <cellStyle name="Normal 3 10 9" xfId="833" xr:uid="{00000000-0005-0000-0000-0000A7000000}"/>
    <cellStyle name="Normal 3 11" xfId="107" xr:uid="{00000000-0005-0000-0000-0000A8000000}"/>
    <cellStyle name="Normal 3 11 2" xfId="199" xr:uid="{00000000-0005-0000-0000-0000A9000000}"/>
    <cellStyle name="Normal 3 11 3" xfId="289" xr:uid="{00000000-0005-0000-0000-0000AA000000}"/>
    <cellStyle name="Normal 3 11 4" xfId="379" xr:uid="{00000000-0005-0000-0000-0000AB000000}"/>
    <cellStyle name="Normal 3 11 5" xfId="469" xr:uid="{00000000-0005-0000-0000-0000AC000000}"/>
    <cellStyle name="Normal 3 11 6" xfId="559" xr:uid="{00000000-0005-0000-0000-0000AD000000}"/>
    <cellStyle name="Normal 3 11 7" xfId="649" xr:uid="{00000000-0005-0000-0000-0000AE000000}"/>
    <cellStyle name="Normal 3 11 8" xfId="739" xr:uid="{00000000-0005-0000-0000-0000AF000000}"/>
    <cellStyle name="Normal 3 11 9" xfId="836" xr:uid="{00000000-0005-0000-0000-0000B0000000}"/>
    <cellStyle name="Normal 3 12" xfId="110" xr:uid="{00000000-0005-0000-0000-0000B1000000}"/>
    <cellStyle name="Normal 3 12 2" xfId="202" xr:uid="{00000000-0005-0000-0000-0000B2000000}"/>
    <cellStyle name="Normal 3 12 3" xfId="292" xr:uid="{00000000-0005-0000-0000-0000B3000000}"/>
    <cellStyle name="Normal 3 12 4" xfId="382" xr:uid="{00000000-0005-0000-0000-0000B4000000}"/>
    <cellStyle name="Normal 3 12 5" xfId="472" xr:uid="{00000000-0005-0000-0000-0000B5000000}"/>
    <cellStyle name="Normal 3 12 6" xfId="562" xr:uid="{00000000-0005-0000-0000-0000B6000000}"/>
    <cellStyle name="Normal 3 12 7" xfId="652" xr:uid="{00000000-0005-0000-0000-0000B7000000}"/>
    <cellStyle name="Normal 3 12 8" xfId="742" xr:uid="{00000000-0005-0000-0000-0000B8000000}"/>
    <cellStyle name="Normal 3 12 9" xfId="839" xr:uid="{00000000-0005-0000-0000-0000B9000000}"/>
    <cellStyle name="Normal 3 13" xfId="113" xr:uid="{00000000-0005-0000-0000-0000BA000000}"/>
    <cellStyle name="Normal 3 13 2" xfId="205" xr:uid="{00000000-0005-0000-0000-0000BB000000}"/>
    <cellStyle name="Normal 3 13 3" xfId="295" xr:uid="{00000000-0005-0000-0000-0000BC000000}"/>
    <cellStyle name="Normal 3 13 4" xfId="385" xr:uid="{00000000-0005-0000-0000-0000BD000000}"/>
    <cellStyle name="Normal 3 13 5" xfId="475" xr:uid="{00000000-0005-0000-0000-0000BE000000}"/>
    <cellStyle name="Normal 3 13 6" xfId="565" xr:uid="{00000000-0005-0000-0000-0000BF000000}"/>
    <cellStyle name="Normal 3 13 7" xfId="655" xr:uid="{00000000-0005-0000-0000-0000C0000000}"/>
    <cellStyle name="Normal 3 13 8" xfId="745" xr:uid="{00000000-0005-0000-0000-0000C1000000}"/>
    <cellStyle name="Normal 3 13 9" xfId="842" xr:uid="{00000000-0005-0000-0000-0000C2000000}"/>
    <cellStyle name="Normal 3 14" xfId="11" xr:uid="{00000000-0005-0000-0000-0000C3000000}"/>
    <cellStyle name="Normal 3 15" xfId="118" xr:uid="{00000000-0005-0000-0000-0000C4000000}"/>
    <cellStyle name="Normal 3 16" xfId="208" xr:uid="{00000000-0005-0000-0000-0000C5000000}"/>
    <cellStyle name="Normal 3 17" xfId="298" xr:uid="{00000000-0005-0000-0000-0000C6000000}"/>
    <cellStyle name="Normal 3 18" xfId="388" xr:uid="{00000000-0005-0000-0000-0000C7000000}"/>
    <cellStyle name="Normal 3 19" xfId="478" xr:uid="{00000000-0005-0000-0000-0000C8000000}"/>
    <cellStyle name="Normal 3 2" xfId="23" xr:uid="{00000000-0005-0000-0000-0000C9000000}"/>
    <cellStyle name="Normal 3 2 10" xfId="662" xr:uid="{00000000-0005-0000-0000-0000CA000000}"/>
    <cellStyle name="Normal 3 2 11" xfId="757" xr:uid="{00000000-0005-0000-0000-0000CB000000}"/>
    <cellStyle name="Normal 3 2 2" xfId="45" xr:uid="{00000000-0005-0000-0000-0000CC000000}"/>
    <cellStyle name="Normal 3 2 2 10" xfId="777" xr:uid="{00000000-0005-0000-0000-0000CD000000}"/>
    <cellStyle name="Normal 3 2 2 2" xfId="85" xr:uid="{00000000-0005-0000-0000-0000CE000000}"/>
    <cellStyle name="Normal 3 2 2 2 2" xfId="178" xr:uid="{00000000-0005-0000-0000-0000CF000000}"/>
    <cellStyle name="Normal 3 2 2 2 3" xfId="268" xr:uid="{00000000-0005-0000-0000-0000D0000000}"/>
    <cellStyle name="Normal 3 2 2 2 4" xfId="358" xr:uid="{00000000-0005-0000-0000-0000D1000000}"/>
    <cellStyle name="Normal 3 2 2 2 5" xfId="448" xr:uid="{00000000-0005-0000-0000-0000D2000000}"/>
    <cellStyle name="Normal 3 2 2 2 6" xfId="538" xr:uid="{00000000-0005-0000-0000-0000D3000000}"/>
    <cellStyle name="Normal 3 2 2 2 7" xfId="628" xr:uid="{00000000-0005-0000-0000-0000D4000000}"/>
    <cellStyle name="Normal 3 2 2 2 8" xfId="718" xr:uid="{00000000-0005-0000-0000-0000D5000000}"/>
    <cellStyle name="Normal 3 2 2 2 9" xfId="815" xr:uid="{00000000-0005-0000-0000-0000D6000000}"/>
    <cellStyle name="Normal 3 2 2 3" xfId="141" xr:uid="{00000000-0005-0000-0000-0000D7000000}"/>
    <cellStyle name="Normal 3 2 2 4" xfId="231" xr:uid="{00000000-0005-0000-0000-0000D8000000}"/>
    <cellStyle name="Normal 3 2 2 5" xfId="321" xr:uid="{00000000-0005-0000-0000-0000D9000000}"/>
    <cellStyle name="Normal 3 2 2 6" xfId="411" xr:uid="{00000000-0005-0000-0000-0000DA000000}"/>
    <cellStyle name="Normal 3 2 2 7" xfId="501" xr:uid="{00000000-0005-0000-0000-0000DB000000}"/>
    <cellStyle name="Normal 3 2 2 8" xfId="591" xr:uid="{00000000-0005-0000-0000-0000DC000000}"/>
    <cellStyle name="Normal 3 2 2 9" xfId="681" xr:uid="{00000000-0005-0000-0000-0000DD000000}"/>
    <cellStyle name="Normal 3 2 3" xfId="66" xr:uid="{00000000-0005-0000-0000-0000DE000000}"/>
    <cellStyle name="Normal 3 2 3 2" xfId="159" xr:uid="{00000000-0005-0000-0000-0000DF000000}"/>
    <cellStyle name="Normal 3 2 3 3" xfId="249" xr:uid="{00000000-0005-0000-0000-0000E0000000}"/>
    <cellStyle name="Normal 3 2 3 4" xfId="339" xr:uid="{00000000-0005-0000-0000-0000E1000000}"/>
    <cellStyle name="Normal 3 2 3 5" xfId="429" xr:uid="{00000000-0005-0000-0000-0000E2000000}"/>
    <cellStyle name="Normal 3 2 3 6" xfId="519" xr:uid="{00000000-0005-0000-0000-0000E3000000}"/>
    <cellStyle name="Normal 3 2 3 7" xfId="609" xr:uid="{00000000-0005-0000-0000-0000E4000000}"/>
    <cellStyle name="Normal 3 2 3 8" xfId="699" xr:uid="{00000000-0005-0000-0000-0000E5000000}"/>
    <cellStyle name="Normal 3 2 3 9" xfId="796" xr:uid="{00000000-0005-0000-0000-0000E6000000}"/>
    <cellStyle name="Normal 3 2 4" xfId="122" xr:uid="{00000000-0005-0000-0000-0000E7000000}"/>
    <cellStyle name="Normal 3 2 5" xfId="212" xr:uid="{00000000-0005-0000-0000-0000E8000000}"/>
    <cellStyle name="Normal 3 2 6" xfId="302" xr:uid="{00000000-0005-0000-0000-0000E9000000}"/>
    <cellStyle name="Normal 3 2 7" xfId="392" xr:uid="{00000000-0005-0000-0000-0000EA000000}"/>
    <cellStyle name="Normal 3 2 8" xfId="482" xr:uid="{00000000-0005-0000-0000-0000EB000000}"/>
    <cellStyle name="Normal 3 2 9" xfId="572" xr:uid="{00000000-0005-0000-0000-0000EC000000}"/>
    <cellStyle name="Normal 3 20" xfId="568" xr:uid="{00000000-0005-0000-0000-0000ED000000}"/>
    <cellStyle name="Normal 3 21" xfId="658" xr:uid="{00000000-0005-0000-0000-0000EE000000}"/>
    <cellStyle name="Normal 3 22" xfId="748" xr:uid="{00000000-0005-0000-0000-0000EF000000}"/>
    <cellStyle name="Normal 3 3" xfId="26" xr:uid="{00000000-0005-0000-0000-0000F0000000}"/>
    <cellStyle name="Normal 3 3 10" xfId="665" xr:uid="{00000000-0005-0000-0000-0000F1000000}"/>
    <cellStyle name="Normal 3 3 11" xfId="760" xr:uid="{00000000-0005-0000-0000-0000F2000000}"/>
    <cellStyle name="Normal 3 3 2" xfId="48" xr:uid="{00000000-0005-0000-0000-0000F3000000}"/>
    <cellStyle name="Normal 3 3 2 10" xfId="780" xr:uid="{00000000-0005-0000-0000-0000F4000000}"/>
    <cellStyle name="Normal 3 3 2 2" xfId="88" xr:uid="{00000000-0005-0000-0000-0000F5000000}"/>
    <cellStyle name="Normal 3 3 2 2 2" xfId="181" xr:uid="{00000000-0005-0000-0000-0000F6000000}"/>
    <cellStyle name="Normal 3 3 2 2 3" xfId="271" xr:uid="{00000000-0005-0000-0000-0000F7000000}"/>
    <cellStyle name="Normal 3 3 2 2 4" xfId="361" xr:uid="{00000000-0005-0000-0000-0000F8000000}"/>
    <cellStyle name="Normal 3 3 2 2 5" xfId="451" xr:uid="{00000000-0005-0000-0000-0000F9000000}"/>
    <cellStyle name="Normal 3 3 2 2 6" xfId="541" xr:uid="{00000000-0005-0000-0000-0000FA000000}"/>
    <cellStyle name="Normal 3 3 2 2 7" xfId="631" xr:uid="{00000000-0005-0000-0000-0000FB000000}"/>
    <cellStyle name="Normal 3 3 2 2 8" xfId="721" xr:uid="{00000000-0005-0000-0000-0000FC000000}"/>
    <cellStyle name="Normal 3 3 2 2 9" xfId="818" xr:uid="{00000000-0005-0000-0000-0000FD000000}"/>
    <cellStyle name="Normal 3 3 2 3" xfId="144" xr:uid="{00000000-0005-0000-0000-0000FE000000}"/>
    <cellStyle name="Normal 3 3 2 4" xfId="234" xr:uid="{00000000-0005-0000-0000-0000FF000000}"/>
    <cellStyle name="Normal 3 3 2 5" xfId="324" xr:uid="{00000000-0005-0000-0000-000000010000}"/>
    <cellStyle name="Normal 3 3 2 6" xfId="414" xr:uid="{00000000-0005-0000-0000-000001010000}"/>
    <cellStyle name="Normal 3 3 2 7" xfId="504" xr:uid="{00000000-0005-0000-0000-000002010000}"/>
    <cellStyle name="Normal 3 3 2 8" xfId="594" xr:uid="{00000000-0005-0000-0000-000003010000}"/>
    <cellStyle name="Normal 3 3 2 9" xfId="684" xr:uid="{00000000-0005-0000-0000-000004010000}"/>
    <cellStyle name="Normal 3 3 3" xfId="69" xr:uid="{00000000-0005-0000-0000-000005010000}"/>
    <cellStyle name="Normal 3 3 3 2" xfId="162" xr:uid="{00000000-0005-0000-0000-000006010000}"/>
    <cellStyle name="Normal 3 3 3 3" xfId="252" xr:uid="{00000000-0005-0000-0000-000007010000}"/>
    <cellStyle name="Normal 3 3 3 4" xfId="342" xr:uid="{00000000-0005-0000-0000-000008010000}"/>
    <cellStyle name="Normal 3 3 3 5" xfId="432" xr:uid="{00000000-0005-0000-0000-000009010000}"/>
    <cellStyle name="Normal 3 3 3 6" xfId="522" xr:uid="{00000000-0005-0000-0000-00000A010000}"/>
    <cellStyle name="Normal 3 3 3 7" xfId="612" xr:uid="{00000000-0005-0000-0000-00000B010000}"/>
    <cellStyle name="Normal 3 3 3 8" xfId="702" xr:uid="{00000000-0005-0000-0000-00000C010000}"/>
    <cellStyle name="Normal 3 3 3 9" xfId="799" xr:uid="{00000000-0005-0000-0000-00000D010000}"/>
    <cellStyle name="Normal 3 3 4" xfId="125" xr:uid="{00000000-0005-0000-0000-00000E010000}"/>
    <cellStyle name="Normal 3 3 5" xfId="215" xr:uid="{00000000-0005-0000-0000-00000F010000}"/>
    <cellStyle name="Normal 3 3 6" xfId="305" xr:uid="{00000000-0005-0000-0000-000010010000}"/>
    <cellStyle name="Normal 3 3 7" xfId="395" xr:uid="{00000000-0005-0000-0000-000011010000}"/>
    <cellStyle name="Normal 3 3 8" xfId="485" xr:uid="{00000000-0005-0000-0000-000012010000}"/>
    <cellStyle name="Normal 3 3 9" xfId="575" xr:uid="{00000000-0005-0000-0000-000013010000}"/>
    <cellStyle name="Normal 3 4" xfId="29" xr:uid="{00000000-0005-0000-0000-000014010000}"/>
    <cellStyle name="Normal 3 4 10" xfId="668" xr:uid="{00000000-0005-0000-0000-000015010000}"/>
    <cellStyle name="Normal 3 4 11" xfId="763" xr:uid="{00000000-0005-0000-0000-000016010000}"/>
    <cellStyle name="Normal 3 4 2" xfId="51" xr:uid="{00000000-0005-0000-0000-000017010000}"/>
    <cellStyle name="Normal 3 4 2 10" xfId="783" xr:uid="{00000000-0005-0000-0000-000018010000}"/>
    <cellStyle name="Normal 3 4 2 2" xfId="91" xr:uid="{00000000-0005-0000-0000-000019010000}"/>
    <cellStyle name="Normal 3 4 2 2 2" xfId="184" xr:uid="{00000000-0005-0000-0000-00001A010000}"/>
    <cellStyle name="Normal 3 4 2 2 3" xfId="274" xr:uid="{00000000-0005-0000-0000-00001B010000}"/>
    <cellStyle name="Normal 3 4 2 2 4" xfId="364" xr:uid="{00000000-0005-0000-0000-00001C010000}"/>
    <cellStyle name="Normal 3 4 2 2 5" xfId="454" xr:uid="{00000000-0005-0000-0000-00001D010000}"/>
    <cellStyle name="Normal 3 4 2 2 6" xfId="544" xr:uid="{00000000-0005-0000-0000-00001E010000}"/>
    <cellStyle name="Normal 3 4 2 2 7" xfId="634" xr:uid="{00000000-0005-0000-0000-00001F010000}"/>
    <cellStyle name="Normal 3 4 2 2 8" xfId="724" xr:uid="{00000000-0005-0000-0000-000020010000}"/>
    <cellStyle name="Normal 3 4 2 2 9" xfId="821" xr:uid="{00000000-0005-0000-0000-000021010000}"/>
    <cellStyle name="Normal 3 4 2 3" xfId="147" xr:uid="{00000000-0005-0000-0000-000022010000}"/>
    <cellStyle name="Normal 3 4 2 4" xfId="237" xr:uid="{00000000-0005-0000-0000-000023010000}"/>
    <cellStyle name="Normal 3 4 2 5" xfId="327" xr:uid="{00000000-0005-0000-0000-000024010000}"/>
    <cellStyle name="Normal 3 4 2 6" xfId="417" xr:uid="{00000000-0005-0000-0000-000025010000}"/>
    <cellStyle name="Normal 3 4 2 7" xfId="507" xr:uid="{00000000-0005-0000-0000-000026010000}"/>
    <cellStyle name="Normal 3 4 2 8" xfId="597" xr:uid="{00000000-0005-0000-0000-000027010000}"/>
    <cellStyle name="Normal 3 4 2 9" xfId="687" xr:uid="{00000000-0005-0000-0000-000028010000}"/>
    <cellStyle name="Normal 3 4 3" xfId="72" xr:uid="{00000000-0005-0000-0000-000029010000}"/>
    <cellStyle name="Normal 3 4 3 2" xfId="165" xr:uid="{00000000-0005-0000-0000-00002A010000}"/>
    <cellStyle name="Normal 3 4 3 3" xfId="255" xr:uid="{00000000-0005-0000-0000-00002B010000}"/>
    <cellStyle name="Normal 3 4 3 4" xfId="345" xr:uid="{00000000-0005-0000-0000-00002C010000}"/>
    <cellStyle name="Normal 3 4 3 5" xfId="435" xr:uid="{00000000-0005-0000-0000-00002D010000}"/>
    <cellStyle name="Normal 3 4 3 6" xfId="525" xr:uid="{00000000-0005-0000-0000-00002E010000}"/>
    <cellStyle name="Normal 3 4 3 7" xfId="615" xr:uid="{00000000-0005-0000-0000-00002F010000}"/>
    <cellStyle name="Normal 3 4 3 8" xfId="705" xr:uid="{00000000-0005-0000-0000-000030010000}"/>
    <cellStyle name="Normal 3 4 3 9" xfId="802" xr:uid="{00000000-0005-0000-0000-000031010000}"/>
    <cellStyle name="Normal 3 4 4" xfId="128" xr:uid="{00000000-0005-0000-0000-000032010000}"/>
    <cellStyle name="Normal 3 4 5" xfId="218" xr:uid="{00000000-0005-0000-0000-000033010000}"/>
    <cellStyle name="Normal 3 4 6" xfId="308" xr:uid="{00000000-0005-0000-0000-000034010000}"/>
    <cellStyle name="Normal 3 4 7" xfId="398" xr:uid="{00000000-0005-0000-0000-000035010000}"/>
    <cellStyle name="Normal 3 4 8" xfId="488" xr:uid="{00000000-0005-0000-0000-000036010000}"/>
    <cellStyle name="Normal 3 4 9" xfId="578" xr:uid="{00000000-0005-0000-0000-000037010000}"/>
    <cellStyle name="Normal 3 5" xfId="33" xr:uid="{00000000-0005-0000-0000-000038010000}"/>
    <cellStyle name="Normal 3 5 10" xfId="671" xr:uid="{00000000-0005-0000-0000-000039010000}"/>
    <cellStyle name="Normal 3 5 11" xfId="766" xr:uid="{00000000-0005-0000-0000-00003A010000}"/>
    <cellStyle name="Normal 3 5 2" xfId="55" xr:uid="{00000000-0005-0000-0000-00003B010000}"/>
    <cellStyle name="Normal 3 5 2 10" xfId="786" xr:uid="{00000000-0005-0000-0000-00003C010000}"/>
    <cellStyle name="Normal 3 5 2 2" xfId="95" xr:uid="{00000000-0005-0000-0000-00003D010000}"/>
    <cellStyle name="Normal 3 5 2 2 2" xfId="187" xr:uid="{00000000-0005-0000-0000-00003E010000}"/>
    <cellStyle name="Normal 3 5 2 2 3" xfId="277" xr:uid="{00000000-0005-0000-0000-00003F010000}"/>
    <cellStyle name="Normal 3 5 2 2 4" xfId="367" xr:uid="{00000000-0005-0000-0000-000040010000}"/>
    <cellStyle name="Normal 3 5 2 2 5" xfId="457" xr:uid="{00000000-0005-0000-0000-000041010000}"/>
    <cellStyle name="Normal 3 5 2 2 6" xfId="547" xr:uid="{00000000-0005-0000-0000-000042010000}"/>
    <cellStyle name="Normal 3 5 2 2 7" xfId="637" xr:uid="{00000000-0005-0000-0000-000043010000}"/>
    <cellStyle name="Normal 3 5 2 2 8" xfId="727" xr:uid="{00000000-0005-0000-0000-000044010000}"/>
    <cellStyle name="Normal 3 5 2 2 9" xfId="824" xr:uid="{00000000-0005-0000-0000-000045010000}"/>
    <cellStyle name="Normal 3 5 2 3" xfId="150" xr:uid="{00000000-0005-0000-0000-000046010000}"/>
    <cellStyle name="Normal 3 5 2 4" xfId="240" xr:uid="{00000000-0005-0000-0000-000047010000}"/>
    <cellStyle name="Normal 3 5 2 5" xfId="330" xr:uid="{00000000-0005-0000-0000-000048010000}"/>
    <cellStyle name="Normal 3 5 2 6" xfId="420" xr:uid="{00000000-0005-0000-0000-000049010000}"/>
    <cellStyle name="Normal 3 5 2 7" xfId="510" xr:uid="{00000000-0005-0000-0000-00004A010000}"/>
    <cellStyle name="Normal 3 5 2 8" xfId="600" xr:uid="{00000000-0005-0000-0000-00004B010000}"/>
    <cellStyle name="Normal 3 5 2 9" xfId="690" xr:uid="{00000000-0005-0000-0000-00004C010000}"/>
    <cellStyle name="Normal 3 5 3" xfId="75" xr:uid="{00000000-0005-0000-0000-00004D010000}"/>
    <cellStyle name="Normal 3 5 3 2" xfId="168" xr:uid="{00000000-0005-0000-0000-00004E010000}"/>
    <cellStyle name="Normal 3 5 3 3" xfId="258" xr:uid="{00000000-0005-0000-0000-00004F010000}"/>
    <cellStyle name="Normal 3 5 3 4" xfId="348" xr:uid="{00000000-0005-0000-0000-000050010000}"/>
    <cellStyle name="Normal 3 5 3 5" xfId="438" xr:uid="{00000000-0005-0000-0000-000051010000}"/>
    <cellStyle name="Normal 3 5 3 6" xfId="528" xr:uid="{00000000-0005-0000-0000-000052010000}"/>
    <cellStyle name="Normal 3 5 3 7" xfId="618" xr:uid="{00000000-0005-0000-0000-000053010000}"/>
    <cellStyle name="Normal 3 5 3 8" xfId="708" xr:uid="{00000000-0005-0000-0000-000054010000}"/>
    <cellStyle name="Normal 3 5 3 9" xfId="805" xr:uid="{00000000-0005-0000-0000-000055010000}"/>
    <cellStyle name="Normal 3 5 4" xfId="131" xr:uid="{00000000-0005-0000-0000-000056010000}"/>
    <cellStyle name="Normal 3 5 5" xfId="221" xr:uid="{00000000-0005-0000-0000-000057010000}"/>
    <cellStyle name="Normal 3 5 6" xfId="311" xr:uid="{00000000-0005-0000-0000-000058010000}"/>
    <cellStyle name="Normal 3 5 7" xfId="401" xr:uid="{00000000-0005-0000-0000-000059010000}"/>
    <cellStyle name="Normal 3 5 8" xfId="491" xr:uid="{00000000-0005-0000-0000-00005A010000}"/>
    <cellStyle name="Normal 3 5 9" xfId="581" xr:uid="{00000000-0005-0000-0000-00005B010000}"/>
    <cellStyle name="Normal 3 6" xfId="36" xr:uid="{00000000-0005-0000-0000-00005C010000}"/>
    <cellStyle name="Normal 3 6 10" xfId="674" xr:uid="{00000000-0005-0000-0000-00005D010000}"/>
    <cellStyle name="Normal 3 6 11" xfId="769" xr:uid="{00000000-0005-0000-0000-00005E010000}"/>
    <cellStyle name="Normal 3 6 2" xfId="58" xr:uid="{00000000-0005-0000-0000-00005F010000}"/>
    <cellStyle name="Normal 3 6 2 10" xfId="789" xr:uid="{00000000-0005-0000-0000-000060010000}"/>
    <cellStyle name="Normal 3 6 2 2" xfId="98" xr:uid="{00000000-0005-0000-0000-000061010000}"/>
    <cellStyle name="Normal 3 6 2 2 2" xfId="190" xr:uid="{00000000-0005-0000-0000-000062010000}"/>
    <cellStyle name="Normal 3 6 2 2 3" xfId="280" xr:uid="{00000000-0005-0000-0000-000063010000}"/>
    <cellStyle name="Normal 3 6 2 2 4" xfId="370" xr:uid="{00000000-0005-0000-0000-000064010000}"/>
    <cellStyle name="Normal 3 6 2 2 5" xfId="460" xr:uid="{00000000-0005-0000-0000-000065010000}"/>
    <cellStyle name="Normal 3 6 2 2 6" xfId="550" xr:uid="{00000000-0005-0000-0000-000066010000}"/>
    <cellStyle name="Normal 3 6 2 2 7" xfId="640" xr:uid="{00000000-0005-0000-0000-000067010000}"/>
    <cellStyle name="Normal 3 6 2 2 8" xfId="730" xr:uid="{00000000-0005-0000-0000-000068010000}"/>
    <cellStyle name="Normal 3 6 2 2 9" xfId="827" xr:uid="{00000000-0005-0000-0000-000069010000}"/>
    <cellStyle name="Normal 3 6 2 3" xfId="153" xr:uid="{00000000-0005-0000-0000-00006A010000}"/>
    <cellStyle name="Normal 3 6 2 4" xfId="243" xr:uid="{00000000-0005-0000-0000-00006B010000}"/>
    <cellStyle name="Normal 3 6 2 5" xfId="333" xr:uid="{00000000-0005-0000-0000-00006C010000}"/>
    <cellStyle name="Normal 3 6 2 6" xfId="423" xr:uid="{00000000-0005-0000-0000-00006D010000}"/>
    <cellStyle name="Normal 3 6 2 7" xfId="513" xr:uid="{00000000-0005-0000-0000-00006E010000}"/>
    <cellStyle name="Normal 3 6 2 8" xfId="603" xr:uid="{00000000-0005-0000-0000-00006F010000}"/>
    <cellStyle name="Normal 3 6 2 9" xfId="693" xr:uid="{00000000-0005-0000-0000-000070010000}"/>
    <cellStyle name="Normal 3 6 3" xfId="78" xr:uid="{00000000-0005-0000-0000-000071010000}"/>
    <cellStyle name="Normal 3 6 3 2" xfId="171" xr:uid="{00000000-0005-0000-0000-000072010000}"/>
    <cellStyle name="Normal 3 6 3 3" xfId="261" xr:uid="{00000000-0005-0000-0000-000073010000}"/>
    <cellStyle name="Normal 3 6 3 4" xfId="351" xr:uid="{00000000-0005-0000-0000-000074010000}"/>
    <cellStyle name="Normal 3 6 3 5" xfId="441" xr:uid="{00000000-0005-0000-0000-000075010000}"/>
    <cellStyle name="Normal 3 6 3 6" xfId="531" xr:uid="{00000000-0005-0000-0000-000076010000}"/>
    <cellStyle name="Normal 3 6 3 7" xfId="621" xr:uid="{00000000-0005-0000-0000-000077010000}"/>
    <cellStyle name="Normal 3 6 3 8" xfId="711" xr:uid="{00000000-0005-0000-0000-000078010000}"/>
    <cellStyle name="Normal 3 6 3 9" xfId="808" xr:uid="{00000000-0005-0000-0000-000079010000}"/>
    <cellStyle name="Normal 3 6 4" xfId="134" xr:uid="{00000000-0005-0000-0000-00007A010000}"/>
    <cellStyle name="Normal 3 6 5" xfId="224" xr:uid="{00000000-0005-0000-0000-00007B010000}"/>
    <cellStyle name="Normal 3 6 6" xfId="314" xr:uid="{00000000-0005-0000-0000-00007C010000}"/>
    <cellStyle name="Normal 3 6 7" xfId="404" xr:uid="{00000000-0005-0000-0000-00007D010000}"/>
    <cellStyle name="Normal 3 6 8" xfId="494" xr:uid="{00000000-0005-0000-0000-00007E010000}"/>
    <cellStyle name="Normal 3 6 9" xfId="584" xr:uid="{00000000-0005-0000-0000-00007F010000}"/>
    <cellStyle name="Normal 3 7" xfId="42" xr:uid="{00000000-0005-0000-0000-000080010000}"/>
    <cellStyle name="Normal 3 7 10" xfId="774" xr:uid="{00000000-0005-0000-0000-000081010000}"/>
    <cellStyle name="Normal 3 7 2" xfId="82" xr:uid="{00000000-0005-0000-0000-000082010000}"/>
    <cellStyle name="Normal 3 7 2 2" xfId="175" xr:uid="{00000000-0005-0000-0000-000083010000}"/>
    <cellStyle name="Normal 3 7 2 3" xfId="265" xr:uid="{00000000-0005-0000-0000-000084010000}"/>
    <cellStyle name="Normal 3 7 2 4" xfId="355" xr:uid="{00000000-0005-0000-0000-000085010000}"/>
    <cellStyle name="Normal 3 7 2 5" xfId="445" xr:uid="{00000000-0005-0000-0000-000086010000}"/>
    <cellStyle name="Normal 3 7 2 6" xfId="535" xr:uid="{00000000-0005-0000-0000-000087010000}"/>
    <cellStyle name="Normal 3 7 2 7" xfId="625" xr:uid="{00000000-0005-0000-0000-000088010000}"/>
    <cellStyle name="Normal 3 7 2 8" xfId="715" xr:uid="{00000000-0005-0000-0000-000089010000}"/>
    <cellStyle name="Normal 3 7 2 9" xfId="812" xr:uid="{00000000-0005-0000-0000-00008A010000}"/>
    <cellStyle name="Normal 3 7 3" xfId="138" xr:uid="{00000000-0005-0000-0000-00008B010000}"/>
    <cellStyle name="Normal 3 7 4" xfId="228" xr:uid="{00000000-0005-0000-0000-00008C010000}"/>
    <cellStyle name="Normal 3 7 5" xfId="318" xr:uid="{00000000-0005-0000-0000-00008D010000}"/>
    <cellStyle name="Normal 3 7 6" xfId="408" xr:uid="{00000000-0005-0000-0000-00008E010000}"/>
    <cellStyle name="Normal 3 7 7" xfId="498" xr:uid="{00000000-0005-0000-0000-00008F010000}"/>
    <cellStyle name="Normal 3 7 8" xfId="588" xr:uid="{00000000-0005-0000-0000-000090010000}"/>
    <cellStyle name="Normal 3 7 9" xfId="678" xr:uid="{00000000-0005-0000-0000-000091010000}"/>
    <cellStyle name="Normal 3 8" xfId="63" xr:uid="{00000000-0005-0000-0000-000092010000}"/>
    <cellStyle name="Normal 3 8 2" xfId="156" xr:uid="{00000000-0005-0000-0000-000093010000}"/>
    <cellStyle name="Normal 3 8 3" xfId="246" xr:uid="{00000000-0005-0000-0000-000094010000}"/>
    <cellStyle name="Normal 3 8 4" xfId="336" xr:uid="{00000000-0005-0000-0000-000095010000}"/>
    <cellStyle name="Normal 3 8 5" xfId="426" xr:uid="{00000000-0005-0000-0000-000096010000}"/>
    <cellStyle name="Normal 3 8 6" xfId="516" xr:uid="{00000000-0005-0000-0000-000097010000}"/>
    <cellStyle name="Normal 3 8 7" xfId="606" xr:uid="{00000000-0005-0000-0000-000098010000}"/>
    <cellStyle name="Normal 3 8 8" xfId="696" xr:uid="{00000000-0005-0000-0000-000099010000}"/>
    <cellStyle name="Normal 3 8 9" xfId="793" xr:uid="{00000000-0005-0000-0000-00009A010000}"/>
    <cellStyle name="Normal 3 9" xfId="101" xr:uid="{00000000-0005-0000-0000-00009B010000}"/>
    <cellStyle name="Normal 3 9 2" xfId="193" xr:uid="{00000000-0005-0000-0000-00009C010000}"/>
    <cellStyle name="Normal 3 9 3" xfId="283" xr:uid="{00000000-0005-0000-0000-00009D010000}"/>
    <cellStyle name="Normal 3 9 4" xfId="373" xr:uid="{00000000-0005-0000-0000-00009E010000}"/>
    <cellStyle name="Normal 3 9 5" xfId="463" xr:uid="{00000000-0005-0000-0000-00009F010000}"/>
    <cellStyle name="Normal 3 9 6" xfId="553" xr:uid="{00000000-0005-0000-0000-0000A0010000}"/>
    <cellStyle name="Normal 3 9 7" xfId="643" xr:uid="{00000000-0005-0000-0000-0000A1010000}"/>
    <cellStyle name="Normal 3 9 8" xfId="733" xr:uid="{00000000-0005-0000-0000-0000A2010000}"/>
    <cellStyle name="Normal 3 9 9" xfId="830" xr:uid="{00000000-0005-0000-0000-0000A3010000}"/>
    <cellStyle name="Normal 4" xfId="12" xr:uid="{00000000-0005-0000-0000-0000A4010000}"/>
    <cellStyle name="Normal 5" xfId="9" xr:uid="{00000000-0005-0000-0000-0000A5010000}"/>
    <cellStyle name="Normal 5 2" xfId="5" xr:uid="{00000000-0005-0000-0000-0000A6010000}"/>
    <cellStyle name="Normal 5 3" xfId="32" xr:uid="{00000000-0005-0000-0000-0000A7010000}"/>
    <cellStyle name="Normal 5 3 2" xfId="54" xr:uid="{00000000-0005-0000-0000-0000A8010000}"/>
    <cellStyle name="Normal 5 4" xfId="19" xr:uid="{00000000-0005-0000-0000-0000A9010000}"/>
    <cellStyle name="Normal 6" xfId="18" xr:uid="{00000000-0005-0000-0000-0000AA010000}"/>
    <cellStyle name="Normal 6 10" xfId="660" xr:uid="{00000000-0005-0000-0000-0000AB010000}"/>
    <cellStyle name="Normal 6 11" xfId="754" xr:uid="{00000000-0005-0000-0000-0000AC010000}"/>
    <cellStyle name="Normal 6 2" xfId="41" xr:uid="{00000000-0005-0000-0000-0000AD010000}"/>
    <cellStyle name="Normal 6 2 10" xfId="773" xr:uid="{00000000-0005-0000-0000-0000AE010000}"/>
    <cellStyle name="Normal 6 2 2" xfId="81" xr:uid="{00000000-0005-0000-0000-0000AF010000}"/>
    <cellStyle name="Normal 6 2 2 2" xfId="174" xr:uid="{00000000-0005-0000-0000-0000B0010000}"/>
    <cellStyle name="Normal 6 2 2 3" xfId="264" xr:uid="{00000000-0005-0000-0000-0000B1010000}"/>
    <cellStyle name="Normal 6 2 2 4" xfId="354" xr:uid="{00000000-0005-0000-0000-0000B2010000}"/>
    <cellStyle name="Normal 6 2 2 5" xfId="444" xr:uid="{00000000-0005-0000-0000-0000B3010000}"/>
    <cellStyle name="Normal 6 2 2 6" xfId="534" xr:uid="{00000000-0005-0000-0000-0000B4010000}"/>
    <cellStyle name="Normal 6 2 2 7" xfId="624" xr:uid="{00000000-0005-0000-0000-0000B5010000}"/>
    <cellStyle name="Normal 6 2 2 8" xfId="714" xr:uid="{00000000-0005-0000-0000-0000B6010000}"/>
    <cellStyle name="Normal 6 2 2 9" xfId="811" xr:uid="{00000000-0005-0000-0000-0000B7010000}"/>
    <cellStyle name="Normal 6 2 3" xfId="137" xr:uid="{00000000-0005-0000-0000-0000B8010000}"/>
    <cellStyle name="Normal 6 2 4" xfId="227" xr:uid="{00000000-0005-0000-0000-0000B9010000}"/>
    <cellStyle name="Normal 6 2 5" xfId="317" xr:uid="{00000000-0005-0000-0000-0000BA010000}"/>
    <cellStyle name="Normal 6 2 6" xfId="407" xr:uid="{00000000-0005-0000-0000-0000BB010000}"/>
    <cellStyle name="Normal 6 2 7" xfId="497" xr:uid="{00000000-0005-0000-0000-0000BC010000}"/>
    <cellStyle name="Normal 6 2 8" xfId="587" xr:uid="{00000000-0005-0000-0000-0000BD010000}"/>
    <cellStyle name="Normal 6 2 9" xfId="677" xr:uid="{00000000-0005-0000-0000-0000BE010000}"/>
    <cellStyle name="Normal 6 3" xfId="62" xr:uid="{00000000-0005-0000-0000-0000BF010000}"/>
    <cellStyle name="Normal 6 3 2" xfId="155" xr:uid="{00000000-0005-0000-0000-0000C0010000}"/>
    <cellStyle name="Normal 6 3 3" xfId="245" xr:uid="{00000000-0005-0000-0000-0000C1010000}"/>
    <cellStyle name="Normal 6 3 4" xfId="335" xr:uid="{00000000-0005-0000-0000-0000C2010000}"/>
    <cellStyle name="Normal 6 3 5" xfId="425" xr:uid="{00000000-0005-0000-0000-0000C3010000}"/>
    <cellStyle name="Normal 6 3 6" xfId="515" xr:uid="{00000000-0005-0000-0000-0000C4010000}"/>
    <cellStyle name="Normal 6 3 7" xfId="605" xr:uid="{00000000-0005-0000-0000-0000C5010000}"/>
    <cellStyle name="Normal 6 3 8" xfId="695" xr:uid="{00000000-0005-0000-0000-0000C6010000}"/>
    <cellStyle name="Normal 6 3 9" xfId="792" xr:uid="{00000000-0005-0000-0000-0000C7010000}"/>
    <cellStyle name="Normal 6 4" xfId="120" xr:uid="{00000000-0005-0000-0000-0000C8010000}"/>
    <cellStyle name="Normal 6 5" xfId="210" xr:uid="{00000000-0005-0000-0000-0000C9010000}"/>
    <cellStyle name="Normal 6 6" xfId="300" xr:uid="{00000000-0005-0000-0000-0000CA010000}"/>
    <cellStyle name="Normal 6 7" xfId="390" xr:uid="{00000000-0005-0000-0000-0000CB010000}"/>
    <cellStyle name="Normal 6 8" xfId="480" xr:uid="{00000000-0005-0000-0000-0000CC010000}"/>
    <cellStyle name="Normal 6 9" xfId="570" xr:uid="{00000000-0005-0000-0000-0000CD010000}"/>
    <cellStyle name="Normal 7" xfId="22" xr:uid="{00000000-0005-0000-0000-0000CE010000}"/>
    <cellStyle name="Normal 7 10" xfId="661" xr:uid="{00000000-0005-0000-0000-0000CF010000}"/>
    <cellStyle name="Normal 7 11" xfId="756" xr:uid="{00000000-0005-0000-0000-0000D0010000}"/>
    <cellStyle name="Normal 7 2" xfId="44" xr:uid="{00000000-0005-0000-0000-0000D1010000}"/>
    <cellStyle name="Normal 7 2 10" xfId="776" xr:uid="{00000000-0005-0000-0000-0000D2010000}"/>
    <cellStyle name="Normal 7 2 2" xfId="84" xr:uid="{00000000-0005-0000-0000-0000D3010000}"/>
    <cellStyle name="Normal 7 2 2 2" xfId="177" xr:uid="{00000000-0005-0000-0000-0000D4010000}"/>
    <cellStyle name="Normal 7 2 2 3" xfId="267" xr:uid="{00000000-0005-0000-0000-0000D5010000}"/>
    <cellStyle name="Normal 7 2 2 4" xfId="357" xr:uid="{00000000-0005-0000-0000-0000D6010000}"/>
    <cellStyle name="Normal 7 2 2 5" xfId="447" xr:uid="{00000000-0005-0000-0000-0000D7010000}"/>
    <cellStyle name="Normal 7 2 2 6" xfId="537" xr:uid="{00000000-0005-0000-0000-0000D8010000}"/>
    <cellStyle name="Normal 7 2 2 7" xfId="627" xr:uid="{00000000-0005-0000-0000-0000D9010000}"/>
    <cellStyle name="Normal 7 2 2 8" xfId="717" xr:uid="{00000000-0005-0000-0000-0000DA010000}"/>
    <cellStyle name="Normal 7 2 2 9" xfId="814" xr:uid="{00000000-0005-0000-0000-0000DB010000}"/>
    <cellStyle name="Normal 7 2 3" xfId="140" xr:uid="{00000000-0005-0000-0000-0000DC010000}"/>
    <cellStyle name="Normal 7 2 4" xfId="230" xr:uid="{00000000-0005-0000-0000-0000DD010000}"/>
    <cellStyle name="Normal 7 2 5" xfId="320" xr:uid="{00000000-0005-0000-0000-0000DE010000}"/>
    <cellStyle name="Normal 7 2 6" xfId="410" xr:uid="{00000000-0005-0000-0000-0000DF010000}"/>
    <cellStyle name="Normal 7 2 7" xfId="500" xr:uid="{00000000-0005-0000-0000-0000E0010000}"/>
    <cellStyle name="Normal 7 2 8" xfId="590" xr:uid="{00000000-0005-0000-0000-0000E1010000}"/>
    <cellStyle name="Normal 7 2 9" xfId="680" xr:uid="{00000000-0005-0000-0000-0000E2010000}"/>
    <cellStyle name="Normal 7 3" xfId="65" xr:uid="{00000000-0005-0000-0000-0000E3010000}"/>
    <cellStyle name="Normal 7 3 2" xfId="158" xr:uid="{00000000-0005-0000-0000-0000E4010000}"/>
    <cellStyle name="Normal 7 3 3" xfId="248" xr:uid="{00000000-0005-0000-0000-0000E5010000}"/>
    <cellStyle name="Normal 7 3 4" xfId="338" xr:uid="{00000000-0005-0000-0000-0000E6010000}"/>
    <cellStyle name="Normal 7 3 5" xfId="428" xr:uid="{00000000-0005-0000-0000-0000E7010000}"/>
    <cellStyle name="Normal 7 3 6" xfId="518" xr:uid="{00000000-0005-0000-0000-0000E8010000}"/>
    <cellStyle name="Normal 7 3 7" xfId="608" xr:uid="{00000000-0005-0000-0000-0000E9010000}"/>
    <cellStyle name="Normal 7 3 8" xfId="698" xr:uid="{00000000-0005-0000-0000-0000EA010000}"/>
    <cellStyle name="Normal 7 3 9" xfId="795" xr:uid="{00000000-0005-0000-0000-0000EB010000}"/>
    <cellStyle name="Normal 7 4" xfId="121" xr:uid="{00000000-0005-0000-0000-0000EC010000}"/>
    <cellStyle name="Normal 7 5" xfId="211" xr:uid="{00000000-0005-0000-0000-0000ED010000}"/>
    <cellStyle name="Normal 7 6" xfId="301" xr:uid="{00000000-0005-0000-0000-0000EE010000}"/>
    <cellStyle name="Normal 7 7" xfId="391" xr:uid="{00000000-0005-0000-0000-0000EF010000}"/>
    <cellStyle name="Normal 7 8" xfId="481" xr:uid="{00000000-0005-0000-0000-0000F0010000}"/>
    <cellStyle name="Normal 7 9" xfId="571" xr:uid="{00000000-0005-0000-0000-0000F1010000}"/>
    <cellStyle name="Normal 8" xfId="25" xr:uid="{00000000-0005-0000-0000-0000F2010000}"/>
    <cellStyle name="Normal 8 10" xfId="664" xr:uid="{00000000-0005-0000-0000-0000F3010000}"/>
    <cellStyle name="Normal 8 11" xfId="759" xr:uid="{00000000-0005-0000-0000-0000F4010000}"/>
    <cellStyle name="Normal 8 2" xfId="47" xr:uid="{00000000-0005-0000-0000-0000F5010000}"/>
    <cellStyle name="Normal 8 2 10" xfId="779" xr:uid="{00000000-0005-0000-0000-0000F6010000}"/>
    <cellStyle name="Normal 8 2 2" xfId="87" xr:uid="{00000000-0005-0000-0000-0000F7010000}"/>
    <cellStyle name="Normal 8 2 2 2" xfId="180" xr:uid="{00000000-0005-0000-0000-0000F8010000}"/>
    <cellStyle name="Normal 8 2 2 3" xfId="270" xr:uid="{00000000-0005-0000-0000-0000F9010000}"/>
    <cellStyle name="Normal 8 2 2 4" xfId="360" xr:uid="{00000000-0005-0000-0000-0000FA010000}"/>
    <cellStyle name="Normal 8 2 2 5" xfId="450" xr:uid="{00000000-0005-0000-0000-0000FB010000}"/>
    <cellStyle name="Normal 8 2 2 6" xfId="540" xr:uid="{00000000-0005-0000-0000-0000FC010000}"/>
    <cellStyle name="Normal 8 2 2 7" xfId="630" xr:uid="{00000000-0005-0000-0000-0000FD010000}"/>
    <cellStyle name="Normal 8 2 2 8" xfId="720" xr:uid="{00000000-0005-0000-0000-0000FE010000}"/>
    <cellStyle name="Normal 8 2 2 9" xfId="817" xr:uid="{00000000-0005-0000-0000-0000FF010000}"/>
    <cellStyle name="Normal 8 2 3" xfId="143" xr:uid="{00000000-0005-0000-0000-000000020000}"/>
    <cellStyle name="Normal 8 2 4" xfId="233" xr:uid="{00000000-0005-0000-0000-000001020000}"/>
    <cellStyle name="Normal 8 2 5" xfId="323" xr:uid="{00000000-0005-0000-0000-000002020000}"/>
    <cellStyle name="Normal 8 2 6" xfId="413" xr:uid="{00000000-0005-0000-0000-000003020000}"/>
    <cellStyle name="Normal 8 2 7" xfId="503" xr:uid="{00000000-0005-0000-0000-000004020000}"/>
    <cellStyle name="Normal 8 2 8" xfId="593" xr:uid="{00000000-0005-0000-0000-000005020000}"/>
    <cellStyle name="Normal 8 2 9" xfId="683" xr:uid="{00000000-0005-0000-0000-000006020000}"/>
    <cellStyle name="Normal 8 3" xfId="68" xr:uid="{00000000-0005-0000-0000-000007020000}"/>
    <cellStyle name="Normal 8 3 2" xfId="161" xr:uid="{00000000-0005-0000-0000-000008020000}"/>
    <cellStyle name="Normal 8 3 3" xfId="251" xr:uid="{00000000-0005-0000-0000-000009020000}"/>
    <cellStyle name="Normal 8 3 4" xfId="341" xr:uid="{00000000-0005-0000-0000-00000A020000}"/>
    <cellStyle name="Normal 8 3 5" xfId="431" xr:uid="{00000000-0005-0000-0000-00000B020000}"/>
    <cellStyle name="Normal 8 3 6" xfId="521" xr:uid="{00000000-0005-0000-0000-00000C020000}"/>
    <cellStyle name="Normal 8 3 7" xfId="611" xr:uid="{00000000-0005-0000-0000-00000D020000}"/>
    <cellStyle name="Normal 8 3 8" xfId="701" xr:uid="{00000000-0005-0000-0000-00000E020000}"/>
    <cellStyle name="Normal 8 3 9" xfId="798" xr:uid="{00000000-0005-0000-0000-00000F020000}"/>
    <cellStyle name="Normal 8 4" xfId="124" xr:uid="{00000000-0005-0000-0000-000010020000}"/>
    <cellStyle name="Normal 8 5" xfId="214" xr:uid="{00000000-0005-0000-0000-000011020000}"/>
    <cellStyle name="Normal 8 6" xfId="304" xr:uid="{00000000-0005-0000-0000-000012020000}"/>
    <cellStyle name="Normal 8 7" xfId="394" xr:uid="{00000000-0005-0000-0000-000013020000}"/>
    <cellStyle name="Normal 8 8" xfId="484" xr:uid="{00000000-0005-0000-0000-000014020000}"/>
    <cellStyle name="Normal 8 9" xfId="574" xr:uid="{00000000-0005-0000-0000-000015020000}"/>
    <cellStyle name="Normal 9" xfId="28" xr:uid="{00000000-0005-0000-0000-000016020000}"/>
    <cellStyle name="Normal 9 10" xfId="667" xr:uid="{00000000-0005-0000-0000-000017020000}"/>
    <cellStyle name="Normal 9 11" xfId="762" xr:uid="{00000000-0005-0000-0000-000018020000}"/>
    <cellStyle name="Normal 9 2" xfId="50" xr:uid="{00000000-0005-0000-0000-000019020000}"/>
    <cellStyle name="Normal 9 2 10" xfId="782" xr:uid="{00000000-0005-0000-0000-00001A020000}"/>
    <cellStyle name="Normal 9 2 2" xfId="90" xr:uid="{00000000-0005-0000-0000-00001B020000}"/>
    <cellStyle name="Normal 9 2 2 2" xfId="183" xr:uid="{00000000-0005-0000-0000-00001C020000}"/>
    <cellStyle name="Normal 9 2 2 3" xfId="273" xr:uid="{00000000-0005-0000-0000-00001D020000}"/>
    <cellStyle name="Normal 9 2 2 4" xfId="363" xr:uid="{00000000-0005-0000-0000-00001E020000}"/>
    <cellStyle name="Normal 9 2 2 5" xfId="453" xr:uid="{00000000-0005-0000-0000-00001F020000}"/>
    <cellStyle name="Normal 9 2 2 6" xfId="543" xr:uid="{00000000-0005-0000-0000-000020020000}"/>
    <cellStyle name="Normal 9 2 2 7" xfId="633" xr:uid="{00000000-0005-0000-0000-000021020000}"/>
    <cellStyle name="Normal 9 2 2 8" xfId="723" xr:uid="{00000000-0005-0000-0000-000022020000}"/>
    <cellStyle name="Normal 9 2 2 9" xfId="820" xr:uid="{00000000-0005-0000-0000-000023020000}"/>
    <cellStyle name="Normal 9 2 3" xfId="146" xr:uid="{00000000-0005-0000-0000-000024020000}"/>
    <cellStyle name="Normal 9 2 4" xfId="236" xr:uid="{00000000-0005-0000-0000-000025020000}"/>
    <cellStyle name="Normal 9 2 5" xfId="326" xr:uid="{00000000-0005-0000-0000-000026020000}"/>
    <cellStyle name="Normal 9 2 6" xfId="416" xr:uid="{00000000-0005-0000-0000-000027020000}"/>
    <cellStyle name="Normal 9 2 7" xfId="506" xr:uid="{00000000-0005-0000-0000-000028020000}"/>
    <cellStyle name="Normal 9 2 8" xfId="596" xr:uid="{00000000-0005-0000-0000-000029020000}"/>
    <cellStyle name="Normal 9 2 9" xfId="686" xr:uid="{00000000-0005-0000-0000-00002A020000}"/>
    <cellStyle name="Normal 9 3" xfId="71" xr:uid="{00000000-0005-0000-0000-00002B020000}"/>
    <cellStyle name="Normal 9 3 2" xfId="164" xr:uid="{00000000-0005-0000-0000-00002C020000}"/>
    <cellStyle name="Normal 9 3 3" xfId="254" xr:uid="{00000000-0005-0000-0000-00002D020000}"/>
    <cellStyle name="Normal 9 3 4" xfId="344" xr:uid="{00000000-0005-0000-0000-00002E020000}"/>
    <cellStyle name="Normal 9 3 5" xfId="434" xr:uid="{00000000-0005-0000-0000-00002F020000}"/>
    <cellStyle name="Normal 9 3 6" xfId="524" xr:uid="{00000000-0005-0000-0000-000030020000}"/>
    <cellStyle name="Normal 9 3 7" xfId="614" xr:uid="{00000000-0005-0000-0000-000031020000}"/>
    <cellStyle name="Normal 9 3 8" xfId="704" xr:uid="{00000000-0005-0000-0000-000032020000}"/>
    <cellStyle name="Normal 9 3 9" xfId="801" xr:uid="{00000000-0005-0000-0000-000033020000}"/>
    <cellStyle name="Normal 9 4" xfId="127" xr:uid="{00000000-0005-0000-0000-000034020000}"/>
    <cellStyle name="Normal 9 5" xfId="217" xr:uid="{00000000-0005-0000-0000-000035020000}"/>
    <cellStyle name="Normal 9 6" xfId="307" xr:uid="{00000000-0005-0000-0000-000036020000}"/>
    <cellStyle name="Normal 9 7" xfId="397" xr:uid="{00000000-0005-0000-0000-000037020000}"/>
    <cellStyle name="Normal 9 8" xfId="487" xr:uid="{00000000-0005-0000-0000-000038020000}"/>
    <cellStyle name="Normal 9 9" xfId="577" xr:uid="{00000000-0005-0000-0000-000039020000}"/>
    <cellStyle name="Normal_Forslag" xfId="845" xr:uid="{00000000-0005-0000-0000-00003A020000}"/>
    <cellStyle name="Normal_Forslag 2" xfId="848" xr:uid="{00000000-0005-0000-0000-00003B020000}"/>
    <cellStyle name="Prosent" xfId="853" builtinId="5"/>
    <cellStyle name="Tusenskille 2" xfId="14" xr:uid="{00000000-0005-0000-0000-00003C020000}"/>
    <cellStyle name="Tusenskille 2 2" xfId="15" xr:uid="{00000000-0005-0000-0000-00003D020000}"/>
    <cellStyle name="Tusenskille 2 2 2" xfId="751" xr:uid="{00000000-0005-0000-0000-00003E020000}"/>
    <cellStyle name="Tusenskille 2 2 3" xfId="849" xr:uid="{F77FA10F-B946-43D0-BDB2-55CEFCE8EA1F}"/>
    <cellStyle name="Tusenskille 2 3" xfId="21" xr:uid="{00000000-0005-0000-0000-00003F020000}"/>
    <cellStyle name="Tusenskille 2 3 2" xfId="755" xr:uid="{00000000-0005-0000-0000-000040020000}"/>
    <cellStyle name="Tusenskille 2 4" xfId="40" xr:uid="{00000000-0005-0000-0000-000041020000}"/>
    <cellStyle name="Tusenskille 2 4 2" xfId="772" xr:uid="{00000000-0005-0000-0000-000042020000}"/>
    <cellStyle name="Tusenskille 2 5" xfId="61" xr:uid="{00000000-0005-0000-0000-000043020000}"/>
    <cellStyle name="Tusenskille 2 5 2" xfId="791" xr:uid="{00000000-0005-0000-0000-000044020000}"/>
    <cellStyle name="Tusenskille 2 6" xfId="750" xr:uid="{00000000-0005-0000-0000-000045020000}"/>
    <cellStyle name="Tusenskille 3" xfId="16" xr:uid="{00000000-0005-0000-0000-000046020000}"/>
    <cellStyle name="Tusenskille 3 10" xfId="105" xr:uid="{00000000-0005-0000-0000-000047020000}"/>
    <cellStyle name="Tusenskille 3 10 2" xfId="197" xr:uid="{00000000-0005-0000-0000-000048020000}"/>
    <cellStyle name="Tusenskille 3 10 3" xfId="287" xr:uid="{00000000-0005-0000-0000-000049020000}"/>
    <cellStyle name="Tusenskille 3 10 4" xfId="377" xr:uid="{00000000-0005-0000-0000-00004A020000}"/>
    <cellStyle name="Tusenskille 3 10 5" xfId="467" xr:uid="{00000000-0005-0000-0000-00004B020000}"/>
    <cellStyle name="Tusenskille 3 10 6" xfId="557" xr:uid="{00000000-0005-0000-0000-00004C020000}"/>
    <cellStyle name="Tusenskille 3 10 7" xfId="647" xr:uid="{00000000-0005-0000-0000-00004D020000}"/>
    <cellStyle name="Tusenskille 3 10 8" xfId="737" xr:uid="{00000000-0005-0000-0000-00004E020000}"/>
    <cellStyle name="Tusenskille 3 10 9" xfId="834" xr:uid="{00000000-0005-0000-0000-00004F020000}"/>
    <cellStyle name="Tusenskille 3 11" xfId="108" xr:uid="{00000000-0005-0000-0000-000050020000}"/>
    <cellStyle name="Tusenskille 3 11 2" xfId="200" xr:uid="{00000000-0005-0000-0000-000051020000}"/>
    <cellStyle name="Tusenskille 3 11 3" xfId="290" xr:uid="{00000000-0005-0000-0000-000052020000}"/>
    <cellStyle name="Tusenskille 3 11 4" xfId="380" xr:uid="{00000000-0005-0000-0000-000053020000}"/>
    <cellStyle name="Tusenskille 3 11 5" xfId="470" xr:uid="{00000000-0005-0000-0000-000054020000}"/>
    <cellStyle name="Tusenskille 3 11 6" xfId="560" xr:uid="{00000000-0005-0000-0000-000055020000}"/>
    <cellStyle name="Tusenskille 3 11 7" xfId="650" xr:uid="{00000000-0005-0000-0000-000056020000}"/>
    <cellStyle name="Tusenskille 3 11 8" xfId="740" xr:uid="{00000000-0005-0000-0000-000057020000}"/>
    <cellStyle name="Tusenskille 3 11 9" xfId="837" xr:uid="{00000000-0005-0000-0000-000058020000}"/>
    <cellStyle name="Tusenskille 3 12" xfId="111" xr:uid="{00000000-0005-0000-0000-000059020000}"/>
    <cellStyle name="Tusenskille 3 12 2" xfId="203" xr:uid="{00000000-0005-0000-0000-00005A020000}"/>
    <cellStyle name="Tusenskille 3 12 3" xfId="293" xr:uid="{00000000-0005-0000-0000-00005B020000}"/>
    <cellStyle name="Tusenskille 3 12 4" xfId="383" xr:uid="{00000000-0005-0000-0000-00005C020000}"/>
    <cellStyle name="Tusenskille 3 12 5" xfId="473" xr:uid="{00000000-0005-0000-0000-00005D020000}"/>
    <cellStyle name="Tusenskille 3 12 6" xfId="563" xr:uid="{00000000-0005-0000-0000-00005E020000}"/>
    <cellStyle name="Tusenskille 3 12 7" xfId="653" xr:uid="{00000000-0005-0000-0000-00005F020000}"/>
    <cellStyle name="Tusenskille 3 12 8" xfId="743" xr:uid="{00000000-0005-0000-0000-000060020000}"/>
    <cellStyle name="Tusenskille 3 12 9" xfId="840" xr:uid="{00000000-0005-0000-0000-000061020000}"/>
    <cellStyle name="Tusenskille 3 13" xfId="114" xr:uid="{00000000-0005-0000-0000-000062020000}"/>
    <cellStyle name="Tusenskille 3 13 2" xfId="206" xr:uid="{00000000-0005-0000-0000-000063020000}"/>
    <cellStyle name="Tusenskille 3 13 3" xfId="296" xr:uid="{00000000-0005-0000-0000-000064020000}"/>
    <cellStyle name="Tusenskille 3 13 4" xfId="386" xr:uid="{00000000-0005-0000-0000-000065020000}"/>
    <cellStyle name="Tusenskille 3 13 5" xfId="476" xr:uid="{00000000-0005-0000-0000-000066020000}"/>
    <cellStyle name="Tusenskille 3 13 6" xfId="566" xr:uid="{00000000-0005-0000-0000-000067020000}"/>
    <cellStyle name="Tusenskille 3 13 7" xfId="656" xr:uid="{00000000-0005-0000-0000-000068020000}"/>
    <cellStyle name="Tusenskille 3 13 8" xfId="746" xr:uid="{00000000-0005-0000-0000-000069020000}"/>
    <cellStyle name="Tusenskille 3 13 9" xfId="843" xr:uid="{00000000-0005-0000-0000-00006A020000}"/>
    <cellStyle name="Tusenskille 3 14" xfId="119" xr:uid="{00000000-0005-0000-0000-00006B020000}"/>
    <cellStyle name="Tusenskille 3 15" xfId="209" xr:uid="{00000000-0005-0000-0000-00006C020000}"/>
    <cellStyle name="Tusenskille 3 16" xfId="299" xr:uid="{00000000-0005-0000-0000-00006D020000}"/>
    <cellStyle name="Tusenskille 3 17" xfId="389" xr:uid="{00000000-0005-0000-0000-00006E020000}"/>
    <cellStyle name="Tusenskille 3 18" xfId="479" xr:uid="{00000000-0005-0000-0000-00006F020000}"/>
    <cellStyle name="Tusenskille 3 19" xfId="569" xr:uid="{00000000-0005-0000-0000-000070020000}"/>
    <cellStyle name="Tusenskille 3 2" xfId="24" xr:uid="{00000000-0005-0000-0000-000071020000}"/>
    <cellStyle name="Tusenskille 3 2 10" xfId="663" xr:uid="{00000000-0005-0000-0000-000072020000}"/>
    <cellStyle name="Tusenskille 3 2 11" xfId="758" xr:uid="{00000000-0005-0000-0000-000073020000}"/>
    <cellStyle name="Tusenskille 3 2 2" xfId="46" xr:uid="{00000000-0005-0000-0000-000074020000}"/>
    <cellStyle name="Tusenskille 3 2 2 10" xfId="778" xr:uid="{00000000-0005-0000-0000-000075020000}"/>
    <cellStyle name="Tusenskille 3 2 2 2" xfId="86" xr:uid="{00000000-0005-0000-0000-000076020000}"/>
    <cellStyle name="Tusenskille 3 2 2 2 2" xfId="179" xr:uid="{00000000-0005-0000-0000-000077020000}"/>
    <cellStyle name="Tusenskille 3 2 2 2 3" xfId="269" xr:uid="{00000000-0005-0000-0000-000078020000}"/>
    <cellStyle name="Tusenskille 3 2 2 2 4" xfId="359" xr:uid="{00000000-0005-0000-0000-000079020000}"/>
    <cellStyle name="Tusenskille 3 2 2 2 5" xfId="449" xr:uid="{00000000-0005-0000-0000-00007A020000}"/>
    <cellStyle name="Tusenskille 3 2 2 2 6" xfId="539" xr:uid="{00000000-0005-0000-0000-00007B020000}"/>
    <cellStyle name="Tusenskille 3 2 2 2 7" xfId="629" xr:uid="{00000000-0005-0000-0000-00007C020000}"/>
    <cellStyle name="Tusenskille 3 2 2 2 8" xfId="719" xr:uid="{00000000-0005-0000-0000-00007D020000}"/>
    <cellStyle name="Tusenskille 3 2 2 2 9" xfId="816" xr:uid="{00000000-0005-0000-0000-00007E020000}"/>
    <cellStyle name="Tusenskille 3 2 2 3" xfId="142" xr:uid="{00000000-0005-0000-0000-00007F020000}"/>
    <cellStyle name="Tusenskille 3 2 2 4" xfId="232" xr:uid="{00000000-0005-0000-0000-000080020000}"/>
    <cellStyle name="Tusenskille 3 2 2 5" xfId="322" xr:uid="{00000000-0005-0000-0000-000081020000}"/>
    <cellStyle name="Tusenskille 3 2 2 6" xfId="412" xr:uid="{00000000-0005-0000-0000-000082020000}"/>
    <cellStyle name="Tusenskille 3 2 2 7" xfId="502" xr:uid="{00000000-0005-0000-0000-000083020000}"/>
    <cellStyle name="Tusenskille 3 2 2 8" xfId="592" xr:uid="{00000000-0005-0000-0000-000084020000}"/>
    <cellStyle name="Tusenskille 3 2 2 9" xfId="682" xr:uid="{00000000-0005-0000-0000-000085020000}"/>
    <cellStyle name="Tusenskille 3 2 3" xfId="67" xr:uid="{00000000-0005-0000-0000-000086020000}"/>
    <cellStyle name="Tusenskille 3 2 3 2" xfId="160" xr:uid="{00000000-0005-0000-0000-000087020000}"/>
    <cellStyle name="Tusenskille 3 2 3 3" xfId="250" xr:uid="{00000000-0005-0000-0000-000088020000}"/>
    <cellStyle name="Tusenskille 3 2 3 4" xfId="340" xr:uid="{00000000-0005-0000-0000-000089020000}"/>
    <cellStyle name="Tusenskille 3 2 3 5" xfId="430" xr:uid="{00000000-0005-0000-0000-00008A020000}"/>
    <cellStyle name="Tusenskille 3 2 3 6" xfId="520" xr:uid="{00000000-0005-0000-0000-00008B020000}"/>
    <cellStyle name="Tusenskille 3 2 3 7" xfId="610" xr:uid="{00000000-0005-0000-0000-00008C020000}"/>
    <cellStyle name="Tusenskille 3 2 3 8" xfId="700" xr:uid="{00000000-0005-0000-0000-00008D020000}"/>
    <cellStyle name="Tusenskille 3 2 3 9" xfId="797" xr:uid="{00000000-0005-0000-0000-00008E020000}"/>
    <cellStyle name="Tusenskille 3 2 4" xfId="123" xr:uid="{00000000-0005-0000-0000-00008F020000}"/>
    <cellStyle name="Tusenskille 3 2 5" xfId="213" xr:uid="{00000000-0005-0000-0000-000090020000}"/>
    <cellStyle name="Tusenskille 3 2 6" xfId="303" xr:uid="{00000000-0005-0000-0000-000091020000}"/>
    <cellStyle name="Tusenskille 3 2 7" xfId="393" xr:uid="{00000000-0005-0000-0000-000092020000}"/>
    <cellStyle name="Tusenskille 3 2 8" xfId="483" xr:uid="{00000000-0005-0000-0000-000093020000}"/>
    <cellStyle name="Tusenskille 3 2 9" xfId="573" xr:uid="{00000000-0005-0000-0000-000094020000}"/>
    <cellStyle name="Tusenskille 3 20" xfId="659" xr:uid="{00000000-0005-0000-0000-000095020000}"/>
    <cellStyle name="Tusenskille 3 21" xfId="752" xr:uid="{00000000-0005-0000-0000-000096020000}"/>
    <cellStyle name="Tusenskille 3 3" xfId="27" xr:uid="{00000000-0005-0000-0000-000097020000}"/>
    <cellStyle name="Tusenskille 3 3 10" xfId="666" xr:uid="{00000000-0005-0000-0000-000098020000}"/>
    <cellStyle name="Tusenskille 3 3 11" xfId="761" xr:uid="{00000000-0005-0000-0000-000099020000}"/>
    <cellStyle name="Tusenskille 3 3 2" xfId="49" xr:uid="{00000000-0005-0000-0000-00009A020000}"/>
    <cellStyle name="Tusenskille 3 3 2 10" xfId="781" xr:uid="{00000000-0005-0000-0000-00009B020000}"/>
    <cellStyle name="Tusenskille 3 3 2 2" xfId="89" xr:uid="{00000000-0005-0000-0000-00009C020000}"/>
    <cellStyle name="Tusenskille 3 3 2 2 2" xfId="182" xr:uid="{00000000-0005-0000-0000-00009D020000}"/>
    <cellStyle name="Tusenskille 3 3 2 2 3" xfId="272" xr:uid="{00000000-0005-0000-0000-00009E020000}"/>
    <cellStyle name="Tusenskille 3 3 2 2 4" xfId="362" xr:uid="{00000000-0005-0000-0000-00009F020000}"/>
    <cellStyle name="Tusenskille 3 3 2 2 5" xfId="452" xr:uid="{00000000-0005-0000-0000-0000A0020000}"/>
    <cellStyle name="Tusenskille 3 3 2 2 6" xfId="542" xr:uid="{00000000-0005-0000-0000-0000A1020000}"/>
    <cellStyle name="Tusenskille 3 3 2 2 7" xfId="632" xr:uid="{00000000-0005-0000-0000-0000A2020000}"/>
    <cellStyle name="Tusenskille 3 3 2 2 8" xfId="722" xr:uid="{00000000-0005-0000-0000-0000A3020000}"/>
    <cellStyle name="Tusenskille 3 3 2 2 9" xfId="819" xr:uid="{00000000-0005-0000-0000-0000A4020000}"/>
    <cellStyle name="Tusenskille 3 3 2 3" xfId="145" xr:uid="{00000000-0005-0000-0000-0000A5020000}"/>
    <cellStyle name="Tusenskille 3 3 2 4" xfId="235" xr:uid="{00000000-0005-0000-0000-0000A6020000}"/>
    <cellStyle name="Tusenskille 3 3 2 5" xfId="325" xr:uid="{00000000-0005-0000-0000-0000A7020000}"/>
    <cellStyle name="Tusenskille 3 3 2 6" xfId="415" xr:uid="{00000000-0005-0000-0000-0000A8020000}"/>
    <cellStyle name="Tusenskille 3 3 2 7" xfId="505" xr:uid="{00000000-0005-0000-0000-0000A9020000}"/>
    <cellStyle name="Tusenskille 3 3 2 8" xfId="595" xr:uid="{00000000-0005-0000-0000-0000AA020000}"/>
    <cellStyle name="Tusenskille 3 3 2 9" xfId="685" xr:uid="{00000000-0005-0000-0000-0000AB020000}"/>
    <cellStyle name="Tusenskille 3 3 3" xfId="70" xr:uid="{00000000-0005-0000-0000-0000AC020000}"/>
    <cellStyle name="Tusenskille 3 3 3 2" xfId="163" xr:uid="{00000000-0005-0000-0000-0000AD020000}"/>
    <cellStyle name="Tusenskille 3 3 3 3" xfId="253" xr:uid="{00000000-0005-0000-0000-0000AE020000}"/>
    <cellStyle name="Tusenskille 3 3 3 4" xfId="343" xr:uid="{00000000-0005-0000-0000-0000AF020000}"/>
    <cellStyle name="Tusenskille 3 3 3 5" xfId="433" xr:uid="{00000000-0005-0000-0000-0000B0020000}"/>
    <cellStyle name="Tusenskille 3 3 3 6" xfId="523" xr:uid="{00000000-0005-0000-0000-0000B1020000}"/>
    <cellStyle name="Tusenskille 3 3 3 7" xfId="613" xr:uid="{00000000-0005-0000-0000-0000B2020000}"/>
    <cellStyle name="Tusenskille 3 3 3 8" xfId="703" xr:uid="{00000000-0005-0000-0000-0000B3020000}"/>
    <cellStyle name="Tusenskille 3 3 3 9" xfId="800" xr:uid="{00000000-0005-0000-0000-0000B4020000}"/>
    <cellStyle name="Tusenskille 3 3 4" xfId="126" xr:uid="{00000000-0005-0000-0000-0000B5020000}"/>
    <cellStyle name="Tusenskille 3 3 5" xfId="216" xr:uid="{00000000-0005-0000-0000-0000B6020000}"/>
    <cellStyle name="Tusenskille 3 3 6" xfId="306" xr:uid="{00000000-0005-0000-0000-0000B7020000}"/>
    <cellStyle name="Tusenskille 3 3 7" xfId="396" xr:uid="{00000000-0005-0000-0000-0000B8020000}"/>
    <cellStyle name="Tusenskille 3 3 8" xfId="486" xr:uid="{00000000-0005-0000-0000-0000B9020000}"/>
    <cellStyle name="Tusenskille 3 3 9" xfId="576" xr:uid="{00000000-0005-0000-0000-0000BA020000}"/>
    <cellStyle name="Tusenskille 3 4" xfId="30" xr:uid="{00000000-0005-0000-0000-0000BB020000}"/>
    <cellStyle name="Tusenskille 3 4 10" xfId="669" xr:uid="{00000000-0005-0000-0000-0000BC020000}"/>
    <cellStyle name="Tusenskille 3 4 11" xfId="764" xr:uid="{00000000-0005-0000-0000-0000BD020000}"/>
    <cellStyle name="Tusenskille 3 4 2" xfId="52" xr:uid="{00000000-0005-0000-0000-0000BE020000}"/>
    <cellStyle name="Tusenskille 3 4 2 10" xfId="784" xr:uid="{00000000-0005-0000-0000-0000BF020000}"/>
    <cellStyle name="Tusenskille 3 4 2 2" xfId="92" xr:uid="{00000000-0005-0000-0000-0000C0020000}"/>
    <cellStyle name="Tusenskille 3 4 2 2 2" xfId="185" xr:uid="{00000000-0005-0000-0000-0000C1020000}"/>
    <cellStyle name="Tusenskille 3 4 2 2 3" xfId="275" xr:uid="{00000000-0005-0000-0000-0000C2020000}"/>
    <cellStyle name="Tusenskille 3 4 2 2 4" xfId="365" xr:uid="{00000000-0005-0000-0000-0000C3020000}"/>
    <cellStyle name="Tusenskille 3 4 2 2 5" xfId="455" xr:uid="{00000000-0005-0000-0000-0000C4020000}"/>
    <cellStyle name="Tusenskille 3 4 2 2 6" xfId="545" xr:uid="{00000000-0005-0000-0000-0000C5020000}"/>
    <cellStyle name="Tusenskille 3 4 2 2 7" xfId="635" xr:uid="{00000000-0005-0000-0000-0000C6020000}"/>
    <cellStyle name="Tusenskille 3 4 2 2 8" xfId="725" xr:uid="{00000000-0005-0000-0000-0000C7020000}"/>
    <cellStyle name="Tusenskille 3 4 2 2 9" xfId="822" xr:uid="{00000000-0005-0000-0000-0000C8020000}"/>
    <cellStyle name="Tusenskille 3 4 2 3" xfId="148" xr:uid="{00000000-0005-0000-0000-0000C9020000}"/>
    <cellStyle name="Tusenskille 3 4 2 4" xfId="238" xr:uid="{00000000-0005-0000-0000-0000CA020000}"/>
    <cellStyle name="Tusenskille 3 4 2 5" xfId="328" xr:uid="{00000000-0005-0000-0000-0000CB020000}"/>
    <cellStyle name="Tusenskille 3 4 2 6" xfId="418" xr:uid="{00000000-0005-0000-0000-0000CC020000}"/>
    <cellStyle name="Tusenskille 3 4 2 7" xfId="508" xr:uid="{00000000-0005-0000-0000-0000CD020000}"/>
    <cellStyle name="Tusenskille 3 4 2 8" xfId="598" xr:uid="{00000000-0005-0000-0000-0000CE020000}"/>
    <cellStyle name="Tusenskille 3 4 2 9" xfId="688" xr:uid="{00000000-0005-0000-0000-0000CF020000}"/>
    <cellStyle name="Tusenskille 3 4 3" xfId="73" xr:uid="{00000000-0005-0000-0000-0000D0020000}"/>
    <cellStyle name="Tusenskille 3 4 3 2" xfId="166" xr:uid="{00000000-0005-0000-0000-0000D1020000}"/>
    <cellStyle name="Tusenskille 3 4 3 3" xfId="256" xr:uid="{00000000-0005-0000-0000-0000D2020000}"/>
    <cellStyle name="Tusenskille 3 4 3 4" xfId="346" xr:uid="{00000000-0005-0000-0000-0000D3020000}"/>
    <cellStyle name="Tusenskille 3 4 3 5" xfId="436" xr:uid="{00000000-0005-0000-0000-0000D4020000}"/>
    <cellStyle name="Tusenskille 3 4 3 6" xfId="526" xr:uid="{00000000-0005-0000-0000-0000D5020000}"/>
    <cellStyle name="Tusenskille 3 4 3 7" xfId="616" xr:uid="{00000000-0005-0000-0000-0000D6020000}"/>
    <cellStyle name="Tusenskille 3 4 3 8" xfId="706" xr:uid="{00000000-0005-0000-0000-0000D7020000}"/>
    <cellStyle name="Tusenskille 3 4 3 9" xfId="803" xr:uid="{00000000-0005-0000-0000-0000D8020000}"/>
    <cellStyle name="Tusenskille 3 4 4" xfId="129" xr:uid="{00000000-0005-0000-0000-0000D9020000}"/>
    <cellStyle name="Tusenskille 3 4 5" xfId="219" xr:uid="{00000000-0005-0000-0000-0000DA020000}"/>
    <cellStyle name="Tusenskille 3 4 6" xfId="309" xr:uid="{00000000-0005-0000-0000-0000DB020000}"/>
    <cellStyle name="Tusenskille 3 4 7" xfId="399" xr:uid="{00000000-0005-0000-0000-0000DC020000}"/>
    <cellStyle name="Tusenskille 3 4 8" xfId="489" xr:uid="{00000000-0005-0000-0000-0000DD020000}"/>
    <cellStyle name="Tusenskille 3 4 9" xfId="579" xr:uid="{00000000-0005-0000-0000-0000DE020000}"/>
    <cellStyle name="Tusenskille 3 5" xfId="34" xr:uid="{00000000-0005-0000-0000-0000DF020000}"/>
    <cellStyle name="Tusenskille 3 5 10" xfId="672" xr:uid="{00000000-0005-0000-0000-0000E0020000}"/>
    <cellStyle name="Tusenskille 3 5 11" xfId="767" xr:uid="{00000000-0005-0000-0000-0000E1020000}"/>
    <cellStyle name="Tusenskille 3 5 2" xfId="56" xr:uid="{00000000-0005-0000-0000-0000E2020000}"/>
    <cellStyle name="Tusenskille 3 5 2 10" xfId="787" xr:uid="{00000000-0005-0000-0000-0000E3020000}"/>
    <cellStyle name="Tusenskille 3 5 2 2" xfId="96" xr:uid="{00000000-0005-0000-0000-0000E4020000}"/>
    <cellStyle name="Tusenskille 3 5 2 2 2" xfId="188" xr:uid="{00000000-0005-0000-0000-0000E5020000}"/>
    <cellStyle name="Tusenskille 3 5 2 2 3" xfId="278" xr:uid="{00000000-0005-0000-0000-0000E6020000}"/>
    <cellStyle name="Tusenskille 3 5 2 2 4" xfId="368" xr:uid="{00000000-0005-0000-0000-0000E7020000}"/>
    <cellStyle name="Tusenskille 3 5 2 2 5" xfId="458" xr:uid="{00000000-0005-0000-0000-0000E8020000}"/>
    <cellStyle name="Tusenskille 3 5 2 2 6" xfId="548" xr:uid="{00000000-0005-0000-0000-0000E9020000}"/>
    <cellStyle name="Tusenskille 3 5 2 2 7" xfId="638" xr:uid="{00000000-0005-0000-0000-0000EA020000}"/>
    <cellStyle name="Tusenskille 3 5 2 2 8" xfId="728" xr:uid="{00000000-0005-0000-0000-0000EB020000}"/>
    <cellStyle name="Tusenskille 3 5 2 2 9" xfId="825" xr:uid="{00000000-0005-0000-0000-0000EC020000}"/>
    <cellStyle name="Tusenskille 3 5 2 3" xfId="151" xr:uid="{00000000-0005-0000-0000-0000ED020000}"/>
    <cellStyle name="Tusenskille 3 5 2 4" xfId="241" xr:uid="{00000000-0005-0000-0000-0000EE020000}"/>
    <cellStyle name="Tusenskille 3 5 2 5" xfId="331" xr:uid="{00000000-0005-0000-0000-0000EF020000}"/>
    <cellStyle name="Tusenskille 3 5 2 6" xfId="421" xr:uid="{00000000-0005-0000-0000-0000F0020000}"/>
    <cellStyle name="Tusenskille 3 5 2 7" xfId="511" xr:uid="{00000000-0005-0000-0000-0000F1020000}"/>
    <cellStyle name="Tusenskille 3 5 2 8" xfId="601" xr:uid="{00000000-0005-0000-0000-0000F2020000}"/>
    <cellStyle name="Tusenskille 3 5 2 9" xfId="691" xr:uid="{00000000-0005-0000-0000-0000F3020000}"/>
    <cellStyle name="Tusenskille 3 5 3" xfId="76" xr:uid="{00000000-0005-0000-0000-0000F4020000}"/>
    <cellStyle name="Tusenskille 3 5 3 2" xfId="169" xr:uid="{00000000-0005-0000-0000-0000F5020000}"/>
    <cellStyle name="Tusenskille 3 5 3 3" xfId="259" xr:uid="{00000000-0005-0000-0000-0000F6020000}"/>
    <cellStyle name="Tusenskille 3 5 3 4" xfId="349" xr:uid="{00000000-0005-0000-0000-0000F7020000}"/>
    <cellStyle name="Tusenskille 3 5 3 5" xfId="439" xr:uid="{00000000-0005-0000-0000-0000F8020000}"/>
    <cellStyle name="Tusenskille 3 5 3 6" xfId="529" xr:uid="{00000000-0005-0000-0000-0000F9020000}"/>
    <cellStyle name="Tusenskille 3 5 3 7" xfId="619" xr:uid="{00000000-0005-0000-0000-0000FA020000}"/>
    <cellStyle name="Tusenskille 3 5 3 8" xfId="709" xr:uid="{00000000-0005-0000-0000-0000FB020000}"/>
    <cellStyle name="Tusenskille 3 5 3 9" xfId="806" xr:uid="{00000000-0005-0000-0000-0000FC020000}"/>
    <cellStyle name="Tusenskille 3 5 4" xfId="132" xr:uid="{00000000-0005-0000-0000-0000FD020000}"/>
    <cellStyle name="Tusenskille 3 5 5" xfId="222" xr:uid="{00000000-0005-0000-0000-0000FE020000}"/>
    <cellStyle name="Tusenskille 3 5 6" xfId="312" xr:uid="{00000000-0005-0000-0000-0000FF020000}"/>
    <cellStyle name="Tusenskille 3 5 7" xfId="402" xr:uid="{00000000-0005-0000-0000-000000030000}"/>
    <cellStyle name="Tusenskille 3 5 8" xfId="492" xr:uid="{00000000-0005-0000-0000-000001030000}"/>
    <cellStyle name="Tusenskille 3 5 9" xfId="582" xr:uid="{00000000-0005-0000-0000-000002030000}"/>
    <cellStyle name="Tusenskille 3 6" xfId="37" xr:uid="{00000000-0005-0000-0000-000003030000}"/>
    <cellStyle name="Tusenskille 3 6 10" xfId="675" xr:uid="{00000000-0005-0000-0000-000004030000}"/>
    <cellStyle name="Tusenskille 3 6 11" xfId="770" xr:uid="{00000000-0005-0000-0000-000005030000}"/>
    <cellStyle name="Tusenskille 3 6 2" xfId="59" xr:uid="{00000000-0005-0000-0000-000006030000}"/>
    <cellStyle name="Tusenskille 3 6 2 10" xfId="790" xr:uid="{00000000-0005-0000-0000-000007030000}"/>
    <cellStyle name="Tusenskille 3 6 2 2" xfId="99" xr:uid="{00000000-0005-0000-0000-000008030000}"/>
    <cellStyle name="Tusenskille 3 6 2 2 2" xfId="191" xr:uid="{00000000-0005-0000-0000-000009030000}"/>
    <cellStyle name="Tusenskille 3 6 2 2 3" xfId="281" xr:uid="{00000000-0005-0000-0000-00000A030000}"/>
    <cellStyle name="Tusenskille 3 6 2 2 4" xfId="371" xr:uid="{00000000-0005-0000-0000-00000B030000}"/>
    <cellStyle name="Tusenskille 3 6 2 2 5" xfId="461" xr:uid="{00000000-0005-0000-0000-00000C030000}"/>
    <cellStyle name="Tusenskille 3 6 2 2 6" xfId="551" xr:uid="{00000000-0005-0000-0000-00000D030000}"/>
    <cellStyle name="Tusenskille 3 6 2 2 7" xfId="641" xr:uid="{00000000-0005-0000-0000-00000E030000}"/>
    <cellStyle name="Tusenskille 3 6 2 2 8" xfId="731" xr:uid="{00000000-0005-0000-0000-00000F030000}"/>
    <cellStyle name="Tusenskille 3 6 2 2 9" xfId="828" xr:uid="{00000000-0005-0000-0000-000010030000}"/>
    <cellStyle name="Tusenskille 3 6 2 3" xfId="154" xr:uid="{00000000-0005-0000-0000-000011030000}"/>
    <cellStyle name="Tusenskille 3 6 2 4" xfId="244" xr:uid="{00000000-0005-0000-0000-000012030000}"/>
    <cellStyle name="Tusenskille 3 6 2 5" xfId="334" xr:uid="{00000000-0005-0000-0000-000013030000}"/>
    <cellStyle name="Tusenskille 3 6 2 6" xfId="424" xr:uid="{00000000-0005-0000-0000-000014030000}"/>
    <cellStyle name="Tusenskille 3 6 2 7" xfId="514" xr:uid="{00000000-0005-0000-0000-000015030000}"/>
    <cellStyle name="Tusenskille 3 6 2 8" xfId="604" xr:uid="{00000000-0005-0000-0000-000016030000}"/>
    <cellStyle name="Tusenskille 3 6 2 9" xfId="694" xr:uid="{00000000-0005-0000-0000-000017030000}"/>
    <cellStyle name="Tusenskille 3 6 3" xfId="79" xr:uid="{00000000-0005-0000-0000-000018030000}"/>
    <cellStyle name="Tusenskille 3 6 3 2" xfId="172" xr:uid="{00000000-0005-0000-0000-000019030000}"/>
    <cellStyle name="Tusenskille 3 6 3 3" xfId="262" xr:uid="{00000000-0005-0000-0000-00001A030000}"/>
    <cellStyle name="Tusenskille 3 6 3 4" xfId="352" xr:uid="{00000000-0005-0000-0000-00001B030000}"/>
    <cellStyle name="Tusenskille 3 6 3 5" xfId="442" xr:uid="{00000000-0005-0000-0000-00001C030000}"/>
    <cellStyle name="Tusenskille 3 6 3 6" xfId="532" xr:uid="{00000000-0005-0000-0000-00001D030000}"/>
    <cellStyle name="Tusenskille 3 6 3 7" xfId="622" xr:uid="{00000000-0005-0000-0000-00001E030000}"/>
    <cellStyle name="Tusenskille 3 6 3 8" xfId="712" xr:uid="{00000000-0005-0000-0000-00001F030000}"/>
    <cellStyle name="Tusenskille 3 6 3 9" xfId="809" xr:uid="{00000000-0005-0000-0000-000020030000}"/>
    <cellStyle name="Tusenskille 3 6 4" xfId="135" xr:uid="{00000000-0005-0000-0000-000021030000}"/>
    <cellStyle name="Tusenskille 3 6 5" xfId="225" xr:uid="{00000000-0005-0000-0000-000022030000}"/>
    <cellStyle name="Tusenskille 3 6 6" xfId="315" xr:uid="{00000000-0005-0000-0000-000023030000}"/>
    <cellStyle name="Tusenskille 3 6 7" xfId="405" xr:uid="{00000000-0005-0000-0000-000024030000}"/>
    <cellStyle name="Tusenskille 3 6 8" xfId="495" xr:uid="{00000000-0005-0000-0000-000025030000}"/>
    <cellStyle name="Tusenskille 3 6 9" xfId="585" xr:uid="{00000000-0005-0000-0000-000026030000}"/>
    <cellStyle name="Tusenskille 3 7" xfId="43" xr:uid="{00000000-0005-0000-0000-000027030000}"/>
    <cellStyle name="Tusenskille 3 7 10" xfId="775" xr:uid="{00000000-0005-0000-0000-000028030000}"/>
    <cellStyle name="Tusenskille 3 7 2" xfId="83" xr:uid="{00000000-0005-0000-0000-000029030000}"/>
    <cellStyle name="Tusenskille 3 7 2 2" xfId="176" xr:uid="{00000000-0005-0000-0000-00002A030000}"/>
    <cellStyle name="Tusenskille 3 7 2 3" xfId="266" xr:uid="{00000000-0005-0000-0000-00002B030000}"/>
    <cellStyle name="Tusenskille 3 7 2 4" xfId="356" xr:uid="{00000000-0005-0000-0000-00002C030000}"/>
    <cellStyle name="Tusenskille 3 7 2 5" xfId="446" xr:uid="{00000000-0005-0000-0000-00002D030000}"/>
    <cellStyle name="Tusenskille 3 7 2 6" xfId="536" xr:uid="{00000000-0005-0000-0000-00002E030000}"/>
    <cellStyle name="Tusenskille 3 7 2 7" xfId="626" xr:uid="{00000000-0005-0000-0000-00002F030000}"/>
    <cellStyle name="Tusenskille 3 7 2 8" xfId="716" xr:uid="{00000000-0005-0000-0000-000030030000}"/>
    <cellStyle name="Tusenskille 3 7 2 9" xfId="813" xr:uid="{00000000-0005-0000-0000-000031030000}"/>
    <cellStyle name="Tusenskille 3 7 3" xfId="139" xr:uid="{00000000-0005-0000-0000-000032030000}"/>
    <cellStyle name="Tusenskille 3 7 4" xfId="229" xr:uid="{00000000-0005-0000-0000-000033030000}"/>
    <cellStyle name="Tusenskille 3 7 5" xfId="319" xr:uid="{00000000-0005-0000-0000-000034030000}"/>
    <cellStyle name="Tusenskille 3 7 6" xfId="409" xr:uid="{00000000-0005-0000-0000-000035030000}"/>
    <cellStyle name="Tusenskille 3 7 7" xfId="499" xr:uid="{00000000-0005-0000-0000-000036030000}"/>
    <cellStyle name="Tusenskille 3 7 8" xfId="589" xr:uid="{00000000-0005-0000-0000-000037030000}"/>
    <cellStyle name="Tusenskille 3 7 9" xfId="679" xr:uid="{00000000-0005-0000-0000-000038030000}"/>
    <cellStyle name="Tusenskille 3 8" xfId="64" xr:uid="{00000000-0005-0000-0000-000039030000}"/>
    <cellStyle name="Tusenskille 3 8 2" xfId="157" xr:uid="{00000000-0005-0000-0000-00003A030000}"/>
    <cellStyle name="Tusenskille 3 8 3" xfId="247" xr:uid="{00000000-0005-0000-0000-00003B030000}"/>
    <cellStyle name="Tusenskille 3 8 4" xfId="337" xr:uid="{00000000-0005-0000-0000-00003C030000}"/>
    <cellStyle name="Tusenskille 3 8 5" xfId="427" xr:uid="{00000000-0005-0000-0000-00003D030000}"/>
    <cellStyle name="Tusenskille 3 8 6" xfId="517" xr:uid="{00000000-0005-0000-0000-00003E030000}"/>
    <cellStyle name="Tusenskille 3 8 7" xfId="607" xr:uid="{00000000-0005-0000-0000-00003F030000}"/>
    <cellStyle name="Tusenskille 3 8 8" xfId="697" xr:uid="{00000000-0005-0000-0000-000040030000}"/>
    <cellStyle name="Tusenskille 3 8 9" xfId="794" xr:uid="{00000000-0005-0000-0000-000041030000}"/>
    <cellStyle name="Tusenskille 3 9" xfId="102" xr:uid="{00000000-0005-0000-0000-000042030000}"/>
    <cellStyle name="Tusenskille 3 9 2" xfId="194" xr:uid="{00000000-0005-0000-0000-000043030000}"/>
    <cellStyle name="Tusenskille 3 9 3" xfId="284" xr:uid="{00000000-0005-0000-0000-000044030000}"/>
    <cellStyle name="Tusenskille 3 9 4" xfId="374" xr:uid="{00000000-0005-0000-0000-000045030000}"/>
    <cellStyle name="Tusenskille 3 9 5" xfId="464" xr:uid="{00000000-0005-0000-0000-000046030000}"/>
    <cellStyle name="Tusenskille 3 9 6" xfId="554" xr:uid="{00000000-0005-0000-0000-000047030000}"/>
    <cellStyle name="Tusenskille 3 9 7" xfId="644" xr:uid="{00000000-0005-0000-0000-000048030000}"/>
    <cellStyle name="Tusenskille 3 9 8" xfId="734" xr:uid="{00000000-0005-0000-0000-000049030000}"/>
    <cellStyle name="Tusenskille 3 9 9" xfId="831" xr:uid="{00000000-0005-0000-0000-00004A030000}"/>
    <cellStyle name="Tusenskille 4" xfId="17" xr:uid="{00000000-0005-0000-0000-00004B030000}"/>
    <cellStyle name="Tusenskille 4 2" xfId="753" xr:uid="{00000000-0005-0000-0000-00004C030000}"/>
    <cellStyle name="Tusenskille 5" xfId="13" xr:uid="{00000000-0005-0000-0000-00004D030000}"/>
    <cellStyle name="Tusenskille 5 2" xfId="749" xr:uid="{00000000-0005-0000-0000-00004E030000}"/>
    <cellStyle name="Tusenskille 6" xfId="115" xr:uid="{00000000-0005-0000-0000-00004F030000}"/>
    <cellStyle name="TusenskilleFjernNull" xfId="846" xr:uid="{00000000-0005-0000-0000-000050030000}"/>
  </cellStyles>
  <dxfs count="45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colors>
    <mruColors>
      <color rgb="FFF8E9D6"/>
      <color rgb="FFFFFF99"/>
      <color rgb="FFF7D7F7"/>
      <color rgb="FFFCD2E2"/>
      <color rgb="FFD2F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7140801174953532"/>
          <c:y val="9.8477480734069936E-2"/>
          <c:w val="0.74903048765490665"/>
          <c:h val="0.65437502946862602"/>
        </c:manualLayout>
      </c:layout>
      <c:barChart>
        <c:barDir val="col"/>
        <c:grouping val="clustered"/>
        <c:varyColors val="0"/>
        <c:ser>
          <c:idx val="0"/>
          <c:order val="0"/>
          <c:tx>
            <c:strRef>
              <c:f>Figurer!$M$7</c:f>
              <c:strCache>
                <c:ptCount val="1"/>
                <c:pt idx="0">
                  <c:v>2024</c:v>
                </c:pt>
              </c:strCache>
            </c:strRef>
          </c:tx>
          <c:invertIfNegative val="0"/>
          <c:cat>
            <c:strRef>
              <c:f>Figurer!$L$8:$L$30</c:f>
              <c:strCache>
                <c:ptCount val="23"/>
                <c:pt idx="0">
                  <c:v>DNB Liv</c:v>
                </c:pt>
                <c:pt idx="1">
                  <c:v>Eika Forsikring</c:v>
                </c:pt>
                <c:pt idx="2">
                  <c:v>Euro Accident</c:v>
                </c:pt>
                <c:pt idx="3">
                  <c:v>Fremtind Livsfors</c:v>
                </c:pt>
                <c:pt idx="4">
                  <c:v>Frende Livsfors</c:v>
                </c:pt>
                <c:pt idx="5">
                  <c:v>Frende Skade</c:v>
                </c:pt>
                <c:pt idx="6">
                  <c:v>Gjensidige Fors</c:v>
                </c:pt>
                <c:pt idx="7">
                  <c:v>Gjensidige Pensj</c:v>
                </c:pt>
                <c:pt idx="8">
                  <c:v>If Skadefors</c:v>
                </c:pt>
                <c:pt idx="9">
                  <c:v>KLP</c:v>
                </c:pt>
                <c:pt idx="10">
                  <c:v>KLP Skadef</c:v>
                </c:pt>
                <c:pt idx="11">
                  <c:v>Landkreditt Fors.</c:v>
                </c:pt>
                <c:pt idx="12">
                  <c:v>Ly Forsikring</c:v>
                </c:pt>
                <c:pt idx="13">
                  <c:v>Nordea Liv</c:v>
                </c:pt>
                <c:pt idx="14">
                  <c:v>Oslo Forsikring</c:v>
                </c:pt>
                <c:pt idx="15">
                  <c:v>OPF</c:v>
                </c:pt>
                <c:pt idx="16">
                  <c:v>Protector Fors</c:v>
                </c:pt>
                <c:pt idx="17">
                  <c:v>SpareBank 1 Forsikring</c:v>
                </c:pt>
                <c:pt idx="18">
                  <c:v>Storebrand Liv</c:v>
                </c:pt>
                <c:pt idx="19">
                  <c:v>Telenor Fors</c:v>
                </c:pt>
                <c:pt idx="20">
                  <c:v>Tryg Fors</c:v>
                </c:pt>
                <c:pt idx="21">
                  <c:v>WaterCircles Fors.</c:v>
                </c:pt>
                <c:pt idx="22">
                  <c:v>Youplus Livsf</c:v>
                </c:pt>
              </c:strCache>
            </c:strRef>
          </c:cat>
          <c:val>
            <c:numRef>
              <c:f>Figurer!$M$8:$M$30</c:f>
              <c:numCache>
                <c:formatCode>#,##0</c:formatCode>
                <c:ptCount val="23"/>
                <c:pt idx="0">
                  <c:v>1250013</c:v>
                </c:pt>
                <c:pt idx="1">
                  <c:v>205089</c:v>
                </c:pt>
                <c:pt idx="2">
                  <c:v>51311</c:v>
                </c:pt>
                <c:pt idx="3">
                  <c:v>998261.31835000007</c:v>
                </c:pt>
                <c:pt idx="4">
                  <c:v>633168</c:v>
                </c:pt>
                <c:pt idx="5">
                  <c:v>6049.5889999999999</c:v>
                </c:pt>
                <c:pt idx="6">
                  <c:v>1560765.828</c:v>
                </c:pt>
                <c:pt idx="7">
                  <c:v>314987</c:v>
                </c:pt>
                <c:pt idx="8">
                  <c:v>250285.496603765</c:v>
                </c:pt>
                <c:pt idx="9">
                  <c:v>7819124.7919600001</c:v>
                </c:pt>
                <c:pt idx="10">
                  <c:v>212764.049</c:v>
                </c:pt>
                <c:pt idx="11">
                  <c:v>22470</c:v>
                </c:pt>
                <c:pt idx="12">
                  <c:v>14299.8</c:v>
                </c:pt>
                <c:pt idx="13">
                  <c:v>749011.92606698244</c:v>
                </c:pt>
                <c:pt idx="14">
                  <c:v>8485</c:v>
                </c:pt>
                <c:pt idx="15">
                  <c:v>908134</c:v>
                </c:pt>
                <c:pt idx="16">
                  <c:v>268907</c:v>
                </c:pt>
                <c:pt idx="17">
                  <c:v>282541.22444999998</c:v>
                </c:pt>
                <c:pt idx="18">
                  <c:v>2546560.0348999999</c:v>
                </c:pt>
                <c:pt idx="19">
                  <c:v>2386</c:v>
                </c:pt>
                <c:pt idx="20">
                  <c:v>751536</c:v>
                </c:pt>
                <c:pt idx="21">
                  <c:v>1726</c:v>
                </c:pt>
                <c:pt idx="22">
                  <c:v>16428</c:v>
                </c:pt>
              </c:numCache>
            </c:numRef>
          </c:val>
          <c:extLst>
            <c:ext xmlns:c16="http://schemas.microsoft.com/office/drawing/2014/chart" uri="{C3380CC4-5D6E-409C-BE32-E72D297353CC}">
              <c16:uniqueId val="{00000002-93AE-4CD9-98AD-A52686D1F9FB}"/>
            </c:ext>
          </c:extLst>
        </c:ser>
        <c:ser>
          <c:idx val="1"/>
          <c:order val="1"/>
          <c:tx>
            <c:strRef>
              <c:f>Figurer!$N$7</c:f>
              <c:strCache>
                <c:ptCount val="1"/>
                <c:pt idx="0">
                  <c:v>2025</c:v>
                </c:pt>
              </c:strCache>
            </c:strRef>
          </c:tx>
          <c:invertIfNegative val="0"/>
          <c:cat>
            <c:strRef>
              <c:f>Figurer!$L$8:$L$30</c:f>
              <c:strCache>
                <c:ptCount val="23"/>
                <c:pt idx="0">
                  <c:v>DNB Liv</c:v>
                </c:pt>
                <c:pt idx="1">
                  <c:v>Eika Forsikring</c:v>
                </c:pt>
                <c:pt idx="2">
                  <c:v>Euro Accident</c:v>
                </c:pt>
                <c:pt idx="3">
                  <c:v>Fremtind Livsfors</c:v>
                </c:pt>
                <c:pt idx="4">
                  <c:v>Frende Livsfors</c:v>
                </c:pt>
                <c:pt idx="5">
                  <c:v>Frende Skade</c:v>
                </c:pt>
                <c:pt idx="6">
                  <c:v>Gjensidige Fors</c:v>
                </c:pt>
                <c:pt idx="7">
                  <c:v>Gjensidige Pensj</c:v>
                </c:pt>
                <c:pt idx="8">
                  <c:v>If Skadefors</c:v>
                </c:pt>
                <c:pt idx="9">
                  <c:v>KLP</c:v>
                </c:pt>
                <c:pt idx="10">
                  <c:v>KLP Skadef</c:v>
                </c:pt>
                <c:pt idx="11">
                  <c:v>Landkreditt Fors.</c:v>
                </c:pt>
                <c:pt idx="12">
                  <c:v>Ly Forsikring</c:v>
                </c:pt>
                <c:pt idx="13">
                  <c:v>Nordea Liv</c:v>
                </c:pt>
                <c:pt idx="14">
                  <c:v>Oslo Forsikring</c:v>
                </c:pt>
                <c:pt idx="15">
                  <c:v>OPF</c:v>
                </c:pt>
                <c:pt idx="16">
                  <c:v>Protector Fors</c:v>
                </c:pt>
                <c:pt idx="17">
                  <c:v>SpareBank 1 Forsikring</c:v>
                </c:pt>
                <c:pt idx="18">
                  <c:v>Storebrand Liv</c:v>
                </c:pt>
                <c:pt idx="19">
                  <c:v>Telenor Fors</c:v>
                </c:pt>
                <c:pt idx="20">
                  <c:v>Tryg Fors</c:v>
                </c:pt>
                <c:pt idx="21">
                  <c:v>WaterCircles Fors.</c:v>
                </c:pt>
                <c:pt idx="22">
                  <c:v>Youplus Livsf</c:v>
                </c:pt>
              </c:strCache>
            </c:strRef>
          </c:cat>
          <c:val>
            <c:numRef>
              <c:f>Figurer!$N$8:$N$30</c:f>
              <c:numCache>
                <c:formatCode>#,##0</c:formatCode>
                <c:ptCount val="23"/>
                <c:pt idx="0">
                  <c:v>1249688</c:v>
                </c:pt>
                <c:pt idx="1">
                  <c:v>0</c:v>
                </c:pt>
                <c:pt idx="2">
                  <c:v>30761</c:v>
                </c:pt>
                <c:pt idx="3">
                  <c:v>1271137.3383900002</c:v>
                </c:pt>
                <c:pt idx="4">
                  <c:v>713825</c:v>
                </c:pt>
                <c:pt idx="5">
                  <c:v>287.33699999999999</c:v>
                </c:pt>
                <c:pt idx="6">
                  <c:v>1611395.2398000001</c:v>
                </c:pt>
                <c:pt idx="7">
                  <c:v>361354</c:v>
                </c:pt>
                <c:pt idx="8">
                  <c:v>306096.93232210295</c:v>
                </c:pt>
                <c:pt idx="9">
                  <c:v>8049379.79641</c:v>
                </c:pt>
                <c:pt idx="10">
                  <c:v>234700.55499999999</c:v>
                </c:pt>
                <c:pt idx="11">
                  <c:v>82536</c:v>
                </c:pt>
                <c:pt idx="12">
                  <c:v>15177</c:v>
                </c:pt>
                <c:pt idx="13">
                  <c:v>811738.02410864085</c:v>
                </c:pt>
                <c:pt idx="14">
                  <c:v>8970</c:v>
                </c:pt>
                <c:pt idx="15">
                  <c:v>908116</c:v>
                </c:pt>
                <c:pt idx="16">
                  <c:v>318529</c:v>
                </c:pt>
                <c:pt idx="17">
                  <c:v>287814.84760999994</c:v>
                </c:pt>
                <c:pt idx="18">
                  <c:v>2689958.4868299998</c:v>
                </c:pt>
                <c:pt idx="19">
                  <c:v>2290</c:v>
                </c:pt>
                <c:pt idx="20">
                  <c:v>758059</c:v>
                </c:pt>
                <c:pt idx="21">
                  <c:v>1680</c:v>
                </c:pt>
                <c:pt idx="22">
                  <c:v>43878</c:v>
                </c:pt>
              </c:numCache>
            </c:numRef>
          </c:val>
          <c:extLst>
            <c:ext xmlns:c16="http://schemas.microsoft.com/office/drawing/2014/chart" uri="{C3380CC4-5D6E-409C-BE32-E72D297353CC}">
              <c16:uniqueId val="{00000003-93AE-4CD9-98AD-A52686D1F9FB}"/>
            </c:ext>
          </c:extLst>
        </c:ser>
        <c:dLbls>
          <c:showLegendKey val="0"/>
          <c:showVal val="0"/>
          <c:showCatName val="0"/>
          <c:showSerName val="0"/>
          <c:showPercent val="0"/>
          <c:showBubbleSize val="0"/>
        </c:dLbls>
        <c:gapWidth val="150"/>
        <c:axId val="242174208"/>
        <c:axId val="242180096"/>
      </c:barChart>
      <c:catAx>
        <c:axId val="2421742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180096"/>
        <c:crosses val="autoZero"/>
        <c:auto val="1"/>
        <c:lblAlgn val="ctr"/>
        <c:lblOffset val="100"/>
        <c:tickLblSkip val="1"/>
        <c:tickMarkSkip val="1"/>
        <c:noMultiLvlLbl val="0"/>
      </c:catAx>
      <c:valAx>
        <c:axId val="242180096"/>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6.9444532284870034E-3"/>
              <c:y val="0.35171127561150661"/>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174208"/>
        <c:crosses val="autoZero"/>
        <c:crossBetween val="between"/>
      </c:valAx>
    </c:plotArea>
    <c:legend>
      <c:legendPos val="b"/>
      <c:layout>
        <c:manualLayout>
          <c:xMode val="edge"/>
          <c:yMode val="edge"/>
          <c:x val="0.35321900023541236"/>
          <c:y val="0.94486784960263159"/>
          <c:w val="9.5093936551103805E-2"/>
          <c:h val="3.8797994562056987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6608656849620704"/>
          <c:y val="0.10754105736782903"/>
          <c:w val="0.77619271486646502"/>
          <c:h val="0.61573077622722905"/>
        </c:manualLayout>
      </c:layout>
      <c:barChart>
        <c:barDir val="col"/>
        <c:grouping val="clustered"/>
        <c:varyColors val="0"/>
        <c:ser>
          <c:idx val="0"/>
          <c:order val="0"/>
          <c:tx>
            <c:strRef>
              <c:f>Figurer!$M$34</c:f>
              <c:strCache>
                <c:ptCount val="1"/>
                <c:pt idx="0">
                  <c:v>2024</c:v>
                </c:pt>
              </c:strCache>
            </c:strRef>
          </c:tx>
          <c:invertIfNegative val="0"/>
          <c:cat>
            <c:strRef>
              <c:f>Figurer!$L$35:$L$40</c:f>
              <c:strCache>
                <c:ptCount val="6"/>
                <c:pt idx="0">
                  <c:v>DNB Liv</c:v>
                </c:pt>
                <c:pt idx="1">
                  <c:v>Gjensidige Pensj</c:v>
                </c:pt>
                <c:pt idx="2">
                  <c:v>KLP</c:v>
                </c:pt>
                <c:pt idx="3">
                  <c:v>Nordea Liv</c:v>
                </c:pt>
                <c:pt idx="4">
                  <c:v>SpareBank 1 Forsikring</c:v>
                </c:pt>
                <c:pt idx="5">
                  <c:v>Storebrand Liv</c:v>
                </c:pt>
              </c:strCache>
            </c:strRef>
          </c:cat>
          <c:val>
            <c:numRef>
              <c:f>Figurer!$M$35:$M$40</c:f>
              <c:numCache>
                <c:formatCode>#,##0</c:formatCode>
                <c:ptCount val="6"/>
                <c:pt idx="0">
                  <c:v>3528916.9929999998</c:v>
                </c:pt>
                <c:pt idx="1">
                  <c:v>1641372</c:v>
                </c:pt>
                <c:pt idx="2">
                  <c:v>22688.987000000001</c:v>
                </c:pt>
                <c:pt idx="3">
                  <c:v>5311313.3681499995</c:v>
                </c:pt>
                <c:pt idx="4">
                  <c:v>1839822.98065</c:v>
                </c:pt>
                <c:pt idx="5">
                  <c:v>4520753.1736900005</c:v>
                </c:pt>
              </c:numCache>
            </c:numRef>
          </c:val>
          <c:extLst>
            <c:ext xmlns:c16="http://schemas.microsoft.com/office/drawing/2014/chart" uri="{C3380CC4-5D6E-409C-BE32-E72D297353CC}">
              <c16:uniqueId val="{00000000-3971-4F9A-B5A3-CF52C774B823}"/>
            </c:ext>
          </c:extLst>
        </c:ser>
        <c:ser>
          <c:idx val="1"/>
          <c:order val="1"/>
          <c:tx>
            <c:strRef>
              <c:f>Figurer!$N$34</c:f>
              <c:strCache>
                <c:ptCount val="1"/>
                <c:pt idx="0">
                  <c:v>2025</c:v>
                </c:pt>
              </c:strCache>
            </c:strRef>
          </c:tx>
          <c:invertIfNegative val="0"/>
          <c:cat>
            <c:strRef>
              <c:f>Figurer!$L$35:$L$40</c:f>
              <c:strCache>
                <c:ptCount val="6"/>
                <c:pt idx="0">
                  <c:v>DNB Liv</c:v>
                </c:pt>
                <c:pt idx="1">
                  <c:v>Gjensidige Pensj</c:v>
                </c:pt>
                <c:pt idx="2">
                  <c:v>KLP</c:v>
                </c:pt>
                <c:pt idx="3">
                  <c:v>Nordea Liv</c:v>
                </c:pt>
                <c:pt idx="4">
                  <c:v>SpareBank 1 Forsikring</c:v>
                </c:pt>
                <c:pt idx="5">
                  <c:v>Storebrand Liv</c:v>
                </c:pt>
              </c:strCache>
            </c:strRef>
          </c:cat>
          <c:val>
            <c:numRef>
              <c:f>Figurer!$N$35:$N$40</c:f>
              <c:numCache>
                <c:formatCode>#,##0</c:formatCode>
                <c:ptCount val="6"/>
                <c:pt idx="0">
                  <c:v>4416210.9040000001</c:v>
                </c:pt>
                <c:pt idx="1">
                  <c:v>1741309</c:v>
                </c:pt>
                <c:pt idx="2">
                  <c:v>20929.275000000001</c:v>
                </c:pt>
                <c:pt idx="3">
                  <c:v>4781667.1471800003</c:v>
                </c:pt>
                <c:pt idx="4">
                  <c:v>2096094.96572</c:v>
                </c:pt>
                <c:pt idx="5">
                  <c:v>4815430.6112099998</c:v>
                </c:pt>
              </c:numCache>
            </c:numRef>
          </c:val>
          <c:extLst>
            <c:ext xmlns:c16="http://schemas.microsoft.com/office/drawing/2014/chart" uri="{C3380CC4-5D6E-409C-BE32-E72D297353CC}">
              <c16:uniqueId val="{00000001-3971-4F9A-B5A3-CF52C774B823}"/>
            </c:ext>
          </c:extLst>
        </c:ser>
        <c:dLbls>
          <c:showLegendKey val="0"/>
          <c:showVal val="0"/>
          <c:showCatName val="0"/>
          <c:showSerName val="0"/>
          <c:showPercent val="0"/>
          <c:showBubbleSize val="0"/>
        </c:dLbls>
        <c:gapWidth val="150"/>
        <c:axId val="242208128"/>
        <c:axId val="242427008"/>
      </c:barChart>
      <c:catAx>
        <c:axId val="2422081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427008"/>
        <c:crosses val="autoZero"/>
        <c:auto val="1"/>
        <c:lblAlgn val="ctr"/>
        <c:lblOffset val="100"/>
        <c:tickLblSkip val="1"/>
        <c:tickMarkSkip val="1"/>
        <c:noMultiLvlLbl val="0"/>
      </c:catAx>
      <c:valAx>
        <c:axId val="242427008"/>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6.9541508114698515E-3"/>
              <c:y val="0.33962311853875432"/>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208128"/>
        <c:crosses val="autoZero"/>
        <c:crossBetween val="between"/>
      </c:valAx>
    </c:plotArea>
    <c:legend>
      <c:legendPos val="b"/>
      <c:layout>
        <c:manualLayout>
          <c:xMode val="edge"/>
          <c:yMode val="edge"/>
          <c:x val="0.34749475592659351"/>
          <c:y val="0.93710900423161392"/>
          <c:w val="0.23943149676571668"/>
          <c:h val="5.0314424982592074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9034622721340161"/>
          <c:y val="7.9682070044274814E-2"/>
          <c:w val="0.72950920069418312"/>
          <c:h val="0.62009389947752291"/>
        </c:manualLayout>
      </c:layout>
      <c:barChart>
        <c:barDir val="col"/>
        <c:grouping val="clustered"/>
        <c:varyColors val="0"/>
        <c:ser>
          <c:idx val="0"/>
          <c:order val="0"/>
          <c:tx>
            <c:strRef>
              <c:f>Figurer!$M$52</c:f>
              <c:strCache>
                <c:ptCount val="1"/>
                <c:pt idx="0">
                  <c:v>2024</c:v>
                </c:pt>
              </c:strCache>
            </c:strRef>
          </c:tx>
          <c:invertIfNegative val="0"/>
          <c:cat>
            <c:strRef>
              <c:f>Figurer!$L$53:$L$73</c:f>
              <c:strCache>
                <c:ptCount val="21"/>
                <c:pt idx="0">
                  <c:v>DNB Liv</c:v>
                </c:pt>
                <c:pt idx="1">
                  <c:v>Eika Forsikring</c:v>
                </c:pt>
                <c:pt idx="2">
                  <c:v>Euro Accident</c:v>
                </c:pt>
                <c:pt idx="3">
                  <c:v>Fremtind Livsfors</c:v>
                </c:pt>
                <c:pt idx="4">
                  <c:v>Frende Livsfors</c:v>
                </c:pt>
                <c:pt idx="5">
                  <c:v>Gjensidige Fors</c:v>
                </c:pt>
                <c:pt idx="6">
                  <c:v>Gjensidige Pensj</c:v>
                </c:pt>
                <c:pt idx="7">
                  <c:v>If Skadefors</c:v>
                </c:pt>
                <c:pt idx="8">
                  <c:v>KLP</c:v>
                </c:pt>
                <c:pt idx="9">
                  <c:v>KLP Skadef</c:v>
                </c:pt>
                <c:pt idx="10">
                  <c:v>Landkreditt Fors</c:v>
                </c:pt>
                <c:pt idx="11">
                  <c:v>Ly Forsikring</c:v>
                </c:pt>
                <c:pt idx="12">
                  <c:v>Nordea Liv</c:v>
                </c:pt>
                <c:pt idx="13">
                  <c:v>Oslo Forsikring</c:v>
                </c:pt>
                <c:pt idx="14">
                  <c:v>OPF</c:v>
                </c:pt>
                <c:pt idx="15">
                  <c:v>SpareBank 1 Forsikring</c:v>
                </c:pt>
                <c:pt idx="16">
                  <c:v>Storebrand Liv</c:v>
                </c:pt>
                <c:pt idx="17">
                  <c:v>Telenor Forsikring</c:v>
                </c:pt>
                <c:pt idx="18">
                  <c:v>Tryg Forsikring</c:v>
                </c:pt>
                <c:pt idx="19">
                  <c:v>WaterCicles Fors.</c:v>
                </c:pt>
                <c:pt idx="20">
                  <c:v>Youplus Livsf</c:v>
                </c:pt>
              </c:strCache>
            </c:strRef>
          </c:cat>
          <c:val>
            <c:numRef>
              <c:f>Figurer!$M$53:$M$73</c:f>
              <c:numCache>
                <c:formatCode>#,##0</c:formatCode>
                <c:ptCount val="21"/>
                <c:pt idx="0">
                  <c:v>182678854</c:v>
                </c:pt>
                <c:pt idx="1">
                  <c:v>0</c:v>
                </c:pt>
                <c:pt idx="2">
                  <c:v>0</c:v>
                </c:pt>
                <c:pt idx="3">
                  <c:v>5524479.2054099999</c:v>
                </c:pt>
                <c:pt idx="4">
                  <c:v>2088315</c:v>
                </c:pt>
                <c:pt idx="5">
                  <c:v>0</c:v>
                </c:pt>
                <c:pt idx="6">
                  <c:v>10139234</c:v>
                </c:pt>
                <c:pt idx="7">
                  <c:v>0</c:v>
                </c:pt>
                <c:pt idx="8">
                  <c:v>742435451.03683996</c:v>
                </c:pt>
                <c:pt idx="9">
                  <c:v>148316.739</c:v>
                </c:pt>
                <c:pt idx="10">
                  <c:v>0</c:v>
                </c:pt>
                <c:pt idx="11">
                  <c:v>0</c:v>
                </c:pt>
                <c:pt idx="12">
                  <c:v>54599980.000004023</c:v>
                </c:pt>
                <c:pt idx="13">
                  <c:v>0</c:v>
                </c:pt>
                <c:pt idx="14">
                  <c:v>94317675</c:v>
                </c:pt>
                <c:pt idx="15">
                  <c:v>21904980.821390003</c:v>
                </c:pt>
                <c:pt idx="16">
                  <c:v>208594525.58670002</c:v>
                </c:pt>
                <c:pt idx="17">
                  <c:v>0</c:v>
                </c:pt>
                <c:pt idx="18">
                  <c:v>0</c:v>
                </c:pt>
                <c:pt idx="19">
                  <c:v>0</c:v>
                </c:pt>
                <c:pt idx="20">
                  <c:v>34208</c:v>
                </c:pt>
              </c:numCache>
            </c:numRef>
          </c:val>
          <c:extLst>
            <c:ext xmlns:c16="http://schemas.microsoft.com/office/drawing/2014/chart" uri="{C3380CC4-5D6E-409C-BE32-E72D297353CC}">
              <c16:uniqueId val="{00000000-F5D7-4882-A9B6-45C2F0317A05}"/>
            </c:ext>
          </c:extLst>
        </c:ser>
        <c:ser>
          <c:idx val="1"/>
          <c:order val="1"/>
          <c:tx>
            <c:strRef>
              <c:f>Figurer!$N$52</c:f>
              <c:strCache>
                <c:ptCount val="1"/>
                <c:pt idx="0">
                  <c:v>2025</c:v>
                </c:pt>
              </c:strCache>
            </c:strRef>
          </c:tx>
          <c:invertIfNegative val="0"/>
          <c:cat>
            <c:strRef>
              <c:f>Figurer!$L$53:$L$73</c:f>
              <c:strCache>
                <c:ptCount val="21"/>
                <c:pt idx="0">
                  <c:v>DNB Liv</c:v>
                </c:pt>
                <c:pt idx="1">
                  <c:v>Eika Forsikring</c:v>
                </c:pt>
                <c:pt idx="2">
                  <c:v>Euro Accident</c:v>
                </c:pt>
                <c:pt idx="3">
                  <c:v>Fremtind Livsfors</c:v>
                </c:pt>
                <c:pt idx="4">
                  <c:v>Frende Livsfors</c:v>
                </c:pt>
                <c:pt idx="5">
                  <c:v>Gjensidige Fors</c:v>
                </c:pt>
                <c:pt idx="6">
                  <c:v>Gjensidige Pensj</c:v>
                </c:pt>
                <c:pt idx="7">
                  <c:v>If Skadefors</c:v>
                </c:pt>
                <c:pt idx="8">
                  <c:v>KLP</c:v>
                </c:pt>
                <c:pt idx="9">
                  <c:v>KLP Skadef</c:v>
                </c:pt>
                <c:pt idx="10">
                  <c:v>Landkreditt Fors</c:v>
                </c:pt>
                <c:pt idx="11">
                  <c:v>Ly Forsikring</c:v>
                </c:pt>
                <c:pt idx="12">
                  <c:v>Nordea Liv</c:v>
                </c:pt>
                <c:pt idx="13">
                  <c:v>Oslo Forsikring</c:v>
                </c:pt>
                <c:pt idx="14">
                  <c:v>OPF</c:v>
                </c:pt>
                <c:pt idx="15">
                  <c:v>SpareBank 1 Forsikring</c:v>
                </c:pt>
                <c:pt idx="16">
                  <c:v>Storebrand Liv</c:v>
                </c:pt>
                <c:pt idx="17">
                  <c:v>Telenor Forsikring</c:v>
                </c:pt>
                <c:pt idx="18">
                  <c:v>Tryg Forsikring</c:v>
                </c:pt>
                <c:pt idx="19">
                  <c:v>WaterCicles Fors.</c:v>
                </c:pt>
                <c:pt idx="20">
                  <c:v>Youplus Livsf</c:v>
                </c:pt>
              </c:strCache>
            </c:strRef>
          </c:cat>
          <c:val>
            <c:numRef>
              <c:f>Figurer!$N$53:$N$73</c:f>
              <c:numCache>
                <c:formatCode>#,##0</c:formatCode>
                <c:ptCount val="21"/>
                <c:pt idx="0">
                  <c:v>179684402.72244999</c:v>
                </c:pt>
                <c:pt idx="1">
                  <c:v>0</c:v>
                </c:pt>
                <c:pt idx="2">
                  <c:v>0</c:v>
                </c:pt>
                <c:pt idx="3">
                  <c:v>6000495.18102</c:v>
                </c:pt>
                <c:pt idx="4">
                  <c:v>2437488</c:v>
                </c:pt>
                <c:pt idx="5">
                  <c:v>0</c:v>
                </c:pt>
                <c:pt idx="6">
                  <c:v>11279029</c:v>
                </c:pt>
                <c:pt idx="7">
                  <c:v>0</c:v>
                </c:pt>
                <c:pt idx="8">
                  <c:v>794812677.44805002</c:v>
                </c:pt>
                <c:pt idx="9">
                  <c:v>173603.853</c:v>
                </c:pt>
                <c:pt idx="10">
                  <c:v>0</c:v>
                </c:pt>
                <c:pt idx="11">
                  <c:v>0</c:v>
                </c:pt>
                <c:pt idx="12">
                  <c:v>54964640.000001788</c:v>
                </c:pt>
                <c:pt idx="13">
                  <c:v>0</c:v>
                </c:pt>
                <c:pt idx="14">
                  <c:v>97889000</c:v>
                </c:pt>
                <c:pt idx="15">
                  <c:v>23632770.244150002</c:v>
                </c:pt>
                <c:pt idx="16">
                  <c:v>215118616.59341002</c:v>
                </c:pt>
                <c:pt idx="17">
                  <c:v>0</c:v>
                </c:pt>
                <c:pt idx="18">
                  <c:v>0</c:v>
                </c:pt>
                <c:pt idx="19">
                  <c:v>0</c:v>
                </c:pt>
                <c:pt idx="20">
                  <c:v>69378</c:v>
                </c:pt>
              </c:numCache>
            </c:numRef>
          </c:val>
          <c:extLst>
            <c:ext xmlns:c16="http://schemas.microsoft.com/office/drawing/2014/chart" uri="{C3380CC4-5D6E-409C-BE32-E72D297353CC}">
              <c16:uniqueId val="{00000001-F5D7-4882-A9B6-45C2F0317A05}"/>
            </c:ext>
          </c:extLst>
        </c:ser>
        <c:dLbls>
          <c:showLegendKey val="0"/>
          <c:showVal val="0"/>
          <c:showCatName val="0"/>
          <c:showSerName val="0"/>
          <c:showPercent val="0"/>
          <c:showBubbleSize val="0"/>
        </c:dLbls>
        <c:gapWidth val="150"/>
        <c:axId val="242742784"/>
        <c:axId val="242744320"/>
      </c:barChart>
      <c:catAx>
        <c:axId val="2427427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2744320"/>
        <c:crosses val="autoZero"/>
        <c:auto val="1"/>
        <c:lblAlgn val="ctr"/>
        <c:lblOffset val="100"/>
        <c:tickLblSkip val="1"/>
        <c:tickMarkSkip val="1"/>
        <c:noMultiLvlLbl val="0"/>
      </c:catAx>
      <c:valAx>
        <c:axId val="24274432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4590163934426229E-2"/>
              <c:y val="0.34865976584387876"/>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2742784"/>
        <c:crosses val="autoZero"/>
        <c:crossBetween val="between"/>
      </c:valAx>
    </c:plotArea>
    <c:legend>
      <c:legendPos val="b"/>
      <c:layout>
        <c:manualLayout>
          <c:xMode val="edge"/>
          <c:yMode val="edge"/>
          <c:x val="0.36156705821608365"/>
          <c:y val="0.94061493998643431"/>
          <c:w val="0.21357027092924838"/>
          <c:h val="4.5976938275973926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8826753749914957"/>
          <c:y val="9.2115610054672017E-2"/>
          <c:w val="0.74306560247500353"/>
          <c:h val="0.6114621490399017"/>
        </c:manualLayout>
      </c:layout>
      <c:barChart>
        <c:barDir val="col"/>
        <c:grouping val="clustered"/>
        <c:varyColors val="0"/>
        <c:ser>
          <c:idx val="0"/>
          <c:order val="0"/>
          <c:tx>
            <c:strRef>
              <c:f>Figurer!$M$84</c:f>
              <c:strCache>
                <c:ptCount val="1"/>
                <c:pt idx="0">
                  <c:v>2024</c:v>
                </c:pt>
              </c:strCache>
            </c:strRef>
          </c:tx>
          <c:invertIfNegative val="0"/>
          <c:cat>
            <c:strRef>
              <c:f>Figurer!$L$85:$L$90</c:f>
              <c:strCache>
                <c:ptCount val="6"/>
                <c:pt idx="0">
                  <c:v>DNB Liv</c:v>
                </c:pt>
                <c:pt idx="1">
                  <c:v>Gjensidige Pensj</c:v>
                </c:pt>
                <c:pt idx="2">
                  <c:v>KLP</c:v>
                </c:pt>
                <c:pt idx="3">
                  <c:v>Nordea Liv</c:v>
                </c:pt>
                <c:pt idx="4">
                  <c:v>SpareBank 1 Forsikring</c:v>
                </c:pt>
                <c:pt idx="5">
                  <c:v>Storebrand Liv</c:v>
                </c:pt>
              </c:strCache>
            </c:strRef>
          </c:cat>
          <c:val>
            <c:numRef>
              <c:f>Figurer!$M$85:$M$90</c:f>
              <c:numCache>
                <c:formatCode>#,##0</c:formatCode>
                <c:ptCount val="6"/>
                <c:pt idx="0">
                  <c:v>179449570.928</c:v>
                </c:pt>
                <c:pt idx="1">
                  <c:v>65817579</c:v>
                </c:pt>
                <c:pt idx="2">
                  <c:v>2764463.4104599999</c:v>
                </c:pt>
                <c:pt idx="3">
                  <c:v>159130080</c:v>
                </c:pt>
                <c:pt idx="4">
                  <c:v>75514311.198369905</c:v>
                </c:pt>
                <c:pt idx="5">
                  <c:v>226481801.93450999</c:v>
                </c:pt>
              </c:numCache>
            </c:numRef>
          </c:val>
          <c:extLst>
            <c:ext xmlns:c16="http://schemas.microsoft.com/office/drawing/2014/chart" uri="{C3380CC4-5D6E-409C-BE32-E72D297353CC}">
              <c16:uniqueId val="{00000000-62B1-4395-80F9-424B1553CC96}"/>
            </c:ext>
          </c:extLst>
        </c:ser>
        <c:ser>
          <c:idx val="1"/>
          <c:order val="1"/>
          <c:tx>
            <c:strRef>
              <c:f>Figurer!$N$84</c:f>
              <c:strCache>
                <c:ptCount val="1"/>
                <c:pt idx="0">
                  <c:v>2025</c:v>
                </c:pt>
              </c:strCache>
            </c:strRef>
          </c:tx>
          <c:invertIfNegative val="0"/>
          <c:cat>
            <c:strRef>
              <c:f>Figurer!$L$85:$L$90</c:f>
              <c:strCache>
                <c:ptCount val="6"/>
                <c:pt idx="0">
                  <c:v>DNB Liv</c:v>
                </c:pt>
                <c:pt idx="1">
                  <c:v>Gjensidige Pensj</c:v>
                </c:pt>
                <c:pt idx="2">
                  <c:v>KLP</c:v>
                </c:pt>
                <c:pt idx="3">
                  <c:v>Nordea Liv</c:v>
                </c:pt>
                <c:pt idx="4">
                  <c:v>SpareBank 1 Forsikring</c:v>
                </c:pt>
                <c:pt idx="5">
                  <c:v>Storebrand Liv</c:v>
                </c:pt>
              </c:strCache>
            </c:strRef>
          </c:cat>
          <c:val>
            <c:numRef>
              <c:f>Figurer!$N$85:$N$90</c:f>
              <c:numCache>
                <c:formatCode>#,##0</c:formatCode>
                <c:ptCount val="6"/>
                <c:pt idx="0">
                  <c:v>203568699.91183773</c:v>
                </c:pt>
                <c:pt idx="1">
                  <c:v>76968991</c:v>
                </c:pt>
                <c:pt idx="2">
                  <c:v>2888738.0707899998</c:v>
                </c:pt>
                <c:pt idx="3">
                  <c:v>177451030</c:v>
                </c:pt>
                <c:pt idx="4">
                  <c:v>85714629.687940001</c:v>
                </c:pt>
                <c:pt idx="5">
                  <c:v>244753007.38714001</c:v>
                </c:pt>
              </c:numCache>
            </c:numRef>
          </c:val>
          <c:extLst>
            <c:ext xmlns:c16="http://schemas.microsoft.com/office/drawing/2014/chart" uri="{C3380CC4-5D6E-409C-BE32-E72D297353CC}">
              <c16:uniqueId val="{00000001-62B1-4395-80F9-424B1553CC96}"/>
            </c:ext>
          </c:extLst>
        </c:ser>
        <c:dLbls>
          <c:showLegendKey val="0"/>
          <c:showVal val="0"/>
          <c:showCatName val="0"/>
          <c:showSerName val="0"/>
          <c:showPercent val="0"/>
          <c:showBubbleSize val="0"/>
        </c:dLbls>
        <c:gapWidth val="150"/>
        <c:axId val="243158400"/>
        <c:axId val="243164288"/>
      </c:barChart>
      <c:catAx>
        <c:axId val="2431584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nb-NO"/>
          </a:p>
        </c:txPr>
        <c:crossAx val="243164288"/>
        <c:crosses val="autoZero"/>
        <c:auto val="1"/>
        <c:lblAlgn val="ctr"/>
        <c:lblOffset val="100"/>
        <c:tickLblSkip val="1"/>
        <c:tickMarkSkip val="1"/>
        <c:noMultiLvlLbl val="0"/>
      </c:catAx>
      <c:valAx>
        <c:axId val="243164288"/>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5920873124147342E-2"/>
              <c:y val="0.33544386003133031"/>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158400"/>
        <c:crosses val="autoZero"/>
        <c:crossBetween val="between"/>
      </c:valAx>
    </c:plotArea>
    <c:legend>
      <c:legendPos val="b"/>
      <c:layout>
        <c:manualLayout>
          <c:xMode val="edge"/>
          <c:yMode val="edge"/>
          <c:x val="0.34561192811335145"/>
          <c:y val="0.93671075700518092"/>
          <c:w val="0.23419750566649891"/>
          <c:h val="4.8523233014845533E-2"/>
        </c:manualLayout>
      </c:layout>
      <c:overlay val="0"/>
      <c:txPr>
        <a:bodyPr/>
        <a:lstStyle/>
        <a:p>
          <a:pPr>
            <a:defRPr sz="595"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8614144699303892"/>
          <c:y val="8.40864305054419E-2"/>
          <c:w val="0.75271796188519913"/>
          <c:h val="0.62564087493112053"/>
        </c:manualLayout>
      </c:layout>
      <c:barChart>
        <c:barDir val="col"/>
        <c:grouping val="clustered"/>
        <c:varyColors val="0"/>
        <c:ser>
          <c:idx val="0"/>
          <c:order val="0"/>
          <c:tx>
            <c:strRef>
              <c:f>Figurer!$M$99</c:f>
              <c:strCache>
                <c:ptCount val="1"/>
                <c:pt idx="0">
                  <c:v>2024</c:v>
                </c:pt>
              </c:strCache>
            </c:strRef>
          </c:tx>
          <c:invertIfNegative val="0"/>
          <c:cat>
            <c:strRef>
              <c:f>Figurer!$L$100:$L$105</c:f>
              <c:strCache>
                <c:ptCount val="6"/>
                <c:pt idx="0">
                  <c:v>DNB Liv</c:v>
                </c:pt>
                <c:pt idx="1">
                  <c:v>Gjensidige Pensj</c:v>
                </c:pt>
                <c:pt idx="2">
                  <c:v>KLP</c:v>
                </c:pt>
                <c:pt idx="3">
                  <c:v>Nordea Liv</c:v>
                </c:pt>
                <c:pt idx="4">
                  <c:v>SpareBank 1 Forsikring</c:v>
                </c:pt>
                <c:pt idx="5">
                  <c:v>Storebrand Liv</c:v>
                </c:pt>
              </c:strCache>
            </c:strRef>
          </c:cat>
          <c:val>
            <c:numRef>
              <c:f>Figurer!$M$100:$M$105</c:f>
              <c:numCache>
                <c:formatCode>#,##0</c:formatCode>
                <c:ptCount val="6"/>
                <c:pt idx="0">
                  <c:v>142093</c:v>
                </c:pt>
                <c:pt idx="1">
                  <c:v>22481</c:v>
                </c:pt>
                <c:pt idx="2">
                  <c:v>-2455267.2319999998</c:v>
                </c:pt>
                <c:pt idx="3">
                  <c:v>-1336.18390000006</c:v>
                </c:pt>
                <c:pt idx="4">
                  <c:v>-7141.412620000001</c:v>
                </c:pt>
                <c:pt idx="5">
                  <c:v>2416464.1535</c:v>
                </c:pt>
              </c:numCache>
            </c:numRef>
          </c:val>
          <c:extLst>
            <c:ext xmlns:c16="http://schemas.microsoft.com/office/drawing/2014/chart" uri="{C3380CC4-5D6E-409C-BE32-E72D297353CC}">
              <c16:uniqueId val="{00000000-2BF8-4278-857F-91A0E7196849}"/>
            </c:ext>
          </c:extLst>
        </c:ser>
        <c:ser>
          <c:idx val="1"/>
          <c:order val="1"/>
          <c:tx>
            <c:strRef>
              <c:f>Figurer!$N$99</c:f>
              <c:strCache>
                <c:ptCount val="1"/>
                <c:pt idx="0">
                  <c:v>2025</c:v>
                </c:pt>
              </c:strCache>
            </c:strRef>
          </c:tx>
          <c:invertIfNegative val="0"/>
          <c:cat>
            <c:strRef>
              <c:f>Figurer!$L$100:$L$105</c:f>
              <c:strCache>
                <c:ptCount val="6"/>
                <c:pt idx="0">
                  <c:v>DNB Liv</c:v>
                </c:pt>
                <c:pt idx="1">
                  <c:v>Gjensidige Pensj</c:v>
                </c:pt>
                <c:pt idx="2">
                  <c:v>KLP</c:v>
                </c:pt>
                <c:pt idx="3">
                  <c:v>Nordea Liv</c:v>
                </c:pt>
                <c:pt idx="4">
                  <c:v>SpareBank 1 Forsikring</c:v>
                </c:pt>
                <c:pt idx="5">
                  <c:v>Storebrand Liv</c:v>
                </c:pt>
              </c:strCache>
            </c:strRef>
          </c:cat>
          <c:val>
            <c:numRef>
              <c:f>Figurer!$N$100:$N$105</c:f>
              <c:numCache>
                <c:formatCode>#,##0</c:formatCode>
                <c:ptCount val="6"/>
                <c:pt idx="0">
                  <c:v>147076</c:v>
                </c:pt>
                <c:pt idx="1">
                  <c:v>101054</c:v>
                </c:pt>
                <c:pt idx="2">
                  <c:v>-4249512.1230000006</c:v>
                </c:pt>
                <c:pt idx="3">
                  <c:v>-1617</c:v>
                </c:pt>
                <c:pt idx="4">
                  <c:v>883335.18560999993</c:v>
                </c:pt>
                <c:pt idx="5">
                  <c:v>3145828.2314200001</c:v>
                </c:pt>
              </c:numCache>
            </c:numRef>
          </c:val>
          <c:extLst>
            <c:ext xmlns:c16="http://schemas.microsoft.com/office/drawing/2014/chart" uri="{C3380CC4-5D6E-409C-BE32-E72D297353CC}">
              <c16:uniqueId val="{00000000-0891-419B-84DB-F579F6588129}"/>
            </c:ext>
          </c:extLst>
        </c:ser>
        <c:dLbls>
          <c:showLegendKey val="0"/>
          <c:showVal val="0"/>
          <c:showCatName val="0"/>
          <c:showSerName val="0"/>
          <c:showPercent val="0"/>
          <c:showBubbleSize val="0"/>
        </c:dLbls>
        <c:gapWidth val="150"/>
        <c:axId val="243201536"/>
        <c:axId val="243203072"/>
      </c:barChart>
      <c:catAx>
        <c:axId val="243201536"/>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nb-NO"/>
          </a:p>
        </c:txPr>
        <c:crossAx val="243203072"/>
        <c:crosses val="autoZero"/>
        <c:auto val="1"/>
        <c:lblAlgn val="ctr"/>
        <c:lblOffset val="100"/>
        <c:tickLblSkip val="1"/>
        <c:tickMarkSkip val="1"/>
        <c:noMultiLvlLbl val="0"/>
      </c:catAx>
      <c:valAx>
        <c:axId val="243203072"/>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2.1739130434782612E-2"/>
              <c:y val="0.35755283411244326"/>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201536"/>
        <c:crosses val="autoZero"/>
        <c:crossBetween val="between"/>
      </c:valAx>
    </c:plotArea>
    <c:legend>
      <c:legendPos val="b"/>
      <c:layout>
        <c:manualLayout>
          <c:xMode val="edge"/>
          <c:yMode val="edge"/>
          <c:x val="0.34737347369622462"/>
          <c:y val="0.94455128774817365"/>
          <c:w val="9.6515177450644751E-2"/>
          <c:h val="4.5533613518745276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7253853430922791"/>
          <c:y val="8.5614035087719767E-2"/>
          <c:w val="0.75564702786135474"/>
          <c:h val="0.63649189114519311"/>
        </c:manualLayout>
      </c:layout>
      <c:barChart>
        <c:barDir val="col"/>
        <c:grouping val="clustered"/>
        <c:varyColors val="0"/>
        <c:ser>
          <c:idx val="0"/>
          <c:order val="0"/>
          <c:tx>
            <c:strRef>
              <c:f>Figurer!$M$121</c:f>
              <c:strCache>
                <c:ptCount val="1"/>
                <c:pt idx="0">
                  <c:v>2024</c:v>
                </c:pt>
              </c:strCache>
            </c:strRef>
          </c:tx>
          <c:invertIfNegative val="0"/>
          <c:cat>
            <c:strRef>
              <c:f>Figurer!$L$122:$L$127</c:f>
              <c:strCache>
                <c:ptCount val="6"/>
                <c:pt idx="0">
                  <c:v>DNB Liv</c:v>
                </c:pt>
                <c:pt idx="1">
                  <c:v>Gjensidige Pensj</c:v>
                </c:pt>
                <c:pt idx="2">
                  <c:v>KLP</c:v>
                </c:pt>
                <c:pt idx="3">
                  <c:v>Nordea Liv</c:v>
                </c:pt>
                <c:pt idx="4">
                  <c:v>SpareBank 1 Forsikring</c:v>
                </c:pt>
                <c:pt idx="5">
                  <c:v>Storebrand Liv</c:v>
                </c:pt>
              </c:strCache>
            </c:strRef>
          </c:cat>
          <c:val>
            <c:numRef>
              <c:f>Figurer!$M$122:$M$127</c:f>
              <c:numCache>
                <c:formatCode>#,##0</c:formatCode>
                <c:ptCount val="6"/>
                <c:pt idx="0">
                  <c:v>-900203</c:v>
                </c:pt>
                <c:pt idx="1">
                  <c:v>432876</c:v>
                </c:pt>
                <c:pt idx="2">
                  <c:v>-182.05500000000001</c:v>
                </c:pt>
                <c:pt idx="3">
                  <c:v>-799067.74282999989</c:v>
                </c:pt>
                <c:pt idx="4">
                  <c:v>-297184.52006999985</c:v>
                </c:pt>
                <c:pt idx="5">
                  <c:v>59260.881069999654</c:v>
                </c:pt>
              </c:numCache>
            </c:numRef>
          </c:val>
          <c:extLst>
            <c:ext xmlns:c16="http://schemas.microsoft.com/office/drawing/2014/chart" uri="{C3380CC4-5D6E-409C-BE32-E72D297353CC}">
              <c16:uniqueId val="{00000000-B400-4C26-965B-0553A4A37873}"/>
            </c:ext>
          </c:extLst>
        </c:ser>
        <c:ser>
          <c:idx val="1"/>
          <c:order val="1"/>
          <c:tx>
            <c:strRef>
              <c:f>Figurer!$N$121</c:f>
              <c:strCache>
                <c:ptCount val="1"/>
                <c:pt idx="0">
                  <c:v>2025</c:v>
                </c:pt>
              </c:strCache>
            </c:strRef>
          </c:tx>
          <c:invertIfNegative val="0"/>
          <c:cat>
            <c:strRef>
              <c:f>Figurer!$L$122:$L$127</c:f>
              <c:strCache>
                <c:ptCount val="6"/>
                <c:pt idx="0">
                  <c:v>DNB Liv</c:v>
                </c:pt>
                <c:pt idx="1">
                  <c:v>Gjensidige Pensj</c:v>
                </c:pt>
                <c:pt idx="2">
                  <c:v>KLP</c:v>
                </c:pt>
                <c:pt idx="3">
                  <c:v>Nordea Liv</c:v>
                </c:pt>
                <c:pt idx="4">
                  <c:v>SpareBank 1 Forsikring</c:v>
                </c:pt>
                <c:pt idx="5">
                  <c:v>Storebrand Liv</c:v>
                </c:pt>
              </c:strCache>
            </c:strRef>
          </c:cat>
          <c:val>
            <c:numRef>
              <c:f>Figurer!$N$122:$N$127</c:f>
              <c:numCache>
                <c:formatCode>#,##0</c:formatCode>
                <c:ptCount val="6"/>
                <c:pt idx="0">
                  <c:v>191688.12112999987</c:v>
                </c:pt>
                <c:pt idx="1">
                  <c:v>1211447</c:v>
                </c:pt>
                <c:pt idx="2">
                  <c:v>0</c:v>
                </c:pt>
                <c:pt idx="3">
                  <c:v>-750691.37333999947</c:v>
                </c:pt>
                <c:pt idx="4">
                  <c:v>-242578.44872999983</c:v>
                </c:pt>
                <c:pt idx="5">
                  <c:v>-1684310.4050499997</c:v>
                </c:pt>
              </c:numCache>
            </c:numRef>
          </c:val>
          <c:extLst>
            <c:ext xmlns:c16="http://schemas.microsoft.com/office/drawing/2014/chart" uri="{C3380CC4-5D6E-409C-BE32-E72D297353CC}">
              <c16:uniqueId val="{00000001-B400-4C26-965B-0553A4A37873}"/>
            </c:ext>
          </c:extLst>
        </c:ser>
        <c:dLbls>
          <c:showLegendKey val="0"/>
          <c:showVal val="0"/>
          <c:showCatName val="0"/>
          <c:showSerName val="0"/>
          <c:showPercent val="0"/>
          <c:showBubbleSize val="0"/>
        </c:dLbls>
        <c:gapWidth val="150"/>
        <c:axId val="243686400"/>
        <c:axId val="243700480"/>
      </c:barChart>
      <c:catAx>
        <c:axId val="243686400"/>
        <c:scaling>
          <c:orientation val="minMax"/>
        </c:scaling>
        <c:delete val="0"/>
        <c:axPos val="b"/>
        <c:numFmt formatCode="General" sourceLinked="1"/>
        <c:majorTickMark val="out"/>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nb-NO"/>
          </a:p>
        </c:txPr>
        <c:crossAx val="243700480"/>
        <c:crosses val="autoZero"/>
        <c:auto val="1"/>
        <c:lblAlgn val="ctr"/>
        <c:lblOffset val="100"/>
        <c:tickLblSkip val="1"/>
        <c:tickMarkSkip val="1"/>
        <c:noMultiLvlLbl val="0"/>
      </c:catAx>
      <c:valAx>
        <c:axId val="243700480"/>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nb-NO"/>
                  <a:t>i 1000 kr.</a:t>
                </a:r>
              </a:p>
            </c:rich>
          </c:tx>
          <c:layout>
            <c:manualLayout>
              <c:xMode val="edge"/>
              <c:yMode val="edge"/>
              <c:x val="3.3875338753387642E-2"/>
              <c:y val="0.330526785811528"/>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43686400"/>
        <c:crosses val="autoZero"/>
        <c:crossBetween val="between"/>
      </c:valAx>
    </c:plotArea>
    <c:legend>
      <c:legendPos val="b"/>
      <c:layout>
        <c:manualLayout>
          <c:xMode val="edge"/>
          <c:yMode val="edge"/>
          <c:x val="0.35049740733627832"/>
          <c:y val="0.93473780507726956"/>
          <c:w val="0.23080411696505387"/>
          <c:h val="4.8421167271103877E-2"/>
        </c:manualLayout>
      </c:layout>
      <c:overlay val="0"/>
      <c:txPr>
        <a:bodyPr/>
        <a:lstStyle/>
        <a:p>
          <a:pPr>
            <a:defRPr sz="710" b="0" i="0" u="none" strike="noStrike" baseline="0">
              <a:solidFill>
                <a:srgbClr val="000000"/>
              </a:solidFill>
              <a:latin typeface="Calibri"/>
              <a:ea typeface="Calibri"/>
              <a:cs typeface="Calibri"/>
            </a:defRPr>
          </a:pPr>
          <a:endParaRPr lang="nb-N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nb-NO"/>
    </a:p>
  </c:txPr>
  <c:printSettings>
    <c:headerFooter alignWithMargins="0"/>
    <c:pageMargins b="0.98425196899999956" l="0.78740157499999996" r="0.78740157499999996" t="0.98425196899999956"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389792</xdr:colOff>
      <xdr:row>15</xdr:row>
      <xdr:rowOff>381000</xdr:rowOff>
    </xdr:from>
    <xdr:to>
      <xdr:col>4</xdr:col>
      <xdr:colOff>598714</xdr:colOff>
      <xdr:row>17</xdr:row>
      <xdr:rowOff>137745</xdr:rowOff>
    </xdr:to>
    <xdr:sp macro="" textlink="">
      <xdr:nvSpPr>
        <xdr:cNvPr id="2" name="Text Box 6">
          <a:extLst>
            <a:ext uri="{FF2B5EF4-FFF2-40B4-BE49-F238E27FC236}">
              <a16:creationId xmlns:a16="http://schemas.microsoft.com/office/drawing/2014/main" id="{499D6C09-8686-4BF0-B91B-3858981A64B8}"/>
            </a:ext>
          </a:extLst>
        </xdr:cNvPr>
        <xdr:cNvSpPr txBox="1"/>
      </xdr:nvSpPr>
      <xdr:spPr>
        <a:xfrm>
          <a:off x="389792" y="3343275"/>
          <a:ext cx="3256922" cy="613995"/>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1600" b="1">
              <a:effectLst/>
              <a:latin typeface="Arial"/>
              <a:ea typeface="ＭＳ 明朝"/>
              <a:cs typeface="Times New Roman"/>
            </a:rPr>
            <a:t>1. KVARTAL 2025 </a:t>
          </a:r>
          <a:r>
            <a:rPr lang="nb-NO" sz="1200">
              <a:effectLst/>
              <a:latin typeface="Arial"/>
              <a:ea typeface="ＭＳ 明朝"/>
              <a:cs typeface="Times New Roman"/>
            </a:rPr>
            <a:t>(28</a:t>
          </a:r>
          <a:r>
            <a:rPr lang="nb-NO" sz="1200">
              <a:solidFill>
                <a:schemeClr val="dk1"/>
              </a:solidFill>
              <a:effectLst/>
              <a:latin typeface="Arial"/>
              <a:ea typeface="ＭＳ 明朝"/>
              <a:cs typeface="Times New Roman"/>
            </a:rPr>
            <a:t>.05.2025</a:t>
          </a:r>
          <a:r>
            <a:rPr lang="nb-NO" sz="1200">
              <a:effectLst/>
              <a:latin typeface="Arial"/>
              <a:ea typeface="ＭＳ 明朝"/>
              <a:cs typeface="Times New Roman"/>
            </a:rPr>
            <a:t>)</a:t>
          </a:r>
          <a:endParaRPr lang="nb-NO" sz="1200">
            <a:effectLst/>
            <a:ea typeface="ＭＳ 明朝"/>
            <a:cs typeface="Times New Roman"/>
          </a:endParaRPr>
        </a:p>
      </xdr:txBody>
    </xdr:sp>
    <xdr:clientData/>
  </xdr:twoCellAnchor>
  <xdr:twoCellAnchor>
    <xdr:from>
      <xdr:col>0</xdr:col>
      <xdr:colOff>306161</xdr:colOff>
      <xdr:row>11</xdr:row>
      <xdr:rowOff>31750</xdr:rowOff>
    </xdr:from>
    <xdr:to>
      <xdr:col>12</xdr:col>
      <xdr:colOff>677636</xdr:colOff>
      <xdr:row>15</xdr:row>
      <xdr:rowOff>391583</xdr:rowOff>
    </xdr:to>
    <xdr:sp macro="" textlink="">
      <xdr:nvSpPr>
        <xdr:cNvPr id="3" name="Text Box 4">
          <a:extLst>
            <a:ext uri="{FF2B5EF4-FFF2-40B4-BE49-F238E27FC236}">
              <a16:creationId xmlns:a16="http://schemas.microsoft.com/office/drawing/2014/main" id="{4B1AAB3F-EC6D-47A5-BFC8-57614BB19A63}"/>
            </a:ext>
          </a:extLst>
        </xdr:cNvPr>
        <xdr:cNvSpPr txBox="1"/>
      </xdr:nvSpPr>
      <xdr:spPr>
        <a:xfrm>
          <a:off x="306161" y="2053167"/>
          <a:ext cx="9515475" cy="1269999"/>
        </a:xfrm>
        <a:prstGeom prst="rect">
          <a:avLst/>
        </a:prstGeom>
        <a:noFill/>
        <a:ln>
          <a:noFill/>
        </a:ln>
        <a:effectLst/>
        <a:extLst>
          <a:ext uri="{C572A759-6A51-4108-AA02-DFA0A04FC94B}">
            <ma14:wrappingTextBoxFlag xmlns="" xmlns:ma14="http://schemas.microsoft.com/office/mac/drawingml/2011/main"/>
          </a:ext>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nb-NO" sz="2800" b="1">
              <a:solidFill>
                <a:srgbClr val="005670"/>
              </a:solidFill>
              <a:effectLst/>
              <a:latin typeface="Arial"/>
              <a:ea typeface="ＭＳ 明朝"/>
              <a:cs typeface="Times New Roman"/>
            </a:rPr>
            <a:t>Markedsandeler</a:t>
          </a:r>
        </a:p>
        <a:p>
          <a:pPr>
            <a:spcAft>
              <a:spcPts val="0"/>
            </a:spcAft>
          </a:pPr>
          <a:r>
            <a:rPr lang="nb-NO" sz="2200" b="0" baseline="0">
              <a:solidFill>
                <a:srgbClr val="005670"/>
              </a:solidFill>
              <a:effectLst/>
              <a:latin typeface="Arial"/>
              <a:ea typeface="ＭＳ 明朝"/>
              <a:cs typeface="Times New Roman"/>
            </a:rPr>
            <a:t> </a:t>
          </a:r>
          <a:r>
            <a:rPr lang="nb-NO" sz="2600" b="0" baseline="0">
              <a:solidFill>
                <a:srgbClr val="005670"/>
              </a:solidFill>
              <a:effectLst/>
              <a:latin typeface="Arial"/>
              <a:ea typeface="ＭＳ 明朝"/>
              <a:cs typeface="Times New Roman"/>
            </a:rPr>
            <a:t>- endelige tall og regnskapsstatistikk</a:t>
          </a:r>
          <a:r>
            <a:rPr lang="nb-NO" sz="2800" b="0">
              <a:solidFill>
                <a:srgbClr val="005670"/>
              </a:solidFill>
              <a:effectLst/>
              <a:latin typeface="Arial"/>
              <a:ea typeface="ＭＳ 明朝"/>
              <a:cs typeface="Times New Roman"/>
            </a:rPr>
            <a:t>	</a:t>
          </a:r>
          <a:endParaRPr lang="nb-NO" sz="1200" b="0">
            <a:solidFill>
              <a:srgbClr val="005670"/>
            </a:solidFill>
            <a:effectLst/>
            <a:ea typeface="ＭＳ 明朝"/>
            <a:cs typeface="Times New Roman"/>
          </a:endParaRPr>
        </a:p>
      </xdr:txBody>
    </xdr:sp>
    <xdr:clientData/>
  </xdr:twoCellAnchor>
  <xdr:twoCellAnchor editAs="oneCell">
    <xdr:from>
      <xdr:col>0</xdr:col>
      <xdr:colOff>419099</xdr:colOff>
      <xdr:row>2</xdr:row>
      <xdr:rowOff>35523</xdr:rowOff>
    </xdr:from>
    <xdr:to>
      <xdr:col>6</xdr:col>
      <xdr:colOff>412750</xdr:colOff>
      <xdr:row>9</xdr:row>
      <xdr:rowOff>201083</xdr:rowOff>
    </xdr:to>
    <xdr:pic>
      <xdr:nvPicPr>
        <xdr:cNvPr id="4" name="Bilde 7">
          <a:extLst>
            <a:ext uri="{FF2B5EF4-FFF2-40B4-BE49-F238E27FC236}">
              <a16:creationId xmlns:a16="http://schemas.microsoft.com/office/drawing/2014/main" id="{1A0320DA-F81B-48DC-A876-A2AA50D0D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099" y="353023"/>
          <a:ext cx="4565651" cy="1414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6</xdr:row>
      <xdr:rowOff>0</xdr:rowOff>
    </xdr:from>
    <xdr:to>
      <xdr:col>9</xdr:col>
      <xdr:colOff>352425</xdr:colOff>
      <xdr:row>27</xdr:row>
      <xdr:rowOff>9525</xdr:rowOff>
    </xdr:to>
    <xdr:graphicFrame macro="">
      <xdr:nvGraphicFramePr>
        <xdr:cNvPr id="2" name="Chart 1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31</xdr:row>
      <xdr:rowOff>219075</xdr:rowOff>
    </xdr:from>
    <xdr:to>
      <xdr:col>9</xdr:col>
      <xdr:colOff>285750</xdr:colOff>
      <xdr:row>50</xdr:row>
      <xdr:rowOff>123825</xdr:rowOff>
    </xdr:to>
    <xdr:graphicFrame macro="">
      <xdr:nvGraphicFramePr>
        <xdr:cNvPr id="3" name="Chart 1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56</xdr:row>
      <xdr:rowOff>228600</xdr:rowOff>
    </xdr:from>
    <xdr:to>
      <xdr:col>9</xdr:col>
      <xdr:colOff>142875</xdr:colOff>
      <xdr:row>73</xdr:row>
      <xdr:rowOff>180975</xdr:rowOff>
    </xdr:to>
    <xdr:graphicFrame macro="">
      <xdr:nvGraphicFramePr>
        <xdr:cNvPr id="6" name="Chart 1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81</xdr:row>
      <xdr:rowOff>57150</xdr:rowOff>
    </xdr:from>
    <xdr:to>
      <xdr:col>9</xdr:col>
      <xdr:colOff>123825</xdr:colOff>
      <xdr:row>100</xdr:row>
      <xdr:rowOff>114300</xdr:rowOff>
    </xdr:to>
    <xdr:graphicFrame macro="">
      <xdr:nvGraphicFramePr>
        <xdr:cNvPr id="7" name="Chart 1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28575</xdr:colOff>
      <xdr:row>107</xdr:row>
      <xdr:rowOff>28575</xdr:rowOff>
    </xdr:from>
    <xdr:to>
      <xdr:col>9</xdr:col>
      <xdr:colOff>180975</xdr:colOff>
      <xdr:row>123</xdr:row>
      <xdr:rowOff>200025</xdr:rowOff>
    </xdr:to>
    <xdr:graphicFrame macro="">
      <xdr:nvGraphicFramePr>
        <xdr:cNvPr id="8" name="Chart 1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131</xdr:row>
      <xdr:rowOff>57150</xdr:rowOff>
    </xdr:from>
    <xdr:to>
      <xdr:col>9</xdr:col>
      <xdr:colOff>171450</xdr:colOff>
      <xdr:row>149</xdr:row>
      <xdr:rowOff>123825</xdr:rowOff>
    </xdr:to>
    <xdr:graphicFrame macro="">
      <xdr:nvGraphicFramePr>
        <xdr:cNvPr id="9" name="Chart 1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xdr:colOff>
      <xdr:row>4</xdr:row>
      <xdr:rowOff>137583</xdr:rowOff>
    </xdr:from>
    <xdr:to>
      <xdr:col>0</xdr:col>
      <xdr:colOff>4064000</xdr:colOff>
      <xdr:row>40</xdr:row>
      <xdr:rowOff>84666</xdr:rowOff>
    </xdr:to>
    <xdr:sp macro="" textlink="">
      <xdr:nvSpPr>
        <xdr:cNvPr id="4" name="Text Box 1026">
          <a:extLst>
            <a:ext uri="{FF2B5EF4-FFF2-40B4-BE49-F238E27FC236}">
              <a16:creationId xmlns:a16="http://schemas.microsoft.com/office/drawing/2014/main" id="{00000000-0008-0000-2100-000004000000}"/>
            </a:ext>
          </a:extLst>
        </xdr:cNvPr>
        <xdr:cNvSpPr txBox="1">
          <a:spLocks noChangeArrowheads="1"/>
        </xdr:cNvSpPr>
      </xdr:nvSpPr>
      <xdr:spPr bwMode="auto">
        <a:xfrm>
          <a:off x="10583" y="772583"/>
          <a:ext cx="4053417" cy="10318750"/>
        </a:xfrm>
        <a:prstGeom prst="rect">
          <a:avLst/>
        </a:prstGeom>
        <a:solidFill>
          <a:srgbClr val="FFFFFF"/>
        </a:solidFill>
        <a:ln w="9525">
          <a:noFill/>
          <a:miter lim="800000"/>
          <a:headEnd/>
          <a:tailEnd/>
        </a:ln>
      </xdr:spPr>
      <xdr:txBody>
        <a:bodyPr vertOverflow="clip" wrap="square" lIns="36576" tIns="32004" rIns="0" bIns="0" anchor="t" upright="1"/>
        <a:lstStyle/>
        <a:p>
          <a:pPr algn="l" rtl="0">
            <a:lnSpc>
              <a:spcPts val="1600"/>
            </a:lnSpc>
            <a:defRPr sz="1000"/>
          </a:pPr>
          <a:r>
            <a:rPr lang="nb-NO" sz="1200" b="1" i="0" strike="noStrike">
              <a:solidFill>
                <a:srgbClr val="000000"/>
              </a:solidFill>
              <a:latin typeface="Times New Roman"/>
              <a:cs typeface="Times New Roman"/>
            </a:rPr>
            <a:t>Selskaper som inngår i statistikken</a:t>
          </a:r>
        </a:p>
        <a:p>
          <a:pPr algn="l" rtl="0">
            <a:lnSpc>
              <a:spcPts val="1600"/>
            </a:lnSpc>
            <a:defRPr sz="1000"/>
          </a:pPr>
          <a:r>
            <a:rPr lang="nb-NO" sz="1200" b="0" i="0" strike="noStrike">
              <a:solidFill>
                <a:srgbClr val="000000"/>
              </a:solidFill>
              <a:latin typeface="Times New Roman"/>
              <a:cs typeface="Times New Roman"/>
            </a:rPr>
            <a:t>Statistikken viser tall for medlemsselskaper i Finans Norge som </a:t>
          </a:r>
          <a:br>
            <a:rPr lang="nb-NO" sz="1200" b="0" i="0" strike="noStrike">
              <a:solidFill>
                <a:srgbClr val="000000"/>
              </a:solidFill>
              <a:latin typeface="Times New Roman"/>
              <a:cs typeface="Times New Roman"/>
            </a:rPr>
          </a:br>
          <a:r>
            <a:rPr lang="nb-NO" sz="1200" b="0" i="0" strike="noStrike">
              <a:solidFill>
                <a:srgbClr val="000000"/>
              </a:solidFill>
              <a:latin typeface="Times New Roman"/>
              <a:cs typeface="Times New Roman"/>
            </a:rPr>
            <a:t>selger livprodukter.</a:t>
          </a:r>
        </a:p>
        <a:p>
          <a:pPr algn="l" rtl="0">
            <a:lnSpc>
              <a:spcPts val="1600"/>
            </a:lnSpc>
            <a:defRPr sz="1000"/>
          </a:pPr>
          <a:endParaRPr lang="nb-NO" sz="1200" b="1" i="0" strike="noStrike">
            <a:solidFill>
              <a:srgbClr val="000000"/>
            </a:solidFill>
            <a:latin typeface="Times New Roman"/>
            <a:cs typeface="Times New Roman"/>
          </a:endParaRPr>
        </a:p>
        <a:p>
          <a:pPr algn="l" rtl="0">
            <a:lnSpc>
              <a:spcPts val="1600"/>
            </a:lnSpc>
            <a:defRPr sz="1000"/>
          </a:pPr>
          <a:r>
            <a:rPr lang="nb-NO" sz="1200" b="0" i="0" u="sng" strike="noStrike">
              <a:solidFill>
                <a:srgbClr val="000000"/>
              </a:solidFill>
              <a:latin typeface="Times New Roman"/>
              <a:cs typeface="Times New Roman"/>
            </a:rPr>
            <a:t>Produkter uten investeringsvalg</a:t>
          </a:r>
          <a:r>
            <a:rPr lang="nb-NO" sz="1200" b="0" i="0" strike="noStrike">
              <a:solidFill>
                <a:srgbClr val="000000"/>
              </a:solidFill>
              <a:latin typeface="Times New Roman"/>
              <a:cs typeface="Times New Roman"/>
            </a:rPr>
            <a:t>:</a:t>
          </a:r>
        </a:p>
        <a:p>
          <a:pPr marL="0" marR="0" indent="0" algn="l" defTabSz="914400" rtl="0" eaLnBrk="1" fontAlgn="auto" latinLnBrk="0" hangingPunct="1">
            <a:lnSpc>
              <a:spcPts val="1600"/>
            </a:lnSpc>
            <a:spcBef>
              <a:spcPts val="0"/>
            </a:spcBef>
            <a:spcAft>
              <a:spcPts val="0"/>
            </a:spcAft>
            <a:buClrTx/>
            <a:buSzTx/>
            <a:buFontTx/>
            <a:buNone/>
            <a:tabLst/>
            <a:defRPr sz="1000"/>
          </a:pPr>
          <a:r>
            <a:rPr lang="nb-NO" sz="1200" b="0" i="0" strike="noStrike">
              <a:solidFill>
                <a:srgbClr val="000000"/>
              </a:solidFill>
              <a:latin typeface="Times New Roman"/>
              <a:cs typeface="Times New Roman"/>
            </a:rPr>
            <a:t>DNB Livsforsikring ASA</a:t>
          </a:r>
          <a:endParaRPr lang="nb-NO" sz="1200" b="0" i="0" strike="noStrike" baseline="0">
            <a:solidFill>
              <a:srgbClr val="000000"/>
            </a:solidFill>
            <a:latin typeface="Times New Roman"/>
            <a:cs typeface="Times New Roman"/>
          </a:endParaRPr>
        </a:p>
        <a:p>
          <a:pPr algn="l" rtl="0">
            <a:lnSpc>
              <a:spcPts val="1600"/>
            </a:lnSpc>
            <a:defRPr sz="1000"/>
          </a:pPr>
          <a:r>
            <a:rPr lang="nb-NO" sz="1200" b="0" i="0" strike="noStrike" baseline="0">
              <a:solidFill>
                <a:srgbClr val="000000"/>
              </a:solidFill>
              <a:latin typeface="Times New Roman"/>
              <a:cs typeface="Times New Roman"/>
            </a:rPr>
            <a:t>Euro Accident</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Fremtind Livsforsikring</a:t>
          </a:r>
        </a:p>
        <a:p>
          <a:pPr algn="l" rtl="0">
            <a:lnSpc>
              <a:spcPts val="1600"/>
            </a:lnSpc>
            <a:defRPr sz="1000"/>
          </a:pPr>
          <a:r>
            <a:rPr lang="nb-NO" sz="1200" b="0" i="0" strike="noStrike">
              <a:solidFill>
                <a:srgbClr val="000000"/>
              </a:solidFill>
              <a:latin typeface="Times New Roman"/>
              <a:cs typeface="Times New Roman"/>
            </a:rPr>
            <a:t>Frende Livsforsikring</a:t>
          </a:r>
        </a:p>
        <a:p>
          <a:pPr algn="l" rtl="0">
            <a:lnSpc>
              <a:spcPts val="1600"/>
            </a:lnSpc>
            <a:defRPr sz="1000"/>
          </a:pPr>
          <a:r>
            <a:rPr lang="nb-NO" sz="1200" b="0" i="0" strike="noStrike">
              <a:solidFill>
                <a:srgbClr val="000000"/>
              </a:solidFill>
              <a:latin typeface="Times New Roman"/>
              <a:cs typeface="Times New Roman"/>
            </a:rPr>
            <a:t>Frende Skadeforsikring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Gjensidige Forsikring (skadeselskap)</a:t>
          </a:r>
        </a:p>
        <a:p>
          <a:pPr algn="l" rtl="0">
            <a:lnSpc>
              <a:spcPts val="1600"/>
            </a:lnSpc>
            <a:defRPr sz="1000"/>
          </a:pPr>
          <a:r>
            <a:rPr lang="nb-NO" sz="1200" b="0" i="0" strike="noStrike">
              <a:solidFill>
                <a:srgbClr val="000000"/>
              </a:solidFill>
              <a:latin typeface="Times New Roman"/>
              <a:cs typeface="Times New Roman"/>
            </a:rPr>
            <a:t>Gjensidige Pensjonsforsikring</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If Skadeforsikring NUF (skadeselskap)</a:t>
          </a:r>
        </a:p>
        <a:p>
          <a:pPr algn="l" rtl="0">
            <a:lnSpc>
              <a:spcPts val="1600"/>
            </a:lnSpc>
            <a:defRPr sz="1000"/>
          </a:pPr>
          <a:r>
            <a:rPr lang="nb-NO" sz="1200" b="0" i="0" strike="noStrike">
              <a:solidFill>
                <a:srgbClr val="000000"/>
              </a:solidFill>
              <a:latin typeface="Times New Roman"/>
              <a:cs typeface="Times New Roman"/>
            </a:rPr>
            <a:t>KLP</a:t>
          </a:r>
        </a:p>
        <a:p>
          <a:pPr algn="l" rtl="0">
            <a:lnSpc>
              <a:spcPts val="1600"/>
            </a:lnSpc>
            <a:defRPr sz="1000"/>
          </a:pPr>
          <a:r>
            <a:rPr lang="nb-NO" sz="1200" b="0" i="0" strike="noStrike" baseline="0">
              <a:solidFill>
                <a:srgbClr val="000000"/>
              </a:solidFill>
              <a:latin typeface="Times New Roman"/>
              <a:cs typeface="Times New Roman"/>
            </a:rPr>
            <a:t>KLP Skadeforsikring AS</a:t>
          </a:r>
        </a:p>
        <a:p>
          <a:pPr algn="l" rtl="0">
            <a:lnSpc>
              <a:spcPts val="1600"/>
            </a:lnSpc>
            <a:defRPr sz="1000"/>
          </a:pPr>
          <a:r>
            <a:rPr lang="nb-NO" sz="1200" b="0" i="0" strike="noStrike" baseline="0">
              <a:solidFill>
                <a:srgbClr val="000000"/>
              </a:solidFill>
              <a:latin typeface="Times New Roman"/>
              <a:cs typeface="Times New Roman"/>
            </a:rPr>
            <a:t>Landkreditt Forsikring (skadeselskap)</a:t>
          </a: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Nordea Liv Forsikring</a:t>
          </a:r>
        </a:p>
        <a:p>
          <a:pPr algn="l" rtl="0">
            <a:lnSpc>
              <a:spcPts val="1600"/>
            </a:lnSpc>
            <a:defRPr sz="1000"/>
          </a:pPr>
          <a:r>
            <a:rPr lang="nb-NO" sz="1200" b="0" i="0" strike="noStrike">
              <a:solidFill>
                <a:srgbClr val="000000"/>
              </a:solidFill>
              <a:latin typeface="Times New Roman"/>
              <a:cs typeface="Times New Roman"/>
            </a:rPr>
            <a:t>Ly Forsikring (skadeselskap)</a:t>
          </a:r>
        </a:p>
        <a:p>
          <a:pPr algn="l" rtl="0">
            <a:lnSpc>
              <a:spcPts val="1700"/>
            </a:lnSpc>
            <a:defRPr sz="1000"/>
          </a:pPr>
          <a:r>
            <a:rPr lang="nb-NO" sz="1200" b="0" i="0" strike="noStrike">
              <a:solidFill>
                <a:srgbClr val="000000"/>
              </a:solidFill>
              <a:latin typeface="Times New Roman"/>
              <a:cs typeface="Times New Roman"/>
            </a:rPr>
            <a:t>Oslo Pensjonsforsikring</a:t>
          </a:r>
        </a:p>
        <a:p>
          <a:pPr algn="l" rtl="0">
            <a:lnSpc>
              <a:spcPts val="1600"/>
            </a:lnSpc>
            <a:defRPr sz="1000"/>
          </a:pPr>
          <a:r>
            <a:rPr lang="nb-NO" sz="1200" b="0" i="0" strike="noStrike">
              <a:solidFill>
                <a:srgbClr val="000000"/>
              </a:solidFill>
              <a:latin typeface="Times New Roman"/>
              <a:cs typeface="Times New Roman"/>
            </a:rPr>
            <a:t>Protector Forsikring (skadeselskap)</a:t>
          </a:r>
        </a:p>
        <a:p>
          <a:pPr algn="l" rtl="0">
            <a:lnSpc>
              <a:spcPts val="1700"/>
            </a:lnSpc>
            <a:defRPr sz="1000"/>
          </a:pPr>
          <a:r>
            <a:rPr lang="nb-NO" sz="1200" b="0" i="0" strike="noStrike">
              <a:solidFill>
                <a:srgbClr val="000000"/>
              </a:solidFill>
              <a:latin typeface="Times New Roman"/>
              <a:cs typeface="Times New Roman"/>
            </a:rPr>
            <a:t>SpareBank 1 Forsikring</a:t>
          </a:r>
        </a:p>
        <a:p>
          <a:pPr algn="l" rtl="0">
            <a:lnSpc>
              <a:spcPts val="1600"/>
            </a:lnSpc>
            <a:defRPr sz="1000"/>
          </a:pPr>
          <a:r>
            <a:rPr lang="nb-NO" sz="1200" b="0" i="0" strike="noStrike">
              <a:solidFill>
                <a:srgbClr val="000000"/>
              </a:solidFill>
              <a:latin typeface="Times New Roman"/>
              <a:cs typeface="Times New Roman"/>
            </a:rPr>
            <a:t>Storebrand Livsforsikring</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Telenor 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Tryg Forsikring (skadeselskap)</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WaterCircles Forsikring (Skadeforsikring)</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nb-NO" sz="1200" b="0" i="0" u="none" strike="noStrike" kern="0" cap="none" spc="0" normalizeH="0" baseline="0" noProof="0">
              <a:ln>
                <a:noFill/>
              </a:ln>
              <a:solidFill>
                <a:srgbClr val="000000"/>
              </a:solidFill>
              <a:effectLst/>
              <a:uLnTx/>
              <a:uFillTx/>
              <a:latin typeface="Times New Roman"/>
              <a:ea typeface="+mn-ea"/>
              <a:cs typeface="Times New Roman"/>
            </a:rPr>
            <a:t>Youplus Livsforsikring nuf</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700"/>
            </a:lnSpc>
            <a:defRPr sz="1000"/>
          </a:pPr>
          <a:r>
            <a:rPr lang="nb-NO" sz="1200" b="0" i="0" u="sng" strike="noStrike">
              <a:solidFill>
                <a:srgbClr val="000000"/>
              </a:solidFill>
              <a:latin typeface="Times New Roman"/>
              <a:cs typeface="Times New Roman"/>
            </a:rPr>
            <a:t>Produkter med investeringsvalg</a:t>
          </a:r>
          <a:r>
            <a:rPr lang="nb-NO" sz="1200" b="0" i="0" strike="noStrike">
              <a:solidFill>
                <a:srgbClr val="000000"/>
              </a:solidFill>
              <a:latin typeface="Times New Roman"/>
              <a:cs typeface="Times New Roman"/>
            </a:rPr>
            <a:t>:</a:t>
          </a:r>
        </a:p>
        <a:p>
          <a:pPr algn="l" rtl="0">
            <a:lnSpc>
              <a:spcPts val="1700"/>
            </a:lnSpc>
            <a:defRPr sz="1000"/>
          </a:pPr>
          <a:r>
            <a:rPr lang="nb-NO" sz="1200" b="0" i="0" strike="noStrike">
              <a:solidFill>
                <a:srgbClr val="000000"/>
              </a:solidFill>
              <a:latin typeface="Times New Roman"/>
              <a:cs typeface="Times New Roman"/>
            </a:rPr>
            <a:t>DNB Livsforsikring ASA</a:t>
          </a:r>
        </a:p>
        <a:p>
          <a:pPr algn="l" rtl="0">
            <a:lnSpc>
              <a:spcPts val="1600"/>
            </a:lnSpc>
            <a:defRPr sz="1000"/>
          </a:pPr>
          <a:r>
            <a:rPr lang="nb-NO" sz="1200" b="0" i="0" strike="noStrike">
              <a:solidFill>
                <a:srgbClr val="000000"/>
              </a:solidFill>
              <a:latin typeface="Times New Roman"/>
              <a:cs typeface="Times New Roman"/>
            </a:rPr>
            <a:t>Gjensidige Pensjonsforsikring</a:t>
          </a:r>
        </a:p>
        <a:p>
          <a:pPr algn="l" rtl="0">
            <a:lnSpc>
              <a:spcPts val="1700"/>
            </a:lnSpc>
            <a:defRPr sz="1000"/>
          </a:pPr>
          <a:r>
            <a:rPr lang="nb-NO" sz="1200" b="0" i="0" strike="noStrike">
              <a:solidFill>
                <a:srgbClr val="000000"/>
              </a:solidFill>
              <a:latin typeface="Times New Roman"/>
              <a:cs typeface="Times New Roman"/>
            </a:rPr>
            <a:t>KLP</a:t>
          </a:r>
        </a:p>
        <a:p>
          <a:pPr algn="l" rtl="0">
            <a:lnSpc>
              <a:spcPts val="1700"/>
            </a:lnSpc>
            <a:defRPr sz="1000"/>
          </a:pPr>
          <a:r>
            <a:rPr lang="nb-NO" sz="1200" b="0" i="0" strike="noStrike">
              <a:solidFill>
                <a:srgbClr val="000000"/>
              </a:solidFill>
              <a:latin typeface="Times New Roman"/>
              <a:cs typeface="Times New Roman"/>
            </a:rPr>
            <a:t>Nordea Liv Forsikring</a:t>
          </a:r>
          <a:endParaRPr kumimoji="0" lang="nb-NO" sz="1200" b="0" i="0" u="none" strike="noStrike" kern="0" cap="none" spc="0" normalizeH="0" baseline="0" noProof="0">
            <a:ln>
              <a:noFill/>
            </a:ln>
            <a:solidFill>
              <a:srgbClr val="000000"/>
            </a:solidFill>
            <a:effectLst/>
            <a:uLnTx/>
            <a:uFillTx/>
            <a:latin typeface="Times New Roman"/>
            <a:ea typeface="+mn-ea"/>
            <a:cs typeface="Times New Roman"/>
          </a:endParaRPr>
        </a:p>
        <a:p>
          <a:pPr algn="l" rtl="0">
            <a:lnSpc>
              <a:spcPts val="1600"/>
            </a:lnSpc>
            <a:defRPr sz="1000"/>
          </a:pPr>
          <a:r>
            <a:rPr lang="nb-NO" sz="1200" b="0" i="0" strike="noStrike">
              <a:solidFill>
                <a:srgbClr val="000000"/>
              </a:solidFill>
              <a:latin typeface="Times New Roman"/>
              <a:cs typeface="Times New Roman"/>
            </a:rPr>
            <a:t>SpareBank 1 Forsikring</a:t>
          </a:r>
        </a:p>
        <a:p>
          <a:pPr algn="l" rtl="0">
            <a:lnSpc>
              <a:spcPts val="1700"/>
            </a:lnSpc>
            <a:defRPr sz="1000"/>
          </a:pPr>
          <a:r>
            <a:rPr lang="nb-NO" sz="1200" b="0" i="0" strike="noStrike">
              <a:solidFill>
                <a:srgbClr val="000000"/>
              </a:solidFill>
              <a:latin typeface="Times New Roman"/>
              <a:cs typeface="Times New Roman"/>
            </a:rPr>
            <a:t>Storebrand Livsforsikring</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600"/>
            </a:lnSpc>
            <a:defRPr sz="1000"/>
          </a:pPr>
          <a:r>
            <a:rPr lang="nb-NO" sz="1200" b="0" i="0" u="sng" strike="noStrike">
              <a:solidFill>
                <a:srgbClr val="000000"/>
              </a:solidFill>
              <a:latin typeface="Times New Roman"/>
              <a:cs typeface="Times New Roman"/>
            </a:rPr>
            <a:t>Utenlandske filialer</a:t>
          </a:r>
          <a:r>
            <a:rPr lang="nb-NO" sz="1200" b="0" i="0" strike="noStrike">
              <a:solidFill>
                <a:srgbClr val="000000"/>
              </a:solidFill>
              <a:latin typeface="Times New Roman"/>
              <a:cs typeface="Times New Roman"/>
            </a:rPr>
            <a:t>:</a:t>
          </a:r>
        </a:p>
        <a:p>
          <a:pPr algn="l" rtl="0">
            <a:lnSpc>
              <a:spcPts val="1700"/>
            </a:lnSpc>
            <a:defRPr sz="1000"/>
          </a:pPr>
          <a:r>
            <a:rPr lang="nb-NO" sz="1200" b="0" i="0" strike="noStrike">
              <a:solidFill>
                <a:srgbClr val="000000"/>
              </a:solidFill>
              <a:latin typeface="Times New Roman"/>
              <a:cs typeface="Times New Roman"/>
            </a:rPr>
            <a:t>Disse har ikke samme krav til regnskapsføring som norske livselskaper, og rapporterer derfor kun utvalgte</a:t>
          </a:r>
          <a:r>
            <a:rPr lang="nb-NO" sz="1200" b="0" i="0" strike="noStrike" baseline="0">
              <a:solidFill>
                <a:srgbClr val="000000"/>
              </a:solidFill>
              <a:latin typeface="Times New Roman"/>
              <a:cs typeface="Times New Roman"/>
            </a:rPr>
            <a:t> poster</a:t>
          </a:r>
          <a:r>
            <a:rPr lang="nb-NO" sz="1200" b="0" i="0" strike="noStrike">
              <a:solidFill>
                <a:srgbClr val="000000"/>
              </a:solidFill>
              <a:latin typeface="Times New Roman"/>
              <a:cs typeface="Times New Roman"/>
            </a:rPr>
            <a:t>.</a:t>
          </a:r>
        </a:p>
        <a:p>
          <a:pPr algn="l" rtl="0">
            <a:lnSpc>
              <a:spcPts val="1600"/>
            </a:lnSpc>
            <a:defRPr sz="1000"/>
          </a:pPr>
          <a:endParaRPr lang="nb-NO" sz="1200" b="0" i="0" strike="noStrike">
            <a:solidFill>
              <a:srgbClr val="000000"/>
            </a:solidFill>
            <a:latin typeface="Times New Roman"/>
            <a:cs typeface="Times New Roman"/>
          </a:endParaRPr>
        </a:p>
        <a:p>
          <a:pPr algn="l" rtl="0">
            <a:lnSpc>
              <a:spcPts val="1600"/>
            </a:lnSpc>
            <a:defRPr sz="1000"/>
          </a:pPr>
          <a:r>
            <a:rPr lang="nb-NO" sz="1200" b="0" i="0" strike="noStrike">
              <a:solidFill>
                <a:srgbClr val="000000"/>
              </a:solidFill>
              <a:latin typeface="Times New Roman"/>
              <a:cs typeface="Times New Roman"/>
            </a:rPr>
            <a:t>I figurer og tabeller har enkelte selskap "forkortede" navn.</a:t>
          </a:r>
        </a:p>
        <a:p>
          <a:pPr algn="l" rtl="0">
            <a:lnSpc>
              <a:spcPts val="13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r>
            <a:rPr lang="nb-NO" sz="1200" b="0" i="0" strike="noStrike">
              <a:solidFill>
                <a:srgbClr val="000000"/>
              </a:solidFill>
              <a:latin typeface="Times New Roman"/>
              <a:cs typeface="Times New Roman"/>
            </a:rPr>
            <a:t> </a:t>
          </a:r>
        </a:p>
        <a:p>
          <a:pPr algn="l" rtl="0">
            <a:lnSpc>
              <a:spcPts val="1400"/>
            </a:lnSpc>
            <a:defRPr sz="1000"/>
          </a:pPr>
          <a:endParaRPr lang="nb-NO" sz="1200" b="0" i="0" strike="noStrike">
            <a:solidFill>
              <a:srgbClr val="000000"/>
            </a:solidFill>
            <a:latin typeface="Times New Roman"/>
            <a:cs typeface="Times New Roman"/>
          </a:endParaRPr>
        </a:p>
        <a:p>
          <a:pPr algn="l" rtl="0">
            <a:lnSpc>
              <a:spcPts val="14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r>
            <a:rPr lang="nb-NO" sz="1200" b="0" i="0" strike="noStrike">
              <a:solidFill>
                <a:srgbClr val="000000"/>
              </a:solidFill>
              <a:latin typeface="Times New Roman"/>
              <a:cs typeface="Times New Roman"/>
            </a:rPr>
            <a:t>   </a:t>
          </a: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0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2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000"/>
            </a:lnSpc>
            <a:defRPr sz="1000"/>
          </a:pPr>
          <a:endParaRPr lang="nb-NO" sz="14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100"/>
            </a:lnSpc>
            <a:defRPr sz="1000"/>
          </a:pPr>
          <a:endParaRPr lang="nb-NO" sz="1400" b="0" i="0" strike="noStrike">
            <a:solidFill>
              <a:srgbClr val="000000"/>
            </a:solidFill>
            <a:latin typeface="Times New Roman"/>
            <a:cs typeface="Times New Roman"/>
          </a:endParaRPr>
        </a:p>
        <a:p>
          <a:pPr algn="l" rtl="0">
            <a:lnSpc>
              <a:spcPts val="1000"/>
            </a:lnSpc>
            <a:defRPr sz="1000"/>
          </a:pPr>
          <a:endParaRPr lang="nb-NO" sz="1400" b="0" i="0" strike="noStrike">
            <a:solidFill>
              <a:srgbClr val="000000"/>
            </a:solidFill>
            <a:latin typeface="Times New Roman"/>
            <a:cs typeface="Times New Roman"/>
          </a:endParaRPr>
        </a:p>
      </xdr:txBody>
    </xdr:sp>
    <xdr:clientData/>
  </xdr:twoCellAnchor>
  <xdr:twoCellAnchor>
    <xdr:from>
      <xdr:col>3</xdr:col>
      <xdr:colOff>455084</xdr:colOff>
      <xdr:row>5</xdr:row>
      <xdr:rowOff>10583</xdr:rowOff>
    </xdr:from>
    <xdr:to>
      <xdr:col>11</xdr:col>
      <xdr:colOff>349250</xdr:colOff>
      <xdr:row>29</xdr:row>
      <xdr:rowOff>63500</xdr:rowOff>
    </xdr:to>
    <xdr:sp macro="" textlink="">
      <xdr:nvSpPr>
        <xdr:cNvPr id="5" name="TekstSylinder 4">
          <a:extLst>
            <a:ext uri="{FF2B5EF4-FFF2-40B4-BE49-F238E27FC236}">
              <a16:creationId xmlns:a16="http://schemas.microsoft.com/office/drawing/2014/main" id="{00000000-0008-0000-2100-000005000000}"/>
            </a:ext>
          </a:extLst>
        </xdr:cNvPr>
        <xdr:cNvSpPr txBox="1"/>
      </xdr:nvSpPr>
      <xdr:spPr>
        <a:xfrm>
          <a:off x="12170834" y="804333"/>
          <a:ext cx="6413499"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nb-NO">
            <a:effectLst/>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Kommentarer til dataene</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u="sng"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u="sng" baseline="0">
              <a:solidFill>
                <a:schemeClr val="dk1"/>
              </a:solidFill>
              <a:effectLst/>
              <a:latin typeface="Times New Roman" panose="02020603050405020304" pitchFamily="18" charset="0"/>
              <a:ea typeface="+mn-ea"/>
              <a:cs typeface="Times New Roman" panose="02020603050405020304" pitchFamily="18" charset="0"/>
            </a:rPr>
            <a:t>Generelle kommentarer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Når det nedenfor står "Endring i 20xx-tall", menes endringer i forhold til tilsvarende periode året før.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For Brutto forfalt premie kan regnskapstallene (Tabell 4) være høyere enn markedstallene (Tabell 2a) fordi de kan inneholde tall for skadeforsikring og utenlandsk virksomhet.</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For Overførte reserver til/fra andre i markedstallene inngår ikke overførte reserver som gjelder Gruppeliv. Disse vil imidlertid inngå i Tabell 4.</a:t>
          </a:r>
          <a:endParaRPr lang="nb-NO" sz="1100">
            <a:latin typeface="Times New Roman" panose="02020603050405020304" pitchFamily="18" charset="0"/>
            <a:cs typeface="Times New Roman" panose="02020603050405020304" pitchFamily="18" charset="0"/>
          </a:endParaRPr>
        </a:p>
        <a:p>
          <a:endParaRPr lang="nb-NO" sz="1100" u="sng">
            <a:latin typeface="Times New Roman" panose="02020603050405020304" pitchFamily="18" charset="0"/>
            <a:cs typeface="Times New Roman" panose="02020603050405020304" pitchFamily="18" charset="0"/>
          </a:endParaRPr>
        </a:p>
        <a:p>
          <a:pPr rtl="0" eaLnBrk="1" fontAlgn="auto" latinLnBrk="0" hangingPunct="1"/>
          <a:r>
            <a:rPr lang="nb-NO" sz="1100" u="sng">
              <a:solidFill>
                <a:schemeClr val="dk1"/>
              </a:solidFill>
              <a:effectLst/>
              <a:latin typeface="+mn-lt"/>
              <a:ea typeface="+mn-ea"/>
              <a:cs typeface="+mn-cs"/>
            </a:rPr>
            <a:t>Eika Forsikring:</a:t>
          </a:r>
          <a:endParaRPr lang="nb-NO">
            <a:effectLst/>
          </a:endParaRPr>
        </a:p>
        <a:p>
          <a:pPr rtl="0" eaLnBrk="1" fontAlgn="auto" latinLnBrk="0" hangingPunct="1"/>
          <a:r>
            <a:rPr lang="nb-NO" sz="1100">
              <a:solidFill>
                <a:schemeClr val="dk1"/>
              </a:solidFill>
              <a:effectLst/>
              <a:latin typeface="+mn-lt"/>
              <a:ea typeface="+mn-ea"/>
              <a:cs typeface="+mn-cs"/>
            </a:rPr>
            <a:t>I</a:t>
          </a:r>
          <a:r>
            <a:rPr lang="nb-NO" sz="1100" baseline="0">
              <a:solidFill>
                <a:schemeClr val="dk1"/>
              </a:solidFill>
              <a:effectLst/>
              <a:latin typeface="+mn-lt"/>
              <a:ea typeface="+mn-ea"/>
              <a:cs typeface="+mn-cs"/>
            </a:rPr>
            <a:t> statistikken inngår s</a:t>
          </a:r>
          <a:r>
            <a:rPr lang="nb-NO" sz="1100">
              <a:solidFill>
                <a:schemeClr val="dk1"/>
              </a:solidFill>
              <a:effectLst/>
              <a:latin typeface="+mn-lt"/>
              <a:ea typeface="+mn-ea"/>
              <a:cs typeface="+mn-cs"/>
            </a:rPr>
            <a:t>elskapet i Fremtind Livsforsikring for 1.kvartal 2025</a:t>
          </a:r>
          <a:r>
            <a:rPr lang="nb-NO" sz="1100" baseline="0">
              <a:solidFill>
                <a:schemeClr val="dk1"/>
              </a:solidFill>
              <a:effectLst/>
              <a:latin typeface="+mn-lt"/>
              <a:ea typeface="+mn-ea"/>
              <a:cs typeface="+mn-cs"/>
            </a:rPr>
            <a:t>.</a:t>
          </a:r>
        </a:p>
        <a:p>
          <a:pPr rtl="0" eaLnBrk="1" fontAlgn="auto" latinLnBrk="0" hangingPunct="1"/>
          <a:endParaRPr lang="nb-NO">
            <a:effectLst/>
          </a:endParaRPr>
        </a:p>
        <a:p>
          <a:pPr rtl="0" eaLnBrk="1" fontAlgn="auto" latinLnBrk="0" hangingPunct="1"/>
          <a:r>
            <a:rPr lang="nb-NO" sz="1100" u="sng">
              <a:solidFill>
                <a:schemeClr val="dk1"/>
              </a:solidFill>
              <a:effectLst/>
              <a:latin typeface="+mn-lt"/>
              <a:ea typeface="+mn-ea"/>
              <a:cs typeface="+mn-cs"/>
            </a:rPr>
            <a:t>Oslo Forsikring:</a:t>
          </a:r>
          <a:endParaRPr lang="nb-NO">
            <a:effectLst/>
          </a:endParaRPr>
        </a:p>
        <a:p>
          <a:r>
            <a:rPr lang="nb-NO" sz="1100">
              <a:solidFill>
                <a:schemeClr val="dk1"/>
              </a:solidFill>
              <a:effectLst/>
              <a:latin typeface="+mn-lt"/>
              <a:ea typeface="+mn-ea"/>
              <a:cs typeface="+mn-cs"/>
            </a:rPr>
            <a:t>Selskapet inngår i statistikken fra 1. kvartal 2024.</a:t>
          </a:r>
          <a:endParaRPr lang="nb-NO">
            <a:effectLst/>
          </a:endParaRPr>
        </a:p>
        <a:p>
          <a:pPr marL="0" indent="0"/>
          <a:endParaRPr lang="nb-NO" sz="1100" u="none">
            <a:solidFill>
              <a:schemeClr val="dk1"/>
            </a:solidFill>
            <a:latin typeface="Times New Roman" panose="02020603050405020304" pitchFamily="18" charset="0"/>
            <a:ea typeface="+mn-ea"/>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Innsamlede data</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 innsamlede data er identiske med det som forekommer i statistikken.</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 underliggende tallene for statistikken er med en desimal, men statistikktallene publiseres uten desimaler. </a:t>
          </a:r>
        </a:p>
        <a:p>
          <a:pPr rtl="0" eaLnBrk="1" fontAlgn="auto" latinLnBrk="0" hangingPunct="1"/>
          <a:endParaRPr lang="nb-NO" sz="1100" b="0"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Det betyr at sumtall i formler kan avvike fra de synlige summene.</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endParaRPr lang="nb-NO" sz="1100" b="1" i="0" baseline="0">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100" b="1" i="0" baseline="0">
              <a:solidFill>
                <a:schemeClr val="dk1"/>
              </a:solidFill>
              <a:effectLst/>
              <a:latin typeface="Times New Roman" panose="02020603050405020304" pitchFamily="18" charset="0"/>
              <a:ea typeface="+mn-ea"/>
              <a:cs typeface="Times New Roman" panose="02020603050405020304" pitchFamily="18" charset="0"/>
            </a:rPr>
            <a:t>Prosentendringer</a:t>
          </a:r>
          <a:endParaRPr lang="nb-NO" sz="1100">
            <a:effectLst/>
            <a:latin typeface="Times New Roman" panose="02020603050405020304" pitchFamily="18" charset="0"/>
            <a:cs typeface="Times New Roman" panose="02020603050405020304" pitchFamily="18" charset="0"/>
          </a:endParaRPr>
        </a:p>
        <a:p>
          <a:pPr rtl="0" eaLnBrk="1" fontAlgn="auto" latinLnBrk="0" hangingPunct="1"/>
          <a:r>
            <a:rPr lang="nb-NO" sz="1100" b="0" i="0" baseline="0">
              <a:solidFill>
                <a:schemeClr val="dk1"/>
              </a:solidFill>
              <a:effectLst/>
              <a:latin typeface="Times New Roman" panose="02020603050405020304" pitchFamily="18" charset="0"/>
              <a:ea typeface="+mn-ea"/>
              <a:cs typeface="Times New Roman" panose="02020603050405020304" pitchFamily="18" charset="0"/>
            </a:rPr>
            <a:t>Prosentendringer med tallverdi ≥ 1000 gjengis som enten 999 eller - 999. Sammenligner vi tall med samme fortegn, vil vi få prosentøkning når vi går fra lavere tallverdi til høyere tallverdi. Sammenligner vi tall med ulike fortegn, vil vi få prosentøkning når vi går fra negative tall til positive tall. Prosentendringer fra negative tall til 0 (null) = + 100, mens prosentendringer fra positive tall til 0 (null) = - 100. Prosentendringer fra 0 til positive eller negative tall angis ikke (---). Det samme gjelder små tallstørrelser som vises som 0.</a:t>
          </a:r>
          <a:endParaRPr lang="nb-NO" sz="1100">
            <a:effectLst/>
            <a:latin typeface="Times New Roman" panose="02020603050405020304" pitchFamily="18" charset="0"/>
            <a:cs typeface="Times New Roman" panose="02020603050405020304" pitchFamily="18" charset="0"/>
          </a:endParaRPr>
        </a:p>
        <a:p>
          <a:endParaRPr lang="nb-NO" sz="11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file01\finansnorge\SFA\Statistikk%20og%20analyse\Fellessaker\Ny%20presentasjon%20MA\Overset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tatistikk%20og%20analyse%20(FNF)\RM&#248;rk\Livstatistikk%20-%20fra%20fno%20-%20denne%20oppdateres\Faste%20statistikker\MA\2025\Q1-2025\Mottatte\SpareBank%201%20Forsikring.xlsx" TargetMode="External"/><Relationship Id="rId1" Type="http://schemas.openxmlformats.org/officeDocument/2006/relationships/externalLinkPath" Target="/Statistikk%20og%20analyse%20(FNF)/RM&#248;rk/Livstatistikk%20-%20fra%20fno%20-%20denne%20oppdateres/Faste%20statistikker/MA/2025/Q1-2025/Mottatte/SpareBank%201%20Forsik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at"/>
      <sheetName val="Oppslagstabeller"/>
      <sheetName val="Oversetter"/>
    </sheetNames>
    <sheetDataSet>
      <sheetData sheetId="0"/>
      <sheetData sheetId="1">
        <row r="1">
          <cell r="A1" t="str">
            <v>selskap_id</v>
          </cell>
          <cell r="B1" t="str">
            <v>sortering</v>
          </cell>
          <cell r="C1" t="str">
            <v>2a</v>
          </cell>
          <cell r="D1" t="str">
            <v>2b</v>
          </cell>
          <cell r="E1" t="str">
            <v>3a</v>
          </cell>
          <cell r="F1" t="str">
            <v>3b</v>
          </cell>
          <cell r="G1" t="str">
            <v>selskap_navn</v>
          </cell>
        </row>
        <row r="2">
          <cell r="A2" t="str">
            <v>19</v>
          </cell>
          <cell r="B2" t="str">
            <v>01</v>
          </cell>
          <cell r="C2">
            <v>3</v>
          </cell>
          <cell r="E2">
            <v>3</v>
          </cell>
          <cell r="G2" t="str">
            <v>ACE European Group Ltd</v>
          </cell>
        </row>
        <row r="3">
          <cell r="A3" t="str">
            <v>34</v>
          </cell>
          <cell r="B3" t="str">
            <v>02</v>
          </cell>
          <cell r="C3">
            <v>7</v>
          </cell>
          <cell r="D3">
            <v>3</v>
          </cell>
          <cell r="E3">
            <v>7</v>
          </cell>
          <cell r="F3">
            <v>3</v>
          </cell>
          <cell r="G3" t="str">
            <v>Danica Pensjonsforsikring</v>
          </cell>
        </row>
        <row r="4">
          <cell r="A4" t="str">
            <v>35</v>
          </cell>
          <cell r="B4" t="str">
            <v>03</v>
          </cell>
          <cell r="C4">
            <v>11</v>
          </cell>
          <cell r="D4">
            <v>7</v>
          </cell>
          <cell r="E4">
            <v>11</v>
          </cell>
          <cell r="F4">
            <v>7</v>
          </cell>
          <cell r="G4" t="str">
            <v>DNB Livsforsikring ASA</v>
          </cell>
          <cell r="N4">
            <v>16</v>
          </cell>
        </row>
        <row r="5">
          <cell r="A5" t="str">
            <v>15</v>
          </cell>
          <cell r="B5" t="str">
            <v>04</v>
          </cell>
          <cell r="C5">
            <v>15</v>
          </cell>
          <cell r="E5">
            <v>15</v>
          </cell>
          <cell r="G5" t="str">
            <v>Eika Gruppen AS</v>
          </cell>
          <cell r="N5" t="str">
            <v>4.-kvartal-2015-markedsandeler---endelige-tall-og-regnskapsstatistikk.xlsx</v>
          </cell>
        </row>
        <row r="6">
          <cell r="A6" t="str">
            <v>36</v>
          </cell>
          <cell r="B6" t="str">
            <v>05</v>
          </cell>
          <cell r="C6">
            <v>19</v>
          </cell>
          <cell r="D6">
            <v>11</v>
          </cell>
          <cell r="E6">
            <v>19</v>
          </cell>
          <cell r="F6">
            <v>11</v>
          </cell>
          <cell r="G6" t="str">
            <v>Frende Livsforsikring AS</v>
          </cell>
        </row>
        <row r="7">
          <cell r="A7" t="str">
            <v>20</v>
          </cell>
          <cell r="B7" t="str">
            <v>06</v>
          </cell>
          <cell r="C7">
            <v>23</v>
          </cell>
          <cell r="E7">
            <v>23</v>
          </cell>
          <cell r="G7" t="str">
            <v>Frende Skadeforsikring AS</v>
          </cell>
        </row>
        <row r="8">
          <cell r="A8" t="str">
            <v>4</v>
          </cell>
          <cell r="B8" t="str">
            <v>07</v>
          </cell>
          <cell r="C8">
            <v>27</v>
          </cell>
          <cell r="E8">
            <v>27</v>
          </cell>
          <cell r="G8" t="str">
            <v>Gjensidige Forsikring ASA</v>
          </cell>
        </row>
        <row r="9">
          <cell r="A9" t="str">
            <v>37</v>
          </cell>
          <cell r="B9" t="str">
            <v>08</v>
          </cell>
          <cell r="C9">
            <v>31</v>
          </cell>
          <cell r="D9">
            <v>15</v>
          </cell>
          <cell r="E9">
            <v>31</v>
          </cell>
          <cell r="F9">
            <v>15</v>
          </cell>
          <cell r="G9" t="str">
            <v>Gjensidige Pensjon og Sparing</v>
          </cell>
        </row>
        <row r="10">
          <cell r="A10" t="str">
            <v>38</v>
          </cell>
          <cell r="B10" t="str">
            <v>09</v>
          </cell>
          <cell r="C10">
            <v>35</v>
          </cell>
          <cell r="E10">
            <v>35</v>
          </cell>
          <cell r="G10" t="str">
            <v>Handelsbanken Liv</v>
          </cell>
        </row>
        <row r="11">
          <cell r="A11" t="str">
            <v>6</v>
          </cell>
          <cell r="B11" t="str">
            <v>10</v>
          </cell>
          <cell r="C11">
            <v>39</v>
          </cell>
          <cell r="E11">
            <v>39</v>
          </cell>
          <cell r="G11" t="str">
            <v>If Skadeforsikring nuf</v>
          </cell>
        </row>
        <row r="12">
          <cell r="A12" t="str">
            <v>39</v>
          </cell>
          <cell r="B12" t="str">
            <v>11</v>
          </cell>
          <cell r="C12">
            <v>47</v>
          </cell>
          <cell r="D12">
            <v>23</v>
          </cell>
          <cell r="E12">
            <v>47</v>
          </cell>
          <cell r="F12">
            <v>23</v>
          </cell>
          <cell r="G12" t="str">
            <v>KLP Bedriftspensjon AS</v>
          </cell>
        </row>
        <row r="13">
          <cell r="A13" t="str">
            <v>5</v>
          </cell>
          <cell r="B13" t="str">
            <v>12</v>
          </cell>
          <cell r="C13">
            <v>43</v>
          </cell>
          <cell r="D13">
            <v>19</v>
          </cell>
          <cell r="E13">
            <v>43</v>
          </cell>
          <cell r="F13">
            <v>19</v>
          </cell>
          <cell r="G13" t="str">
            <v>KLP</v>
          </cell>
        </row>
        <row r="14">
          <cell r="A14" t="str">
            <v>22</v>
          </cell>
          <cell r="B14" t="str">
            <v>13</v>
          </cell>
          <cell r="C14">
            <v>55</v>
          </cell>
          <cell r="E14">
            <v>55</v>
          </cell>
          <cell r="G14" t="str">
            <v>Landbruksforsikring AS</v>
          </cell>
        </row>
        <row r="15">
          <cell r="A15" t="str">
            <v>17</v>
          </cell>
          <cell r="B15" t="str">
            <v>14</v>
          </cell>
          <cell r="C15">
            <v>59</v>
          </cell>
          <cell r="E15">
            <v>59</v>
          </cell>
          <cell r="G15" t="str">
            <v>NEMI Forsikring AS</v>
          </cell>
        </row>
        <row r="16">
          <cell r="A16" t="str">
            <v>40</v>
          </cell>
          <cell r="B16" t="str">
            <v>15</v>
          </cell>
          <cell r="C16">
            <v>63</v>
          </cell>
          <cell r="D16">
            <v>27</v>
          </cell>
          <cell r="E16">
            <v>63</v>
          </cell>
          <cell r="F16">
            <v>27</v>
          </cell>
          <cell r="G16" t="str">
            <v>Livsforsikringsselskapet Nordea Liv Norge AS</v>
          </cell>
        </row>
        <row r="17">
          <cell r="A17" t="str">
            <v>41</v>
          </cell>
          <cell r="B17" t="str">
            <v>16</v>
          </cell>
          <cell r="C17">
            <v>67</v>
          </cell>
          <cell r="E17">
            <v>67</v>
          </cell>
          <cell r="G17" t="str">
            <v>Oslo Pensjonsforsikring</v>
          </cell>
        </row>
        <row r="18">
          <cell r="A18" t="str">
            <v>43</v>
          </cell>
          <cell r="B18" t="str">
            <v>17</v>
          </cell>
          <cell r="C18">
            <v>71</v>
          </cell>
          <cell r="D18">
            <v>35</v>
          </cell>
          <cell r="E18">
            <v>71</v>
          </cell>
          <cell r="F18">
            <v>35</v>
          </cell>
          <cell r="G18" t="str">
            <v>Silver Pensjonsforsikring  AS</v>
          </cell>
        </row>
        <row r="19">
          <cell r="A19" t="str">
            <v>49</v>
          </cell>
          <cell r="B19" t="str">
            <v>18</v>
          </cell>
          <cell r="C19">
            <v>75</v>
          </cell>
          <cell r="D19">
            <v>39</v>
          </cell>
          <cell r="E19">
            <v>75</v>
          </cell>
          <cell r="F19">
            <v>39</v>
          </cell>
          <cell r="G19" t="str">
            <v>Sparebank 1 Fondsforsikring</v>
          </cell>
        </row>
        <row r="20">
          <cell r="A20" t="str">
            <v>50</v>
          </cell>
          <cell r="B20" t="str">
            <v>19</v>
          </cell>
          <cell r="C20">
            <v>79</v>
          </cell>
          <cell r="D20">
            <v>43</v>
          </cell>
          <cell r="E20">
            <v>79</v>
          </cell>
          <cell r="F20">
            <v>43</v>
          </cell>
          <cell r="G20" t="str">
            <v>Storebrand Fondsforsikring</v>
          </cell>
        </row>
        <row r="21">
          <cell r="A21" t="str">
            <v>16</v>
          </cell>
          <cell r="B21" t="str">
            <v>20</v>
          </cell>
          <cell r="C21">
            <v>83</v>
          </cell>
          <cell r="E21">
            <v>83</v>
          </cell>
          <cell r="G21" t="str">
            <v>Telenor Forsikring AS</v>
          </cell>
        </row>
        <row r="22">
          <cell r="A22" t="str">
            <v>47</v>
          </cell>
          <cell r="B22" t="str">
            <v>21</v>
          </cell>
          <cell r="G22" t="str">
            <v>TrygVesta Forsikring</v>
          </cell>
        </row>
        <row r="23">
          <cell r="A23" t="str">
            <v>8</v>
          </cell>
          <cell r="B23" t="str">
            <v>22</v>
          </cell>
          <cell r="C23">
            <v>87</v>
          </cell>
          <cell r="E23">
            <v>87</v>
          </cell>
          <cell r="G23" t="str">
            <v>Tryg Forsikring</v>
          </cell>
        </row>
        <row r="24">
          <cell r="A24" t="str">
            <v>10</v>
          </cell>
          <cell r="B24" t="str">
            <v>23</v>
          </cell>
          <cell r="G24" t="str">
            <v>SpareBank 1 Forsikring AS</v>
          </cell>
        </row>
        <row r="25">
          <cell r="A25" t="str">
            <v>32</v>
          </cell>
          <cell r="B25" t="str">
            <v>24</v>
          </cell>
          <cell r="G25" t="str">
            <v>Storebrand ASA</v>
          </cell>
        </row>
        <row r="26">
          <cell r="A26" t="str">
            <v>33</v>
          </cell>
          <cell r="B26" t="str">
            <v>25</v>
          </cell>
          <cell r="G26" t="str">
            <v>Altraplan Luxembourg</v>
          </cell>
        </row>
        <row r="27">
          <cell r="A27" t="str">
            <v>42</v>
          </cell>
          <cell r="B27" t="str">
            <v>26</v>
          </cell>
          <cell r="D27">
            <v>31</v>
          </cell>
          <cell r="F27">
            <v>31</v>
          </cell>
          <cell r="G27" t="str">
            <v>SHB Liv</v>
          </cell>
        </row>
        <row r="28">
          <cell r="A28" t="str">
            <v>44</v>
          </cell>
          <cell r="B28" t="str">
            <v>27</v>
          </cell>
          <cell r="C28">
            <v>51</v>
          </cell>
          <cell r="E28">
            <v>51</v>
          </cell>
          <cell r="G28" t="str">
            <v>KLP Skadeforsikring</v>
          </cell>
        </row>
        <row r="29">
          <cell r="A29" t="str">
            <v>45</v>
          </cell>
          <cell r="B29" t="str">
            <v>28</v>
          </cell>
          <cell r="G29" t="str">
            <v>Commercial Union International Life</v>
          </cell>
        </row>
        <row r="30">
          <cell r="A30" t="str">
            <v>46</v>
          </cell>
          <cell r="B30" t="str">
            <v>29</v>
          </cell>
          <cell r="G30" t="str">
            <v>Gjensidige NOR Spareforsikring</v>
          </cell>
        </row>
        <row r="31">
          <cell r="A31" t="str">
            <v>48</v>
          </cell>
          <cell r="B31" t="str">
            <v>30</v>
          </cell>
          <cell r="G31" t="str">
            <v>Vesta</v>
          </cell>
        </row>
        <row r="32">
          <cell r="A32" t="str">
            <v>51</v>
          </cell>
          <cell r="B32" t="str">
            <v>31</v>
          </cell>
          <cell r="G32" t="str">
            <v>Danica Link</v>
          </cell>
        </row>
        <row r="33">
          <cell r="A33" t="str">
            <v>52</v>
          </cell>
          <cell r="B33" t="str">
            <v>32</v>
          </cell>
          <cell r="G33" t="str">
            <v>Danica Fondsforsikring</v>
          </cell>
        </row>
        <row r="34">
          <cell r="A34" t="str">
            <v>53</v>
          </cell>
          <cell r="B34" t="str">
            <v>33</v>
          </cell>
          <cell r="G34" t="str">
            <v>Gjensidige NOR Fondsforsikring</v>
          </cell>
        </row>
        <row r="35">
          <cell r="A35" t="str">
            <v>54</v>
          </cell>
          <cell r="B35" t="str">
            <v>34</v>
          </cell>
          <cell r="G35" t="str">
            <v>Vital Link</v>
          </cell>
        </row>
        <row r="36">
          <cell r="A36" t="str">
            <v>55</v>
          </cell>
          <cell r="B36" t="str">
            <v>35</v>
          </cell>
          <cell r="G36" t="str">
            <v>Nordea Link</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 2a"/>
      <sheetName val="Tabell 2b"/>
      <sheetName val="Tabell 3a"/>
      <sheetName val="Tabell 3b"/>
      <sheetName val="Tabell 4"/>
      <sheetName val="Tabell 6"/>
      <sheetName val="Tabell 8"/>
      <sheetName val="Noter og kommentarer"/>
    </sheetNames>
    <sheetDataSet>
      <sheetData sheetId="0" refreshError="1"/>
      <sheetData sheetId="1" refreshError="1"/>
      <sheetData sheetId="2" refreshError="1"/>
      <sheetData sheetId="3" refreshError="1"/>
      <sheetData sheetId="4" refreshError="1"/>
      <sheetData sheetId="5">
        <row r="68">
          <cell r="X68">
            <v>4972.6959999999999</v>
          </cell>
        </row>
        <row r="69">
          <cell r="X69">
            <v>1122.0840000000001</v>
          </cell>
        </row>
        <row r="76">
          <cell r="X76">
            <v>3708.06</v>
          </cell>
        </row>
        <row r="79">
          <cell r="X79">
            <v>96.538258030000492</v>
          </cell>
        </row>
        <row r="80">
          <cell r="X80">
            <v>25368.799258030002</v>
          </cell>
        </row>
      </sheetData>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F6A5-CA05-4275-B867-34D92981BF97}">
  <sheetPr codeName="Ark1"/>
  <dimension ref="A1:M38"/>
  <sheetViews>
    <sheetView showGridLines="0" zoomScale="90" zoomScaleNormal="90" workbookViewId="0">
      <selection activeCell="G23" sqref="G23"/>
    </sheetView>
  </sheetViews>
  <sheetFormatPr baseColWidth="10" defaultColWidth="11.42578125" defaultRowHeight="12.75" x14ac:dyDescent="0.2"/>
  <sheetData>
    <row r="1" spans="1:13" x14ac:dyDescent="0.2">
      <c r="A1" s="469"/>
      <c r="B1" s="469"/>
      <c r="C1" s="469"/>
      <c r="D1" s="469"/>
      <c r="E1" s="469"/>
      <c r="F1" s="469"/>
      <c r="G1" s="469"/>
      <c r="H1" s="469"/>
      <c r="I1" s="469"/>
      <c r="J1" s="469"/>
      <c r="K1" s="469"/>
      <c r="L1" s="469"/>
      <c r="M1" s="469"/>
    </row>
    <row r="2" spans="1:13" x14ac:dyDescent="0.2">
      <c r="A2" s="469"/>
      <c r="B2" s="469"/>
      <c r="C2" s="469"/>
      <c r="D2" s="469"/>
      <c r="E2" s="469"/>
      <c r="F2" s="469"/>
      <c r="G2" s="469"/>
      <c r="H2" s="469"/>
      <c r="I2" s="469"/>
      <c r="J2" s="469"/>
      <c r="K2" s="469"/>
      <c r="L2" s="469"/>
      <c r="M2" s="469"/>
    </row>
    <row r="3" spans="1:13" x14ac:dyDescent="0.2">
      <c r="A3" s="469"/>
      <c r="B3" s="469"/>
      <c r="C3" s="469"/>
      <c r="D3" s="469"/>
      <c r="E3" s="469"/>
      <c r="F3" s="469"/>
      <c r="G3" s="469"/>
      <c r="H3" s="469"/>
      <c r="I3" s="469"/>
      <c r="J3" s="469"/>
      <c r="K3" s="469"/>
      <c r="L3" s="469"/>
      <c r="M3" s="469"/>
    </row>
    <row r="4" spans="1:13" x14ac:dyDescent="0.2">
      <c r="A4" s="469"/>
      <c r="B4" s="469"/>
      <c r="C4" s="469"/>
      <c r="D4" s="469"/>
      <c r="E4" s="469"/>
      <c r="F4" s="469"/>
      <c r="G4" s="469"/>
      <c r="H4" s="469"/>
      <c r="I4" s="469"/>
      <c r="J4" s="469"/>
      <c r="K4" s="469"/>
      <c r="L4" s="469"/>
      <c r="M4" s="469"/>
    </row>
    <row r="5" spans="1:13" x14ac:dyDescent="0.2">
      <c r="A5" s="469"/>
      <c r="B5" s="470"/>
      <c r="C5" s="470"/>
      <c r="D5" s="470"/>
      <c r="E5" s="470"/>
      <c r="F5" s="470"/>
      <c r="G5" s="470"/>
      <c r="H5" s="470"/>
      <c r="I5" s="469"/>
      <c r="J5" s="469"/>
      <c r="K5" s="469"/>
      <c r="L5" s="469"/>
      <c r="M5" s="469"/>
    </row>
    <row r="6" spans="1:13" ht="23.25" x14ac:dyDescent="0.35">
      <c r="A6" s="469"/>
      <c r="B6" s="471"/>
      <c r="C6" s="470"/>
      <c r="D6" s="470"/>
      <c r="E6" s="470"/>
      <c r="F6" s="470"/>
      <c r="G6" s="470"/>
      <c r="H6" s="470"/>
      <c r="I6" s="472"/>
      <c r="J6" s="469"/>
      <c r="K6" s="469"/>
      <c r="L6" s="469"/>
      <c r="M6" s="469"/>
    </row>
    <row r="7" spans="1:13" x14ac:dyDescent="0.2">
      <c r="A7" s="469"/>
      <c r="B7" s="470"/>
      <c r="C7" s="470"/>
      <c r="D7" s="470"/>
      <c r="E7" s="470"/>
      <c r="F7" s="470"/>
      <c r="G7" s="470"/>
      <c r="H7" s="470"/>
      <c r="I7" s="470"/>
      <c r="J7" s="469"/>
      <c r="K7" s="469"/>
      <c r="L7" s="469"/>
      <c r="M7" s="469"/>
    </row>
    <row r="8" spans="1:13" x14ac:dyDescent="0.2">
      <c r="A8" s="469"/>
      <c r="B8" s="470"/>
      <c r="C8" s="470"/>
      <c r="D8" s="470"/>
      <c r="E8" s="469"/>
      <c r="F8" s="470"/>
      <c r="G8" s="470"/>
      <c r="H8" s="470"/>
      <c r="I8" s="469"/>
      <c r="J8" s="469"/>
      <c r="K8" s="469"/>
      <c r="L8" s="469"/>
      <c r="M8" s="469"/>
    </row>
    <row r="9" spans="1:13" x14ac:dyDescent="0.2">
      <c r="A9" s="469"/>
      <c r="B9" s="470"/>
      <c r="C9" s="470"/>
      <c r="D9" s="470"/>
      <c r="E9" s="470"/>
      <c r="F9" s="470"/>
      <c r="G9" s="470"/>
      <c r="H9" s="470"/>
      <c r="I9" s="469"/>
      <c r="J9" s="469"/>
      <c r="K9" s="469"/>
      <c r="L9" s="469"/>
      <c r="M9" s="469"/>
    </row>
    <row r="10" spans="1:13" ht="23.25" x14ac:dyDescent="0.35">
      <c r="A10" s="469"/>
      <c r="B10" s="470"/>
      <c r="C10" s="470"/>
      <c r="D10" s="470"/>
      <c r="E10" s="469"/>
      <c r="F10" s="469"/>
      <c r="G10" s="469"/>
      <c r="H10" s="469"/>
      <c r="I10" s="472"/>
      <c r="J10" s="469"/>
      <c r="K10" s="469"/>
      <c r="L10" s="469"/>
      <c r="M10" s="469"/>
    </row>
    <row r="11" spans="1:13" x14ac:dyDescent="0.2">
      <c r="A11" s="469"/>
      <c r="B11" s="470"/>
      <c r="C11" s="470"/>
      <c r="D11" s="470"/>
      <c r="E11" s="469"/>
      <c r="F11" s="469"/>
      <c r="G11" s="469"/>
      <c r="H11" s="469"/>
      <c r="I11" s="469"/>
      <c r="J11" s="469"/>
      <c r="K11" s="469"/>
      <c r="L11" s="469"/>
      <c r="M11" s="469"/>
    </row>
    <row r="12" spans="1:13" ht="23.25" x14ac:dyDescent="0.35">
      <c r="A12" s="469"/>
      <c r="B12" s="470"/>
      <c r="C12" s="470"/>
      <c r="D12" s="470"/>
      <c r="E12" s="470"/>
      <c r="F12" s="470"/>
      <c r="G12" s="470"/>
      <c r="H12" s="470"/>
      <c r="I12" s="472"/>
      <c r="J12" s="469"/>
      <c r="K12" s="469"/>
      <c r="L12" s="469"/>
      <c r="M12" s="469"/>
    </row>
    <row r="13" spans="1:13" ht="23.25" x14ac:dyDescent="0.35">
      <c r="A13" s="469"/>
      <c r="B13" s="470"/>
      <c r="C13" s="473"/>
      <c r="D13" s="473"/>
      <c r="E13" s="473"/>
      <c r="F13" s="473"/>
      <c r="G13" s="473"/>
      <c r="H13" s="473"/>
      <c r="I13" s="472"/>
      <c r="J13" s="469"/>
      <c r="K13" s="469"/>
      <c r="L13" s="469"/>
      <c r="M13" s="469"/>
    </row>
    <row r="14" spans="1:13" x14ac:dyDescent="0.2">
      <c r="A14" s="469"/>
      <c r="B14" s="470"/>
      <c r="C14" s="470"/>
      <c r="D14" s="470"/>
      <c r="E14" s="469"/>
      <c r="F14" s="470"/>
      <c r="G14" s="470"/>
      <c r="H14" s="470"/>
      <c r="I14" s="469"/>
      <c r="J14" s="469"/>
      <c r="K14" s="469"/>
      <c r="L14" s="469"/>
      <c r="M14" s="469"/>
    </row>
    <row r="15" spans="1:13" x14ac:dyDescent="0.2">
      <c r="A15" s="469"/>
      <c r="B15" s="470"/>
      <c r="C15" s="470"/>
      <c r="D15" s="470"/>
      <c r="E15" s="469"/>
      <c r="F15" s="470"/>
      <c r="G15" s="470"/>
      <c r="H15" s="470"/>
      <c r="I15" s="470"/>
      <c r="J15" s="469"/>
      <c r="K15" s="469"/>
      <c r="L15" s="469"/>
      <c r="M15" s="469"/>
    </row>
    <row r="16" spans="1:13" ht="34.5" x14ac:dyDescent="0.45">
      <c r="A16" s="469"/>
      <c r="B16" s="470"/>
      <c r="C16" s="470"/>
      <c r="D16" s="470"/>
      <c r="E16" s="474"/>
      <c r="F16" s="470"/>
      <c r="G16" s="470"/>
      <c r="H16" s="470"/>
      <c r="I16" s="470"/>
      <c r="J16" s="469"/>
      <c r="K16" s="469"/>
      <c r="L16" s="469"/>
      <c r="M16" s="469"/>
    </row>
    <row r="17" spans="1:13" ht="33" x14ac:dyDescent="0.45">
      <c r="A17" s="469"/>
      <c r="B17" s="470"/>
      <c r="C17" s="470"/>
      <c r="D17" s="470"/>
      <c r="E17" s="475"/>
      <c r="F17" s="470"/>
      <c r="G17" s="470"/>
      <c r="H17" s="470"/>
      <c r="I17" s="470"/>
      <c r="J17" s="469"/>
      <c r="K17" s="469"/>
      <c r="L17" s="469"/>
      <c r="M17" s="469"/>
    </row>
    <row r="18" spans="1:13" ht="33" x14ac:dyDescent="0.45">
      <c r="A18" s="469"/>
      <c r="B18" s="469"/>
      <c r="C18" s="469"/>
      <c r="D18" s="475"/>
      <c r="E18" s="469"/>
      <c r="F18" s="469"/>
      <c r="G18" s="469"/>
      <c r="H18" s="469"/>
      <c r="I18" s="469"/>
      <c r="J18" s="469"/>
      <c r="K18" s="469"/>
      <c r="L18" s="469"/>
      <c r="M18" s="469"/>
    </row>
    <row r="19" spans="1:13" ht="18.75" x14ac:dyDescent="0.3">
      <c r="A19" s="469"/>
      <c r="B19" s="469"/>
      <c r="C19" s="469"/>
      <c r="D19" s="469"/>
      <c r="E19" s="476"/>
      <c r="F19" s="469"/>
      <c r="G19" s="469"/>
      <c r="H19" s="469"/>
      <c r="I19" s="477"/>
      <c r="J19" s="469"/>
      <c r="K19" s="469"/>
      <c r="L19" s="469"/>
      <c r="M19" s="469"/>
    </row>
    <row r="20" spans="1:13" x14ac:dyDescent="0.2">
      <c r="A20" s="469"/>
      <c r="B20" s="469"/>
      <c r="C20" s="469"/>
      <c r="D20" s="469"/>
      <c r="E20" s="469"/>
      <c r="F20" s="469"/>
      <c r="G20" s="469"/>
      <c r="H20" s="469"/>
      <c r="I20" s="469"/>
      <c r="J20" s="469"/>
      <c r="K20" s="469"/>
      <c r="L20" s="469"/>
      <c r="M20" s="469"/>
    </row>
    <row r="21" spans="1:13" x14ac:dyDescent="0.2">
      <c r="A21" s="469"/>
      <c r="B21" s="469"/>
      <c r="C21" s="469"/>
      <c r="D21" s="469"/>
      <c r="E21" s="478"/>
      <c r="F21" s="469"/>
      <c r="G21" s="469"/>
      <c r="H21" s="469"/>
      <c r="I21" s="469"/>
      <c r="J21" s="469"/>
      <c r="K21" s="469"/>
      <c r="L21" s="469"/>
      <c r="M21" s="469"/>
    </row>
    <row r="22" spans="1:13" ht="26.25" x14ac:dyDescent="0.4">
      <c r="A22" s="469"/>
      <c r="B22" s="469"/>
      <c r="C22" s="469"/>
      <c r="D22" s="469"/>
      <c r="E22" s="479"/>
      <c r="F22" s="469"/>
      <c r="G22" s="469"/>
      <c r="H22" s="469"/>
      <c r="I22" s="469"/>
      <c r="J22" s="469"/>
      <c r="K22" s="469"/>
      <c r="L22" s="469"/>
      <c r="M22" s="469"/>
    </row>
    <row r="23" spans="1:13" x14ac:dyDescent="0.2">
      <c r="A23" s="469"/>
      <c r="B23" s="469"/>
      <c r="C23" s="469"/>
      <c r="D23" s="469"/>
      <c r="E23" s="469"/>
      <c r="F23" s="469"/>
      <c r="G23" s="469"/>
      <c r="H23" s="469"/>
      <c r="I23" s="469"/>
      <c r="J23" s="469"/>
      <c r="K23" s="469"/>
      <c r="L23" s="469"/>
      <c r="M23" s="469"/>
    </row>
    <row r="24" spans="1:13" x14ac:dyDescent="0.2">
      <c r="A24" s="469"/>
      <c r="B24" s="469"/>
      <c r="C24" s="469"/>
      <c r="D24" s="469"/>
      <c r="E24" s="469"/>
      <c r="F24" s="469"/>
      <c r="G24" s="469"/>
      <c r="H24" s="469"/>
      <c r="I24" s="469"/>
      <c r="J24" s="469"/>
      <c r="K24" s="469"/>
      <c r="L24" s="469"/>
      <c r="M24" s="469"/>
    </row>
    <row r="25" spans="1:13" ht="18.75" x14ac:dyDescent="0.3">
      <c r="A25" s="469"/>
      <c r="B25" s="469"/>
      <c r="C25" s="469"/>
      <c r="D25" s="469"/>
      <c r="E25" s="480"/>
      <c r="F25" s="469"/>
      <c r="G25" s="469"/>
      <c r="H25" s="469"/>
      <c r="I25" s="469"/>
      <c r="J25" s="469"/>
      <c r="K25" s="469"/>
      <c r="L25" s="469"/>
      <c r="M25" s="469"/>
    </row>
    <row r="26" spans="1:13" ht="18.75" x14ac:dyDescent="0.3">
      <c r="A26" s="469"/>
      <c r="B26" s="469"/>
      <c r="C26" s="469"/>
      <c r="D26" s="469"/>
      <c r="E26" s="481"/>
      <c r="F26" s="469"/>
      <c r="G26" s="469"/>
      <c r="H26" s="469"/>
      <c r="I26" s="469"/>
      <c r="J26" s="469"/>
      <c r="K26" s="469"/>
      <c r="L26" s="469"/>
      <c r="M26" s="469"/>
    </row>
    <row r="27" spans="1:13" x14ac:dyDescent="0.2">
      <c r="A27" s="469"/>
      <c r="B27" s="469"/>
      <c r="C27" s="469"/>
      <c r="D27" s="469"/>
      <c r="E27" s="469"/>
      <c r="F27" s="469"/>
      <c r="G27" s="469"/>
      <c r="H27" s="469"/>
      <c r="I27" s="469"/>
      <c r="J27" s="469"/>
      <c r="K27" s="469"/>
      <c r="L27" s="469"/>
      <c r="M27" s="469"/>
    </row>
    <row r="28" spans="1:13" x14ac:dyDescent="0.2">
      <c r="A28" s="469"/>
      <c r="B28" s="469"/>
      <c r="C28" s="469"/>
      <c r="D28" s="473"/>
      <c r="E28" s="473"/>
      <c r="F28" s="473"/>
      <c r="G28" s="473"/>
      <c r="H28" s="473"/>
      <c r="I28" s="469"/>
      <c r="J28" s="469"/>
      <c r="K28" s="469"/>
      <c r="L28" s="469"/>
      <c r="M28" s="469"/>
    </row>
    <row r="29" spans="1:13" x14ac:dyDescent="0.2">
      <c r="A29" s="469"/>
      <c r="B29" s="469"/>
      <c r="C29" s="469"/>
      <c r="D29" s="469"/>
      <c r="E29" s="469"/>
      <c r="F29" s="469"/>
      <c r="G29" s="469"/>
      <c r="H29" s="469"/>
      <c r="I29" s="469"/>
      <c r="J29" s="469"/>
      <c r="K29" s="469"/>
      <c r="L29" s="469"/>
      <c r="M29" s="469"/>
    </row>
    <row r="30" spans="1:13" x14ac:dyDescent="0.2">
      <c r="A30" s="469"/>
      <c r="B30" s="469"/>
      <c r="C30" s="469"/>
      <c r="D30" s="469"/>
      <c r="E30" s="469"/>
      <c r="F30" s="469"/>
      <c r="G30" s="469"/>
      <c r="H30" s="469"/>
      <c r="I30" s="469"/>
      <c r="J30" s="469"/>
      <c r="K30" s="469"/>
      <c r="L30" s="469"/>
      <c r="M30" s="469"/>
    </row>
    <row r="31" spans="1:13" x14ac:dyDescent="0.2">
      <c r="A31" s="469"/>
      <c r="B31" s="469"/>
      <c r="C31" s="469"/>
      <c r="D31" s="469"/>
      <c r="E31" s="469"/>
      <c r="F31" s="469"/>
      <c r="G31" s="469"/>
      <c r="H31" s="469"/>
      <c r="I31" s="469"/>
      <c r="J31" s="469"/>
      <c r="K31" s="469"/>
      <c r="L31" s="469"/>
      <c r="M31" s="469"/>
    </row>
    <row r="32" spans="1:13" x14ac:dyDescent="0.2">
      <c r="A32" s="469"/>
      <c r="B32" s="469"/>
      <c r="C32" s="469"/>
      <c r="D32" s="469"/>
      <c r="E32" s="469"/>
      <c r="F32" s="469"/>
      <c r="G32" s="469"/>
      <c r="H32" s="469"/>
      <c r="I32" s="469"/>
      <c r="J32" s="469"/>
      <c r="K32" s="469"/>
      <c r="L32" s="469"/>
      <c r="M32" s="469"/>
    </row>
    <row r="33" spans="1:13" ht="35.25" x14ac:dyDescent="0.2">
      <c r="A33" s="482"/>
      <c r="B33" s="469"/>
      <c r="C33" s="469"/>
      <c r="D33" s="469"/>
      <c r="E33" s="469"/>
      <c r="F33" s="469"/>
      <c r="G33" s="469"/>
      <c r="H33" s="469"/>
      <c r="I33" s="469"/>
      <c r="J33" s="469"/>
      <c r="K33" s="469"/>
      <c r="L33" s="469"/>
      <c r="M33" s="469"/>
    </row>
    <row r="34" spans="1:13" x14ac:dyDescent="0.2">
      <c r="A34" s="469"/>
      <c r="B34" s="469"/>
      <c r="C34" s="469"/>
      <c r="D34" s="469"/>
      <c r="E34" s="469"/>
      <c r="F34" s="469"/>
      <c r="G34" s="469"/>
      <c r="H34" s="469"/>
      <c r="I34" s="469"/>
      <c r="J34" s="469"/>
      <c r="K34" s="469"/>
      <c r="L34" s="469"/>
      <c r="M34" s="469"/>
    </row>
    <row r="35" spans="1:13" x14ac:dyDescent="0.2">
      <c r="A35" s="469"/>
      <c r="B35" s="469"/>
      <c r="C35" s="469"/>
      <c r="D35" s="469"/>
      <c r="E35" s="469"/>
      <c r="F35" s="469"/>
      <c r="G35" s="469"/>
      <c r="H35" s="469"/>
      <c r="I35" s="469"/>
      <c r="J35" s="469"/>
      <c r="K35" s="469"/>
      <c r="L35" s="469"/>
      <c r="M35" s="469"/>
    </row>
    <row r="36" spans="1:13" ht="33" x14ac:dyDescent="0.2">
      <c r="A36" s="469"/>
      <c r="B36" s="483"/>
      <c r="C36" s="469"/>
      <c r="D36" s="469"/>
      <c r="E36" s="469"/>
      <c r="F36" s="469"/>
      <c r="G36" s="469"/>
      <c r="H36" s="469"/>
      <c r="I36" s="469"/>
      <c r="J36" s="469"/>
      <c r="K36" s="469"/>
      <c r="L36" s="469"/>
      <c r="M36" s="469"/>
    </row>
    <row r="37" spans="1:13" x14ac:dyDescent="0.2">
      <c r="A37" s="469"/>
      <c r="B37" s="469"/>
      <c r="C37" s="469"/>
      <c r="D37" s="469"/>
      <c r="E37" s="469"/>
      <c r="F37" s="469"/>
      <c r="G37" s="469"/>
      <c r="H37" s="469"/>
      <c r="I37" s="469"/>
      <c r="J37" s="469"/>
      <c r="K37" s="469"/>
      <c r="L37" s="469"/>
      <c r="M37" s="469"/>
    </row>
    <row r="38" spans="1:13" x14ac:dyDescent="0.2">
      <c r="A38" s="469"/>
      <c r="B38" s="469"/>
      <c r="C38" s="469"/>
      <c r="D38" s="469"/>
      <c r="E38" s="469"/>
      <c r="F38" s="469"/>
      <c r="G38" s="469"/>
      <c r="H38" s="469"/>
      <c r="I38" s="469"/>
      <c r="J38" s="469"/>
      <c r="K38" s="469"/>
      <c r="L38" s="469"/>
      <c r="M38" s="46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1DA9-89CE-4218-BAD2-ABC9A5D34523}">
  <sheetPr codeName="Ark8"/>
  <dimension ref="A1:N144"/>
  <sheetViews>
    <sheetView showGridLines="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367</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332"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119"/>
      <c r="J22" s="256"/>
      <c r="K22" s="256"/>
      <c r="L22" s="340"/>
      <c r="M22" s="21"/>
    </row>
    <row r="23" spans="1:13" ht="15.75" x14ac:dyDescent="0.2">
      <c r="A23" s="381" t="s">
        <v>326</v>
      </c>
      <c r="B23" s="226"/>
      <c r="C23" s="226"/>
      <c r="D23" s="123"/>
      <c r="E23" s="8"/>
      <c r="F23" s="235"/>
      <c r="G23" s="235"/>
      <c r="H23" s="123"/>
      <c r="I23" s="187"/>
      <c r="J23" s="235"/>
      <c r="K23" s="235"/>
      <c r="L23" s="123"/>
      <c r="M23" s="20"/>
    </row>
    <row r="24" spans="1:13" ht="15.75" x14ac:dyDescent="0.2">
      <c r="A24" s="381" t="s">
        <v>327</v>
      </c>
      <c r="B24" s="226"/>
      <c r="C24" s="226"/>
      <c r="D24" s="123"/>
      <c r="E24" s="8"/>
      <c r="F24" s="235"/>
      <c r="G24" s="235"/>
      <c r="H24" s="123"/>
      <c r="I24" s="187"/>
      <c r="J24" s="235"/>
      <c r="K24" s="235"/>
      <c r="L24" s="123"/>
      <c r="M24" s="20"/>
    </row>
    <row r="25" spans="1:13" ht="15.75" x14ac:dyDescent="0.2">
      <c r="A25" s="381" t="s">
        <v>328</v>
      </c>
      <c r="B25" s="226"/>
      <c r="C25" s="226"/>
      <c r="D25" s="123"/>
      <c r="E25" s="8"/>
      <c r="F25" s="235"/>
      <c r="G25" s="235"/>
      <c r="H25" s="123"/>
      <c r="I25" s="187"/>
      <c r="J25" s="235"/>
      <c r="K25" s="235"/>
      <c r="L25" s="123"/>
      <c r="M25" s="20"/>
    </row>
    <row r="26" spans="1:13" ht="15.75" x14ac:dyDescent="0.2">
      <c r="A26" s="381" t="s">
        <v>329</v>
      </c>
      <c r="B26" s="226"/>
      <c r="C26" s="226"/>
      <c r="D26" s="123"/>
      <c r="E26" s="8"/>
      <c r="F26" s="235"/>
      <c r="G26" s="235"/>
      <c r="H26" s="123"/>
      <c r="I26" s="187"/>
      <c r="J26" s="235"/>
      <c r="K26" s="235"/>
      <c r="L26" s="123"/>
      <c r="M26" s="20"/>
    </row>
    <row r="27" spans="1:13" x14ac:dyDescent="0.2">
      <c r="A27" s="381" t="s">
        <v>11</v>
      </c>
      <c r="B27" s="226"/>
      <c r="C27" s="226"/>
      <c r="D27" s="123"/>
      <c r="E27" s="8"/>
      <c r="F27" s="235"/>
      <c r="G27" s="235"/>
      <c r="H27" s="123"/>
      <c r="I27" s="187"/>
      <c r="J27" s="235"/>
      <c r="K27" s="235"/>
      <c r="L27" s="123"/>
      <c r="M27" s="20"/>
    </row>
    <row r="28" spans="1:13" ht="15.75" x14ac:dyDescent="0.2">
      <c r="A28" s="39" t="s">
        <v>247</v>
      </c>
      <c r="B28" s="36"/>
      <c r="C28" s="232"/>
      <c r="D28" s="123"/>
      <c r="E28" s="8"/>
      <c r="F28" s="181"/>
      <c r="G28" s="232"/>
      <c r="H28" s="123"/>
      <c r="I28" s="132"/>
      <c r="J28" s="36"/>
      <c r="K28" s="36"/>
      <c r="L28" s="204"/>
      <c r="M28" s="20"/>
    </row>
    <row r="29" spans="1:13" ht="15.75" x14ac:dyDescent="0.2">
      <c r="A29" s="10" t="s">
        <v>323</v>
      </c>
      <c r="B29" s="183"/>
      <c r="C29" s="183"/>
      <c r="D29" s="127"/>
      <c r="E29" s="8"/>
      <c r="F29" s="248"/>
      <c r="G29" s="248"/>
      <c r="H29" s="127"/>
      <c r="I29" s="119"/>
      <c r="J29" s="183"/>
      <c r="K29" s="183"/>
      <c r="L29" s="341"/>
      <c r="M29" s="21"/>
    </row>
    <row r="30" spans="1:13" ht="15.75" x14ac:dyDescent="0.2">
      <c r="A30" s="381" t="s">
        <v>326</v>
      </c>
      <c r="B30" s="226"/>
      <c r="C30" s="226"/>
      <c r="D30" s="123"/>
      <c r="E30" s="8"/>
      <c r="F30" s="235"/>
      <c r="G30" s="235"/>
      <c r="H30" s="123"/>
      <c r="I30" s="187"/>
      <c r="J30" s="235"/>
      <c r="K30" s="235"/>
      <c r="L30" s="123"/>
      <c r="M30" s="20"/>
    </row>
    <row r="31" spans="1:13" ht="15.75" x14ac:dyDescent="0.2">
      <c r="A31" s="381" t="s">
        <v>327</v>
      </c>
      <c r="B31" s="226"/>
      <c r="C31" s="226"/>
      <c r="D31" s="123"/>
      <c r="E31" s="8"/>
      <c r="F31" s="235"/>
      <c r="G31" s="235"/>
      <c r="H31" s="123"/>
      <c r="I31" s="187"/>
      <c r="J31" s="235"/>
      <c r="K31" s="235"/>
      <c r="L31" s="123"/>
      <c r="M31" s="20"/>
    </row>
    <row r="32" spans="1:13" ht="15.75" x14ac:dyDescent="0.2">
      <c r="A32" s="381" t="s">
        <v>328</v>
      </c>
      <c r="B32" s="226"/>
      <c r="C32" s="226"/>
      <c r="D32" s="123"/>
      <c r="E32" s="8"/>
      <c r="F32" s="235"/>
      <c r="G32" s="235"/>
      <c r="H32" s="123"/>
      <c r="I32" s="187"/>
      <c r="J32" s="235"/>
      <c r="K32" s="235"/>
      <c r="L32" s="123"/>
      <c r="M32" s="20"/>
    </row>
    <row r="33" spans="1:13" ht="15.75" x14ac:dyDescent="0.2">
      <c r="A33" s="381" t="s">
        <v>329</v>
      </c>
      <c r="B33" s="226"/>
      <c r="C33" s="226"/>
      <c r="D33" s="123"/>
      <c r="E33" s="8"/>
      <c r="F33" s="235"/>
      <c r="G33" s="235"/>
      <c r="H33" s="123"/>
      <c r="I33" s="187"/>
      <c r="J33" s="235"/>
      <c r="K33" s="235"/>
      <c r="L33" s="123"/>
      <c r="M33" s="20"/>
    </row>
    <row r="34" spans="1:13" ht="15.75" x14ac:dyDescent="0.2">
      <c r="A34" s="10" t="s">
        <v>324</v>
      </c>
      <c r="B34" s="183"/>
      <c r="C34" s="249"/>
      <c r="D34" s="127"/>
      <c r="E34" s="8"/>
      <c r="F34" s="248"/>
      <c r="G34" s="249"/>
      <c r="H34" s="127"/>
      <c r="I34" s="119"/>
      <c r="J34" s="183"/>
      <c r="K34" s="183"/>
      <c r="L34" s="341"/>
      <c r="M34" s="21"/>
    </row>
    <row r="35" spans="1:13" ht="15.75" x14ac:dyDescent="0.2">
      <c r="A35" s="10" t="s">
        <v>325</v>
      </c>
      <c r="B35" s="183"/>
      <c r="C35" s="249"/>
      <c r="D35" s="127"/>
      <c r="E35" s="8"/>
      <c r="F35" s="248"/>
      <c r="G35" s="249"/>
      <c r="H35" s="127"/>
      <c r="I35" s="119"/>
      <c r="J35" s="183"/>
      <c r="K35" s="183"/>
      <c r="L35" s="341"/>
      <c r="M35" s="21"/>
    </row>
    <row r="36" spans="1:13" ht="15.75" x14ac:dyDescent="0.2">
      <c r="A36" s="9" t="s">
        <v>255</v>
      </c>
      <c r="B36" s="183"/>
      <c r="C36" s="249"/>
      <c r="D36" s="127"/>
      <c r="E36" s="8"/>
      <c r="F36" s="259"/>
      <c r="G36" s="260"/>
      <c r="H36" s="127"/>
      <c r="I36" s="343"/>
      <c r="J36" s="183"/>
      <c r="K36" s="183"/>
      <c r="L36" s="341"/>
      <c r="M36" s="21"/>
    </row>
    <row r="37" spans="1:13" ht="15.75" x14ac:dyDescent="0.2">
      <c r="A37" s="9" t="s">
        <v>331</v>
      </c>
      <c r="B37" s="183"/>
      <c r="C37" s="249"/>
      <c r="D37" s="127"/>
      <c r="E37" s="8"/>
      <c r="F37" s="259"/>
      <c r="G37" s="261"/>
      <c r="H37" s="127"/>
      <c r="I37" s="343"/>
      <c r="J37" s="183"/>
      <c r="K37" s="183"/>
      <c r="L37" s="341"/>
      <c r="M37" s="21"/>
    </row>
    <row r="38" spans="1:13" ht="15.75" x14ac:dyDescent="0.2">
      <c r="A38" s="9" t="s">
        <v>332</v>
      </c>
      <c r="B38" s="183"/>
      <c r="C38" s="249"/>
      <c r="D38" s="127"/>
      <c r="E38" s="21"/>
      <c r="F38" s="259"/>
      <c r="G38" s="260"/>
      <c r="H38" s="127"/>
      <c r="I38" s="343"/>
      <c r="J38" s="183"/>
      <c r="K38" s="183"/>
      <c r="L38" s="341"/>
      <c r="M38" s="21"/>
    </row>
    <row r="39" spans="1:13" ht="15.75" x14ac:dyDescent="0.2">
      <c r="A39" s="15" t="s">
        <v>333</v>
      </c>
      <c r="B39" s="221"/>
      <c r="C39" s="255"/>
      <c r="D39" s="125"/>
      <c r="E39" s="30"/>
      <c r="F39" s="262"/>
      <c r="G39" s="263"/>
      <c r="H39" s="125"/>
      <c r="I39" s="125"/>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51311</v>
      </c>
      <c r="C47" s="251">
        <v>30761</v>
      </c>
      <c r="D47" s="340">
        <f t="shared" ref="D47:D55" si="0">IF(B47=0, "    ---- ", IF(ABS(ROUND(100/B47*C47-100,1))&lt;999,ROUND(100/B47*C47-100,1),IF(ROUND(100/B47*C47-100,1)&gt;999,999,-999)))</f>
        <v>-40</v>
      </c>
      <c r="E47" s="8">
        <f>IFERROR(100/'Skjema total MA'!C47*C47,0)</f>
        <v>0.69418863399956143</v>
      </c>
      <c r="F47" s="109"/>
      <c r="G47" s="27"/>
      <c r="H47" s="118"/>
      <c r="I47" s="118"/>
      <c r="J47" s="31"/>
      <c r="K47" s="31"/>
      <c r="L47" s="118"/>
      <c r="M47" s="118"/>
    </row>
    <row r="48" spans="1:13" ht="15.75" x14ac:dyDescent="0.2">
      <c r="A48" s="18" t="s">
        <v>334</v>
      </c>
      <c r="B48" s="226">
        <v>50322</v>
      </c>
      <c r="C48" s="227">
        <v>30495</v>
      </c>
      <c r="D48" s="204">
        <f t="shared" si="0"/>
        <v>-39.4</v>
      </c>
      <c r="E48" s="23">
        <f>IFERROR(100/'Skjema total MA'!C48*C48,0)</f>
        <v>1.2676565027067068</v>
      </c>
      <c r="F48" s="109"/>
      <c r="G48" s="27"/>
      <c r="H48" s="109"/>
      <c r="I48" s="109"/>
      <c r="J48" s="27"/>
      <c r="K48" s="27"/>
      <c r="L48" s="118"/>
      <c r="M48" s="118"/>
    </row>
    <row r="49" spans="1:13" ht="15.75" x14ac:dyDescent="0.2">
      <c r="A49" s="18" t="s">
        <v>335</v>
      </c>
      <c r="B49" s="226">
        <v>989</v>
      </c>
      <c r="C49" s="227">
        <v>266</v>
      </c>
      <c r="D49" s="204">
        <f>IF(B49=0, "    ---- ", IF(ABS(ROUND(100/B49*C49-100,1))&lt;999,ROUND(100/B49*C49-100,1),IF(ROUND(100/B49*C49-100,1)&gt;999,999,-999)))</f>
        <v>-73.099999999999994</v>
      </c>
      <c r="E49" s="23">
        <f>IFERROR(100/'Skjema total MA'!C49*C49,0)</f>
        <v>1.3131936266921621E-2</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51311</v>
      </c>
      <c r="C53" s="251">
        <v>30761</v>
      </c>
      <c r="D53" s="341">
        <f t="shared" si="0"/>
        <v>-40</v>
      </c>
      <c r="E53" s="8">
        <f>IFERROR(100/'Skjema total MA'!C53*C53,0)</f>
        <v>17.647119195421705</v>
      </c>
      <c r="F53" s="109"/>
      <c r="G53" s="27"/>
      <c r="H53" s="109"/>
      <c r="I53" s="109"/>
      <c r="J53" s="27"/>
      <c r="K53" s="27"/>
      <c r="L53" s="118"/>
      <c r="M53" s="118"/>
    </row>
    <row r="54" spans="1:13" ht="15.75" x14ac:dyDescent="0.2">
      <c r="A54" s="18" t="s">
        <v>334</v>
      </c>
      <c r="B54" s="226">
        <v>50322</v>
      </c>
      <c r="C54" s="227">
        <v>30495</v>
      </c>
      <c r="D54" s="204">
        <f t="shared" si="0"/>
        <v>-39.4</v>
      </c>
      <c r="E54" s="23">
        <f>IFERROR(100/'Skjema total MA'!C54*C54,0)</f>
        <v>17.521256495928998</v>
      </c>
      <c r="F54" s="109"/>
      <c r="G54" s="27"/>
      <c r="H54" s="109"/>
      <c r="I54" s="109"/>
      <c r="J54" s="27"/>
      <c r="K54" s="27"/>
      <c r="L54" s="118"/>
      <c r="M54" s="118"/>
    </row>
    <row r="55" spans="1:13" ht="15.75" x14ac:dyDescent="0.2">
      <c r="A55" s="18" t="s">
        <v>335</v>
      </c>
      <c r="B55" s="226">
        <v>989</v>
      </c>
      <c r="C55" s="227">
        <v>266</v>
      </c>
      <c r="D55" s="204">
        <f t="shared" si="0"/>
        <v>-73.099999999999994</v>
      </c>
      <c r="E55" s="23">
        <f>IFERROR(100/'Skjema total MA'!C55*C55,0)</f>
        <v>100</v>
      </c>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18"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30:D130"/>
    <mergeCell ref="F130:H130"/>
    <mergeCell ref="J130:L130"/>
    <mergeCell ref="B131:D131"/>
    <mergeCell ref="F131:H131"/>
    <mergeCell ref="J131:L131"/>
    <mergeCell ref="B44:D44"/>
    <mergeCell ref="B62:D62"/>
    <mergeCell ref="F62:H62"/>
    <mergeCell ref="J62:L62"/>
    <mergeCell ref="B63:D63"/>
    <mergeCell ref="F63:H63"/>
    <mergeCell ref="J63:L63"/>
    <mergeCell ref="D40:F40"/>
    <mergeCell ref="G40:I40"/>
    <mergeCell ref="J40:L40"/>
    <mergeCell ref="B42:D42"/>
    <mergeCell ref="F42:H42"/>
    <mergeCell ref="J42:L42"/>
    <mergeCell ref="B18:D18"/>
    <mergeCell ref="F18:H18"/>
    <mergeCell ref="J18:L18"/>
    <mergeCell ref="B19:D19"/>
    <mergeCell ref="F19:H19"/>
    <mergeCell ref="J19:L19"/>
    <mergeCell ref="B2:D2"/>
    <mergeCell ref="F2:H2"/>
    <mergeCell ref="J2:L2"/>
    <mergeCell ref="B4:D4"/>
    <mergeCell ref="F4:H4"/>
    <mergeCell ref="J4:L4"/>
  </mergeCells>
  <conditionalFormatting sqref="A50:A52">
    <cfRule type="expression" dxfId="421" priority="7">
      <formula>kvartal &lt; 4</formula>
    </cfRule>
  </conditionalFormatting>
  <conditionalFormatting sqref="A69:A74">
    <cfRule type="expression" dxfId="420" priority="6">
      <formula>kvartal &lt; 4</formula>
    </cfRule>
  </conditionalFormatting>
  <conditionalFormatting sqref="A80:A85">
    <cfRule type="expression" dxfId="419" priority="5">
      <formula>kvartal &lt; 4</formula>
    </cfRule>
  </conditionalFormatting>
  <conditionalFormatting sqref="A90:A95">
    <cfRule type="expression" dxfId="418" priority="4">
      <formula>kvartal &lt; 4</formula>
    </cfRule>
  </conditionalFormatting>
  <conditionalFormatting sqref="A101:A106">
    <cfRule type="expression" dxfId="417" priority="3">
      <formula>kvartal &lt; 4</formula>
    </cfRule>
  </conditionalFormatting>
  <conditionalFormatting sqref="A115:C115">
    <cfRule type="expression" dxfId="416" priority="2">
      <formula>kvartal &lt; 4</formula>
    </cfRule>
  </conditionalFormatting>
  <conditionalFormatting sqref="A123:C123">
    <cfRule type="expression" dxfId="415" priority="1">
      <formula>kvartal &lt; 4</formula>
    </cfRule>
  </conditionalFormatting>
  <conditionalFormatting sqref="F115:G115">
    <cfRule type="expression" dxfId="414" priority="27">
      <formula>kvartal &lt; 4</formula>
    </cfRule>
  </conditionalFormatting>
  <conditionalFormatting sqref="F123:G123">
    <cfRule type="expression" dxfId="413" priority="26">
      <formula>kvartal &lt; 4</formula>
    </cfRule>
  </conditionalFormatting>
  <conditionalFormatting sqref="J115:K115">
    <cfRule type="expression" dxfId="412" priority="9">
      <formula>kvartal &lt; 4</formula>
    </cfRule>
  </conditionalFormatting>
  <conditionalFormatting sqref="J123:K123">
    <cfRule type="expression" dxfId="411" priority="8">
      <formula>kvartal &lt; 4</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2"/>
  <dimension ref="A1:N144"/>
  <sheetViews>
    <sheetView showGridLines="0" zoomScaleNormal="100" workbookViewId="0">
      <pane xSplit="1" topLeftCell="B1" activePane="topRight" state="frozen"/>
      <selection activeCell="B49" sqref="B49"/>
      <selection pane="topRight"/>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536" t="s">
        <v>354</v>
      </c>
    </row>
    <row r="2" spans="1:14" ht="15.75" x14ac:dyDescent="0.25">
      <c r="A2" s="110" t="s">
        <v>28</v>
      </c>
      <c r="B2" s="240"/>
      <c r="C2" s="240"/>
      <c r="D2" s="240"/>
      <c r="E2" s="535"/>
      <c r="F2" s="240"/>
      <c r="G2" s="240"/>
      <c r="H2" s="240"/>
      <c r="I2" s="240"/>
      <c r="J2" s="240"/>
      <c r="K2" s="240"/>
      <c r="L2" s="240"/>
      <c r="M2" s="240"/>
    </row>
    <row r="3" spans="1:14" ht="15.75" x14ac:dyDescent="0.25">
      <c r="A3" s="122"/>
      <c r="B3" s="240"/>
      <c r="C3" s="240"/>
      <c r="D3" s="240"/>
      <c r="E3" s="535"/>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245"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88">
        <v>358575.89009</v>
      </c>
      <c r="C7" s="289">
        <v>492164.23651000002</v>
      </c>
      <c r="D7" s="297">
        <f t="shared" ref="D7:D10" si="0">IF(AND(_xlfn.NUMBERVALUE(B7)=0,_xlfn.NUMBERVALUE(C7)=0),,IF(B7=0, "    ---- ", IF(ABS(ROUND(100/B7*C7-100,1))&lt;999,IF(ROUND(100/B7*C7-100,1)=0,"    ---- ",ROUND(100/B7*C7-100,1)),IF(ROUND(100/B7*C7-100,1)&gt;999,999,-999))))</f>
        <v>37.299999999999997</v>
      </c>
      <c r="E7" s="298">
        <f>IFERROR(100/'Skjema total MA'!C7*C7,0)</f>
        <v>24.513908625102825</v>
      </c>
      <c r="F7" s="288"/>
      <c r="G7" s="289"/>
      <c r="H7" s="297"/>
      <c r="I7" s="298"/>
      <c r="J7" s="299">
        <f t="shared" ref="J7:K10" si="1">SUM(B7,F7)</f>
        <v>358575.89009</v>
      </c>
      <c r="K7" s="294">
        <f t="shared" si="1"/>
        <v>492164.23651000002</v>
      </c>
      <c r="L7" s="297">
        <f t="shared" ref="L7:L10" si="2">IF(AND(_xlfn.NUMBERVALUE(J7)=0,_xlfn.NUMBERVALUE(K7)=0),,IF(J7=0, "    ---- ", IF(ABS(ROUND(100/J7*K7-100,1))&lt;999,IF(ROUND(100/J7*K7-100,1)=0,"    ---- ",ROUND(100/J7*K7-100,1)),IF(ROUND(100/J7*K7-100,1)&gt;999,999,-999))))</f>
        <v>37.299999999999997</v>
      </c>
      <c r="M7" s="298">
        <f>IFERROR(100/'Skjema total MA'!I7*K7,0)</f>
        <v>9.8508123099554119</v>
      </c>
    </row>
    <row r="8" spans="1:14" ht="15.75" x14ac:dyDescent="0.2">
      <c r="A8" s="18" t="s">
        <v>25</v>
      </c>
      <c r="B8" s="291">
        <v>319313.12981000001</v>
      </c>
      <c r="C8" s="292">
        <v>390887.14295000001</v>
      </c>
      <c r="D8" s="300">
        <f t="shared" si="0"/>
        <v>22.4</v>
      </c>
      <c r="E8" s="298">
        <f>IFERROR(100/'Skjema total MA'!C8*C8,0)</f>
        <v>28.477458366854357</v>
      </c>
      <c r="F8" s="301"/>
      <c r="G8" s="302"/>
      <c r="H8" s="300"/>
      <c r="I8" s="298"/>
      <c r="J8" s="303">
        <f t="shared" si="1"/>
        <v>319313.12981000001</v>
      </c>
      <c r="K8" s="292">
        <f t="shared" si="1"/>
        <v>390887.14295000001</v>
      </c>
      <c r="L8" s="300">
        <f t="shared" si="2"/>
        <v>22.4</v>
      </c>
      <c r="M8" s="298">
        <f>IFERROR(100/'Skjema total MA'!I8*K8,0)</f>
        <v>28.477458366854357</v>
      </c>
    </row>
    <row r="9" spans="1:14" ht="15.75" x14ac:dyDescent="0.2">
      <c r="A9" s="18" t="s">
        <v>24</v>
      </c>
      <c r="B9" s="291">
        <v>39262.760280000002</v>
      </c>
      <c r="C9" s="292">
        <v>101277.09355999999</v>
      </c>
      <c r="D9" s="300">
        <f t="shared" si="0"/>
        <v>157.9</v>
      </c>
      <c r="E9" s="298">
        <f>IFERROR(100/'Skjema total MA'!C9*C9,0)</f>
        <v>23.773292121451021</v>
      </c>
      <c r="F9" s="301"/>
      <c r="G9" s="302"/>
      <c r="H9" s="300"/>
      <c r="I9" s="298"/>
      <c r="J9" s="303">
        <f t="shared" si="1"/>
        <v>39262.760280000002</v>
      </c>
      <c r="K9" s="292">
        <f t="shared" si="1"/>
        <v>101277.09355999999</v>
      </c>
      <c r="L9" s="300">
        <f t="shared" si="2"/>
        <v>157.9</v>
      </c>
      <c r="M9" s="298">
        <f>IFERROR(100/'Skjema total MA'!I9*K9,0)</f>
        <v>23.773292121451021</v>
      </c>
    </row>
    <row r="10" spans="1:14" ht="15.75" x14ac:dyDescent="0.2">
      <c r="A10" s="10" t="s">
        <v>323</v>
      </c>
      <c r="B10" s="293">
        <v>674158.23285999999</v>
      </c>
      <c r="C10" s="294">
        <v>708771.90668999997</v>
      </c>
      <c r="D10" s="300">
        <f t="shared" si="0"/>
        <v>5.0999999999999996</v>
      </c>
      <c r="E10" s="298">
        <f>IFERROR(100/'Skjema total MA'!C10*C10,0)</f>
        <v>5.6015268867768437</v>
      </c>
      <c r="F10" s="293"/>
      <c r="G10" s="294"/>
      <c r="H10" s="300"/>
      <c r="I10" s="298"/>
      <c r="J10" s="299">
        <f t="shared" si="1"/>
        <v>674158.23285999999</v>
      </c>
      <c r="K10" s="294">
        <f t="shared" si="1"/>
        <v>708771.90668999997</v>
      </c>
      <c r="L10" s="300">
        <f t="shared" si="2"/>
        <v>5.0999999999999996</v>
      </c>
      <c r="M10" s="298">
        <f>IFERROR(100/'Skjema total MA'!I10*K10,0)</f>
        <v>0.66139375082000706</v>
      </c>
    </row>
    <row r="11" spans="1:14" s="35" customFormat="1" ht="15.75" x14ac:dyDescent="0.2">
      <c r="A11" s="10" t="s">
        <v>324</v>
      </c>
      <c r="B11" s="293"/>
      <c r="C11" s="294"/>
      <c r="D11" s="300"/>
      <c r="E11" s="298"/>
      <c r="F11" s="293"/>
      <c r="G11" s="294"/>
      <c r="H11" s="300"/>
      <c r="I11" s="298"/>
      <c r="J11" s="299"/>
      <c r="K11" s="294"/>
      <c r="L11" s="300"/>
      <c r="M11" s="298"/>
      <c r="N11" s="107"/>
    </row>
    <row r="12" spans="1:14" s="35" customFormat="1" ht="15.75" x14ac:dyDescent="0.2">
      <c r="A12" s="33" t="s">
        <v>325</v>
      </c>
      <c r="B12" s="295"/>
      <c r="C12" s="296"/>
      <c r="D12" s="304"/>
      <c r="E12" s="304"/>
      <c r="F12" s="295"/>
      <c r="G12" s="296"/>
      <c r="H12" s="304"/>
      <c r="I12" s="304"/>
      <c r="J12" s="305"/>
      <c r="K12" s="296"/>
      <c r="L12" s="304"/>
      <c r="M12" s="304"/>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243"/>
      <c r="C18" s="243"/>
      <c r="D18" s="243"/>
      <c r="E18" s="240"/>
      <c r="F18" s="243"/>
      <c r="G18" s="243"/>
      <c r="H18" s="243"/>
      <c r="I18" s="240"/>
      <c r="J18" s="243"/>
      <c r="K18" s="243"/>
      <c r="L18" s="243"/>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245"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393">
        <v>230185.95908</v>
      </c>
      <c r="C22" s="393">
        <v>241165.76057000001</v>
      </c>
      <c r="D22" s="297">
        <f t="shared" ref="D22:D30" si="3">IF(AND(_xlfn.NUMBERVALUE(B22)=0,_xlfn.NUMBERVALUE(C22)=0),,IF(B22=0, "    ---- ", IF(ABS(ROUND(100/B22*C22-100,1))&lt;999,IF(ROUND(100/B22*C22-100,1)=0,"    ---- ",ROUND(100/B22*C22-100,1)),IF(ROUND(100/B22*C22-100,1)&gt;999,999,-999))))</f>
        <v>4.8</v>
      </c>
      <c r="E22" s="298">
        <f>IFERROR(100/'Skjema total MA'!C22*C22,0)</f>
        <v>24.294462633867006</v>
      </c>
      <c r="F22" s="306"/>
      <c r="G22" s="306"/>
      <c r="H22" s="297"/>
      <c r="I22" s="298"/>
      <c r="J22" s="288">
        <f t="shared" ref="J22:K29" si="4">SUM(B22,F22)</f>
        <v>230185.95908</v>
      </c>
      <c r="K22" s="288">
        <f t="shared" si="4"/>
        <v>241165.76057000001</v>
      </c>
      <c r="L22" s="297">
        <f t="shared" ref="L22:L30" si="5">IF(AND(_xlfn.NUMBERVALUE(J22)=0,_xlfn.NUMBERVALUE(K22)=0),,IF(J22=0, "    ---- ", IF(ABS(ROUND(100/J22*K22-100,1))&lt;999,IF(ROUND(100/J22*K22-100,1)=0,"    ---- ",ROUND(100/J22*K22-100,1)),IF(ROUND(100/J22*K22-100,1)&gt;999,999,-999))))</f>
        <v>4.8</v>
      </c>
      <c r="M22" s="298">
        <f>IFERROR(100/'Skjema total MA'!I22*K22,0)</f>
        <v>18.838053925298819</v>
      </c>
    </row>
    <row r="23" spans="1:13" ht="15.75" x14ac:dyDescent="0.2">
      <c r="A23" s="381" t="s">
        <v>326</v>
      </c>
      <c r="B23" s="290"/>
      <c r="C23" s="290"/>
      <c r="D23" s="300"/>
      <c r="E23" s="298"/>
      <c r="F23" s="290"/>
      <c r="G23" s="290"/>
      <c r="H23" s="300"/>
      <c r="I23" s="298"/>
      <c r="J23" s="290"/>
      <c r="K23" s="290"/>
      <c r="L23" s="300"/>
      <c r="M23" s="298"/>
    </row>
    <row r="24" spans="1:13" ht="15.75" x14ac:dyDescent="0.2">
      <c r="A24" s="381" t="s">
        <v>327</v>
      </c>
      <c r="B24" s="290"/>
      <c r="C24" s="290"/>
      <c r="D24" s="300"/>
      <c r="E24" s="298"/>
      <c r="F24" s="290"/>
      <c r="G24" s="290"/>
      <c r="H24" s="300"/>
      <c r="I24" s="298"/>
      <c r="J24" s="290"/>
      <c r="K24" s="290"/>
      <c r="L24" s="300"/>
      <c r="M24" s="298"/>
    </row>
    <row r="25" spans="1:13" ht="15.75" x14ac:dyDescent="0.2">
      <c r="A25" s="381" t="s">
        <v>328</v>
      </c>
      <c r="B25" s="290"/>
      <c r="C25" s="290"/>
      <c r="D25" s="300"/>
      <c r="E25" s="298"/>
      <c r="F25" s="290"/>
      <c r="G25" s="290"/>
      <c r="H25" s="300"/>
      <c r="I25" s="298"/>
      <c r="J25" s="290"/>
      <c r="K25" s="290"/>
      <c r="L25" s="300"/>
      <c r="M25" s="298"/>
    </row>
    <row r="26" spans="1:13" ht="15.75" x14ac:dyDescent="0.2">
      <c r="A26" s="381" t="s">
        <v>329</v>
      </c>
      <c r="B26" s="290"/>
      <c r="C26" s="290"/>
      <c r="D26" s="300"/>
      <c r="E26" s="298"/>
      <c r="F26" s="290"/>
      <c r="G26" s="290"/>
      <c r="H26" s="300"/>
      <c r="I26" s="298"/>
      <c r="J26" s="290"/>
      <c r="K26" s="290"/>
      <c r="L26" s="300"/>
      <c r="M26" s="298"/>
    </row>
    <row r="27" spans="1:13" x14ac:dyDescent="0.2">
      <c r="A27" s="381" t="s">
        <v>11</v>
      </c>
      <c r="B27" s="290"/>
      <c r="C27" s="290"/>
      <c r="D27" s="300"/>
      <c r="E27" s="298"/>
      <c r="F27" s="290"/>
      <c r="G27" s="290"/>
      <c r="H27" s="300"/>
      <c r="I27" s="298"/>
      <c r="J27" s="290"/>
      <c r="K27" s="290"/>
      <c r="L27" s="300"/>
      <c r="M27" s="298"/>
    </row>
    <row r="28" spans="1:13" ht="15.75" x14ac:dyDescent="0.2">
      <c r="A28" s="39" t="s">
        <v>247</v>
      </c>
      <c r="B28" s="290">
        <v>230185.95908</v>
      </c>
      <c r="C28" s="290">
        <v>241165.76057000001</v>
      </c>
      <c r="D28" s="300">
        <f t="shared" si="3"/>
        <v>4.8</v>
      </c>
      <c r="E28" s="298">
        <f>IFERROR(100/'Skjema total MA'!C28*C28,0)</f>
        <v>20.246280913727169</v>
      </c>
      <c r="F28" s="303"/>
      <c r="G28" s="292"/>
      <c r="H28" s="300"/>
      <c r="I28" s="298"/>
      <c r="J28" s="291">
        <f t="shared" si="4"/>
        <v>230185.95908</v>
      </c>
      <c r="K28" s="291">
        <f t="shared" si="4"/>
        <v>241165.76057000001</v>
      </c>
      <c r="L28" s="300">
        <f t="shared" si="5"/>
        <v>4.8</v>
      </c>
      <c r="M28" s="298">
        <f>IFERROR(100/'Skjema total MA'!I28*K28,0)</f>
        <v>20.246280913727169</v>
      </c>
    </row>
    <row r="29" spans="1:13" ht="15.75" x14ac:dyDescent="0.2">
      <c r="A29" s="10" t="s">
        <v>323</v>
      </c>
      <c r="B29" s="293">
        <v>4850320.9725500001</v>
      </c>
      <c r="C29" s="293">
        <v>5291723.2743300004</v>
      </c>
      <c r="D29" s="300">
        <f t="shared" si="3"/>
        <v>9.1</v>
      </c>
      <c r="E29" s="298">
        <f>IFERROR(100/'Skjema total MA'!C29*C29,0)</f>
        <v>12.024983227787002</v>
      </c>
      <c r="F29" s="299"/>
      <c r="G29" s="299"/>
      <c r="H29" s="300"/>
      <c r="I29" s="298"/>
      <c r="J29" s="293">
        <f t="shared" si="4"/>
        <v>4850320.9725500001</v>
      </c>
      <c r="K29" s="293">
        <f t="shared" si="4"/>
        <v>5291723.2743300004</v>
      </c>
      <c r="L29" s="300">
        <f t="shared" si="5"/>
        <v>9.1</v>
      </c>
      <c r="M29" s="298">
        <f>IFERROR(100/'Skjema total MA'!I29*K29,0)</f>
        <v>7.2877027623826063</v>
      </c>
    </row>
    <row r="30" spans="1:13" ht="15.75" x14ac:dyDescent="0.2">
      <c r="A30" s="381" t="s">
        <v>326</v>
      </c>
      <c r="B30" s="290">
        <v>4850320.9725500001</v>
      </c>
      <c r="C30" s="291">
        <v>5291723.2743300004</v>
      </c>
      <c r="D30" s="300">
        <f t="shared" si="3"/>
        <v>9.1</v>
      </c>
      <c r="E30" s="298">
        <f>IFERROR(100/'Skjema total MA'!C30*C30,0)</f>
        <v>28.211919714117965</v>
      </c>
      <c r="F30" s="290"/>
      <c r="G30" s="290"/>
      <c r="H30" s="300"/>
      <c r="I30" s="298"/>
      <c r="J30" s="290">
        <f t="shared" ref="J30" si="6">SUM(B30,F30)</f>
        <v>4850320.9725500001</v>
      </c>
      <c r="K30" s="290">
        <f t="shared" ref="K30" si="7">SUM(C30,G30)</f>
        <v>5291723.2743300004</v>
      </c>
      <c r="L30" s="300">
        <f t="shared" si="5"/>
        <v>9.1</v>
      </c>
      <c r="M30" s="298">
        <f>IFERROR(100/'Skjema total MA'!I30*K30,0)</f>
        <v>23.706250455308549</v>
      </c>
    </row>
    <row r="31" spans="1:13" ht="15.75" x14ac:dyDescent="0.2">
      <c r="A31" s="381" t="s">
        <v>327</v>
      </c>
      <c r="B31" s="290"/>
      <c r="C31" s="290"/>
      <c r="D31" s="300"/>
      <c r="E31" s="298"/>
      <c r="F31" s="290"/>
      <c r="G31" s="290"/>
      <c r="H31" s="300"/>
      <c r="I31" s="298"/>
      <c r="J31" s="290"/>
      <c r="K31" s="290"/>
      <c r="L31" s="300"/>
      <c r="M31" s="298"/>
    </row>
    <row r="32" spans="1:13" ht="15.75" x14ac:dyDescent="0.2">
      <c r="A32" s="381" t="s">
        <v>328</v>
      </c>
      <c r="B32" s="290"/>
      <c r="C32" s="290"/>
      <c r="D32" s="300"/>
      <c r="E32" s="298"/>
      <c r="F32" s="290"/>
      <c r="G32" s="290"/>
      <c r="H32" s="300"/>
      <c r="I32" s="298"/>
      <c r="J32" s="290"/>
      <c r="K32" s="290"/>
      <c r="L32" s="300"/>
      <c r="M32" s="298"/>
    </row>
    <row r="33" spans="1:14" ht="15.75" x14ac:dyDescent="0.2">
      <c r="A33" s="381" t="s">
        <v>329</v>
      </c>
      <c r="B33" s="290"/>
      <c r="C33" s="290"/>
      <c r="D33" s="300"/>
      <c r="E33" s="298"/>
      <c r="F33" s="290"/>
      <c r="G33" s="290"/>
      <c r="H33" s="300"/>
      <c r="I33" s="298"/>
      <c r="J33" s="290"/>
      <c r="K33" s="290"/>
      <c r="L33" s="300"/>
      <c r="M33" s="298"/>
    </row>
    <row r="34" spans="1:14" ht="15.75" x14ac:dyDescent="0.2">
      <c r="A34" s="10" t="s">
        <v>324</v>
      </c>
      <c r="B34" s="293"/>
      <c r="C34" s="294"/>
      <c r="D34" s="300"/>
      <c r="E34" s="298"/>
      <c r="F34" s="299"/>
      <c r="G34" s="294"/>
      <c r="H34" s="300"/>
      <c r="I34" s="298"/>
      <c r="J34" s="293"/>
      <c r="K34" s="293"/>
      <c r="L34" s="300"/>
      <c r="M34" s="298"/>
    </row>
    <row r="35" spans="1:14" ht="15.75" x14ac:dyDescent="0.2">
      <c r="A35" s="10" t="s">
        <v>325</v>
      </c>
      <c r="B35" s="293"/>
      <c r="C35" s="294"/>
      <c r="D35" s="300"/>
      <c r="E35" s="298"/>
      <c r="F35" s="299"/>
      <c r="G35" s="294"/>
      <c r="H35" s="300"/>
      <c r="I35" s="298"/>
      <c r="J35" s="293"/>
      <c r="K35" s="293"/>
      <c r="L35" s="300"/>
      <c r="M35" s="298"/>
    </row>
    <row r="36" spans="1:14" ht="15.75" x14ac:dyDescent="0.2">
      <c r="A36" s="9" t="s">
        <v>255</v>
      </c>
      <c r="B36" s="293"/>
      <c r="C36" s="294"/>
      <c r="D36" s="300"/>
      <c r="E36" s="298"/>
      <c r="F36" s="307"/>
      <c r="G36" s="308"/>
      <c r="H36" s="300"/>
      <c r="I36" s="298"/>
      <c r="J36" s="293"/>
      <c r="K36" s="293"/>
      <c r="L36" s="300"/>
      <c r="M36" s="298"/>
    </row>
    <row r="37" spans="1:14" ht="15.75" x14ac:dyDescent="0.2">
      <c r="A37" s="9" t="s">
        <v>331</v>
      </c>
      <c r="B37" s="293"/>
      <c r="C37" s="294"/>
      <c r="D37" s="300"/>
      <c r="E37" s="298"/>
      <c r="F37" s="307"/>
      <c r="G37" s="309"/>
      <c r="H37" s="300"/>
      <c r="I37" s="298"/>
      <c r="J37" s="293"/>
      <c r="K37" s="293"/>
      <c r="L37" s="300"/>
      <c r="M37" s="298"/>
    </row>
    <row r="38" spans="1:14" ht="15.75" x14ac:dyDescent="0.2">
      <c r="A38" s="9" t="s">
        <v>332</v>
      </c>
      <c r="B38" s="293"/>
      <c r="C38" s="294"/>
      <c r="D38" s="300"/>
      <c r="E38" s="123"/>
      <c r="F38" s="307"/>
      <c r="G38" s="308"/>
      <c r="H38" s="300"/>
      <c r="I38" s="298"/>
      <c r="J38" s="293"/>
      <c r="K38" s="293"/>
      <c r="L38" s="300"/>
      <c r="M38" s="298"/>
    </row>
    <row r="39" spans="1:14" ht="15.75" x14ac:dyDescent="0.2">
      <c r="A39" s="15" t="s">
        <v>333</v>
      </c>
      <c r="B39" s="295"/>
      <c r="C39" s="296"/>
      <c r="D39" s="304"/>
      <c r="E39" s="124"/>
      <c r="F39" s="310"/>
      <c r="G39" s="311"/>
      <c r="H39" s="304"/>
      <c r="I39" s="298"/>
      <c r="J39" s="293"/>
      <c r="K39" s="293"/>
      <c r="L39" s="304"/>
      <c r="M39" s="304"/>
    </row>
    <row r="40" spans="1:14" ht="15.75" x14ac:dyDescent="0.25">
      <c r="A40" s="35"/>
      <c r="B40" s="203"/>
      <c r="C40" s="203"/>
      <c r="D40" s="287"/>
      <c r="E40" s="287"/>
      <c r="F40" s="287"/>
      <c r="G40" s="287"/>
      <c r="H40" s="287"/>
      <c r="I40" s="287"/>
      <c r="J40" s="287"/>
      <c r="K40" s="287"/>
      <c r="L40" s="287"/>
      <c r="M40" s="240"/>
    </row>
    <row r="41" spans="1:14" x14ac:dyDescent="0.2">
      <c r="A41" s="115"/>
    </row>
    <row r="42" spans="1:14" ht="15.75" x14ac:dyDescent="0.25">
      <c r="A42" s="110" t="s">
        <v>244</v>
      </c>
      <c r="B42" s="240"/>
      <c r="C42" s="240"/>
      <c r="D42" s="240"/>
      <c r="E42" s="240"/>
      <c r="F42" s="240"/>
      <c r="G42" s="240"/>
      <c r="H42" s="240"/>
      <c r="I42" s="240"/>
      <c r="J42" s="240"/>
      <c r="K42" s="240"/>
      <c r="L42" s="240"/>
      <c r="M42" s="240"/>
    </row>
    <row r="43" spans="1:14" ht="15.75" x14ac:dyDescent="0.25">
      <c r="A43" s="122"/>
      <c r="B43" s="243"/>
      <c r="C43" s="243"/>
      <c r="D43" s="243"/>
      <c r="E43" s="243"/>
      <c r="F43" s="240"/>
      <c r="G43" s="240"/>
      <c r="H43" s="240"/>
      <c r="I43" s="240"/>
      <c r="J43" s="240"/>
      <c r="K43" s="240"/>
      <c r="L43" s="240"/>
      <c r="M43" s="240"/>
    </row>
    <row r="44" spans="1:14" ht="15.75" x14ac:dyDescent="0.25">
      <c r="A44" s="194"/>
      <c r="B44" s="573" t="s">
        <v>0</v>
      </c>
      <c r="C44" s="574"/>
      <c r="D44" s="574"/>
      <c r="E44" s="190"/>
      <c r="F44" s="240"/>
      <c r="G44" s="240"/>
      <c r="H44" s="240"/>
      <c r="I44" s="240"/>
      <c r="J44" s="240"/>
      <c r="K44" s="240"/>
      <c r="L44" s="240"/>
      <c r="M44" s="240"/>
    </row>
    <row r="45" spans="1:14" x14ac:dyDescent="0.2">
      <c r="A45" s="105"/>
      <c r="B45" s="129" t="s">
        <v>417</v>
      </c>
      <c r="C45" s="129" t="s">
        <v>418</v>
      </c>
      <c r="D45" s="121" t="s">
        <v>3</v>
      </c>
      <c r="E45" s="121" t="s">
        <v>29</v>
      </c>
      <c r="F45" s="131"/>
      <c r="G45" s="131"/>
      <c r="H45" s="130"/>
      <c r="I45" s="130"/>
      <c r="J45" s="131"/>
      <c r="K45" s="131"/>
      <c r="L45" s="130"/>
      <c r="M45" s="130"/>
    </row>
    <row r="46" spans="1:14" x14ac:dyDescent="0.2">
      <c r="A46" s="548"/>
      <c r="B46" s="191"/>
      <c r="C46" s="191"/>
      <c r="D46" s="192" t="s">
        <v>4</v>
      </c>
      <c r="E46" s="116" t="s">
        <v>30</v>
      </c>
      <c r="F46" s="130"/>
      <c r="G46" s="130"/>
      <c r="H46" s="130"/>
      <c r="I46" s="130"/>
      <c r="J46" s="130"/>
      <c r="K46" s="130"/>
      <c r="L46" s="130"/>
      <c r="M46" s="130"/>
    </row>
    <row r="47" spans="1:14" s="35" customFormat="1" ht="15.75" x14ac:dyDescent="0.2">
      <c r="A47" s="11" t="s">
        <v>23</v>
      </c>
      <c r="B47" s="293">
        <v>409499.46918000001</v>
      </c>
      <c r="C47" s="294">
        <v>537807.34131000005</v>
      </c>
      <c r="D47" s="338">
        <f>IF(AND(_xlfn.NUMBERVALUE(B47)=0,_xlfn.NUMBERVALUE(C47)=0),,IF(B47=0, "    ---- ", IF(ABS(ROUND(100/B47*C47-100,1))&lt;999,IF(ROUND(100/B47*C47-100,1)=0,"    ---- ",ROUND(100/B47*C47-100,1)),IF(ROUND(100/B47*C47-100,1)&gt;999,999,-999))))</f>
        <v>31.3</v>
      </c>
      <c r="E47" s="339">
        <f>IFERROR(100/'Skjema total MA'!C47*C47,0)</f>
        <v>12.1367882584742</v>
      </c>
      <c r="F47" s="118"/>
      <c r="G47" s="130"/>
      <c r="H47" s="118"/>
      <c r="I47" s="118"/>
      <c r="J47" s="337"/>
      <c r="K47" s="337"/>
      <c r="L47" s="118"/>
      <c r="M47" s="118"/>
      <c r="N47" s="107"/>
    </row>
    <row r="48" spans="1:14" ht="15.75" x14ac:dyDescent="0.2">
      <c r="A48" s="18" t="s">
        <v>334</v>
      </c>
      <c r="B48" s="291">
        <v>96589.098110000006</v>
      </c>
      <c r="C48" s="292">
        <v>125731.28853000001</v>
      </c>
      <c r="D48" s="300">
        <f t="shared" ref="D48:D57" si="8">IF(AND(_xlfn.NUMBERVALUE(B48)=0,_xlfn.NUMBERVALUE(C48)=0),,IF(B48=0, "    ---- ", IF(ABS(ROUND(100/B48*C48-100,1))&lt;999,IF(ROUND(100/B48*C48-100,1)=0,"    ---- ",ROUND(100/B48*C48-100,1)),IF(ROUND(100/B48*C48-100,1)&gt;999,999,-999))))</f>
        <v>30.2</v>
      </c>
      <c r="E48" s="329">
        <f>IFERROR(100/'Skjema total MA'!C48*C48,0)</f>
        <v>5.2265645351286336</v>
      </c>
      <c r="F48" s="109"/>
      <c r="G48" s="27"/>
      <c r="H48" s="109"/>
      <c r="I48" s="109"/>
      <c r="J48" s="27"/>
      <c r="K48" s="27"/>
      <c r="L48" s="118"/>
      <c r="M48" s="118"/>
    </row>
    <row r="49" spans="1:13" ht="15.75" x14ac:dyDescent="0.2">
      <c r="A49" s="18" t="s">
        <v>335</v>
      </c>
      <c r="B49" s="291">
        <v>312910.37107000005</v>
      </c>
      <c r="C49" s="292">
        <v>412076.05277999991</v>
      </c>
      <c r="D49" s="300">
        <f t="shared" si="8"/>
        <v>31.7</v>
      </c>
      <c r="E49" s="329">
        <f>IFERROR(100/'Skjema total MA'!C49*C49,0)</f>
        <v>20.343445346735297</v>
      </c>
      <c r="F49" s="109"/>
      <c r="G49" s="27"/>
      <c r="H49" s="109"/>
      <c r="I49" s="109"/>
      <c r="J49" s="31"/>
      <c r="K49" s="31"/>
      <c r="L49" s="118"/>
      <c r="M49" s="118"/>
    </row>
    <row r="50" spans="1:13" x14ac:dyDescent="0.2">
      <c r="A50" s="238" t="s">
        <v>6</v>
      </c>
      <c r="B50" s="301"/>
      <c r="C50" s="302"/>
      <c r="D50" s="300"/>
      <c r="E50" s="330"/>
      <c r="F50" s="109"/>
      <c r="G50" s="27"/>
      <c r="H50" s="109"/>
      <c r="I50" s="109"/>
      <c r="J50" s="27"/>
      <c r="K50" s="27"/>
      <c r="L50" s="118"/>
      <c r="M50" s="118"/>
    </row>
    <row r="51" spans="1:13" x14ac:dyDescent="0.2">
      <c r="A51" s="238" t="s">
        <v>7</v>
      </c>
      <c r="B51" s="301"/>
      <c r="C51" s="302"/>
      <c r="D51" s="300"/>
      <c r="E51" s="330"/>
      <c r="F51" s="109"/>
      <c r="G51" s="27"/>
      <c r="H51" s="109"/>
      <c r="I51" s="109"/>
      <c r="J51" s="27"/>
      <c r="K51" s="27"/>
      <c r="L51" s="118"/>
      <c r="M51" s="118"/>
    </row>
    <row r="52" spans="1:13" x14ac:dyDescent="0.2">
      <c r="A52" s="238" t="s">
        <v>8</v>
      </c>
      <c r="B52" s="301"/>
      <c r="C52" s="302"/>
      <c r="D52" s="300"/>
      <c r="E52" s="330"/>
      <c r="F52" s="109"/>
      <c r="G52" s="27"/>
      <c r="H52" s="109"/>
      <c r="I52" s="109"/>
      <c r="J52" s="27"/>
      <c r="K52" s="27"/>
      <c r="L52" s="118"/>
      <c r="M52" s="118"/>
    </row>
    <row r="53" spans="1:13" ht="15.75" x14ac:dyDescent="0.2">
      <c r="A53" s="10" t="s">
        <v>336</v>
      </c>
      <c r="B53" s="293">
        <v>263</v>
      </c>
      <c r="C53" s="294">
        <v>977</v>
      </c>
      <c r="D53" s="300">
        <f t="shared" si="8"/>
        <v>271.5</v>
      </c>
      <c r="E53" s="329">
        <f>IFERROR(100/'Skjema total MA'!C53*C53,0)</f>
        <v>0.5604900833499239</v>
      </c>
      <c r="F53" s="109"/>
      <c r="G53" s="27"/>
      <c r="H53" s="109"/>
      <c r="I53" s="109"/>
      <c r="J53" s="27"/>
      <c r="K53" s="27"/>
      <c r="L53" s="118"/>
      <c r="M53" s="118"/>
    </row>
    <row r="54" spans="1:13" ht="15.75" x14ac:dyDescent="0.2">
      <c r="A54" s="18" t="s">
        <v>334</v>
      </c>
      <c r="B54" s="291">
        <v>263</v>
      </c>
      <c r="C54" s="292">
        <v>977</v>
      </c>
      <c r="D54" s="300">
        <f t="shared" si="8"/>
        <v>271.5</v>
      </c>
      <c r="E54" s="329">
        <f>IFERROR(100/'Skjema total MA'!C54*C54,0)</f>
        <v>0.56134669934489689</v>
      </c>
      <c r="F54" s="109"/>
      <c r="G54" s="27"/>
      <c r="H54" s="109"/>
      <c r="I54" s="109"/>
      <c r="J54" s="27"/>
      <c r="K54" s="27"/>
      <c r="L54" s="118"/>
      <c r="M54" s="118"/>
    </row>
    <row r="55" spans="1:13" ht="15.75" x14ac:dyDescent="0.2">
      <c r="A55" s="18" t="s">
        <v>335</v>
      </c>
      <c r="B55" s="291"/>
      <c r="C55" s="292"/>
      <c r="D55" s="300"/>
      <c r="E55" s="329"/>
      <c r="F55" s="109"/>
      <c r="G55" s="27"/>
      <c r="H55" s="109"/>
      <c r="I55" s="109"/>
      <c r="J55" s="27"/>
      <c r="K55" s="27"/>
      <c r="L55" s="118"/>
      <c r="M55" s="118"/>
    </row>
    <row r="56" spans="1:13" ht="15.75" x14ac:dyDescent="0.2">
      <c r="A56" s="10" t="s">
        <v>337</v>
      </c>
      <c r="B56" s="293">
        <v>1592</v>
      </c>
      <c r="C56" s="294">
        <v>595</v>
      </c>
      <c r="D56" s="300">
        <f t="shared" si="8"/>
        <v>-62.6</v>
      </c>
      <c r="E56" s="329">
        <f>IFERROR(100/'Skjema total MA'!C56*C56,0)</f>
        <v>1.8178738489650523</v>
      </c>
      <c r="F56" s="109"/>
      <c r="G56" s="27"/>
      <c r="H56" s="109"/>
      <c r="I56" s="109"/>
      <c r="J56" s="27"/>
      <c r="K56" s="27"/>
      <c r="L56" s="118"/>
      <c r="M56" s="118"/>
    </row>
    <row r="57" spans="1:13" ht="15.75" x14ac:dyDescent="0.2">
      <c r="A57" s="18" t="s">
        <v>334</v>
      </c>
      <c r="B57" s="291">
        <v>1592</v>
      </c>
      <c r="C57" s="292">
        <v>595</v>
      </c>
      <c r="D57" s="300">
        <f t="shared" si="8"/>
        <v>-62.6</v>
      </c>
      <c r="E57" s="537">
        <f>IFERROR(100/'Skjema total MA'!C57*C57,0)</f>
        <v>1.8178738489650523</v>
      </c>
      <c r="F57" s="109"/>
      <c r="G57" s="27"/>
      <c r="H57" s="109"/>
      <c r="I57" s="109"/>
      <c r="J57" s="27"/>
      <c r="K57" s="27"/>
      <c r="L57" s="118"/>
      <c r="M57" s="118"/>
    </row>
    <row r="58" spans="1:13" ht="15.75" x14ac:dyDescent="0.2">
      <c r="A58" s="7" t="s">
        <v>335</v>
      </c>
      <c r="B58" s="312"/>
      <c r="C58" s="313"/>
      <c r="D58" s="304"/>
      <c r="E58" s="331"/>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243"/>
      <c r="C62" s="243"/>
      <c r="D62" s="243"/>
      <c r="E62" s="240"/>
      <c r="F62" s="243"/>
      <c r="G62" s="243"/>
      <c r="H62" s="243"/>
      <c r="I62" s="240"/>
      <c r="J62" s="243"/>
      <c r="K62" s="243"/>
      <c r="L62" s="243"/>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314"/>
      <c r="C66" s="314"/>
      <c r="D66" s="297"/>
      <c r="E66" s="298"/>
      <c r="F66" s="314"/>
      <c r="G66" s="314"/>
      <c r="H66" s="297"/>
      <c r="I66" s="298"/>
      <c r="J66" s="294"/>
      <c r="K66" s="288"/>
      <c r="L66" s="300"/>
      <c r="M66" s="298"/>
    </row>
    <row r="67" spans="1:13" x14ac:dyDescent="0.2">
      <c r="A67" s="18" t="s">
        <v>9</v>
      </c>
      <c r="B67" s="291"/>
      <c r="C67" s="315"/>
      <c r="D67" s="300"/>
      <c r="E67" s="298"/>
      <c r="F67" s="303"/>
      <c r="G67" s="315"/>
      <c r="H67" s="300"/>
      <c r="I67" s="298"/>
      <c r="J67" s="292"/>
      <c r="K67" s="291"/>
      <c r="L67" s="300"/>
      <c r="M67" s="298"/>
    </row>
    <row r="68" spans="1:13" x14ac:dyDescent="0.2">
      <c r="A68" s="18" t="s">
        <v>10</v>
      </c>
      <c r="B68" s="316"/>
      <c r="C68" s="317"/>
      <c r="D68" s="300"/>
      <c r="E68" s="298"/>
      <c r="F68" s="316"/>
      <c r="G68" s="317"/>
      <c r="H68" s="300"/>
      <c r="I68" s="298"/>
      <c r="J68" s="292"/>
      <c r="K68" s="291"/>
      <c r="L68" s="300"/>
      <c r="M68" s="298"/>
    </row>
    <row r="69" spans="1:13" ht="15.75" x14ac:dyDescent="0.2">
      <c r="A69" s="238" t="s">
        <v>338</v>
      </c>
      <c r="B69" s="301"/>
      <c r="C69" s="302"/>
      <c r="D69" s="300"/>
      <c r="E69" s="322"/>
      <c r="F69" s="301"/>
      <c r="G69" s="302"/>
      <c r="H69" s="300"/>
      <c r="I69" s="298"/>
      <c r="J69" s="301"/>
      <c r="K69" s="302"/>
      <c r="L69" s="300"/>
      <c r="M69" s="298"/>
    </row>
    <row r="70" spans="1:13" x14ac:dyDescent="0.2">
      <c r="A70" s="238" t="s">
        <v>12</v>
      </c>
      <c r="B70" s="301"/>
      <c r="C70" s="302"/>
      <c r="D70" s="300"/>
      <c r="E70" s="322"/>
      <c r="F70" s="301"/>
      <c r="G70" s="302"/>
      <c r="H70" s="300"/>
      <c r="I70" s="298"/>
      <c r="J70" s="301"/>
      <c r="K70" s="302"/>
      <c r="L70" s="300"/>
      <c r="M70" s="298"/>
    </row>
    <row r="71" spans="1:13" x14ac:dyDescent="0.2">
      <c r="A71" s="238" t="s">
        <v>13</v>
      </c>
      <c r="B71" s="301"/>
      <c r="C71" s="302"/>
      <c r="D71" s="300"/>
      <c r="E71" s="322"/>
      <c r="F71" s="301"/>
      <c r="G71" s="302"/>
      <c r="H71" s="300"/>
      <c r="I71" s="298"/>
      <c r="J71" s="301"/>
      <c r="K71" s="302"/>
      <c r="L71" s="300"/>
      <c r="M71" s="298"/>
    </row>
    <row r="72" spans="1:13" ht="15.75" x14ac:dyDescent="0.2">
      <c r="A72" s="238" t="s">
        <v>339</v>
      </c>
      <c r="B72" s="301"/>
      <c r="C72" s="302"/>
      <c r="D72" s="300"/>
      <c r="E72" s="322"/>
      <c r="F72" s="301"/>
      <c r="G72" s="302"/>
      <c r="H72" s="300"/>
      <c r="I72" s="298"/>
      <c r="J72" s="301"/>
      <c r="K72" s="302"/>
      <c r="L72" s="300"/>
      <c r="M72" s="298"/>
    </row>
    <row r="73" spans="1:13" x14ac:dyDescent="0.2">
      <c r="A73" s="238" t="s">
        <v>12</v>
      </c>
      <c r="B73" s="301"/>
      <c r="C73" s="302"/>
      <c r="D73" s="300"/>
      <c r="E73" s="322"/>
      <c r="F73" s="301"/>
      <c r="G73" s="302"/>
      <c r="H73" s="300"/>
      <c r="I73" s="298"/>
      <c r="J73" s="301"/>
      <c r="K73" s="302"/>
      <c r="L73" s="300"/>
      <c r="M73" s="298"/>
    </row>
    <row r="74" spans="1:13" x14ac:dyDescent="0.2">
      <c r="A74" s="238" t="s">
        <v>13</v>
      </c>
      <c r="B74" s="301"/>
      <c r="C74" s="302"/>
      <c r="D74" s="300"/>
      <c r="E74" s="322"/>
      <c r="F74" s="301"/>
      <c r="G74" s="302"/>
      <c r="H74" s="300"/>
      <c r="I74" s="298"/>
      <c r="J74" s="301"/>
      <c r="K74" s="302"/>
      <c r="L74" s="300"/>
      <c r="M74" s="298"/>
    </row>
    <row r="75" spans="1:13" x14ac:dyDescent="0.2">
      <c r="A75" s="18" t="s">
        <v>310</v>
      </c>
      <c r="B75" s="303"/>
      <c r="C75" s="315"/>
      <c r="D75" s="300"/>
      <c r="E75" s="298"/>
      <c r="F75" s="303"/>
      <c r="G75" s="315"/>
      <c r="H75" s="300"/>
      <c r="I75" s="298"/>
      <c r="J75" s="292"/>
      <c r="K75" s="291"/>
      <c r="L75" s="300"/>
      <c r="M75" s="298"/>
    </row>
    <row r="76" spans="1:13" x14ac:dyDescent="0.2">
      <c r="A76" s="18" t="s">
        <v>309</v>
      </c>
      <c r="B76" s="303"/>
      <c r="C76" s="315"/>
      <c r="D76" s="300"/>
      <c r="E76" s="298"/>
      <c r="F76" s="303"/>
      <c r="G76" s="315"/>
      <c r="H76" s="300"/>
      <c r="I76" s="298"/>
      <c r="J76" s="292"/>
      <c r="K76" s="291"/>
      <c r="L76" s="300"/>
      <c r="M76" s="298"/>
    </row>
    <row r="77" spans="1:13" ht="15.75" x14ac:dyDescent="0.2">
      <c r="A77" s="18" t="s">
        <v>340</v>
      </c>
      <c r="B77" s="303"/>
      <c r="C77" s="303"/>
      <c r="D77" s="300"/>
      <c r="E77" s="298"/>
      <c r="F77" s="303"/>
      <c r="G77" s="315"/>
      <c r="H77" s="300"/>
      <c r="I77" s="298"/>
      <c r="J77" s="292"/>
      <c r="K77" s="291"/>
      <c r="L77" s="300"/>
      <c r="M77" s="298"/>
    </row>
    <row r="78" spans="1:13" x14ac:dyDescent="0.2">
      <c r="A78" s="18" t="s">
        <v>9</v>
      </c>
      <c r="B78" s="303"/>
      <c r="C78" s="315"/>
      <c r="D78" s="300"/>
      <c r="E78" s="298"/>
      <c r="F78" s="303"/>
      <c r="G78" s="315"/>
      <c r="H78" s="300"/>
      <c r="I78" s="298"/>
      <c r="J78" s="292"/>
      <c r="K78" s="291"/>
      <c r="L78" s="300"/>
      <c r="M78" s="298"/>
    </row>
    <row r="79" spans="1:13" x14ac:dyDescent="0.2">
      <c r="A79" s="18" t="s">
        <v>368</v>
      </c>
      <c r="B79" s="316"/>
      <c r="C79" s="317"/>
      <c r="D79" s="300"/>
      <c r="E79" s="298"/>
      <c r="F79" s="316"/>
      <c r="G79" s="317"/>
      <c r="H79" s="300"/>
      <c r="I79" s="298"/>
      <c r="J79" s="292"/>
      <c r="K79" s="291"/>
      <c r="L79" s="300"/>
      <c r="M79" s="298"/>
    </row>
    <row r="80" spans="1:13" ht="15.75" x14ac:dyDescent="0.2">
      <c r="A80" s="238" t="s">
        <v>338</v>
      </c>
      <c r="B80" s="301"/>
      <c r="C80" s="302"/>
      <c r="D80" s="300"/>
      <c r="E80" s="322"/>
      <c r="F80" s="301"/>
      <c r="G80" s="302"/>
      <c r="H80" s="300"/>
      <c r="I80" s="298"/>
      <c r="J80" s="301"/>
      <c r="K80" s="302"/>
      <c r="L80" s="300"/>
      <c r="M80" s="298"/>
    </row>
    <row r="81" spans="1:13" x14ac:dyDescent="0.2">
      <c r="A81" s="238" t="s">
        <v>12</v>
      </c>
      <c r="B81" s="301"/>
      <c r="C81" s="302"/>
      <c r="D81" s="300"/>
      <c r="E81" s="322"/>
      <c r="F81" s="301"/>
      <c r="G81" s="302"/>
      <c r="H81" s="300"/>
      <c r="I81" s="298"/>
      <c r="J81" s="301"/>
      <c r="K81" s="302"/>
      <c r="L81" s="300"/>
      <c r="M81" s="298"/>
    </row>
    <row r="82" spans="1:13" x14ac:dyDescent="0.2">
      <c r="A82" s="238" t="s">
        <v>13</v>
      </c>
      <c r="B82" s="301"/>
      <c r="C82" s="302"/>
      <c r="D82" s="300"/>
      <c r="E82" s="322"/>
      <c r="F82" s="301"/>
      <c r="G82" s="302"/>
      <c r="H82" s="300"/>
      <c r="I82" s="298"/>
      <c r="J82" s="301"/>
      <c r="K82" s="302"/>
      <c r="L82" s="300"/>
      <c r="M82" s="298"/>
    </row>
    <row r="83" spans="1:13" ht="15.75" x14ac:dyDescent="0.2">
      <c r="A83" s="238" t="s">
        <v>339</v>
      </c>
      <c r="B83" s="301"/>
      <c r="C83" s="302"/>
      <c r="D83" s="300"/>
      <c r="E83" s="322"/>
      <c r="F83" s="301"/>
      <c r="G83" s="302"/>
      <c r="H83" s="300"/>
      <c r="I83" s="298"/>
      <c r="J83" s="301"/>
      <c r="K83" s="302"/>
      <c r="L83" s="300"/>
      <c r="M83" s="298"/>
    </row>
    <row r="84" spans="1:13" x14ac:dyDescent="0.2">
      <c r="A84" s="238" t="s">
        <v>12</v>
      </c>
      <c r="B84" s="301"/>
      <c r="C84" s="302"/>
      <c r="D84" s="300"/>
      <c r="E84" s="322"/>
      <c r="F84" s="301"/>
      <c r="G84" s="302"/>
      <c r="H84" s="300"/>
      <c r="I84" s="298"/>
      <c r="J84" s="301"/>
      <c r="K84" s="302"/>
      <c r="L84" s="300"/>
      <c r="M84" s="298"/>
    </row>
    <row r="85" spans="1:13" x14ac:dyDescent="0.2">
      <c r="A85" s="238" t="s">
        <v>13</v>
      </c>
      <c r="B85" s="318"/>
      <c r="C85" s="319"/>
      <c r="D85" s="300"/>
      <c r="E85" s="322"/>
      <c r="F85" s="301"/>
      <c r="G85" s="302"/>
      <c r="H85" s="300"/>
      <c r="I85" s="298"/>
      <c r="J85" s="301"/>
      <c r="K85" s="302"/>
      <c r="L85" s="300"/>
      <c r="M85" s="298"/>
    </row>
    <row r="86" spans="1:13" ht="15.75" x14ac:dyDescent="0.2">
      <c r="A86" s="18" t="s">
        <v>341</v>
      </c>
      <c r="B86" s="303"/>
      <c r="C86" s="315"/>
      <c r="D86" s="300"/>
      <c r="E86" s="298"/>
      <c r="F86" s="303"/>
      <c r="G86" s="315"/>
      <c r="H86" s="300"/>
      <c r="I86" s="298"/>
      <c r="J86" s="292"/>
      <c r="K86" s="291"/>
      <c r="L86" s="300"/>
      <c r="M86" s="298"/>
    </row>
    <row r="87" spans="1:13" ht="15.75" x14ac:dyDescent="0.2">
      <c r="A87" s="10" t="s">
        <v>323</v>
      </c>
      <c r="B87" s="314"/>
      <c r="C87" s="314"/>
      <c r="D87" s="300"/>
      <c r="E87" s="298"/>
      <c r="F87" s="314"/>
      <c r="G87" s="314"/>
      <c r="H87" s="300"/>
      <c r="I87" s="298"/>
      <c r="J87" s="294"/>
      <c r="K87" s="293"/>
      <c r="L87" s="300"/>
      <c r="M87" s="298"/>
    </row>
    <row r="88" spans="1:13" x14ac:dyDescent="0.2">
      <c r="A88" s="18" t="s">
        <v>9</v>
      </c>
      <c r="B88" s="303"/>
      <c r="C88" s="315"/>
      <c r="D88" s="300"/>
      <c r="E88" s="298"/>
      <c r="F88" s="303"/>
      <c r="G88" s="315"/>
      <c r="H88" s="300"/>
      <c r="I88" s="298"/>
      <c r="J88" s="292"/>
      <c r="K88" s="291"/>
      <c r="L88" s="300"/>
      <c r="M88" s="298"/>
    </row>
    <row r="89" spans="1:13" x14ac:dyDescent="0.2">
      <c r="A89" s="18" t="s">
        <v>10</v>
      </c>
      <c r="B89" s="303"/>
      <c r="C89" s="315"/>
      <c r="D89" s="300"/>
      <c r="E89" s="298"/>
      <c r="F89" s="303"/>
      <c r="G89" s="315"/>
      <c r="H89" s="300"/>
      <c r="I89" s="298"/>
      <c r="J89" s="292"/>
      <c r="K89" s="291"/>
      <c r="L89" s="300"/>
      <c r="M89" s="298"/>
    </row>
    <row r="90" spans="1:13" ht="15.75" x14ac:dyDescent="0.2">
      <c r="A90" s="238" t="s">
        <v>338</v>
      </c>
      <c r="B90" s="301"/>
      <c r="C90" s="302"/>
      <c r="D90" s="300"/>
      <c r="E90" s="322"/>
      <c r="F90" s="301"/>
      <c r="G90" s="302"/>
      <c r="H90" s="300"/>
      <c r="I90" s="298"/>
      <c r="J90" s="301"/>
      <c r="K90" s="302"/>
      <c r="L90" s="300"/>
      <c r="M90" s="298"/>
    </row>
    <row r="91" spans="1:13" x14ac:dyDescent="0.2">
      <c r="A91" s="238" t="s">
        <v>12</v>
      </c>
      <c r="B91" s="301"/>
      <c r="C91" s="302"/>
      <c r="D91" s="300"/>
      <c r="E91" s="322"/>
      <c r="F91" s="301"/>
      <c r="G91" s="302"/>
      <c r="H91" s="300"/>
      <c r="I91" s="298"/>
      <c r="J91" s="301"/>
      <c r="K91" s="302"/>
      <c r="L91" s="300"/>
      <c r="M91" s="298"/>
    </row>
    <row r="92" spans="1:13" x14ac:dyDescent="0.2">
      <c r="A92" s="238" t="s">
        <v>13</v>
      </c>
      <c r="B92" s="301"/>
      <c r="C92" s="302"/>
      <c r="D92" s="300"/>
      <c r="E92" s="322"/>
      <c r="F92" s="301"/>
      <c r="G92" s="302"/>
      <c r="H92" s="300"/>
      <c r="I92" s="298"/>
      <c r="J92" s="301"/>
      <c r="K92" s="302"/>
      <c r="L92" s="300"/>
      <c r="M92" s="298"/>
    </row>
    <row r="93" spans="1:13" ht="15.75" x14ac:dyDescent="0.2">
      <c r="A93" s="238" t="s">
        <v>339</v>
      </c>
      <c r="B93" s="301"/>
      <c r="C93" s="302"/>
      <c r="D93" s="300"/>
      <c r="E93" s="322"/>
      <c r="F93" s="301"/>
      <c r="G93" s="302"/>
      <c r="H93" s="300"/>
      <c r="I93" s="298"/>
      <c r="J93" s="301"/>
      <c r="K93" s="302"/>
      <c r="L93" s="300"/>
      <c r="M93" s="298"/>
    </row>
    <row r="94" spans="1:13" x14ac:dyDescent="0.2">
      <c r="A94" s="238" t="s">
        <v>12</v>
      </c>
      <c r="B94" s="301"/>
      <c r="C94" s="302"/>
      <c r="D94" s="300"/>
      <c r="E94" s="322"/>
      <c r="F94" s="301"/>
      <c r="G94" s="302"/>
      <c r="H94" s="300"/>
      <c r="I94" s="298"/>
      <c r="J94" s="301"/>
      <c r="K94" s="302"/>
      <c r="L94" s="300"/>
      <c r="M94" s="298"/>
    </row>
    <row r="95" spans="1:13" x14ac:dyDescent="0.2">
      <c r="A95" s="238" t="s">
        <v>13</v>
      </c>
      <c r="B95" s="301"/>
      <c r="C95" s="302"/>
      <c r="D95" s="300"/>
      <c r="E95" s="322"/>
      <c r="F95" s="301"/>
      <c r="G95" s="302"/>
      <c r="H95" s="300"/>
      <c r="I95" s="298"/>
      <c r="J95" s="301"/>
      <c r="K95" s="302"/>
      <c r="L95" s="300"/>
      <c r="M95" s="298"/>
    </row>
    <row r="96" spans="1:13" x14ac:dyDescent="0.2">
      <c r="A96" s="18" t="s">
        <v>308</v>
      </c>
      <c r="B96" s="303"/>
      <c r="C96" s="315"/>
      <c r="D96" s="300"/>
      <c r="E96" s="298"/>
      <c r="F96" s="303"/>
      <c r="G96" s="315"/>
      <c r="H96" s="300"/>
      <c r="I96" s="298"/>
      <c r="J96" s="292"/>
      <c r="K96" s="291"/>
      <c r="L96" s="300"/>
      <c r="M96" s="298"/>
    </row>
    <row r="97" spans="1:13" x14ac:dyDescent="0.2">
      <c r="A97" s="18" t="s">
        <v>307</v>
      </c>
      <c r="B97" s="303"/>
      <c r="C97" s="315"/>
      <c r="D97" s="300"/>
      <c r="E97" s="298"/>
      <c r="F97" s="303"/>
      <c r="G97" s="315"/>
      <c r="H97" s="300"/>
      <c r="I97" s="298"/>
      <c r="J97" s="292"/>
      <c r="K97" s="291"/>
      <c r="L97" s="300"/>
      <c r="M97" s="298"/>
    </row>
    <row r="98" spans="1:13" ht="15.75" x14ac:dyDescent="0.2">
      <c r="A98" s="18" t="s">
        <v>340</v>
      </c>
      <c r="B98" s="303"/>
      <c r="C98" s="303"/>
      <c r="D98" s="300"/>
      <c r="E98" s="298"/>
      <c r="F98" s="316"/>
      <c r="G98" s="316"/>
      <c r="H98" s="300"/>
      <c r="I98" s="298"/>
      <c r="J98" s="292"/>
      <c r="K98" s="291"/>
      <c r="L98" s="300"/>
      <c r="M98" s="298"/>
    </row>
    <row r="99" spans="1:13" x14ac:dyDescent="0.2">
      <c r="A99" s="18" t="s">
        <v>9</v>
      </c>
      <c r="B99" s="316"/>
      <c r="C99" s="317"/>
      <c r="D99" s="300"/>
      <c r="E99" s="298"/>
      <c r="F99" s="303"/>
      <c r="G99" s="315"/>
      <c r="H99" s="300"/>
      <c r="I99" s="298"/>
      <c r="J99" s="292"/>
      <c r="K99" s="291"/>
      <c r="L99" s="300"/>
      <c r="M99" s="298"/>
    </row>
    <row r="100" spans="1:13" x14ac:dyDescent="0.2">
      <c r="A100" s="18" t="s">
        <v>368</v>
      </c>
      <c r="B100" s="316"/>
      <c r="C100" s="317"/>
      <c r="D100" s="300"/>
      <c r="E100" s="298"/>
      <c r="F100" s="303"/>
      <c r="G100" s="303"/>
      <c r="H100" s="300"/>
      <c r="I100" s="298"/>
      <c r="J100" s="292"/>
      <c r="K100" s="291"/>
      <c r="L100" s="300"/>
      <c r="M100" s="298"/>
    </row>
    <row r="101" spans="1:13" ht="15.75" x14ac:dyDescent="0.2">
      <c r="A101" s="547" t="s">
        <v>338</v>
      </c>
      <c r="B101" s="301"/>
      <c r="C101" s="302"/>
      <c r="D101" s="300"/>
      <c r="E101" s="322"/>
      <c r="F101" s="301"/>
      <c r="G101" s="302"/>
      <c r="H101" s="300"/>
      <c r="I101" s="298"/>
      <c r="J101" s="301"/>
      <c r="K101" s="302"/>
      <c r="L101" s="300"/>
      <c r="M101" s="298"/>
    </row>
    <row r="102" spans="1:13" x14ac:dyDescent="0.2">
      <c r="A102" s="238" t="s">
        <v>12</v>
      </c>
      <c r="B102" s="301"/>
      <c r="C102" s="302"/>
      <c r="D102" s="300"/>
      <c r="E102" s="322"/>
      <c r="F102" s="301"/>
      <c r="G102" s="302"/>
      <c r="H102" s="300"/>
      <c r="I102" s="298"/>
      <c r="J102" s="301"/>
      <c r="K102" s="302"/>
      <c r="L102" s="300"/>
      <c r="M102" s="298"/>
    </row>
    <row r="103" spans="1:13" x14ac:dyDescent="0.2">
      <c r="A103" s="238" t="s">
        <v>13</v>
      </c>
      <c r="B103" s="301"/>
      <c r="C103" s="302"/>
      <c r="D103" s="300"/>
      <c r="E103" s="322"/>
      <c r="F103" s="301"/>
      <c r="G103" s="302"/>
      <c r="H103" s="300"/>
      <c r="I103" s="298"/>
      <c r="J103" s="301"/>
      <c r="K103" s="302"/>
      <c r="L103" s="300"/>
      <c r="M103" s="298"/>
    </row>
    <row r="104" spans="1:13" ht="15.75" x14ac:dyDescent="0.2">
      <c r="A104" s="238" t="s">
        <v>339</v>
      </c>
      <c r="B104" s="301"/>
      <c r="C104" s="302"/>
      <c r="D104" s="300"/>
      <c r="E104" s="322"/>
      <c r="F104" s="301"/>
      <c r="G104" s="302"/>
      <c r="H104" s="300"/>
      <c r="I104" s="298"/>
      <c r="J104" s="301"/>
      <c r="K104" s="302"/>
      <c r="L104" s="300"/>
      <c r="M104" s="298"/>
    </row>
    <row r="105" spans="1:13" x14ac:dyDescent="0.2">
      <c r="A105" s="238" t="s">
        <v>12</v>
      </c>
      <c r="B105" s="301"/>
      <c r="C105" s="302"/>
      <c r="D105" s="300"/>
      <c r="E105" s="322"/>
      <c r="F105" s="301"/>
      <c r="G105" s="302"/>
      <c r="H105" s="300"/>
      <c r="I105" s="298"/>
      <c r="J105" s="301"/>
      <c r="K105" s="302"/>
      <c r="L105" s="300"/>
      <c r="M105" s="298"/>
    </row>
    <row r="106" spans="1:13" x14ac:dyDescent="0.2">
      <c r="A106" s="238" t="s">
        <v>13</v>
      </c>
      <c r="B106" s="301"/>
      <c r="C106" s="302"/>
      <c r="D106" s="300"/>
      <c r="E106" s="322"/>
      <c r="F106" s="301"/>
      <c r="G106" s="302"/>
      <c r="H106" s="300"/>
      <c r="I106" s="298"/>
      <c r="J106" s="301"/>
      <c r="K106" s="302"/>
      <c r="L106" s="300"/>
      <c r="M106" s="298"/>
    </row>
    <row r="107" spans="1:13" ht="15.75" x14ac:dyDescent="0.2">
      <c r="A107" s="18" t="s">
        <v>341</v>
      </c>
      <c r="B107" s="303"/>
      <c r="C107" s="315"/>
      <c r="D107" s="300"/>
      <c r="E107" s="298"/>
      <c r="F107" s="303"/>
      <c r="G107" s="315"/>
      <c r="H107" s="300"/>
      <c r="I107" s="298"/>
      <c r="J107" s="292"/>
      <c r="K107" s="291"/>
      <c r="L107" s="300"/>
      <c r="M107" s="298"/>
    </row>
    <row r="108" spans="1:13" ht="15.75" x14ac:dyDescent="0.2">
      <c r="A108" s="18" t="s">
        <v>342</v>
      </c>
      <c r="B108" s="303"/>
      <c r="C108" s="303"/>
      <c r="D108" s="300"/>
      <c r="E108" s="298"/>
      <c r="F108" s="303"/>
      <c r="G108" s="303"/>
      <c r="H108" s="300"/>
      <c r="I108" s="298"/>
      <c r="J108" s="292"/>
      <c r="K108" s="291"/>
      <c r="L108" s="300"/>
      <c r="M108" s="298"/>
    </row>
    <row r="109" spans="1:13" ht="15.75" x14ac:dyDescent="0.2">
      <c r="A109" s="18" t="s">
        <v>376</v>
      </c>
      <c r="B109" s="303"/>
      <c r="C109" s="303"/>
      <c r="D109" s="300"/>
      <c r="E109" s="298"/>
      <c r="F109" s="303"/>
      <c r="G109" s="303"/>
      <c r="H109" s="300"/>
      <c r="I109" s="298"/>
      <c r="J109" s="292"/>
      <c r="K109" s="291"/>
      <c r="L109" s="300"/>
      <c r="M109" s="298"/>
    </row>
    <row r="110" spans="1:13" ht="15.75" x14ac:dyDescent="0.2">
      <c r="A110" s="18" t="s">
        <v>343</v>
      </c>
      <c r="B110" s="303"/>
      <c r="C110" s="303"/>
      <c r="D110" s="300"/>
      <c r="E110" s="298"/>
      <c r="F110" s="303"/>
      <c r="G110" s="303"/>
      <c r="H110" s="300"/>
      <c r="I110" s="298"/>
      <c r="J110" s="292"/>
      <c r="K110" s="291"/>
      <c r="L110" s="300"/>
      <c r="M110" s="298"/>
    </row>
    <row r="111" spans="1:13" ht="15.75" x14ac:dyDescent="0.2">
      <c r="A111" s="10" t="s">
        <v>324</v>
      </c>
      <c r="B111" s="299"/>
      <c r="C111" s="320"/>
      <c r="D111" s="300"/>
      <c r="E111" s="298"/>
      <c r="F111" s="299"/>
      <c r="G111" s="320"/>
      <c r="H111" s="300"/>
      <c r="I111" s="298"/>
      <c r="J111" s="294"/>
      <c r="K111" s="293"/>
      <c r="L111" s="300"/>
      <c r="M111" s="298"/>
    </row>
    <row r="112" spans="1:13" x14ac:dyDescent="0.2">
      <c r="A112" s="18" t="s">
        <v>9</v>
      </c>
      <c r="B112" s="303"/>
      <c r="C112" s="315"/>
      <c r="D112" s="300"/>
      <c r="E112" s="298"/>
      <c r="F112" s="303"/>
      <c r="G112" s="315"/>
      <c r="H112" s="300"/>
      <c r="I112" s="298"/>
      <c r="J112" s="292"/>
      <c r="K112" s="291"/>
      <c r="L112" s="300"/>
      <c r="M112" s="298"/>
    </row>
    <row r="113" spans="1:13" x14ac:dyDescent="0.2">
      <c r="A113" s="18" t="s">
        <v>10</v>
      </c>
      <c r="B113" s="303"/>
      <c r="C113" s="315"/>
      <c r="D113" s="300"/>
      <c r="E113" s="298"/>
      <c r="F113" s="303"/>
      <c r="G113" s="315"/>
      <c r="H113" s="300"/>
      <c r="I113" s="298"/>
      <c r="J113" s="292"/>
      <c r="K113" s="291"/>
      <c r="L113" s="300"/>
      <c r="M113" s="298"/>
    </row>
    <row r="114" spans="1:13" x14ac:dyDescent="0.2">
      <c r="A114" s="18" t="s">
        <v>26</v>
      </c>
      <c r="B114" s="303"/>
      <c r="C114" s="315"/>
      <c r="D114" s="300"/>
      <c r="E114" s="298"/>
      <c r="F114" s="303"/>
      <c r="G114" s="315"/>
      <c r="H114" s="300"/>
      <c r="I114" s="298"/>
      <c r="J114" s="292"/>
      <c r="K114" s="291"/>
      <c r="L114" s="300"/>
      <c r="M114" s="298"/>
    </row>
    <row r="115" spans="1:13" x14ac:dyDescent="0.2">
      <c r="A115" s="238" t="s">
        <v>15</v>
      </c>
      <c r="B115" s="291"/>
      <c r="C115" s="291"/>
      <c r="D115" s="300"/>
      <c r="E115" s="322"/>
      <c r="F115" s="291"/>
      <c r="G115" s="291"/>
      <c r="H115" s="300"/>
      <c r="I115" s="298"/>
      <c r="J115" s="290"/>
      <c r="K115" s="290"/>
      <c r="L115" s="300"/>
      <c r="M115" s="298"/>
    </row>
    <row r="116" spans="1:13" ht="15.75" x14ac:dyDescent="0.2">
      <c r="A116" s="18" t="s">
        <v>344</v>
      </c>
      <c r="B116" s="303"/>
      <c r="C116" s="303"/>
      <c r="D116" s="300"/>
      <c r="E116" s="298"/>
      <c r="F116" s="303"/>
      <c r="G116" s="303"/>
      <c r="H116" s="300"/>
      <c r="I116" s="298"/>
      <c r="J116" s="292"/>
      <c r="K116" s="291"/>
      <c r="L116" s="300"/>
      <c r="M116" s="298"/>
    </row>
    <row r="117" spans="1:13" ht="15.75" x14ac:dyDescent="0.2">
      <c r="A117" s="18" t="s">
        <v>376</v>
      </c>
      <c r="B117" s="303"/>
      <c r="C117" s="303"/>
      <c r="D117" s="300"/>
      <c r="E117" s="298"/>
      <c r="F117" s="303"/>
      <c r="G117" s="303"/>
      <c r="H117" s="300"/>
      <c r="I117" s="298"/>
      <c r="J117" s="292"/>
      <c r="K117" s="291"/>
      <c r="L117" s="300"/>
      <c r="M117" s="298"/>
    </row>
    <row r="118" spans="1:13" ht="15.75" x14ac:dyDescent="0.2">
      <c r="A118" s="18" t="s">
        <v>343</v>
      </c>
      <c r="B118" s="303"/>
      <c r="C118" s="303"/>
      <c r="D118" s="300"/>
      <c r="E118" s="298"/>
      <c r="F118" s="303"/>
      <c r="G118" s="303"/>
      <c r="H118" s="300"/>
      <c r="I118" s="298"/>
      <c r="J118" s="292"/>
      <c r="K118" s="291"/>
      <c r="L118" s="300"/>
      <c r="M118" s="298"/>
    </row>
    <row r="119" spans="1:13" ht="15.75" x14ac:dyDescent="0.2">
      <c r="A119" s="10" t="s">
        <v>325</v>
      </c>
      <c r="B119" s="299"/>
      <c r="C119" s="320"/>
      <c r="D119" s="300"/>
      <c r="E119" s="298"/>
      <c r="F119" s="299"/>
      <c r="G119" s="320"/>
      <c r="H119" s="300"/>
      <c r="I119" s="298"/>
      <c r="J119" s="294"/>
      <c r="K119" s="293"/>
      <c r="L119" s="300"/>
      <c r="M119" s="298"/>
    </row>
    <row r="120" spans="1:13" x14ac:dyDescent="0.2">
      <c r="A120" s="18" t="s">
        <v>9</v>
      </c>
      <c r="B120" s="303"/>
      <c r="C120" s="315"/>
      <c r="D120" s="300"/>
      <c r="E120" s="298"/>
      <c r="F120" s="303"/>
      <c r="G120" s="315"/>
      <c r="H120" s="300"/>
      <c r="I120" s="298"/>
      <c r="J120" s="292"/>
      <c r="K120" s="291"/>
      <c r="L120" s="300"/>
      <c r="M120" s="298"/>
    </row>
    <row r="121" spans="1:13" x14ac:dyDescent="0.2">
      <c r="A121" s="18" t="s">
        <v>10</v>
      </c>
      <c r="B121" s="303"/>
      <c r="C121" s="315"/>
      <c r="D121" s="300"/>
      <c r="E121" s="298"/>
      <c r="F121" s="303"/>
      <c r="G121" s="315"/>
      <c r="H121" s="300"/>
      <c r="I121" s="298"/>
      <c r="J121" s="292"/>
      <c r="K121" s="291"/>
      <c r="L121" s="300"/>
      <c r="M121" s="298"/>
    </row>
    <row r="122" spans="1:13" x14ac:dyDescent="0.2">
      <c r="A122" s="18" t="s">
        <v>26</v>
      </c>
      <c r="B122" s="303"/>
      <c r="C122" s="315"/>
      <c r="D122" s="300"/>
      <c r="E122" s="298"/>
      <c r="F122" s="303"/>
      <c r="G122" s="315"/>
      <c r="H122" s="300"/>
      <c r="I122" s="298"/>
      <c r="J122" s="292"/>
      <c r="K122" s="291"/>
      <c r="L122" s="300"/>
      <c r="M122" s="298"/>
    </row>
    <row r="123" spans="1:13" x14ac:dyDescent="0.2">
      <c r="A123" s="238" t="s">
        <v>14</v>
      </c>
      <c r="B123" s="291"/>
      <c r="C123" s="291"/>
      <c r="D123" s="300"/>
      <c r="E123" s="322"/>
      <c r="F123" s="291"/>
      <c r="G123" s="291"/>
      <c r="H123" s="300"/>
      <c r="I123" s="298"/>
      <c r="J123" s="290"/>
      <c r="K123" s="290"/>
      <c r="L123" s="300"/>
      <c r="M123" s="298"/>
    </row>
    <row r="124" spans="1:13" ht="15.75" x14ac:dyDescent="0.2">
      <c r="A124" s="18" t="s">
        <v>349</v>
      </c>
      <c r="B124" s="303"/>
      <c r="C124" s="303"/>
      <c r="D124" s="300"/>
      <c r="E124" s="298"/>
      <c r="F124" s="303"/>
      <c r="G124" s="303"/>
      <c r="H124" s="300"/>
      <c r="I124" s="298"/>
      <c r="J124" s="292"/>
      <c r="K124" s="291"/>
      <c r="L124" s="300"/>
      <c r="M124" s="298"/>
    </row>
    <row r="125" spans="1:13" ht="15.75" x14ac:dyDescent="0.2">
      <c r="A125" s="18" t="s">
        <v>376</v>
      </c>
      <c r="B125" s="303"/>
      <c r="C125" s="303"/>
      <c r="D125" s="300"/>
      <c r="E125" s="298"/>
      <c r="F125" s="303"/>
      <c r="G125" s="303"/>
      <c r="H125" s="300"/>
      <c r="I125" s="298"/>
      <c r="J125" s="292"/>
      <c r="K125" s="291"/>
      <c r="L125" s="300"/>
      <c r="M125" s="298"/>
    </row>
    <row r="126" spans="1:13" ht="15.75" x14ac:dyDescent="0.2">
      <c r="A126" s="7" t="s">
        <v>343</v>
      </c>
      <c r="B126" s="312"/>
      <c r="C126" s="312"/>
      <c r="D126" s="304"/>
      <c r="E126" s="321"/>
      <c r="F126" s="312"/>
      <c r="G126" s="312"/>
      <c r="H126" s="304"/>
      <c r="I126" s="304"/>
      <c r="J126" s="313"/>
      <c r="K126" s="312"/>
      <c r="L126" s="304"/>
      <c r="M126" s="304"/>
    </row>
    <row r="127" spans="1:13" x14ac:dyDescent="0.2">
      <c r="A127" s="115"/>
    </row>
    <row r="129" spans="1:14" ht="15.75" x14ac:dyDescent="0.25">
      <c r="A129" s="110" t="s">
        <v>27</v>
      </c>
    </row>
    <row r="130" spans="1:14" ht="15.75" x14ac:dyDescent="0.25">
      <c r="B130" s="243"/>
      <c r="C130" s="243"/>
      <c r="D130" s="243"/>
      <c r="E130" s="240"/>
      <c r="F130" s="243"/>
      <c r="G130" s="243"/>
      <c r="H130" s="243"/>
      <c r="I130" s="240"/>
      <c r="J130" s="243"/>
      <c r="K130" s="243"/>
      <c r="L130" s="243"/>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293"/>
      <c r="C134" s="294"/>
      <c r="D134" s="297"/>
      <c r="E134" s="298"/>
      <c r="F134" s="288"/>
      <c r="G134" s="289"/>
      <c r="H134" s="323"/>
      <c r="I134" s="298"/>
      <c r="J134" s="306"/>
      <c r="K134" s="306"/>
      <c r="L134" s="297"/>
      <c r="M134" s="298"/>
    </row>
    <row r="135" spans="1:14" ht="15.75" x14ac:dyDescent="0.2">
      <c r="A135" s="10" t="s">
        <v>350</v>
      </c>
      <c r="B135" s="293"/>
      <c r="C135" s="294"/>
      <c r="D135" s="300"/>
      <c r="E135" s="298"/>
      <c r="F135" s="293"/>
      <c r="G135" s="294"/>
      <c r="H135" s="324"/>
      <c r="I135" s="298"/>
      <c r="J135" s="299"/>
      <c r="K135" s="299"/>
      <c r="L135" s="300"/>
      <c r="M135" s="298"/>
    </row>
    <row r="136" spans="1:14" ht="15.75" x14ac:dyDescent="0.2">
      <c r="A136" s="10" t="s">
        <v>347</v>
      </c>
      <c r="B136" s="293"/>
      <c r="C136" s="294"/>
      <c r="D136" s="300"/>
      <c r="E136" s="298"/>
      <c r="F136" s="293"/>
      <c r="G136" s="294"/>
      <c r="H136" s="324"/>
      <c r="I136" s="298"/>
      <c r="J136" s="299"/>
      <c r="K136" s="299"/>
      <c r="L136" s="300"/>
      <c r="M136" s="298"/>
    </row>
    <row r="137" spans="1:14" ht="15.75" x14ac:dyDescent="0.2">
      <c r="A137" s="33" t="s">
        <v>348</v>
      </c>
      <c r="B137" s="295"/>
      <c r="C137" s="296"/>
      <c r="D137" s="304"/>
      <c r="E137" s="321"/>
      <c r="F137" s="295"/>
      <c r="G137" s="296"/>
      <c r="H137" s="325"/>
      <c r="I137" s="321"/>
      <c r="J137" s="305"/>
      <c r="K137" s="305"/>
      <c r="L137" s="304"/>
      <c r="M137" s="304"/>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13">
    <mergeCell ref="J131:L131"/>
    <mergeCell ref="F131:H131"/>
    <mergeCell ref="B131:D131"/>
    <mergeCell ref="J63:L63"/>
    <mergeCell ref="F63:H63"/>
    <mergeCell ref="B63:D63"/>
    <mergeCell ref="B44:D44"/>
    <mergeCell ref="J19:L19"/>
    <mergeCell ref="F19:H19"/>
    <mergeCell ref="B19:D19"/>
    <mergeCell ref="J4:L4"/>
    <mergeCell ref="F4:H4"/>
    <mergeCell ref="B4:D4"/>
  </mergeCells>
  <conditionalFormatting sqref="A50:A52">
    <cfRule type="expression" dxfId="410" priority="12">
      <formula>kvartal &lt; 4</formula>
    </cfRule>
  </conditionalFormatting>
  <conditionalFormatting sqref="A69:A74">
    <cfRule type="expression" dxfId="409" priority="10">
      <formula>kvartal &lt; 4</formula>
    </cfRule>
  </conditionalFormatting>
  <conditionalFormatting sqref="A80:A85">
    <cfRule type="expression" dxfId="408" priority="9">
      <formula>kvartal &lt; 4</formula>
    </cfRule>
  </conditionalFormatting>
  <conditionalFormatting sqref="A90:A95">
    <cfRule type="expression" dxfId="407" priority="6">
      <formula>kvartal &lt; 4</formula>
    </cfRule>
  </conditionalFormatting>
  <conditionalFormatting sqref="A101:A106">
    <cfRule type="expression" dxfId="406" priority="5">
      <formula>kvartal &lt; 4</formula>
    </cfRule>
  </conditionalFormatting>
  <conditionalFormatting sqref="A115:C115">
    <cfRule type="expression" dxfId="405" priority="4">
      <formula>kvartal &lt; 4</formula>
    </cfRule>
  </conditionalFormatting>
  <conditionalFormatting sqref="A123:C123">
    <cfRule type="expression" dxfId="404" priority="3">
      <formula>kvartal &lt; 4</formula>
    </cfRule>
  </conditionalFormatting>
  <conditionalFormatting sqref="F115:G115">
    <cfRule type="expression" dxfId="403" priority="57">
      <formula>kvartal &lt; 4</formula>
    </cfRule>
  </conditionalFormatting>
  <conditionalFormatting sqref="F123:G123">
    <cfRule type="expression" dxfId="402" priority="56">
      <formula>kvartal &lt; 4</formula>
    </cfRule>
  </conditionalFormatting>
  <conditionalFormatting sqref="J115:K115">
    <cfRule type="expression" dxfId="401" priority="32">
      <formula>kvartal &lt; 4</formula>
    </cfRule>
  </conditionalFormatting>
  <conditionalFormatting sqref="J123:K123">
    <cfRule type="expression" dxfId="400" priority="31">
      <formula>kvartal &lt; 4</formula>
    </cfRule>
  </conditionalFormatting>
  <pageMargins left="0.70866141732283472" right="0.70866141732283472" top="0.78740157480314965" bottom="0.78740157480314965" header="0.31496062992125984" footer="0.31496062992125984"/>
  <pageSetup paperSize="9" scale="55" orientation="portrait" r:id="rId1"/>
  <rowBreaks count="1" manualBreakCount="1">
    <brk id="59"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4"/>
  <dimension ref="A1:Q144"/>
  <sheetViews>
    <sheetView showGridLines="0" topLeftCell="A32" zoomScaleNormal="100" workbookViewId="0">
      <selection activeCell="D30" sqref="D30"/>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7" x14ac:dyDescent="0.2">
      <c r="A1" s="128" t="s">
        <v>124</v>
      </c>
      <c r="B1" s="550"/>
      <c r="C1" s="195" t="s">
        <v>118</v>
      </c>
    </row>
    <row r="2" spans="1:17" ht="15.75" x14ac:dyDescent="0.25">
      <c r="A2" s="110" t="s">
        <v>28</v>
      </c>
      <c r="B2" s="577"/>
      <c r="C2" s="577"/>
      <c r="D2" s="577"/>
      <c r="E2" s="240"/>
      <c r="F2" s="577"/>
      <c r="G2" s="577"/>
      <c r="H2" s="577"/>
      <c r="I2" s="240"/>
      <c r="J2" s="577"/>
      <c r="K2" s="577"/>
      <c r="L2" s="577"/>
      <c r="M2" s="240"/>
    </row>
    <row r="3" spans="1:17" ht="15.75" x14ac:dyDescent="0.25">
      <c r="A3" s="122"/>
      <c r="B3" s="240"/>
      <c r="C3" s="240"/>
      <c r="D3" s="240"/>
      <c r="E3" s="240"/>
      <c r="F3" s="240"/>
      <c r="G3" s="240"/>
      <c r="H3" s="240"/>
      <c r="I3" s="240"/>
      <c r="J3" s="240"/>
      <c r="K3" s="240"/>
      <c r="L3" s="240"/>
      <c r="M3" s="240"/>
    </row>
    <row r="4" spans="1:17" x14ac:dyDescent="0.2">
      <c r="A4" s="108"/>
      <c r="B4" s="573" t="s">
        <v>0</v>
      </c>
      <c r="C4" s="574"/>
      <c r="D4" s="574"/>
      <c r="E4" s="242"/>
      <c r="F4" s="573" t="s">
        <v>1</v>
      </c>
      <c r="G4" s="574"/>
      <c r="H4" s="574"/>
      <c r="I4" s="244"/>
      <c r="J4" s="573" t="s">
        <v>2</v>
      </c>
      <c r="K4" s="574"/>
      <c r="L4" s="574"/>
      <c r="M4" s="244"/>
    </row>
    <row r="5" spans="1:17"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7" x14ac:dyDescent="0.2">
      <c r="A6" s="549"/>
      <c r="B6" s="116"/>
      <c r="C6" s="116"/>
      <c r="D6" s="193" t="s">
        <v>4</v>
      </c>
      <c r="E6" s="116" t="s">
        <v>30</v>
      </c>
      <c r="F6" s="120"/>
      <c r="G6" s="120"/>
      <c r="H6" s="192" t="s">
        <v>4</v>
      </c>
      <c r="I6" s="116" t="s">
        <v>30</v>
      </c>
      <c r="J6" s="120"/>
      <c r="K6" s="120"/>
      <c r="L6" s="192" t="s">
        <v>4</v>
      </c>
      <c r="M6" s="116" t="s">
        <v>30</v>
      </c>
    </row>
    <row r="7" spans="1:17" ht="15.75" x14ac:dyDescent="0.2">
      <c r="A7" s="11" t="s">
        <v>23</v>
      </c>
      <c r="B7" s="246">
        <v>281936</v>
      </c>
      <c r="C7" s="247">
        <v>307454</v>
      </c>
      <c r="D7" s="283">
        <f>IF(B7=0, "    ---- ", IF(ABS(ROUND(100/B7*C7-100,1))&lt;999,ROUND(100/B7*C7-100,1),IF(ROUND(100/B7*C7-100,1)&gt;999,999,-999)))</f>
        <v>9.1</v>
      </c>
      <c r="E7" s="8">
        <f>IFERROR(100/'Skjema total MA'!C7*C7,0)</f>
        <v>15.313788982042839</v>
      </c>
      <c r="F7" s="246"/>
      <c r="G7" s="247"/>
      <c r="H7" s="283"/>
      <c r="I7" s="119"/>
      <c r="J7" s="248">
        <f t="shared" ref="J7:K10" si="0">SUM(B7,F7)</f>
        <v>281936</v>
      </c>
      <c r="K7" s="249">
        <f t="shared" si="0"/>
        <v>307454</v>
      </c>
      <c r="L7" s="340">
        <f>IF(J7=0, "    ---- ", IF(ABS(ROUND(100/J7*K7-100,1))&lt;999,ROUND(100/J7*K7-100,1),IF(ROUND(100/J7*K7-100,1)&gt;999,999,-999)))</f>
        <v>9.1</v>
      </c>
      <c r="M7" s="8">
        <f>IFERROR(100/'Skjema total MA'!I7*K7,0)</f>
        <v>6.1537824638005638</v>
      </c>
    </row>
    <row r="8" spans="1:17" ht="15.75" x14ac:dyDescent="0.2">
      <c r="A8" s="18" t="s">
        <v>25</v>
      </c>
      <c r="B8" s="226">
        <v>249553</v>
      </c>
      <c r="C8" s="227">
        <v>273399</v>
      </c>
      <c r="D8" s="123">
        <f t="shared" ref="D8:D10" si="1">IF(B8=0, "    ---- ", IF(ABS(ROUND(100/B8*C8-100,1))&lt;999,ROUND(100/B8*C8-100,1),IF(ROUND(100/B8*C8-100,1)&gt;999,999,-999)))</f>
        <v>9.6</v>
      </c>
      <c r="E8" s="23">
        <f>IFERROR(100/'Skjema total MA'!C8*C8,0)</f>
        <v>19.918047396702217</v>
      </c>
      <c r="F8" s="230"/>
      <c r="G8" s="231"/>
      <c r="H8" s="123"/>
      <c r="I8" s="132"/>
      <c r="J8" s="181">
        <f t="shared" si="0"/>
        <v>249553</v>
      </c>
      <c r="K8" s="232">
        <f t="shared" si="0"/>
        <v>273399</v>
      </c>
      <c r="L8" s="123">
        <f t="shared" ref="L8:L9" si="2">IF(J8=0, "    ---- ", IF(ABS(ROUND(100/J8*K8-100,1))&lt;999,ROUND(100/J8*K8-100,1),IF(ROUND(100/J8*K8-100,1)&gt;999,999,-999)))</f>
        <v>9.6</v>
      </c>
      <c r="M8" s="23">
        <f>IFERROR(100/'Skjema total MA'!I8*K8,0)</f>
        <v>19.918047396702217</v>
      </c>
    </row>
    <row r="9" spans="1:17" ht="15.75" x14ac:dyDescent="0.2">
      <c r="A9" s="18" t="s">
        <v>24</v>
      </c>
      <c r="B9" s="226">
        <v>32383</v>
      </c>
      <c r="C9" s="227">
        <v>34055</v>
      </c>
      <c r="D9" s="123">
        <f t="shared" si="1"/>
        <v>5.2</v>
      </c>
      <c r="E9" s="23">
        <f>IFERROR(100/'Skjema total MA'!C9*C9,0)</f>
        <v>7.9939049861890075</v>
      </c>
      <c r="F9" s="230"/>
      <c r="G9" s="231"/>
      <c r="H9" s="123"/>
      <c r="I9" s="132"/>
      <c r="J9" s="181">
        <f t="shared" si="0"/>
        <v>32383</v>
      </c>
      <c r="K9" s="232">
        <f t="shared" si="0"/>
        <v>34055</v>
      </c>
      <c r="L9" s="123">
        <f t="shared" si="2"/>
        <v>5.2</v>
      </c>
      <c r="M9" s="23">
        <f>IFERROR(100/'Skjema total MA'!I9*K9,0)</f>
        <v>7.9939049861890075</v>
      </c>
    </row>
    <row r="10" spans="1:17" ht="15.75" x14ac:dyDescent="0.2">
      <c r="A10" s="10" t="s">
        <v>323</v>
      </c>
      <c r="B10" s="250">
        <v>299188</v>
      </c>
      <c r="C10" s="251">
        <v>318557</v>
      </c>
      <c r="D10" s="127">
        <f t="shared" si="1"/>
        <v>6.5</v>
      </c>
      <c r="E10" s="8">
        <f>IFERROR(100/'Skjema total MA'!C10*C10,0)</f>
        <v>2.5176020432359318</v>
      </c>
      <c r="F10" s="250"/>
      <c r="G10" s="251"/>
      <c r="H10" s="127"/>
      <c r="I10" s="119"/>
      <c r="J10" s="248">
        <f t="shared" si="0"/>
        <v>299188</v>
      </c>
      <c r="K10" s="249">
        <f t="shared" si="0"/>
        <v>318557</v>
      </c>
      <c r="L10" s="341">
        <f t="shared" ref="L10" si="3">IF(J10=0, "    ---- ", IF(ABS(ROUND(100/J10*K10-100,1))&lt;999,ROUND(100/J10*K10-100,1),IF(ROUND(100/J10*K10-100,1)&gt;999,999,-999)))</f>
        <v>6.5</v>
      </c>
      <c r="M10" s="8">
        <f>IFERROR(100/'Skjema total MA'!I10*K10,0)</f>
        <v>0.2972629235037112</v>
      </c>
    </row>
    <row r="11" spans="1:17" s="35" customFormat="1" ht="15.75" x14ac:dyDescent="0.2">
      <c r="A11" s="10" t="s">
        <v>324</v>
      </c>
      <c r="B11" s="250"/>
      <c r="C11" s="251"/>
      <c r="D11" s="127"/>
      <c r="E11" s="8"/>
      <c r="F11" s="250"/>
      <c r="G11" s="251"/>
      <c r="H11" s="127"/>
      <c r="I11" s="119"/>
      <c r="J11" s="248"/>
      <c r="K11" s="249"/>
      <c r="L11" s="341"/>
      <c r="M11" s="8"/>
      <c r="N11" s="107"/>
      <c r="Q11" s="107"/>
    </row>
    <row r="12" spans="1:17" s="35" customFormat="1" ht="15.75" x14ac:dyDescent="0.2">
      <c r="A12" s="33" t="s">
        <v>325</v>
      </c>
      <c r="B12" s="252"/>
      <c r="C12" s="253"/>
      <c r="D12" s="125"/>
      <c r="E12" s="30"/>
      <c r="F12" s="252"/>
      <c r="G12" s="253"/>
      <c r="H12" s="125"/>
      <c r="I12" s="125"/>
      <c r="J12" s="254"/>
      <c r="K12" s="255"/>
      <c r="L12" s="342"/>
      <c r="M12" s="30"/>
      <c r="N12" s="107"/>
    </row>
    <row r="13" spans="1:17" s="35" customFormat="1" x14ac:dyDescent="0.2">
      <c r="A13" s="107"/>
      <c r="B13" s="109"/>
      <c r="C13" s="27"/>
      <c r="D13" s="118"/>
      <c r="E13" s="118"/>
      <c r="F13" s="109"/>
      <c r="G13" s="27"/>
      <c r="H13" s="118"/>
      <c r="I13" s="118"/>
      <c r="J13" s="38"/>
      <c r="K13" s="38"/>
      <c r="L13" s="118"/>
      <c r="M13" s="118"/>
      <c r="N13" s="107"/>
    </row>
    <row r="14" spans="1:17" x14ac:dyDescent="0.2">
      <c r="A14" s="114" t="s">
        <v>246</v>
      </c>
    </row>
    <row r="16" spans="1:17"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315210</v>
      </c>
      <c r="C22" s="250">
        <v>352812</v>
      </c>
      <c r="D22" s="283">
        <f t="shared" ref="D22:D30" si="4">IF(B22=0, "    ---- ", IF(ABS(ROUND(100/B22*C22-100,1))&lt;999,ROUND(100/B22*C22-100,1),IF(ROUND(100/B22*C22-100,1)&gt;999,999,-999)))</f>
        <v>11.9</v>
      </c>
      <c r="E22" s="8">
        <f>IFERROR(100/'Skjema total MA'!C22*C22,0)</f>
        <v>35.541438098514753</v>
      </c>
      <c r="F22" s="258"/>
      <c r="G22" s="258"/>
      <c r="H22" s="283"/>
      <c r="I22" s="8"/>
      <c r="J22" s="256">
        <f t="shared" ref="J22:K29" si="5">SUM(B22,F22)</f>
        <v>315210</v>
      </c>
      <c r="K22" s="256">
        <f t="shared" si="5"/>
        <v>352812</v>
      </c>
      <c r="L22" s="340">
        <f t="shared" ref="L22:L30" si="6">IF(J22=0, "    ---- ", IF(ABS(ROUND(100/J22*K22-100,1))&lt;999,ROUND(100/J22*K22-100,1),IF(ROUND(100/J22*K22-100,1)&gt;999,999,-999)))</f>
        <v>11.9</v>
      </c>
      <c r="M22" s="21">
        <f>IFERROR(100/'Skjema total MA'!I22*K22,0)</f>
        <v>27.559017771776087</v>
      </c>
    </row>
    <row r="23" spans="1:13" ht="15.75" x14ac:dyDescent="0.2">
      <c r="A23" s="381" t="s">
        <v>326</v>
      </c>
      <c r="B23" s="226">
        <v>315210</v>
      </c>
      <c r="C23" s="226">
        <v>352812</v>
      </c>
      <c r="D23" s="123">
        <f t="shared" si="4"/>
        <v>11.9</v>
      </c>
      <c r="E23" s="8">
        <f>IFERROR(100/'Skjema total MA'!C23*C23,0)</f>
        <v>48.339947744519854</v>
      </c>
      <c r="F23" s="235"/>
      <c r="G23" s="235"/>
      <c r="H23" s="123"/>
      <c r="I23" s="333"/>
      <c r="J23" s="235">
        <f t="shared" ref="J23" si="7">SUM(B23,F23)</f>
        <v>315210</v>
      </c>
      <c r="K23" s="235">
        <f t="shared" ref="K23" si="8">SUM(C23,G23)</f>
        <v>352812</v>
      </c>
      <c r="L23" s="123">
        <f t="shared" si="6"/>
        <v>11.9</v>
      </c>
      <c r="M23" s="20">
        <f>IFERROR(100/'Skjema total MA'!I23*K23,0)</f>
        <v>47.645621943724535</v>
      </c>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315210</v>
      </c>
      <c r="C28" s="232">
        <v>352812</v>
      </c>
      <c r="D28" s="123">
        <f t="shared" si="4"/>
        <v>11.9</v>
      </c>
      <c r="E28" s="8">
        <f>IFERROR(100/'Skjema total MA'!C28*C28,0)</f>
        <v>29.619174980938336</v>
      </c>
      <c r="F28" s="181"/>
      <c r="G28" s="232"/>
      <c r="H28" s="123"/>
      <c r="I28" s="23"/>
      <c r="J28" s="36">
        <f t="shared" si="5"/>
        <v>315210</v>
      </c>
      <c r="K28" s="36">
        <f t="shared" si="5"/>
        <v>352812</v>
      </c>
      <c r="L28" s="204">
        <f t="shared" si="6"/>
        <v>11.9</v>
      </c>
      <c r="M28" s="20">
        <f>IFERROR(100/'Skjema total MA'!I28*K28,0)</f>
        <v>29.619174980938336</v>
      </c>
    </row>
    <row r="29" spans="1:13" ht="15.75" x14ac:dyDescent="0.2">
      <c r="A29" s="10" t="s">
        <v>323</v>
      </c>
      <c r="B29" s="183">
        <v>1789127</v>
      </c>
      <c r="C29" s="183">
        <v>2118931</v>
      </c>
      <c r="D29" s="127">
        <f t="shared" si="4"/>
        <v>18.399999999999999</v>
      </c>
      <c r="E29" s="8">
        <f>IFERROR(100/'Skjema total MA'!C29*C29,0)</f>
        <v>4.8150873382667667</v>
      </c>
      <c r="F29" s="248"/>
      <c r="G29" s="248"/>
      <c r="H29" s="127"/>
      <c r="I29" s="8"/>
      <c r="J29" s="183">
        <f t="shared" si="5"/>
        <v>1789127</v>
      </c>
      <c r="K29" s="183">
        <f t="shared" si="5"/>
        <v>2118931</v>
      </c>
      <c r="L29" s="341">
        <f t="shared" si="6"/>
        <v>18.399999999999999</v>
      </c>
      <c r="M29" s="21">
        <f>IFERROR(100/'Skjema total MA'!I29*K29,0)</f>
        <v>2.9181683359951034</v>
      </c>
    </row>
    <row r="30" spans="1:13" ht="15.75" x14ac:dyDescent="0.2">
      <c r="A30" s="381" t="s">
        <v>326</v>
      </c>
      <c r="B30" s="226">
        <v>1789127</v>
      </c>
      <c r="C30" s="226">
        <v>2118931</v>
      </c>
      <c r="D30" s="123">
        <f t="shared" si="4"/>
        <v>18.399999999999999</v>
      </c>
      <c r="E30" s="8">
        <f>IFERROR(100/'Skjema total MA'!C30*C30,0)</f>
        <v>11.296719074813012</v>
      </c>
      <c r="F30" s="235"/>
      <c r="G30" s="235"/>
      <c r="H30" s="123"/>
      <c r="I30" s="333"/>
      <c r="J30" s="235">
        <f t="shared" ref="J30" si="9">SUM(B30,F30)</f>
        <v>1789127</v>
      </c>
      <c r="K30" s="235">
        <f t="shared" ref="K30" si="10">SUM(C30,G30)</f>
        <v>2118931</v>
      </c>
      <c r="L30" s="123">
        <f t="shared" si="6"/>
        <v>18.399999999999999</v>
      </c>
      <c r="M30" s="20">
        <f>IFERROR(100/'Skjema total MA'!I30*K30,0)</f>
        <v>9.4925426707762597</v>
      </c>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36022</v>
      </c>
      <c r="C47" s="251">
        <v>53559</v>
      </c>
      <c r="D47" s="340">
        <f t="shared" ref="D47:D54" si="11">IF(B47=0, "    ---- ", IF(ABS(ROUND(100/B47*C47-100,1))&lt;999,ROUND(100/B47*C47-100,1),IF(ROUND(100/B47*C47-100,1)&gt;999,999,-999)))</f>
        <v>48.7</v>
      </c>
      <c r="E47" s="8">
        <f>IFERROR(100/'Skjema total MA'!C47*C47,0)</f>
        <v>1.2086749146120903</v>
      </c>
      <c r="F47" s="109"/>
      <c r="G47" s="27"/>
      <c r="H47" s="118"/>
      <c r="I47" s="118"/>
      <c r="J47" s="31"/>
      <c r="K47" s="31"/>
      <c r="L47" s="118"/>
      <c r="M47" s="118"/>
    </row>
    <row r="48" spans="1:13" ht="15.75" x14ac:dyDescent="0.2">
      <c r="A48" s="18" t="s">
        <v>334</v>
      </c>
      <c r="B48" s="226">
        <v>36022</v>
      </c>
      <c r="C48" s="227">
        <v>53559</v>
      </c>
      <c r="D48" s="204">
        <f t="shared" si="11"/>
        <v>48.7</v>
      </c>
      <c r="E48" s="23">
        <f>IFERROR(100/'Skjema total MA'!C48*C48,0)</f>
        <v>2.2264113667312184</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v>1063</v>
      </c>
      <c r="D53" s="341" t="str">
        <f t="shared" si="11"/>
        <v xml:space="preserve">    ---- </v>
      </c>
      <c r="E53" s="8">
        <f>IFERROR(100/'Skjema total MA'!C53*C53,0)</f>
        <v>0.60982697912074624</v>
      </c>
      <c r="F53" s="109"/>
      <c r="G53" s="27"/>
      <c r="H53" s="109"/>
      <c r="I53" s="109"/>
      <c r="J53" s="27"/>
      <c r="K53" s="27"/>
      <c r="L53" s="118"/>
      <c r="M53" s="118"/>
    </row>
    <row r="54" spans="1:13" ht="15.75" x14ac:dyDescent="0.2">
      <c r="A54" s="18" t="s">
        <v>334</v>
      </c>
      <c r="B54" s="226"/>
      <c r="C54" s="227">
        <v>1063</v>
      </c>
      <c r="D54" s="204" t="str">
        <f t="shared" si="11"/>
        <v xml:space="preserve">    ---- </v>
      </c>
      <c r="E54" s="23">
        <f>IFERROR(100/'Skjema total MA'!C54*C54,0)</f>
        <v>0.61075899836604453</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99" priority="12">
      <formula>kvartal &lt; 4</formula>
    </cfRule>
  </conditionalFormatting>
  <conditionalFormatting sqref="A69:A74">
    <cfRule type="expression" dxfId="398" priority="10">
      <formula>kvartal &lt; 4</formula>
    </cfRule>
  </conditionalFormatting>
  <conditionalFormatting sqref="A80:A85">
    <cfRule type="expression" dxfId="397" priority="9">
      <formula>kvartal &lt; 4</formula>
    </cfRule>
  </conditionalFormatting>
  <conditionalFormatting sqref="A90:A95">
    <cfRule type="expression" dxfId="396" priority="6">
      <formula>kvartal &lt; 4</formula>
    </cfRule>
  </conditionalFormatting>
  <conditionalFormatting sqref="A101:A106">
    <cfRule type="expression" dxfId="395" priority="5">
      <formula>kvartal &lt; 4</formula>
    </cfRule>
  </conditionalFormatting>
  <conditionalFormatting sqref="A115:C115">
    <cfRule type="expression" dxfId="394" priority="4">
      <formula>kvartal &lt; 4</formula>
    </cfRule>
  </conditionalFormatting>
  <conditionalFormatting sqref="A123:C123">
    <cfRule type="expression" dxfId="393" priority="3">
      <formula>kvartal &lt; 4</formula>
    </cfRule>
  </conditionalFormatting>
  <conditionalFormatting sqref="F115:G115">
    <cfRule type="expression" dxfId="392" priority="57">
      <formula>kvartal &lt; 4</formula>
    </cfRule>
  </conditionalFormatting>
  <conditionalFormatting sqref="F123:G123">
    <cfRule type="expression" dxfId="391" priority="56">
      <formula>kvartal &lt; 4</formula>
    </cfRule>
  </conditionalFormatting>
  <conditionalFormatting sqref="J115:K115">
    <cfRule type="expression" dxfId="390" priority="32">
      <formula>kvartal &lt; 4</formula>
    </cfRule>
  </conditionalFormatting>
  <conditionalFormatting sqref="J123:K123">
    <cfRule type="expression" dxfId="389" priority="31">
      <formula>kvartal &lt; 4</formula>
    </cfRule>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N144"/>
  <sheetViews>
    <sheetView showGridLines="0" zoomScaleNormal="10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119</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6049.5889999999999</v>
      </c>
      <c r="C47" s="251">
        <v>287.33699999999999</v>
      </c>
      <c r="D47" s="340">
        <f t="shared" ref="D47:D57" si="0">IF(B47=0, "    ---- ", IF(ABS(ROUND(100/B47*C47-100,1))&lt;999,ROUND(100/B47*C47-100,1),IF(ROUND(100/B47*C47-100,1)&gt;999,999,-999)))</f>
        <v>-95.3</v>
      </c>
      <c r="E47" s="8">
        <f>IFERROR(100/'Skjema total MA'!C47*C47,0)</f>
        <v>6.4843821568717529E-3</v>
      </c>
      <c r="F47" s="109"/>
      <c r="G47" s="27"/>
      <c r="H47" s="118"/>
      <c r="I47" s="118"/>
      <c r="J47" s="31"/>
      <c r="K47" s="31"/>
      <c r="L47" s="118"/>
      <c r="M47" s="118"/>
    </row>
    <row r="48" spans="1:13" ht="15.75" x14ac:dyDescent="0.2">
      <c r="A48" s="18" t="s">
        <v>334</v>
      </c>
      <c r="B48" s="226">
        <v>6049.5889999999999</v>
      </c>
      <c r="C48" s="227">
        <v>287.33699999999999</v>
      </c>
      <c r="D48" s="204">
        <f t="shared" si="0"/>
        <v>-95.3</v>
      </c>
      <c r="E48" s="23">
        <f>IFERROR(100/'Skjema total MA'!C48*C48,0)</f>
        <v>1.1944404542326184E-2</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v>1063.0060000000001</v>
      </c>
      <c r="D56" s="341" t="str">
        <f t="shared" si="0"/>
        <v xml:space="preserve">    ---- </v>
      </c>
      <c r="E56" s="8">
        <f>IFERROR(100/'Skjema total MA'!C56*C56,0)</f>
        <v>3.2477492583074699</v>
      </c>
      <c r="F56" s="109"/>
      <c r="G56" s="27"/>
      <c r="H56" s="109"/>
      <c r="I56" s="109"/>
      <c r="J56" s="27"/>
      <c r="K56" s="27"/>
      <c r="L56" s="118"/>
      <c r="M56" s="118"/>
    </row>
    <row r="57" spans="1:13" ht="15.75" x14ac:dyDescent="0.2">
      <c r="A57" s="18" t="s">
        <v>334</v>
      </c>
      <c r="B57" s="226"/>
      <c r="C57" s="227">
        <v>1063.0060000000001</v>
      </c>
      <c r="D57" s="204" t="str">
        <f t="shared" si="0"/>
        <v xml:space="preserve">    ---- </v>
      </c>
      <c r="E57" s="23">
        <f>IFERROR(100/'Skjema total MA'!C57*C57,0)</f>
        <v>3.2477492583074699</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88" priority="12">
      <formula>kvartal &lt; 4</formula>
    </cfRule>
  </conditionalFormatting>
  <conditionalFormatting sqref="A69:A74">
    <cfRule type="expression" dxfId="387" priority="10">
      <formula>kvartal &lt; 4</formula>
    </cfRule>
  </conditionalFormatting>
  <conditionalFormatting sqref="A80:A85">
    <cfRule type="expression" dxfId="386" priority="9">
      <formula>kvartal &lt; 4</formula>
    </cfRule>
  </conditionalFormatting>
  <conditionalFormatting sqref="A90:A95">
    <cfRule type="expression" dxfId="385" priority="6">
      <formula>kvartal &lt; 4</formula>
    </cfRule>
  </conditionalFormatting>
  <conditionalFormatting sqref="A101:A106">
    <cfRule type="expression" dxfId="384" priority="5">
      <formula>kvartal &lt; 4</formula>
    </cfRule>
  </conditionalFormatting>
  <conditionalFormatting sqref="A115:C115">
    <cfRule type="expression" dxfId="383" priority="4">
      <formula>kvartal &lt; 4</formula>
    </cfRule>
  </conditionalFormatting>
  <conditionalFormatting sqref="A123:C123">
    <cfRule type="expression" dxfId="382" priority="3">
      <formula>kvartal &lt; 4</formula>
    </cfRule>
  </conditionalFormatting>
  <conditionalFormatting sqref="F115:G115">
    <cfRule type="expression" dxfId="381" priority="57">
      <formula>kvartal &lt; 4</formula>
    </cfRule>
  </conditionalFormatting>
  <conditionalFormatting sqref="F123:G123">
    <cfRule type="expression" dxfId="380" priority="56">
      <formula>kvartal &lt; 4</formula>
    </cfRule>
  </conditionalFormatting>
  <conditionalFormatting sqref="J115:K115">
    <cfRule type="expression" dxfId="379" priority="32">
      <formula>kvartal &lt; 4</formula>
    </cfRule>
  </conditionalFormatting>
  <conditionalFormatting sqref="J123:K123">
    <cfRule type="expression" dxfId="378" priority="31">
      <formula>kvartal &lt; 4</formula>
    </cfRule>
  </conditionalFormatting>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N144"/>
  <sheetViews>
    <sheetView showGridLines="0" zoomScaleNormal="100" zoomScaleSheetLayoutView="100" workbookViewId="0">
      <selection activeCell="A5" sqref="A5"/>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83</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529387.76699999999</v>
      </c>
      <c r="C7" s="247">
        <v>522793.69199999998</v>
      </c>
      <c r="D7" s="283">
        <f>IF(B7=0, "    ---- ", IF(ABS(ROUND(100/B7*C7-100,1))&lt;999,ROUND(100/B7*C7-100,1),IF(ROUND(100/B7*C7-100,1)&gt;999,999,-999)))</f>
        <v>-1.2</v>
      </c>
      <c r="E7" s="8">
        <f>IFERROR(100/'Skjema total MA'!C7*C7,0)</f>
        <v>26.039512513843036</v>
      </c>
      <c r="F7" s="246"/>
      <c r="G7" s="247"/>
      <c r="H7" s="283"/>
      <c r="I7" s="119"/>
      <c r="J7" s="248">
        <f t="shared" ref="J7:K9" si="0">SUM(B7,F7)</f>
        <v>529387.76699999999</v>
      </c>
      <c r="K7" s="249">
        <f t="shared" si="0"/>
        <v>522793.69199999998</v>
      </c>
      <c r="L7" s="340">
        <f>IF(J7=0, "    ---- ", IF(ABS(ROUND(100/J7*K7-100,1))&lt;999,ROUND(100/J7*K7-100,1),IF(ROUND(100/J7*K7-100,1)&gt;999,999,-999)))</f>
        <v>-1.2</v>
      </c>
      <c r="M7" s="8">
        <f>IFERROR(100/'Skjema total MA'!I7*K7,0)</f>
        <v>10.463869892781206</v>
      </c>
    </row>
    <row r="8" spans="1:14" ht="15.75" x14ac:dyDescent="0.2">
      <c r="A8" s="18" t="s">
        <v>25</v>
      </c>
      <c r="B8" s="226">
        <v>327766.84100000001</v>
      </c>
      <c r="C8" s="227">
        <v>331396.93199999997</v>
      </c>
      <c r="D8" s="123">
        <f t="shared" ref="D8:D9" si="1">IF(B8=0, "    ---- ", IF(ABS(ROUND(100/B8*C8-100,1))&lt;999,ROUND(100/B8*C8-100,1),IF(ROUND(100/B8*C8-100,1)&gt;999,999,-999)))</f>
        <v>1.1000000000000001</v>
      </c>
      <c r="E8" s="23">
        <f>IFERROR(100/'Skjema total MA'!C8*C8,0)</f>
        <v>24.143394082266948</v>
      </c>
      <c r="F8" s="230"/>
      <c r="G8" s="231"/>
      <c r="H8" s="123"/>
      <c r="I8" s="132"/>
      <c r="J8" s="181">
        <f t="shared" si="0"/>
        <v>327766.84100000001</v>
      </c>
      <c r="K8" s="232">
        <f t="shared" si="0"/>
        <v>331396.93199999997</v>
      </c>
      <c r="L8" s="123">
        <f t="shared" ref="L8:L9" si="2">IF(J8=0, "    ---- ", IF(ABS(ROUND(100/J8*K8-100,1))&lt;999,ROUND(100/J8*K8-100,1),IF(ROUND(100/J8*K8-100,1)&gt;999,999,-999)))</f>
        <v>1.1000000000000001</v>
      </c>
      <c r="M8" s="23">
        <f>IFERROR(100/'Skjema total MA'!I8*K8,0)</f>
        <v>24.143394082266948</v>
      </c>
    </row>
    <row r="9" spans="1:14" ht="15.75" x14ac:dyDescent="0.2">
      <c r="A9" s="18" t="s">
        <v>24</v>
      </c>
      <c r="B9" s="226">
        <v>201620.92600000001</v>
      </c>
      <c r="C9" s="227">
        <v>191396.76</v>
      </c>
      <c r="D9" s="123">
        <f t="shared" si="1"/>
        <v>-5.0999999999999996</v>
      </c>
      <c r="E9" s="23">
        <f>IFERROR(100/'Skjema total MA'!C9*C9,0)</f>
        <v>44.927544093508175</v>
      </c>
      <c r="F9" s="230"/>
      <c r="G9" s="231"/>
      <c r="H9" s="123"/>
      <c r="I9" s="132"/>
      <c r="J9" s="181">
        <f t="shared" si="0"/>
        <v>201620.92600000001</v>
      </c>
      <c r="K9" s="232">
        <f t="shared" si="0"/>
        <v>191396.76</v>
      </c>
      <c r="L9" s="123">
        <f t="shared" si="2"/>
        <v>-5.0999999999999996</v>
      </c>
      <c r="M9" s="23">
        <f>IFERROR(100/'Skjema total MA'!I9*K9,0)</f>
        <v>44.927544093508175</v>
      </c>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1031378.061</v>
      </c>
      <c r="C47" s="251">
        <v>1088601.5478000001</v>
      </c>
      <c r="D47" s="340">
        <f t="shared" ref="D47:D57" si="3">IF(B47=0, "    ---- ", IF(ABS(ROUND(100/B47*C47-100,1))&lt;999,ROUND(100/B47*C47-100,1),IF(ROUND(100/B47*C47-100,1)&gt;999,999,-999)))</f>
        <v>5.5</v>
      </c>
      <c r="E47" s="8">
        <f>IFERROR(100/'Skjema total MA'!C47*C47,0)</f>
        <v>24.56665327645689</v>
      </c>
      <c r="F47" s="109"/>
      <c r="G47" s="27"/>
      <c r="H47" s="118"/>
      <c r="I47" s="118"/>
      <c r="J47" s="31"/>
      <c r="K47" s="31"/>
      <c r="L47" s="118"/>
      <c r="M47" s="118"/>
    </row>
    <row r="48" spans="1:13" ht="15.75" x14ac:dyDescent="0.2">
      <c r="A48" s="18" t="s">
        <v>334</v>
      </c>
      <c r="B48" s="226">
        <v>662645.78500000003</v>
      </c>
      <c r="C48" s="227">
        <v>664879.13580000005</v>
      </c>
      <c r="D48" s="204">
        <f t="shared" si="3"/>
        <v>0.3</v>
      </c>
      <c r="E48" s="23">
        <f>IFERROR(100/'Skjema total MA'!C48*C48,0)</f>
        <v>27.638575504537979</v>
      </c>
      <c r="F48" s="109"/>
      <c r="G48" s="27"/>
      <c r="H48" s="109"/>
      <c r="I48" s="109"/>
      <c r="J48" s="27"/>
      <c r="K48" s="27"/>
      <c r="L48" s="118"/>
      <c r="M48" s="118"/>
    </row>
    <row r="49" spans="1:13" ht="15.75" x14ac:dyDescent="0.2">
      <c r="A49" s="18" t="s">
        <v>335</v>
      </c>
      <c r="B49" s="226">
        <v>368732.27600000001</v>
      </c>
      <c r="C49" s="227">
        <v>423722.41200000001</v>
      </c>
      <c r="D49" s="204">
        <f>IF(B49=0, "    ---- ", IF(ABS(ROUND(100/B49*C49-100,1))&lt;999,ROUND(100/B49*C49-100,1),IF(ROUND(100/B49*C49-100,1)&gt;999,999,-999)))</f>
        <v>14.9</v>
      </c>
      <c r="E49" s="23">
        <f>IFERROR(100/'Skjema total MA'!C49*C49,0)</f>
        <v>20.918404921993631</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11904.119000000001</v>
      </c>
      <c r="C53" s="251">
        <v>14021</v>
      </c>
      <c r="D53" s="341">
        <f t="shared" si="3"/>
        <v>17.8</v>
      </c>
      <c r="E53" s="8">
        <f>IFERROR(100/'Skjema total MA'!C53*C53,0)</f>
        <v>8.0436350651476793</v>
      </c>
      <c r="F53" s="109"/>
      <c r="G53" s="27"/>
      <c r="H53" s="109"/>
      <c r="I53" s="109"/>
      <c r="J53" s="27"/>
      <c r="K53" s="27"/>
      <c r="L53" s="118"/>
      <c r="M53" s="118"/>
    </row>
    <row r="54" spans="1:13" ht="15.75" x14ac:dyDescent="0.2">
      <c r="A54" s="18" t="s">
        <v>334</v>
      </c>
      <c r="B54" s="226">
        <v>11904.119000000001</v>
      </c>
      <c r="C54" s="227">
        <v>14021</v>
      </c>
      <c r="D54" s="204">
        <f t="shared" si="3"/>
        <v>17.8</v>
      </c>
      <c r="E54" s="23">
        <f>IFERROR(100/'Skjema total MA'!C54*C54,0)</f>
        <v>8.0559284252966226</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v>58398.296999999999</v>
      </c>
      <c r="C56" s="251">
        <v>7862</v>
      </c>
      <c r="D56" s="341">
        <f t="shared" si="3"/>
        <v>-86.5</v>
      </c>
      <c r="E56" s="8">
        <f>IFERROR(100/'Skjema total MA'!C56*C56,0)</f>
        <v>24.020376807669312</v>
      </c>
      <c r="F56" s="109"/>
      <c r="G56" s="27"/>
      <c r="H56" s="109"/>
      <c r="I56" s="109"/>
      <c r="J56" s="27"/>
      <c r="K56" s="27"/>
      <c r="L56" s="118"/>
      <c r="M56" s="118"/>
    </row>
    <row r="57" spans="1:13" ht="15.75" x14ac:dyDescent="0.2">
      <c r="A57" s="18" t="s">
        <v>334</v>
      </c>
      <c r="B57" s="226">
        <v>58398.296999999999</v>
      </c>
      <c r="C57" s="227">
        <v>7862</v>
      </c>
      <c r="D57" s="204">
        <f t="shared" si="3"/>
        <v>-86.5</v>
      </c>
      <c r="E57" s="23">
        <f>IFERROR(100/'Skjema total MA'!C57*C57,0)</f>
        <v>24.020376807669312</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77" priority="12">
      <formula>kvartal &lt; 4</formula>
    </cfRule>
  </conditionalFormatting>
  <conditionalFormatting sqref="A69:A74">
    <cfRule type="expression" dxfId="376" priority="10">
      <formula>kvartal &lt; 4</formula>
    </cfRule>
  </conditionalFormatting>
  <conditionalFormatting sqref="A80:A85">
    <cfRule type="expression" dxfId="375" priority="9">
      <formula>kvartal &lt; 4</formula>
    </cfRule>
  </conditionalFormatting>
  <conditionalFormatting sqref="A90:A95">
    <cfRule type="expression" dxfId="374" priority="6">
      <formula>kvartal &lt; 4</formula>
    </cfRule>
  </conditionalFormatting>
  <conditionalFormatting sqref="A101:A106">
    <cfRule type="expression" dxfId="373" priority="5">
      <formula>kvartal &lt; 4</formula>
    </cfRule>
  </conditionalFormatting>
  <conditionalFormatting sqref="A115:C115">
    <cfRule type="expression" dxfId="372" priority="4">
      <formula>kvartal &lt; 4</formula>
    </cfRule>
  </conditionalFormatting>
  <conditionalFormatting sqref="A123:C123">
    <cfRule type="expression" dxfId="371" priority="3">
      <formula>kvartal &lt; 4</formula>
    </cfRule>
  </conditionalFormatting>
  <conditionalFormatting sqref="F115:G115">
    <cfRule type="expression" dxfId="370" priority="57">
      <formula>kvartal &lt; 4</formula>
    </cfRule>
  </conditionalFormatting>
  <conditionalFormatting sqref="F123:G123">
    <cfRule type="expression" dxfId="369" priority="56">
      <formula>kvartal &lt; 4</formula>
    </cfRule>
  </conditionalFormatting>
  <conditionalFormatting sqref="J115:K115">
    <cfRule type="expression" dxfId="368" priority="32">
      <formula>kvartal &lt; 4</formula>
    </cfRule>
  </conditionalFormatting>
  <conditionalFormatting sqref="J123:K123">
    <cfRule type="expression" dxfId="367" priority="31">
      <formula>kvartal &lt; 4</formula>
    </cfRule>
  </conditionalFormatting>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N144"/>
  <sheetViews>
    <sheetView showGridLines="0" zoomScaleNormal="10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84</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v>72628</v>
      </c>
      <c r="G7" s="247">
        <v>76996</v>
      </c>
      <c r="H7" s="283">
        <f>IF(F7=0, "    ---- ", IF(ABS(ROUND(100/F7*G7-100,1))&lt;999,ROUND(100/F7*G7-100,1),IF(ROUND(100/F7*G7-100,1)&gt;999,999,-999)))</f>
        <v>6</v>
      </c>
      <c r="I7" s="119">
        <f>IFERROR(100/'Skjema total MA'!F7*G7,0)</f>
        <v>2.5764221948147612</v>
      </c>
      <c r="J7" s="248">
        <f t="shared" ref="J7:K12" si="0">SUM(B7,F7)</f>
        <v>72628</v>
      </c>
      <c r="K7" s="249">
        <f t="shared" si="0"/>
        <v>76996</v>
      </c>
      <c r="L7" s="340">
        <f>IF(J7=0, "    ---- ", IF(ABS(ROUND(100/J7*K7-100,1))&lt;999,ROUND(100/J7*K7-100,1),IF(ROUND(100/J7*K7-100,1)&gt;999,999,-999)))</f>
        <v>6</v>
      </c>
      <c r="M7" s="8">
        <f>IFERROR(100/'Skjema total MA'!I7*K7,0)</f>
        <v>1.5410976425181921</v>
      </c>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v>2539387</v>
      </c>
      <c r="G10" s="251">
        <v>2759213</v>
      </c>
      <c r="H10" s="127">
        <f t="shared" ref="H10:H12" si="1">IF(F10=0, "    ---- ", IF(ABS(ROUND(100/F10*G10-100,1))&lt;999,ROUND(100/F10*G10-100,1),IF(ROUND(100/F10*G10-100,1)&gt;999,999,-999)))</f>
        <v>8.6999999999999993</v>
      </c>
      <c r="I10" s="119">
        <f>IFERROR(100/'Skjema total MA'!F10*G10,0)</f>
        <v>2.9194873046085488</v>
      </c>
      <c r="J10" s="248">
        <f t="shared" si="0"/>
        <v>2539387</v>
      </c>
      <c r="K10" s="249">
        <f t="shared" si="0"/>
        <v>2759213</v>
      </c>
      <c r="L10" s="341">
        <f t="shared" ref="L10:L12" si="2">IF(J10=0, "    ---- ", IF(ABS(ROUND(100/J10*K10-100,1))&lt;999,ROUND(100/J10*K10-100,1),IF(ROUND(100/J10*K10-100,1)&gt;999,999,-999)))</f>
        <v>8.6999999999999993</v>
      </c>
      <c r="M10" s="8">
        <f>IFERROR(100/'Skjema total MA'!I10*K10,0)</f>
        <v>2.5747722478220396</v>
      </c>
    </row>
    <row r="11" spans="1:14" s="35" customFormat="1" ht="15.75" x14ac:dyDescent="0.2">
      <c r="A11" s="10" t="s">
        <v>324</v>
      </c>
      <c r="B11" s="250"/>
      <c r="C11" s="251"/>
      <c r="D11" s="127"/>
      <c r="E11" s="8"/>
      <c r="F11" s="250">
        <v>4154</v>
      </c>
      <c r="G11" s="251">
        <v>17906</v>
      </c>
      <c r="H11" s="127">
        <f t="shared" si="1"/>
        <v>331.1</v>
      </c>
      <c r="I11" s="119">
        <f>IFERROR(100/'Skjema total MA'!F11*G11,0)</f>
        <v>11.016855167793421</v>
      </c>
      <c r="J11" s="248">
        <f t="shared" si="0"/>
        <v>4154</v>
      </c>
      <c r="K11" s="249">
        <f t="shared" si="0"/>
        <v>17906</v>
      </c>
      <c r="L11" s="341">
        <f t="shared" si="2"/>
        <v>331.1</v>
      </c>
      <c r="M11" s="8">
        <f>IFERROR(100/'Skjema total MA'!I11*K11,0)</f>
        <v>11.016855167793421</v>
      </c>
      <c r="N11" s="107"/>
    </row>
    <row r="12" spans="1:14" s="35" customFormat="1" ht="15.75" x14ac:dyDescent="0.2">
      <c r="A12" s="33" t="s">
        <v>325</v>
      </c>
      <c r="B12" s="252"/>
      <c r="C12" s="253"/>
      <c r="D12" s="125"/>
      <c r="E12" s="30"/>
      <c r="F12" s="252">
        <v>-4986</v>
      </c>
      <c r="G12" s="253">
        <v>5987</v>
      </c>
      <c r="H12" s="125">
        <f t="shared" si="1"/>
        <v>-220.1</v>
      </c>
      <c r="I12" s="125">
        <f>IFERROR(100/'Skjema total MA'!F12*G12,0)</f>
        <v>2.7475070572043152</v>
      </c>
      <c r="J12" s="254">
        <f t="shared" si="0"/>
        <v>-4986</v>
      </c>
      <c r="K12" s="255">
        <f t="shared" si="0"/>
        <v>5987</v>
      </c>
      <c r="L12" s="342">
        <f t="shared" si="2"/>
        <v>-220.1</v>
      </c>
      <c r="M12" s="30">
        <f>IFERROR(100/'Skjema total MA'!I12*K12,0)</f>
        <v>2.7475070572043152</v>
      </c>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211104</v>
      </c>
      <c r="C22" s="250">
        <v>242935</v>
      </c>
      <c r="D22" s="283">
        <f t="shared" ref="D22:D30" si="3">IF(B22=0, "    ---- ", IF(ABS(ROUND(100/B22*C22-100,1))&lt;999,ROUND(100/B22*C22-100,1),IF(ROUND(100/B22*C22-100,1)&gt;999,999,-999)))</f>
        <v>15.1</v>
      </c>
      <c r="E22" s="8">
        <f>IFERROR(100/'Skjema total MA'!C22*C22,0)</f>
        <v>24.472691587765386</v>
      </c>
      <c r="F22" s="258">
        <v>18431</v>
      </c>
      <c r="G22" s="258">
        <v>21135</v>
      </c>
      <c r="H22" s="283">
        <f t="shared" ref="H22:H35" si="4">IF(F22=0, "    ---- ", IF(ABS(ROUND(100/F22*G22-100,1))&lt;999,ROUND(100/F22*G22-100,1),IF(ROUND(100/F22*G22-100,1)&gt;999,999,-999)))</f>
        <v>14.7</v>
      </c>
      <c r="I22" s="8">
        <f>IFERROR(100/'Skjema total MA'!F22*G22,0)</f>
        <v>7.3506042762748143</v>
      </c>
      <c r="J22" s="256">
        <f t="shared" ref="J22:K35" si="5">SUM(B22,F22)</f>
        <v>229535</v>
      </c>
      <c r="K22" s="256">
        <f t="shared" si="5"/>
        <v>264070</v>
      </c>
      <c r="L22" s="340">
        <f t="shared" ref="L22:L35" si="6">IF(J22=0, "    ---- ", IF(ABS(ROUND(100/J22*K22-100,1))&lt;999,ROUND(100/J22*K22-100,1),IF(ROUND(100/J22*K22-100,1)&gt;999,999,-999)))</f>
        <v>15</v>
      </c>
      <c r="M22" s="21">
        <f>IFERROR(100/'Skjema total MA'!I22*K22,0)</f>
        <v>20.627160705964965</v>
      </c>
    </row>
    <row r="23" spans="1:13" ht="15.75" x14ac:dyDescent="0.2">
      <c r="A23" s="381" t="s">
        <v>326</v>
      </c>
      <c r="B23" s="226">
        <v>211104</v>
      </c>
      <c r="C23" s="226">
        <v>242935</v>
      </c>
      <c r="D23" s="123">
        <f t="shared" si="3"/>
        <v>15.1</v>
      </c>
      <c r="E23" s="8">
        <f>IFERROR(100/'Skjema total MA'!C23*C23,0)</f>
        <v>33.28533384724706</v>
      </c>
      <c r="F23" s="235">
        <v>0</v>
      </c>
      <c r="G23" s="235">
        <v>20</v>
      </c>
      <c r="H23" s="123" t="str">
        <f t="shared" si="4"/>
        <v xml:space="preserve">    ---- </v>
      </c>
      <c r="I23" s="333">
        <f>IFERROR(100/'Skjema total MA'!F23*G23,0)</f>
        <v>0.18804098645515482</v>
      </c>
      <c r="J23" s="235">
        <f t="shared" ref="J23:J26" si="7">SUM(B23,F23)</f>
        <v>211104</v>
      </c>
      <c r="K23" s="235">
        <f t="shared" ref="K23:K26" si="8">SUM(C23,G23)</f>
        <v>242955</v>
      </c>
      <c r="L23" s="123">
        <f t="shared" si="6"/>
        <v>15.1</v>
      </c>
      <c r="M23" s="20">
        <f>IFERROR(100/'Skjema total MA'!I23*K23,0)</f>
        <v>32.809944331081695</v>
      </c>
    </row>
    <row r="24" spans="1:13" ht="15.75" x14ac:dyDescent="0.2">
      <c r="A24" s="381" t="s">
        <v>327</v>
      </c>
      <c r="B24" s="226"/>
      <c r="C24" s="226"/>
      <c r="D24" s="123"/>
      <c r="E24" s="8"/>
      <c r="F24" s="235">
        <v>24</v>
      </c>
      <c r="G24" s="235">
        <v>0</v>
      </c>
      <c r="H24" s="123">
        <f t="shared" si="4"/>
        <v>-100</v>
      </c>
      <c r="I24" s="333">
        <f>IFERROR(100/'Skjema total MA'!F24*G24,0)</f>
        <v>0</v>
      </c>
      <c r="J24" s="235">
        <f t="shared" si="7"/>
        <v>24</v>
      </c>
      <c r="K24" s="235">
        <f t="shared" si="8"/>
        <v>0</v>
      </c>
      <c r="L24" s="123">
        <f t="shared" si="6"/>
        <v>-100</v>
      </c>
      <c r="M24" s="20">
        <f>IFERROR(100/'Skjema total MA'!I24*K24,0)</f>
        <v>0</v>
      </c>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v>18407</v>
      </c>
      <c r="G26" s="235">
        <v>21115</v>
      </c>
      <c r="H26" s="123">
        <f t="shared" si="4"/>
        <v>14.7</v>
      </c>
      <c r="I26" s="333">
        <f>IFERROR(100/'Skjema total MA'!F26*G26,0)</f>
        <v>7.7205714571446205</v>
      </c>
      <c r="J26" s="235">
        <f t="shared" si="7"/>
        <v>18407</v>
      </c>
      <c r="K26" s="235">
        <f t="shared" si="8"/>
        <v>21115</v>
      </c>
      <c r="L26" s="123">
        <f t="shared" si="6"/>
        <v>14.7</v>
      </c>
      <c r="M26" s="20">
        <f>IFERROR(100/'Skjema total MA'!I26*K26,0)</f>
        <v>7.7205714571446205</v>
      </c>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211104</v>
      </c>
      <c r="C28" s="232">
        <v>242935</v>
      </c>
      <c r="D28" s="123">
        <f t="shared" si="3"/>
        <v>15.1</v>
      </c>
      <c r="E28" s="8">
        <f>IFERROR(100/'Skjema total MA'!C28*C28,0)</f>
        <v>20.394811610699904</v>
      </c>
      <c r="F28" s="181"/>
      <c r="G28" s="232"/>
      <c r="H28" s="123"/>
      <c r="I28" s="23"/>
      <c r="J28" s="36">
        <f t="shared" si="5"/>
        <v>211104</v>
      </c>
      <c r="K28" s="36">
        <f t="shared" si="5"/>
        <v>242935</v>
      </c>
      <c r="L28" s="204">
        <f t="shared" si="6"/>
        <v>15.1</v>
      </c>
      <c r="M28" s="20">
        <f>IFERROR(100/'Skjema total MA'!I28*K28,0)</f>
        <v>20.394811610699904</v>
      </c>
    </row>
    <row r="29" spans="1:13" ht="15.75" x14ac:dyDescent="0.2">
      <c r="A29" s="10" t="s">
        <v>323</v>
      </c>
      <c r="B29" s="183">
        <v>4025798</v>
      </c>
      <c r="C29" s="183">
        <v>4697635</v>
      </c>
      <c r="D29" s="127">
        <f t="shared" si="3"/>
        <v>16.7</v>
      </c>
      <c r="E29" s="8">
        <f>IFERROR(100/'Skjema total MA'!C29*C29,0)</f>
        <v>10.674969033110942</v>
      </c>
      <c r="F29" s="248">
        <v>2443618</v>
      </c>
      <c r="G29" s="248">
        <v>2462386</v>
      </c>
      <c r="H29" s="127">
        <f t="shared" si="4"/>
        <v>0.8</v>
      </c>
      <c r="I29" s="8">
        <f>IFERROR(100/'Skjema total MA'!F29*G29,0)</f>
        <v>8.6080551587514531</v>
      </c>
      <c r="J29" s="183">
        <f t="shared" si="5"/>
        <v>6469416</v>
      </c>
      <c r="K29" s="183">
        <f t="shared" si="5"/>
        <v>7160021</v>
      </c>
      <c r="L29" s="341">
        <f t="shared" si="6"/>
        <v>10.7</v>
      </c>
      <c r="M29" s="21">
        <f>IFERROR(100/'Skjema total MA'!I29*K29,0)</f>
        <v>9.8607017251906726</v>
      </c>
    </row>
    <row r="30" spans="1:13" ht="15.75" x14ac:dyDescent="0.2">
      <c r="A30" s="381" t="s">
        <v>326</v>
      </c>
      <c r="B30" s="226">
        <v>4025798</v>
      </c>
      <c r="C30" s="226">
        <v>4697635</v>
      </c>
      <c r="D30" s="123">
        <f t="shared" si="3"/>
        <v>16.7</v>
      </c>
      <c r="E30" s="8">
        <f>IFERROR(100/'Skjema total MA'!C30*C30,0)</f>
        <v>25.044639448386583</v>
      </c>
      <c r="F30" s="235">
        <v>18600</v>
      </c>
      <c r="G30" s="235">
        <v>16913</v>
      </c>
      <c r="H30" s="123">
        <f t="shared" si="4"/>
        <v>-9.1</v>
      </c>
      <c r="I30" s="333">
        <f>IFERROR(100/'Skjema total MA'!F30*G30,0)</f>
        <v>0.47441643150817897</v>
      </c>
      <c r="J30" s="235">
        <f t="shared" ref="J30:J33" si="9">SUM(B30,F30)</f>
        <v>4044398</v>
      </c>
      <c r="K30" s="235">
        <f t="shared" ref="K30:K33" si="10">SUM(C30,G30)</f>
        <v>4714548</v>
      </c>
      <c r="L30" s="123">
        <f t="shared" si="6"/>
        <v>16.600000000000001</v>
      </c>
      <c r="M30" s="20">
        <f>IFERROR(100/'Skjema total MA'!I30*K30,0)</f>
        <v>21.120578283777469</v>
      </c>
    </row>
    <row r="31" spans="1:13" ht="15.75" x14ac:dyDescent="0.2">
      <c r="A31" s="381" t="s">
        <v>327</v>
      </c>
      <c r="B31" s="226"/>
      <c r="C31" s="226"/>
      <c r="D31" s="123"/>
      <c r="E31" s="8"/>
      <c r="F31" s="235">
        <v>1170137</v>
      </c>
      <c r="G31" s="235">
        <v>1068203</v>
      </c>
      <c r="H31" s="123">
        <f t="shared" si="4"/>
        <v>-8.6999999999999993</v>
      </c>
      <c r="I31" s="333">
        <f>IFERROR(100/'Skjema total MA'!F31*G31,0)</f>
        <v>15.003462516023204</v>
      </c>
      <c r="J31" s="235">
        <f t="shared" si="9"/>
        <v>1170137</v>
      </c>
      <c r="K31" s="235">
        <f t="shared" si="10"/>
        <v>1068203</v>
      </c>
      <c r="L31" s="123">
        <f t="shared" si="6"/>
        <v>-8.6999999999999993</v>
      </c>
      <c r="M31" s="20">
        <f>IFERROR(100/'Skjema total MA'!I31*K31,0)</f>
        <v>3.5756878343118759</v>
      </c>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v>1254881</v>
      </c>
      <c r="G33" s="235">
        <v>1377270</v>
      </c>
      <c r="H33" s="123">
        <f t="shared" si="4"/>
        <v>9.8000000000000007</v>
      </c>
      <c r="I33" s="333">
        <f>IFERROR(100/'Skjema total MA'!F34*G33,0)</f>
        <v>-1319.6299815365649</v>
      </c>
      <c r="J33" s="235">
        <f t="shared" si="9"/>
        <v>1254881</v>
      </c>
      <c r="K33" s="235">
        <f t="shared" si="10"/>
        <v>1377270</v>
      </c>
      <c r="L33" s="123">
        <f t="shared" si="6"/>
        <v>9.8000000000000007</v>
      </c>
      <c r="M33" s="20">
        <f>IFERROR(100/'Skjema total MA'!I34*K33,0)</f>
        <v>-1397.2415683476734</v>
      </c>
    </row>
    <row r="34" spans="1:13" ht="15.75" x14ac:dyDescent="0.2">
      <c r="A34" s="10" t="s">
        <v>324</v>
      </c>
      <c r="B34" s="183"/>
      <c r="C34" s="249"/>
      <c r="D34" s="127"/>
      <c r="E34" s="8"/>
      <c r="F34" s="248">
        <v>5266</v>
      </c>
      <c r="G34" s="249">
        <v>10685</v>
      </c>
      <c r="H34" s="127">
        <f t="shared" si="4"/>
        <v>102.9</v>
      </c>
      <c r="I34" s="8">
        <f>IFERROR(100/'Skjema total MA'!F34*G34,0)</f>
        <v>-10.237822905253289</v>
      </c>
      <c r="J34" s="183">
        <f t="shared" si="5"/>
        <v>5266</v>
      </c>
      <c r="K34" s="183">
        <f t="shared" si="5"/>
        <v>10685</v>
      </c>
      <c r="L34" s="341">
        <f t="shared" si="6"/>
        <v>102.9</v>
      </c>
      <c r="M34" s="21">
        <f>IFERROR(100/'Skjema total MA'!I34*K34,0)</f>
        <v>-10.839941447787936</v>
      </c>
    </row>
    <row r="35" spans="1:13" ht="15.75" x14ac:dyDescent="0.2">
      <c r="A35" s="10" t="s">
        <v>325</v>
      </c>
      <c r="B35" s="183"/>
      <c r="C35" s="249"/>
      <c r="D35" s="127"/>
      <c r="E35" s="8"/>
      <c r="F35" s="248">
        <v>5606</v>
      </c>
      <c r="G35" s="249">
        <v>11308</v>
      </c>
      <c r="H35" s="127">
        <f t="shared" si="4"/>
        <v>101.7</v>
      </c>
      <c r="I35" s="8">
        <f>IFERROR(100/'Skjema total MA'!F35*G35,0)</f>
        <v>16.423398220071348</v>
      </c>
      <c r="J35" s="183">
        <f t="shared" si="5"/>
        <v>5606</v>
      </c>
      <c r="K35" s="183">
        <f t="shared" si="5"/>
        <v>11308</v>
      </c>
      <c r="L35" s="341">
        <f t="shared" si="6"/>
        <v>101.7</v>
      </c>
      <c r="M35" s="21">
        <f>IFERROR(100/'Skjema total MA'!I35*K35,0)</f>
        <v>-14.099604073703741</v>
      </c>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c r="C47" s="251"/>
      <c r="D47" s="340"/>
      <c r="E47" s="8"/>
      <c r="F47" s="109"/>
      <c r="G47" s="27"/>
      <c r="H47" s="118"/>
      <c r="I47" s="118"/>
      <c r="J47" s="31"/>
      <c r="K47" s="31"/>
      <c r="L47" s="118"/>
      <c r="M47" s="118"/>
    </row>
    <row r="48" spans="1:13" ht="15.75" x14ac:dyDescent="0.2">
      <c r="A48" s="18" t="s">
        <v>334</v>
      </c>
      <c r="B48" s="226"/>
      <c r="C48" s="227"/>
      <c r="D48" s="204"/>
      <c r="E48" s="23"/>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v>103883</v>
      </c>
      <c r="C66" s="286">
        <v>118419</v>
      </c>
      <c r="D66" s="283">
        <f t="shared" ref="D66:D111" si="11">IF(B66=0, "    ---- ", IF(ABS(ROUND(100/B66*C66-100,1))&lt;999,ROUND(100/B66*C66-100,1),IF(ROUND(100/B66*C66-100,1)&gt;999,999,-999)))</f>
        <v>14</v>
      </c>
      <c r="E66" s="8">
        <f>IFERROR(100/'Skjema total MA'!C66*C66,0)</f>
        <v>4.0206748696429004</v>
      </c>
      <c r="F66" s="285">
        <v>1550313</v>
      </c>
      <c r="G66" s="285">
        <v>1643178</v>
      </c>
      <c r="H66" s="283">
        <f t="shared" ref="H66:H111" si="12">IF(F66=0, "    ---- ", IF(ABS(ROUND(100/F66*G66-100,1))&lt;999,ROUND(100/F66*G66-100,1),IF(ROUND(100/F66*G66-100,1)&gt;999,999,-999)))</f>
        <v>6</v>
      </c>
      <c r="I66" s="8">
        <f>IFERROR(100/'Skjema total MA'!F66*G66,0)</f>
        <v>11.274180685224698</v>
      </c>
      <c r="J66" s="249">
        <f t="shared" ref="J66:K86" si="13">SUM(B66,F66)</f>
        <v>1654196</v>
      </c>
      <c r="K66" s="256">
        <f t="shared" si="13"/>
        <v>1761597</v>
      </c>
      <c r="L66" s="341">
        <f t="shared" ref="L66:L111" si="14">IF(J66=0, "    ---- ", IF(ABS(ROUND(100/J66*K66-100,1))&lt;999,ROUND(100/J66*K66-100,1),IF(ROUND(100/J66*K66-100,1)&gt;999,999,-999)))</f>
        <v>6.5</v>
      </c>
      <c r="M66" s="8">
        <f>IFERROR(100/'Skjema total MA'!I66*K66,0)</f>
        <v>10.054805107516902</v>
      </c>
    </row>
    <row r="67" spans="1:13" x14ac:dyDescent="0.2">
      <c r="A67" s="39" t="s">
        <v>9</v>
      </c>
      <c r="B67" s="36">
        <v>103883</v>
      </c>
      <c r="C67" s="109">
        <v>118419</v>
      </c>
      <c r="D67" s="123">
        <f t="shared" si="11"/>
        <v>14</v>
      </c>
      <c r="E67" s="23">
        <f>IFERROR(100/'Skjema total MA'!C67*C67,0)</f>
        <v>6.4688386209823268</v>
      </c>
      <c r="F67" s="181"/>
      <c r="G67" s="109"/>
      <c r="H67" s="123"/>
      <c r="I67" s="23"/>
      <c r="J67" s="232">
        <f t="shared" si="13"/>
        <v>103883</v>
      </c>
      <c r="K67" s="36">
        <f t="shared" si="13"/>
        <v>118419</v>
      </c>
      <c r="L67" s="204">
        <f t="shared" si="14"/>
        <v>14</v>
      </c>
      <c r="M67" s="23">
        <f>IFERROR(100/'Skjema total MA'!I67*K67,0)</f>
        <v>6.4688386209823268</v>
      </c>
    </row>
    <row r="68" spans="1:13" x14ac:dyDescent="0.2">
      <c r="A68" s="18" t="s">
        <v>10</v>
      </c>
      <c r="B68" s="236"/>
      <c r="C68" s="237"/>
      <c r="D68" s="123"/>
      <c r="E68" s="23"/>
      <c r="F68" s="236">
        <v>1550313</v>
      </c>
      <c r="G68" s="236">
        <v>1643178</v>
      </c>
      <c r="H68" s="123">
        <f t="shared" si="12"/>
        <v>6</v>
      </c>
      <c r="I68" s="23">
        <f>IFERROR(100/'Skjema total MA'!F68*G68,0)</f>
        <v>11.702915791370382</v>
      </c>
      <c r="J68" s="232">
        <f t="shared" si="13"/>
        <v>1550313</v>
      </c>
      <c r="K68" s="36">
        <f t="shared" si="13"/>
        <v>1643178</v>
      </c>
      <c r="L68" s="204">
        <f t="shared" si="14"/>
        <v>6</v>
      </c>
      <c r="M68" s="23">
        <f>IFERROR(100/'Skjema total MA'!I68*K68,0)</f>
        <v>11.696045149851413</v>
      </c>
    </row>
    <row r="69" spans="1:13" ht="15.75" x14ac:dyDescent="0.2">
      <c r="A69" s="238" t="s">
        <v>338</v>
      </c>
      <c r="B69" s="230"/>
      <c r="C69" s="231"/>
      <c r="D69" s="123"/>
      <c r="E69" s="333"/>
      <c r="F69" s="230"/>
      <c r="G69" s="231"/>
      <c r="H69" s="123" t="e">
        <f t="shared" ref="H69:H74" si="15">IF(kvartal=4,IF(F69=0, "    ---- ", IF(ABS(ROUND(100/F69*G69-100,1))&lt;999,ROUND(100/F69*G69-100,1),IF(ROUND(100/F69*G69-100,1)&gt;999,999,-999))),"")</f>
        <v>#REF!</v>
      </c>
      <c r="I69" s="333">
        <f>IFERROR(100/'Skjema total MA'!F69*G69,0)</f>
        <v>0</v>
      </c>
      <c r="J69" s="230"/>
      <c r="K69" s="231"/>
      <c r="L69" s="123" t="e">
        <f t="shared" ref="L69:L74" si="16">IF(kvartal=4,IF(J69=0, "    ---- ", IF(ABS(ROUND(100/J69*K69-100,1))&lt;999,ROUND(100/J69*K69-100,1),IF(ROUND(100/J69*K69-100,1)&gt;999,999,-999))),"")</f>
        <v>#REF!</v>
      </c>
      <c r="M69" s="20">
        <f>IFERROR(100/'Skjema total MA'!I69*K69,0)</f>
        <v>0</v>
      </c>
    </row>
    <row r="70" spans="1:13" x14ac:dyDescent="0.2">
      <c r="A70" s="238" t="s">
        <v>12</v>
      </c>
      <c r="B70" s="230"/>
      <c r="C70" s="231"/>
      <c r="D70" s="123"/>
      <c r="E70" s="333"/>
      <c r="F70" s="230"/>
      <c r="G70" s="231"/>
      <c r="H70" s="123" t="e">
        <f t="shared" si="15"/>
        <v>#REF!</v>
      </c>
      <c r="I70" s="333">
        <f>IFERROR(100/'Skjema total MA'!F70*G70,0)</f>
        <v>0</v>
      </c>
      <c r="J70" s="230"/>
      <c r="K70" s="231"/>
      <c r="L70" s="123" t="e">
        <f t="shared" si="16"/>
        <v>#REF!</v>
      </c>
      <c r="M70" s="20">
        <f>IFERROR(100/'Skjema total MA'!I70*K70,0)</f>
        <v>0</v>
      </c>
    </row>
    <row r="71" spans="1:13" x14ac:dyDescent="0.2">
      <c r="A71" s="238" t="s">
        <v>13</v>
      </c>
      <c r="B71" s="230"/>
      <c r="C71" s="231"/>
      <c r="D71" s="123"/>
      <c r="E71" s="333"/>
      <c r="F71" s="230"/>
      <c r="G71" s="231"/>
      <c r="H71" s="123" t="e">
        <f t="shared" si="15"/>
        <v>#REF!</v>
      </c>
      <c r="I71" s="333">
        <f>IFERROR(100/'Skjema total MA'!F71*G71,0)</f>
        <v>0</v>
      </c>
      <c r="J71" s="230"/>
      <c r="K71" s="231"/>
      <c r="L71" s="123" t="e">
        <f t="shared" si="16"/>
        <v>#REF!</v>
      </c>
      <c r="M71" s="20">
        <f>IFERROR(100/'Skjema total MA'!I71*K71,0)</f>
        <v>0</v>
      </c>
    </row>
    <row r="72" spans="1:13" ht="15.75" x14ac:dyDescent="0.2">
      <c r="A72" s="238" t="s">
        <v>339</v>
      </c>
      <c r="B72" s="230"/>
      <c r="C72" s="231"/>
      <c r="D72" s="123"/>
      <c r="E72" s="333"/>
      <c r="F72" s="230"/>
      <c r="G72" s="231"/>
      <c r="H72" s="123" t="e">
        <f t="shared" si="15"/>
        <v>#REF!</v>
      </c>
      <c r="I72" s="333">
        <f>IFERROR(100/'Skjema total MA'!F72*G72,0)</f>
        <v>0</v>
      </c>
      <c r="J72" s="230"/>
      <c r="K72" s="231"/>
      <c r="L72" s="123" t="e">
        <f t="shared" si="16"/>
        <v>#REF!</v>
      </c>
      <c r="M72" s="20">
        <f>IFERROR(100/'Skjema total MA'!I72*K72,0)</f>
        <v>0</v>
      </c>
    </row>
    <row r="73" spans="1:13" x14ac:dyDescent="0.2">
      <c r="A73" s="238" t="s">
        <v>12</v>
      </c>
      <c r="B73" s="230"/>
      <c r="C73" s="231"/>
      <c r="D73" s="123"/>
      <c r="E73" s="333"/>
      <c r="F73" s="230"/>
      <c r="G73" s="231"/>
      <c r="H73" s="123" t="e">
        <f t="shared" si="15"/>
        <v>#REF!</v>
      </c>
      <c r="I73" s="333">
        <f>IFERROR(100/'Skjema total MA'!F73*G73,0)</f>
        <v>0</v>
      </c>
      <c r="J73" s="230"/>
      <c r="K73" s="231"/>
      <c r="L73" s="123" t="e">
        <f t="shared" si="16"/>
        <v>#REF!</v>
      </c>
      <c r="M73" s="20">
        <f>IFERROR(100/'Skjema total MA'!I73*K73,0)</f>
        <v>0</v>
      </c>
    </row>
    <row r="74" spans="1:13" x14ac:dyDescent="0.2">
      <c r="A74" s="238" t="s">
        <v>13</v>
      </c>
      <c r="B74" s="230"/>
      <c r="C74" s="231"/>
      <c r="D74" s="123"/>
      <c r="E74" s="333"/>
      <c r="F74" s="230"/>
      <c r="G74" s="231"/>
      <c r="H74" s="123" t="e">
        <f t="shared" si="15"/>
        <v>#REF!</v>
      </c>
      <c r="I74" s="333">
        <f>IFERROR(100/'Skjema total MA'!F74*G74,0)</f>
        <v>0</v>
      </c>
      <c r="J74" s="230"/>
      <c r="K74" s="231"/>
      <c r="L74" s="123" t="e">
        <f t="shared" si="16"/>
        <v>#REF!</v>
      </c>
      <c r="M74" s="20">
        <f>IFERROR(100/'Skjema total MA'!I74*K74,0)</f>
        <v>0</v>
      </c>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v>103463</v>
      </c>
      <c r="C77" s="181">
        <v>118019</v>
      </c>
      <c r="D77" s="123">
        <f t="shared" si="11"/>
        <v>14.1</v>
      </c>
      <c r="E77" s="23">
        <f>IFERROR(100/'Skjema total MA'!C77*C77,0)</f>
        <v>6.6877574342926236</v>
      </c>
      <c r="F77" s="181">
        <v>1550313</v>
      </c>
      <c r="G77" s="109">
        <v>1643148</v>
      </c>
      <c r="H77" s="123">
        <f t="shared" si="12"/>
        <v>6</v>
      </c>
      <c r="I77" s="23">
        <f>IFERROR(100/'Skjema total MA'!F77*G77,0)</f>
        <v>11.705698941792642</v>
      </c>
      <c r="J77" s="232">
        <f t="shared" si="13"/>
        <v>1653776</v>
      </c>
      <c r="K77" s="36">
        <f t="shared" si="13"/>
        <v>1761167</v>
      </c>
      <c r="L77" s="204">
        <f t="shared" si="14"/>
        <v>6.5</v>
      </c>
      <c r="M77" s="23">
        <f>IFERROR(100/'Skjema total MA'!I77*K77,0)</f>
        <v>11.145311143946172</v>
      </c>
    </row>
    <row r="78" spans="1:13" x14ac:dyDescent="0.2">
      <c r="A78" s="18" t="s">
        <v>9</v>
      </c>
      <c r="B78" s="181">
        <v>103463</v>
      </c>
      <c r="C78" s="109">
        <v>118019</v>
      </c>
      <c r="D78" s="123">
        <f t="shared" si="11"/>
        <v>14.1</v>
      </c>
      <c r="E78" s="23">
        <f>IFERROR(100/'Skjema total MA'!C78*C78,0)</f>
        <v>6.7191619772968556</v>
      </c>
      <c r="F78" s="181"/>
      <c r="G78" s="109"/>
      <c r="H78" s="123"/>
      <c r="I78" s="23"/>
      <c r="J78" s="232">
        <f t="shared" si="13"/>
        <v>103463</v>
      </c>
      <c r="K78" s="36">
        <f t="shared" si="13"/>
        <v>118019</v>
      </c>
      <c r="L78" s="204">
        <f t="shared" si="14"/>
        <v>14.1</v>
      </c>
      <c r="M78" s="23">
        <f>IFERROR(100/'Skjema total MA'!I78*K78,0)</f>
        <v>6.7191619772968556</v>
      </c>
    </row>
    <row r="79" spans="1:13" x14ac:dyDescent="0.2">
      <c r="A79" s="18" t="s">
        <v>368</v>
      </c>
      <c r="B79" s="236"/>
      <c r="C79" s="237"/>
      <c r="D79" s="123"/>
      <c r="E79" s="23"/>
      <c r="F79" s="236">
        <v>1550313</v>
      </c>
      <c r="G79" s="237">
        <v>1643148</v>
      </c>
      <c r="H79" s="123">
        <f t="shared" si="12"/>
        <v>6</v>
      </c>
      <c r="I79" s="23">
        <f>IFERROR(100/'Skjema total MA'!F79*G79,0)</f>
        <v>11.705698941792642</v>
      </c>
      <c r="J79" s="232">
        <f t="shared" si="13"/>
        <v>1550313</v>
      </c>
      <c r="K79" s="36">
        <f t="shared" si="13"/>
        <v>1643148</v>
      </c>
      <c r="L79" s="204">
        <f t="shared" si="14"/>
        <v>6</v>
      </c>
      <c r="M79" s="23">
        <f>IFERROR(100/'Skjema total MA'!I79*K79,0)</f>
        <v>11.698824907508714</v>
      </c>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v>420</v>
      </c>
      <c r="C86" s="109">
        <v>400</v>
      </c>
      <c r="D86" s="123">
        <f t="shared" si="11"/>
        <v>-4.8</v>
      </c>
      <c r="E86" s="23">
        <f>IFERROR(100/'Skjema total MA'!C86*C86,0)</f>
        <v>0.5394281231175645</v>
      </c>
      <c r="F86" s="181">
        <v>0</v>
      </c>
      <c r="G86" s="109">
        <v>30</v>
      </c>
      <c r="H86" s="123" t="str">
        <f t="shared" si="12"/>
        <v xml:space="preserve">    ---- </v>
      </c>
      <c r="I86" s="23">
        <f>IFERROR(100/'Skjema total MA'!F86*G86,0)</f>
        <v>0.83455502916769819</v>
      </c>
      <c r="J86" s="232">
        <f t="shared" si="13"/>
        <v>420</v>
      </c>
      <c r="K86" s="36">
        <f t="shared" si="13"/>
        <v>430</v>
      </c>
      <c r="L86" s="204">
        <f t="shared" si="14"/>
        <v>2.4</v>
      </c>
      <c r="M86" s="23">
        <f>IFERROR(100/'Skjema total MA'!I86*K86,0)</f>
        <v>0.55307362693619833</v>
      </c>
    </row>
    <row r="87" spans="1:13" ht="15.75" x14ac:dyDescent="0.2">
      <c r="A87" s="10" t="s">
        <v>323</v>
      </c>
      <c r="B87" s="286">
        <v>6113436</v>
      </c>
      <c r="C87" s="286">
        <v>6581394</v>
      </c>
      <c r="D87" s="127">
        <f t="shared" si="11"/>
        <v>7.7</v>
      </c>
      <c r="E87" s="8">
        <f>IFERROR(100/'Skjema total MA'!C87*C87,0)</f>
        <v>1.6186914275573112</v>
      </c>
      <c r="F87" s="285">
        <v>60834574</v>
      </c>
      <c r="G87" s="285">
        <v>71747392</v>
      </c>
      <c r="H87" s="127">
        <f t="shared" si="12"/>
        <v>17.899999999999999</v>
      </c>
      <c r="I87" s="8">
        <f>IFERROR(100/'Skjema total MA'!F87*G87,0)</f>
        <v>10.783558928259788</v>
      </c>
      <c r="J87" s="249">
        <f t="shared" ref="J87:K111" si="17">SUM(B87,F87)</f>
        <v>66948010</v>
      </c>
      <c r="K87" s="183">
        <f t="shared" si="17"/>
        <v>78328786</v>
      </c>
      <c r="L87" s="341">
        <f t="shared" si="14"/>
        <v>17</v>
      </c>
      <c r="M87" s="8">
        <f>IFERROR(100/'Skjema total MA'!I87*K87,0)</f>
        <v>7.3072813437016473</v>
      </c>
    </row>
    <row r="88" spans="1:13" x14ac:dyDescent="0.2">
      <c r="A88" s="18" t="s">
        <v>9</v>
      </c>
      <c r="B88" s="181">
        <v>6113436</v>
      </c>
      <c r="C88" s="109">
        <v>6581394</v>
      </c>
      <c r="D88" s="123">
        <f t="shared" si="11"/>
        <v>7.7</v>
      </c>
      <c r="E88" s="23">
        <f>IFERROR(100/'Skjema total MA'!C88*C88,0)</f>
        <v>1.7128018749965435</v>
      </c>
      <c r="F88" s="181"/>
      <c r="G88" s="109"/>
      <c r="H88" s="123"/>
      <c r="I88" s="23"/>
      <c r="J88" s="232">
        <f t="shared" si="17"/>
        <v>6113436</v>
      </c>
      <c r="K88" s="36">
        <f t="shared" si="17"/>
        <v>6581394</v>
      </c>
      <c r="L88" s="204">
        <f t="shared" si="14"/>
        <v>7.7</v>
      </c>
      <c r="M88" s="23">
        <f>IFERROR(100/'Skjema total MA'!I88*K88,0)</f>
        <v>1.7128018749965435</v>
      </c>
    </row>
    <row r="89" spans="1:13" x14ac:dyDescent="0.2">
      <c r="A89" s="18" t="s">
        <v>10</v>
      </c>
      <c r="B89" s="181"/>
      <c r="C89" s="109"/>
      <c r="D89" s="123"/>
      <c r="E89" s="23"/>
      <c r="F89" s="181">
        <v>60834574</v>
      </c>
      <c r="G89" s="109">
        <v>71747392</v>
      </c>
      <c r="H89" s="123">
        <f t="shared" si="12"/>
        <v>17.899999999999999</v>
      </c>
      <c r="I89" s="23">
        <f>IFERROR(100/'Skjema total MA'!F89*G89,0)</f>
        <v>10.951991662900362</v>
      </c>
      <c r="J89" s="232">
        <f t="shared" si="17"/>
        <v>60834574</v>
      </c>
      <c r="K89" s="36">
        <f t="shared" si="17"/>
        <v>71747392</v>
      </c>
      <c r="L89" s="204">
        <f t="shared" si="14"/>
        <v>17.899999999999999</v>
      </c>
      <c r="M89" s="23">
        <f>IFERROR(100/'Skjema total MA'!I89*K89,0)</f>
        <v>10.91252575032029</v>
      </c>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v>6108990</v>
      </c>
      <c r="C98" s="181">
        <v>6575675</v>
      </c>
      <c r="D98" s="123">
        <f t="shared" si="11"/>
        <v>7.6</v>
      </c>
      <c r="E98" s="23">
        <f>IFERROR(100/'Skjema total MA'!C98*C98,0)</f>
        <v>1.7193468203920308</v>
      </c>
      <c r="F98" s="236">
        <v>60834496</v>
      </c>
      <c r="G98" s="236">
        <v>71747290</v>
      </c>
      <c r="H98" s="123">
        <f t="shared" si="12"/>
        <v>17.899999999999999</v>
      </c>
      <c r="I98" s="23">
        <f>IFERROR(100/'Skjema total MA'!F98*G98,0)</f>
        <v>10.958582715387527</v>
      </c>
      <c r="J98" s="232">
        <f t="shared" si="17"/>
        <v>66943486</v>
      </c>
      <c r="K98" s="36">
        <f t="shared" si="17"/>
        <v>78322965</v>
      </c>
      <c r="L98" s="204">
        <f t="shared" si="14"/>
        <v>17</v>
      </c>
      <c r="M98" s="23">
        <f>IFERROR(100/'Skjema total MA'!I98*K98,0)</f>
        <v>7.5516387401311942</v>
      </c>
    </row>
    <row r="99" spans="1:13" x14ac:dyDescent="0.2">
      <c r="A99" s="18" t="s">
        <v>9</v>
      </c>
      <c r="B99" s="236">
        <v>6108990</v>
      </c>
      <c r="C99" s="237">
        <v>6575675</v>
      </c>
      <c r="D99" s="123">
        <f t="shared" si="11"/>
        <v>7.6</v>
      </c>
      <c r="E99" s="23">
        <f>IFERROR(100/'Skjema total MA'!C99*C99,0)</f>
        <v>1.7300643648350451</v>
      </c>
      <c r="F99" s="181"/>
      <c r="G99" s="109"/>
      <c r="H99" s="123"/>
      <c r="I99" s="23"/>
      <c r="J99" s="232">
        <f t="shared" si="17"/>
        <v>6108990</v>
      </c>
      <c r="K99" s="36">
        <f t="shared" si="17"/>
        <v>6575675</v>
      </c>
      <c r="L99" s="204">
        <f t="shared" si="14"/>
        <v>7.6</v>
      </c>
      <c r="M99" s="23">
        <f>IFERROR(100/'Skjema total MA'!I99*K99,0)</f>
        <v>1.7300643648350451</v>
      </c>
    </row>
    <row r="100" spans="1:13" x14ac:dyDescent="0.2">
      <c r="A100" s="18" t="s">
        <v>368</v>
      </c>
      <c r="B100" s="236"/>
      <c r="C100" s="237"/>
      <c r="D100" s="123"/>
      <c r="E100" s="23"/>
      <c r="F100" s="181">
        <v>60834496</v>
      </c>
      <c r="G100" s="181">
        <v>71747290</v>
      </c>
      <c r="H100" s="123">
        <f t="shared" si="12"/>
        <v>17.899999999999999</v>
      </c>
      <c r="I100" s="23">
        <f>IFERROR(100/'Skjema total MA'!F100*G100,0)</f>
        <v>10.958582715387527</v>
      </c>
      <c r="J100" s="232">
        <f t="shared" si="17"/>
        <v>60834496</v>
      </c>
      <c r="K100" s="36">
        <f t="shared" si="17"/>
        <v>71747290</v>
      </c>
      <c r="L100" s="204">
        <f t="shared" si="14"/>
        <v>17.899999999999999</v>
      </c>
      <c r="M100" s="23">
        <f>IFERROR(100/'Skjema total MA'!I100*K100,0)</f>
        <v>10.919069316023222</v>
      </c>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v>4446</v>
      </c>
      <c r="C107" s="109">
        <v>5719</v>
      </c>
      <c r="D107" s="123">
        <f t="shared" si="11"/>
        <v>28.6</v>
      </c>
      <c r="E107" s="23">
        <f>IFERROR(100/'Skjema total MA'!C107*C107,0)</f>
        <v>0.13732529697051099</v>
      </c>
      <c r="F107" s="181">
        <v>78</v>
      </c>
      <c r="G107" s="109">
        <v>102</v>
      </c>
      <c r="H107" s="123">
        <f t="shared" si="12"/>
        <v>30.8</v>
      </c>
      <c r="I107" s="23">
        <f>IFERROR(100/'Skjema total MA'!F107*G107,0)</f>
        <v>2.5826292138223853E-2</v>
      </c>
      <c r="J107" s="232">
        <f t="shared" si="17"/>
        <v>4524</v>
      </c>
      <c r="K107" s="36">
        <f t="shared" si="17"/>
        <v>5821</v>
      </c>
      <c r="L107" s="204">
        <f t="shared" si="14"/>
        <v>28.7</v>
      </c>
      <c r="M107" s="23">
        <f>IFERROR(100/'Skjema total MA'!I107*K107,0)</f>
        <v>0.12766721496171674</v>
      </c>
    </row>
    <row r="108" spans="1:13" ht="15.75" x14ac:dyDescent="0.2">
      <c r="A108" s="18" t="s">
        <v>342</v>
      </c>
      <c r="B108" s="181">
        <v>3994243</v>
      </c>
      <c r="C108" s="181">
        <v>3958367</v>
      </c>
      <c r="D108" s="123">
        <f t="shared" si="11"/>
        <v>-0.9</v>
      </c>
      <c r="E108" s="23">
        <f>IFERROR(100/'Skjema total MA'!C108*C108,0)</f>
        <v>1.1978430553938879</v>
      </c>
      <c r="F108" s="181"/>
      <c r="G108" s="181"/>
      <c r="H108" s="123"/>
      <c r="I108" s="23"/>
      <c r="J108" s="232">
        <f t="shared" si="17"/>
        <v>3994243</v>
      </c>
      <c r="K108" s="36">
        <f t="shared" si="17"/>
        <v>3958367</v>
      </c>
      <c r="L108" s="204">
        <f t="shared" si="14"/>
        <v>-0.9</v>
      </c>
      <c r="M108" s="23">
        <f>IFERROR(100/'Skjema total MA'!I108*K108,0)</f>
        <v>1.119194296184306</v>
      </c>
    </row>
    <row r="109" spans="1:13" ht="15.75" x14ac:dyDescent="0.2">
      <c r="A109" s="18" t="s">
        <v>376</v>
      </c>
      <c r="B109" s="181"/>
      <c r="C109" s="181"/>
      <c r="D109" s="123"/>
      <c r="E109" s="23"/>
      <c r="F109" s="181">
        <v>25931254</v>
      </c>
      <c r="G109" s="181">
        <v>31353595</v>
      </c>
      <c r="H109" s="123">
        <f t="shared" si="12"/>
        <v>20.9</v>
      </c>
      <c r="I109" s="23">
        <f>IFERROR(100/'Skjema total MA'!F109*G109,0)</f>
        <v>12.147564891821675</v>
      </c>
      <c r="J109" s="232">
        <f t="shared" si="17"/>
        <v>25931254</v>
      </c>
      <c r="K109" s="36">
        <f t="shared" si="17"/>
        <v>31353595</v>
      </c>
      <c r="L109" s="204">
        <f t="shared" si="14"/>
        <v>20.9</v>
      </c>
      <c r="M109" s="23">
        <f>IFERROR(100/'Skjema total MA'!I109*K109,0)</f>
        <v>12.028052205332429</v>
      </c>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v>35642</v>
      </c>
      <c r="C111" s="118">
        <v>111541</v>
      </c>
      <c r="D111" s="127">
        <f t="shared" si="11"/>
        <v>212.9</v>
      </c>
      <c r="E111" s="8">
        <f>IFERROR(100/'Skjema total MA'!C111*C111,0)</f>
        <v>9.823128692127689</v>
      </c>
      <c r="F111" s="248">
        <v>2221872</v>
      </c>
      <c r="G111" s="118">
        <v>4008788</v>
      </c>
      <c r="H111" s="127">
        <f t="shared" si="12"/>
        <v>80.400000000000006</v>
      </c>
      <c r="I111" s="8">
        <f>IFERROR(100/'Skjema total MA'!F111*G111,0)</f>
        <v>20.066068658893172</v>
      </c>
      <c r="J111" s="249">
        <f t="shared" si="17"/>
        <v>2257514</v>
      </c>
      <c r="K111" s="183">
        <f t="shared" si="17"/>
        <v>4120329</v>
      </c>
      <c r="L111" s="341">
        <f t="shared" si="14"/>
        <v>82.5</v>
      </c>
      <c r="M111" s="8">
        <f>IFERROR(100/'Skjema total MA'!I111*K111,0)</f>
        <v>19.515197070759221</v>
      </c>
    </row>
    <row r="112" spans="1:13" x14ac:dyDescent="0.2">
      <c r="A112" s="18" t="s">
        <v>9</v>
      </c>
      <c r="B112" s="181">
        <v>35642</v>
      </c>
      <c r="C112" s="109">
        <v>111541</v>
      </c>
      <c r="D112" s="123">
        <f t="shared" ref="D112:D120" si="18">IF(B112=0, "    ---- ", IF(ABS(ROUND(100/B112*C112-100,1))&lt;999,ROUND(100/B112*C112-100,1),IF(ROUND(100/B112*C112-100,1)&gt;999,999,-999)))</f>
        <v>212.9</v>
      </c>
      <c r="E112" s="23">
        <f>IFERROR(100/'Skjema total MA'!C112*C112,0)</f>
        <v>10.544210828246271</v>
      </c>
      <c r="F112" s="181"/>
      <c r="G112" s="109"/>
      <c r="H112" s="123"/>
      <c r="I112" s="23"/>
      <c r="J112" s="232">
        <f t="shared" ref="J112:K125" si="19">SUM(B112,F112)</f>
        <v>35642</v>
      </c>
      <c r="K112" s="36">
        <f t="shared" si="19"/>
        <v>111541</v>
      </c>
      <c r="L112" s="204">
        <f t="shared" ref="L112:L125" si="20">IF(J112=0, "    ---- ", IF(ABS(ROUND(100/J112*K112-100,1))&lt;999,ROUND(100/J112*K112-100,1),IF(ROUND(100/J112*K112-100,1)&gt;999,999,-999)))</f>
        <v>212.9</v>
      </c>
      <c r="M112" s="23">
        <f>IFERROR(100/'Skjema total MA'!I112*K112,0)</f>
        <v>10.53950014980863</v>
      </c>
    </row>
    <row r="113" spans="1:13" x14ac:dyDescent="0.2">
      <c r="A113" s="18" t="s">
        <v>10</v>
      </c>
      <c r="B113" s="181"/>
      <c r="C113" s="109"/>
      <c r="D113" s="123"/>
      <c r="E113" s="23"/>
      <c r="F113" s="181">
        <v>2221872</v>
      </c>
      <c r="G113" s="109">
        <v>4008788</v>
      </c>
      <c r="H113" s="123">
        <f t="shared" ref="H113:H125" si="21">IF(F113=0, "    ---- ", IF(ABS(ROUND(100/F113*G113-100,1))&lt;999,ROUND(100/F113*G113-100,1),IF(ROUND(100/F113*G113-100,1)&gt;999,999,-999)))</f>
        <v>80.400000000000006</v>
      </c>
      <c r="I113" s="23">
        <f>IFERROR(100/'Skjema total MA'!F113*G113,0)</f>
        <v>20.066543562725457</v>
      </c>
      <c r="J113" s="232">
        <f t="shared" si="19"/>
        <v>2221872</v>
      </c>
      <c r="K113" s="36">
        <f t="shared" si="19"/>
        <v>4008788</v>
      </c>
      <c r="L113" s="204">
        <f t="shared" si="20"/>
        <v>80.400000000000006</v>
      </c>
      <c r="M113" s="23">
        <f>IFERROR(100/'Skjema total MA'!I113*K113,0)</f>
        <v>20.066543562725457</v>
      </c>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v>7242</v>
      </c>
      <c r="C116" s="181">
        <v>0</v>
      </c>
      <c r="D116" s="123">
        <f t="shared" si="18"/>
        <v>-100</v>
      </c>
      <c r="E116" s="23">
        <f>IFERROR(100/'Skjema total MA'!C116*C116,0)</f>
        <v>0</v>
      </c>
      <c r="F116" s="181"/>
      <c r="G116" s="181"/>
      <c r="H116" s="123"/>
      <c r="I116" s="23"/>
      <c r="J116" s="232">
        <f t="shared" si="19"/>
        <v>7242</v>
      </c>
      <c r="K116" s="36">
        <f t="shared" si="19"/>
        <v>0</v>
      </c>
      <c r="L116" s="204">
        <f t="shared" si="20"/>
        <v>-100</v>
      </c>
      <c r="M116" s="23">
        <f>IFERROR(100/'Skjema total MA'!I116*K116,0)</f>
        <v>0</v>
      </c>
    </row>
    <row r="117" spans="1:13" ht="15.75" x14ac:dyDescent="0.2">
      <c r="A117" s="18" t="s">
        <v>376</v>
      </c>
      <c r="B117" s="181"/>
      <c r="C117" s="181"/>
      <c r="D117" s="123"/>
      <c r="E117" s="23"/>
      <c r="F117" s="181">
        <v>874236</v>
      </c>
      <c r="G117" s="181">
        <v>1509812</v>
      </c>
      <c r="H117" s="123">
        <f t="shared" si="21"/>
        <v>72.7</v>
      </c>
      <c r="I117" s="23">
        <f>IFERROR(100/'Skjema total MA'!F117*G117,0)</f>
        <v>13.483606365449276</v>
      </c>
      <c r="J117" s="232">
        <f t="shared" si="19"/>
        <v>874236</v>
      </c>
      <c r="K117" s="36">
        <f t="shared" si="19"/>
        <v>1509812</v>
      </c>
      <c r="L117" s="204">
        <f t="shared" si="20"/>
        <v>72.7</v>
      </c>
      <c r="M117" s="23">
        <f>IFERROR(100/'Skjema total MA'!I117*K117,0)</f>
        <v>13.483606365449276</v>
      </c>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v>13161</v>
      </c>
      <c r="C119" s="118">
        <v>10487</v>
      </c>
      <c r="D119" s="127">
        <f t="shared" si="18"/>
        <v>-20.3</v>
      </c>
      <c r="E119" s="8">
        <f>IFERROR(100/'Skjema total MA'!C119*C119,0)</f>
        <v>4.8705268488685185</v>
      </c>
      <c r="F119" s="248">
        <v>1797796</v>
      </c>
      <c r="G119" s="118">
        <v>2808637</v>
      </c>
      <c r="H119" s="127">
        <f t="shared" si="21"/>
        <v>56.2</v>
      </c>
      <c r="I119" s="8">
        <f>IFERROR(100/'Skjema total MA'!F119*G119,0)</f>
        <v>13.359324790058325</v>
      </c>
      <c r="J119" s="249">
        <f t="shared" si="19"/>
        <v>1810957</v>
      </c>
      <c r="K119" s="183">
        <f t="shared" si="19"/>
        <v>2819124</v>
      </c>
      <c r="L119" s="341">
        <f t="shared" si="20"/>
        <v>55.7</v>
      </c>
      <c r="M119" s="8">
        <f>IFERROR(100/'Skjema total MA'!I119*K119,0)</f>
        <v>13.273267987370218</v>
      </c>
    </row>
    <row r="120" spans="1:13" x14ac:dyDescent="0.2">
      <c r="A120" s="18" t="s">
        <v>9</v>
      </c>
      <c r="B120" s="181">
        <v>13161</v>
      </c>
      <c r="C120" s="109">
        <v>10487</v>
      </c>
      <c r="D120" s="123">
        <f t="shared" si="18"/>
        <v>-20.3</v>
      </c>
      <c r="E120" s="23">
        <f>IFERROR(100/'Skjema total MA'!C120*C120,0)</f>
        <v>18.026901838010691</v>
      </c>
      <c r="F120" s="181"/>
      <c r="G120" s="109"/>
      <c r="H120" s="123"/>
      <c r="I120" s="23"/>
      <c r="J120" s="232">
        <f t="shared" si="19"/>
        <v>13161</v>
      </c>
      <c r="K120" s="36">
        <f t="shared" si="19"/>
        <v>10487</v>
      </c>
      <c r="L120" s="204">
        <f t="shared" si="20"/>
        <v>-20.3</v>
      </c>
      <c r="M120" s="23">
        <f>IFERROR(100/'Skjema total MA'!I120*K120,0)</f>
        <v>18.026901838010691</v>
      </c>
    </row>
    <row r="121" spans="1:13" x14ac:dyDescent="0.2">
      <c r="A121" s="18" t="s">
        <v>10</v>
      </c>
      <c r="B121" s="181"/>
      <c r="C121" s="109"/>
      <c r="D121" s="123"/>
      <c r="E121" s="23"/>
      <c r="F121" s="181">
        <v>1797796</v>
      </c>
      <c r="G121" s="109">
        <v>2808637</v>
      </c>
      <c r="H121" s="123">
        <f t="shared" si="21"/>
        <v>56.2</v>
      </c>
      <c r="I121" s="23">
        <f>IFERROR(100/'Skjema total MA'!F121*G121,0)</f>
        <v>13.359324790058325</v>
      </c>
      <c r="J121" s="232">
        <f t="shared" si="19"/>
        <v>1797796</v>
      </c>
      <c r="K121" s="36">
        <f t="shared" si="19"/>
        <v>2808637</v>
      </c>
      <c r="L121" s="204">
        <f t="shared" si="20"/>
        <v>56.2</v>
      </c>
      <c r="M121" s="23">
        <f>IFERROR(100/'Skjema total MA'!I121*K121,0)</f>
        <v>13.356851883604229</v>
      </c>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v>845095</v>
      </c>
      <c r="G125" s="181">
        <v>1150944</v>
      </c>
      <c r="H125" s="123">
        <f t="shared" si="21"/>
        <v>36.200000000000003</v>
      </c>
      <c r="I125" s="23">
        <f>IFERROR(100/'Skjema total MA'!F125*G125,0)</f>
        <v>10.289638721600147</v>
      </c>
      <c r="J125" s="232">
        <f t="shared" si="19"/>
        <v>845095</v>
      </c>
      <c r="K125" s="36">
        <f t="shared" si="19"/>
        <v>1150944</v>
      </c>
      <c r="L125" s="204">
        <f t="shared" si="20"/>
        <v>36.200000000000003</v>
      </c>
      <c r="M125" s="23">
        <f>IFERROR(100/'Skjema total MA'!I125*K125,0)</f>
        <v>10.288766566451365</v>
      </c>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66" priority="13">
      <formula>kvartal &lt; 4</formula>
    </cfRule>
  </conditionalFormatting>
  <conditionalFormatting sqref="A69:A74">
    <cfRule type="expression" dxfId="365" priority="11">
      <formula>kvartal &lt; 4</formula>
    </cfRule>
  </conditionalFormatting>
  <conditionalFormatting sqref="A80:A85">
    <cfRule type="expression" dxfId="364" priority="10">
      <formula>kvartal &lt; 4</formula>
    </cfRule>
  </conditionalFormatting>
  <conditionalFormatting sqref="A90:A95">
    <cfRule type="expression" dxfId="363" priority="7">
      <formula>kvartal &lt; 4</formula>
    </cfRule>
  </conditionalFormatting>
  <conditionalFormatting sqref="A101:A106">
    <cfRule type="expression" dxfId="362" priority="6">
      <formula>kvartal &lt; 4</formula>
    </cfRule>
  </conditionalFormatting>
  <conditionalFormatting sqref="A115:C115">
    <cfRule type="expression" dxfId="361" priority="5">
      <formula>kvartal &lt; 4</formula>
    </cfRule>
  </conditionalFormatting>
  <conditionalFormatting sqref="A123:C123">
    <cfRule type="expression" dxfId="360" priority="4">
      <formula>kvartal &lt; 4</formula>
    </cfRule>
  </conditionalFormatting>
  <conditionalFormatting sqref="F115:G115">
    <cfRule type="expression" dxfId="359" priority="58">
      <formula>kvartal &lt; 4</formula>
    </cfRule>
  </conditionalFormatting>
  <conditionalFormatting sqref="F123:G123">
    <cfRule type="expression" dxfId="358" priority="57">
      <formula>kvartal &lt; 4</formula>
    </cfRule>
  </conditionalFormatting>
  <conditionalFormatting sqref="J115:K115">
    <cfRule type="expression" dxfId="357" priority="33">
      <formula>kvartal &lt; 4</formula>
    </cfRule>
  </conditionalFormatting>
  <conditionalFormatting sqref="J123:K123">
    <cfRule type="expression" dxfId="356" priority="32">
      <formula>kvartal &lt; 4</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9"/>
  <dimension ref="A1:N144"/>
  <sheetViews>
    <sheetView showGridLines="0" topLeftCell="A3"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120</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135275.22691376499</v>
      </c>
      <c r="C7" s="247">
        <v>150963.54931210299</v>
      </c>
      <c r="D7" s="283">
        <f>IF(B7=0, "    ---- ", IF(ABS(ROUND(100/B7*C7-100,1))&lt;999,ROUND(100/B7*C7-100,1),IF(ROUND(100/B7*C7-100,1)&gt;999,999,-999)))</f>
        <v>11.6</v>
      </c>
      <c r="E7" s="8">
        <f>IFERROR(100/'Skjema total MA'!C7*C7,0)</f>
        <v>7.5192514592289044</v>
      </c>
      <c r="F7" s="246"/>
      <c r="G7" s="247"/>
      <c r="H7" s="283"/>
      <c r="I7" s="119"/>
      <c r="J7" s="248">
        <f t="shared" ref="J7:K9" si="0">SUM(B7,F7)</f>
        <v>135275.22691376499</v>
      </c>
      <c r="K7" s="249">
        <f t="shared" si="0"/>
        <v>150963.54931210299</v>
      </c>
      <c r="L7" s="340">
        <f>IF(J7=0, "    ---- ", IF(ABS(ROUND(100/J7*K7-100,1))&lt;999,ROUND(100/J7*K7-100,1),IF(ROUND(100/J7*K7-100,1)&gt;999,999,-999)))</f>
        <v>11.6</v>
      </c>
      <c r="M7" s="8">
        <f>IFERROR(100/'Skjema total MA'!I7*K7,0)</f>
        <v>3.0215799515697017</v>
      </c>
    </row>
    <row r="8" spans="1:14" ht="15.75" x14ac:dyDescent="0.2">
      <c r="A8" s="18" t="s">
        <v>25</v>
      </c>
      <c r="B8" s="226">
        <v>104118.376498098</v>
      </c>
      <c r="C8" s="227">
        <v>118859.857137567</v>
      </c>
      <c r="D8" s="123">
        <f t="shared" ref="D8:D9" si="1">IF(B8=0, "    ---- ", IF(ABS(ROUND(100/B8*C8-100,1))&lt;999,ROUND(100/B8*C8-100,1),IF(ROUND(100/B8*C8-100,1)&gt;999,999,-999)))</f>
        <v>14.2</v>
      </c>
      <c r="E8" s="23">
        <f>IFERROR(100/'Skjema total MA'!C8*C8,0)</f>
        <v>8.6593450160070589</v>
      </c>
      <c r="F8" s="230"/>
      <c r="G8" s="231"/>
      <c r="H8" s="123"/>
      <c r="I8" s="132"/>
      <c r="J8" s="181">
        <f t="shared" si="0"/>
        <v>104118.376498098</v>
      </c>
      <c r="K8" s="232">
        <f t="shared" si="0"/>
        <v>118859.857137567</v>
      </c>
      <c r="L8" s="123">
        <f t="shared" ref="L8:L9" si="2">IF(J8=0, "    ---- ", IF(ABS(ROUND(100/J8*K8-100,1))&lt;999,ROUND(100/J8*K8-100,1),IF(ROUND(100/J8*K8-100,1)&gt;999,999,-999)))</f>
        <v>14.2</v>
      </c>
      <c r="M8" s="23">
        <f>IFERROR(100/'Skjema total MA'!I8*K8,0)</f>
        <v>8.6593450160070589</v>
      </c>
    </row>
    <row r="9" spans="1:14" ht="15.75" x14ac:dyDescent="0.2">
      <c r="A9" s="18" t="s">
        <v>24</v>
      </c>
      <c r="B9" s="226">
        <v>31156.8504156667</v>
      </c>
      <c r="C9" s="227">
        <v>32103.692174536402</v>
      </c>
      <c r="D9" s="123">
        <f t="shared" si="1"/>
        <v>3</v>
      </c>
      <c r="E9" s="23">
        <f>IFERROR(100/'Skjema total MA'!C9*C9,0)</f>
        <v>7.5358644824285284</v>
      </c>
      <c r="F9" s="230"/>
      <c r="G9" s="231"/>
      <c r="H9" s="123"/>
      <c r="I9" s="132"/>
      <c r="J9" s="181">
        <f t="shared" si="0"/>
        <v>31156.8504156667</v>
      </c>
      <c r="K9" s="232">
        <f t="shared" si="0"/>
        <v>32103.692174536402</v>
      </c>
      <c r="L9" s="123">
        <f t="shared" si="2"/>
        <v>3</v>
      </c>
      <c r="M9" s="23">
        <f>IFERROR(100/'Skjema total MA'!I9*K9,0)</f>
        <v>7.5358644824285284</v>
      </c>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90743.745325906799</v>
      </c>
      <c r="C28" s="232">
        <v>109226.525563376</v>
      </c>
      <c r="D28" s="123">
        <f t="shared" ref="D28" si="3">IF(B28=0, "    ---- ", IF(ABS(ROUND(100/B28*C28-100,1))&lt;999,ROUND(100/B28*C28-100,1),IF(ROUND(100/B28*C28-100,1)&gt;999,999,-999)))</f>
        <v>20.399999999999999</v>
      </c>
      <c r="E28" s="8">
        <f>IFERROR(100/'Skjema total MA'!C28*C28,0)</f>
        <v>9.1697549210955636</v>
      </c>
      <c r="F28" s="181"/>
      <c r="G28" s="232"/>
      <c r="H28" s="123"/>
      <c r="I28" s="23"/>
      <c r="J28" s="36">
        <f t="shared" ref="J28:K28" si="4">SUM(B28,F28)</f>
        <v>90743.745325906799</v>
      </c>
      <c r="K28" s="36">
        <f t="shared" si="4"/>
        <v>109226.525563376</v>
      </c>
      <c r="L28" s="204">
        <f t="shared" ref="L28" si="5">IF(J28=0, "    ---- ", IF(ABS(ROUND(100/J28*K28-100,1))&lt;999,ROUND(100/J28*K28-100,1),IF(ROUND(100/J28*K28-100,1)&gt;999,999,-999)))</f>
        <v>20.399999999999999</v>
      </c>
      <c r="M28" s="20">
        <f>IFERROR(100/'Skjema total MA'!I28*K28,0)</f>
        <v>9.1697549210955636</v>
      </c>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115010.26969</v>
      </c>
      <c r="C47" s="251">
        <v>155133.38300999999</v>
      </c>
      <c r="D47" s="340">
        <f t="shared" ref="D47:D57" si="6">IF(B47=0, "    ---- ", IF(ABS(ROUND(100/B47*C47-100,1))&lt;999,ROUND(100/B47*C47-100,1),IF(ROUND(100/B47*C47-100,1)&gt;999,999,-999)))</f>
        <v>34.9</v>
      </c>
      <c r="E47" s="8">
        <f>IFERROR(100/'Skjema total MA'!C47*C47,0)</f>
        <v>3.5009210116525038</v>
      </c>
      <c r="F47" s="109"/>
      <c r="G47" s="27"/>
      <c r="H47" s="118"/>
      <c r="I47" s="118"/>
      <c r="J47" s="31"/>
      <c r="K47" s="31"/>
      <c r="L47" s="118"/>
      <c r="M47" s="118"/>
    </row>
    <row r="48" spans="1:13" ht="15.75" x14ac:dyDescent="0.2">
      <c r="A48" s="18" t="s">
        <v>334</v>
      </c>
      <c r="B48" s="226">
        <v>115010.26969</v>
      </c>
      <c r="C48" s="227">
        <v>155133.38300999999</v>
      </c>
      <c r="D48" s="204">
        <f t="shared" si="6"/>
        <v>34.9</v>
      </c>
      <c r="E48" s="23">
        <f>IFERROR(100/'Skjema total MA'!C48*C48,0)</f>
        <v>6.4487896953440451</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6159.0410000000002</v>
      </c>
      <c r="C53" s="251">
        <v>374.56700000000001</v>
      </c>
      <c r="D53" s="341">
        <f t="shared" si="6"/>
        <v>-93.9</v>
      </c>
      <c r="E53" s="8">
        <f>IFERROR(100/'Skjema total MA'!C53*C53,0)</f>
        <v>0.21488340742080955</v>
      </c>
      <c r="F53" s="109"/>
      <c r="G53" s="27"/>
      <c r="H53" s="109"/>
      <c r="I53" s="109"/>
      <c r="J53" s="27"/>
      <c r="K53" s="27"/>
      <c r="L53" s="118"/>
      <c r="M53" s="118"/>
    </row>
    <row r="54" spans="1:13" ht="15.75" x14ac:dyDescent="0.2">
      <c r="A54" s="18" t="s">
        <v>334</v>
      </c>
      <c r="B54" s="226">
        <v>6159.0410000000002</v>
      </c>
      <c r="C54" s="227">
        <v>374.56700000000001</v>
      </c>
      <c r="D54" s="204">
        <f t="shared" si="6"/>
        <v>-93.9</v>
      </c>
      <c r="E54" s="23">
        <f>IFERROR(100/'Skjema total MA'!C54*C54,0)</f>
        <v>0.21521182101690892</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v>363.12400000000002</v>
      </c>
      <c r="D56" s="341" t="str">
        <f t="shared" si="6"/>
        <v xml:space="preserve">    ---- </v>
      </c>
      <c r="E56" s="8">
        <f>IFERROR(100/'Skjema total MA'!C56*C56,0)</f>
        <v>1.1094346613976229</v>
      </c>
      <c r="F56" s="109"/>
      <c r="G56" s="27"/>
      <c r="H56" s="109"/>
      <c r="I56" s="109"/>
      <c r="J56" s="27"/>
      <c r="K56" s="27"/>
      <c r="L56" s="118"/>
      <c r="M56" s="118"/>
    </row>
    <row r="57" spans="1:13" ht="15.75" x14ac:dyDescent="0.2">
      <c r="A57" s="18" t="s">
        <v>334</v>
      </c>
      <c r="B57" s="226"/>
      <c r="C57" s="227">
        <v>363.12400000000002</v>
      </c>
      <c r="D57" s="204" t="str">
        <f t="shared" si="6"/>
        <v xml:space="preserve">    ---- </v>
      </c>
      <c r="E57" s="23">
        <f>IFERROR(100/'Skjema total MA'!C57*C57,0)</f>
        <v>1.1094346613976229</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55" priority="12">
      <formula>kvartal &lt; 4</formula>
    </cfRule>
  </conditionalFormatting>
  <conditionalFormatting sqref="A69:A74">
    <cfRule type="expression" dxfId="354" priority="10">
      <formula>kvartal &lt; 4</formula>
    </cfRule>
  </conditionalFormatting>
  <conditionalFormatting sqref="A80:A85">
    <cfRule type="expression" dxfId="353" priority="9">
      <formula>kvartal &lt; 4</formula>
    </cfRule>
  </conditionalFormatting>
  <conditionalFormatting sqref="A90:A95">
    <cfRule type="expression" dxfId="352" priority="6">
      <formula>kvartal &lt; 4</formula>
    </cfRule>
  </conditionalFormatting>
  <conditionalFormatting sqref="A101:A106">
    <cfRule type="expression" dxfId="351" priority="5">
      <formula>kvartal &lt; 4</formula>
    </cfRule>
  </conditionalFormatting>
  <conditionalFormatting sqref="A115:C115">
    <cfRule type="expression" dxfId="350" priority="4">
      <formula>kvartal &lt; 4</formula>
    </cfRule>
  </conditionalFormatting>
  <conditionalFormatting sqref="A123:C123">
    <cfRule type="expression" dxfId="349" priority="3">
      <formula>kvartal &lt; 4</formula>
    </cfRule>
  </conditionalFormatting>
  <conditionalFormatting sqref="F115:G115">
    <cfRule type="expression" dxfId="348" priority="57">
      <formula>kvartal &lt; 4</formula>
    </cfRule>
  </conditionalFormatting>
  <conditionalFormatting sqref="F123:G123">
    <cfRule type="expression" dxfId="347" priority="56">
      <formula>kvartal &lt; 4</formula>
    </cfRule>
  </conditionalFormatting>
  <conditionalFormatting sqref="J115:K115">
    <cfRule type="expression" dxfId="346" priority="32">
      <formula>kvartal &lt; 4</formula>
    </cfRule>
  </conditionalFormatting>
  <conditionalFormatting sqref="J123:K123">
    <cfRule type="expression" dxfId="345" priority="31">
      <formula>kvartal &lt; 4</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20"/>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61</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519"/>
      <c r="H45" s="130"/>
      <c r="I45" s="130"/>
      <c r="J45" s="131"/>
      <c r="K45" s="131"/>
      <c r="L45" s="130"/>
      <c r="M45" s="130"/>
    </row>
    <row r="46" spans="1:13" x14ac:dyDescent="0.2">
      <c r="A46" s="548"/>
      <c r="B46" s="191"/>
      <c r="C46" s="191"/>
      <c r="D46" s="192" t="s">
        <v>4</v>
      </c>
      <c r="E46" s="116" t="s">
        <v>30</v>
      </c>
      <c r="F46" s="130"/>
      <c r="G46" s="520"/>
      <c r="H46" s="130"/>
      <c r="I46" s="130"/>
      <c r="J46" s="130"/>
      <c r="K46" s="130"/>
      <c r="L46" s="130"/>
      <c r="M46" s="130"/>
    </row>
    <row r="47" spans="1:13" ht="15.75" x14ac:dyDescent="0.2">
      <c r="A47" s="11" t="s">
        <v>23</v>
      </c>
      <c r="B47" s="250"/>
      <c r="C47" s="251">
        <v>-76.77655</v>
      </c>
      <c r="D47" s="340" t="str">
        <f t="shared" ref="D47" si="0">IF(B47=0, "    ---- ", IF(ABS(ROUND(100/B47*C47-100,1))&lt;999,ROUND(100/B47*C47-100,1),IF(ROUND(100/B47*C47-100,1)&gt;999,999,-999)))</f>
        <v xml:space="preserve">    ---- </v>
      </c>
      <c r="E47" s="8">
        <f>IFERROR(100/'Skjema total MA'!C47*C47,0)</f>
        <v>-1.7326292502746669E-3</v>
      </c>
      <c r="F47" s="109"/>
      <c r="G47" s="115"/>
      <c r="H47" s="118"/>
      <c r="I47" s="118"/>
      <c r="J47" s="31"/>
      <c r="K47" s="31"/>
      <c r="L47" s="118"/>
      <c r="M47" s="118"/>
    </row>
    <row r="48" spans="1:13" ht="15.75" x14ac:dyDescent="0.2">
      <c r="A48" s="18" t="s">
        <v>334</v>
      </c>
      <c r="B48" s="227"/>
      <c r="C48" s="227"/>
      <c r="D48" s="204"/>
      <c r="E48" s="23"/>
      <c r="F48" s="109"/>
      <c r="G48" s="521"/>
      <c r="H48" s="109"/>
      <c r="I48" s="109"/>
      <c r="J48" s="27"/>
      <c r="K48" s="27"/>
      <c r="L48" s="118"/>
      <c r="M48" s="118"/>
    </row>
    <row r="49" spans="1:13" ht="15.75" x14ac:dyDescent="0.2">
      <c r="A49" s="18" t="s">
        <v>335</v>
      </c>
      <c r="B49" s="226"/>
      <c r="C49" s="227">
        <v>-76.776549999999986</v>
      </c>
      <c r="D49" s="204" t="str">
        <f>IF(B49=0, "    ---- ", IF(ABS(ROUND(100/B49*C49-100,1))&lt;999,ROUND(100/B49*C49-100,1),IF(ROUND(100/B49*C49-100,1)&gt;999,999,-999)))</f>
        <v xml:space="preserve">    ---- </v>
      </c>
      <c r="E49" s="23">
        <f>IFERROR(100/'Skjema total MA'!C49*C49,0)</f>
        <v>-3.7903186518575978E-3</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v>7819124.7919600001</v>
      </c>
      <c r="C134" s="249">
        <v>8049456.5729599996</v>
      </c>
      <c r="D134" s="283">
        <f t="shared" ref="D134:D137" si="1">IF(B134=0, "    ---- ", IF(ABS(ROUND(100/B134*C134-100,1))&lt;999,ROUND(100/B134*C134-100,1),IF(ROUND(100/B134*C134-100,1)&gt;999,999,-999)))</f>
        <v>2.9</v>
      </c>
      <c r="E134" s="8">
        <f>IFERROR(100/'Skjema total MA'!C134*C134,0)</f>
        <v>85.815791246141032</v>
      </c>
      <c r="F134" s="256">
        <v>22688.987000000001</v>
      </c>
      <c r="G134" s="257">
        <v>20929.275000000001</v>
      </c>
      <c r="H134" s="344">
        <f t="shared" ref="H134:H136" si="2">IF(F134=0, "    ---- ", IF(ABS(ROUND(100/F134*G134-100,1))&lt;999,ROUND(100/F134*G134-100,1),IF(ROUND(100/F134*G134-100,1)&gt;999,999,-999)))</f>
        <v>-7.8</v>
      </c>
      <c r="I134" s="21">
        <f>IFERROR(100/'Skjema total MA'!F134*G134,0)</f>
        <v>100</v>
      </c>
      <c r="J134" s="258">
        <f t="shared" ref="J134:K137" si="3">SUM(B134,F134)</f>
        <v>7841813.7789599998</v>
      </c>
      <c r="K134" s="258">
        <f t="shared" si="3"/>
        <v>8070385.8479599999</v>
      </c>
      <c r="L134" s="340">
        <f t="shared" ref="L134:L137" si="4">IF(J134=0, "    ---- ", IF(ABS(ROUND(100/J134*K134-100,1))&lt;999,ROUND(100/J134*K134-100,1),IF(ROUND(100/J134*K134-100,1)&gt;999,999,-999)))</f>
        <v>2.9</v>
      </c>
      <c r="M134" s="8">
        <f>IFERROR(100/'Skjema total MA'!I134*K134,0)</f>
        <v>85.847369782243874</v>
      </c>
    </row>
    <row r="135" spans="1:14" ht="15.75" x14ac:dyDescent="0.2">
      <c r="A135" s="10" t="s">
        <v>350</v>
      </c>
      <c r="B135" s="183">
        <v>742435451.03683996</v>
      </c>
      <c r="C135" s="249">
        <v>794812677.44805002</v>
      </c>
      <c r="D135" s="127">
        <f t="shared" si="1"/>
        <v>7.1</v>
      </c>
      <c r="E135" s="8">
        <f>IFERROR(100/'Skjema total MA'!C135*C135,0)</f>
        <v>86.357991267442401</v>
      </c>
      <c r="F135" s="183">
        <v>2764463.4104599999</v>
      </c>
      <c r="G135" s="249">
        <v>2888738.0707899998</v>
      </c>
      <c r="H135" s="345">
        <f t="shared" si="2"/>
        <v>4.5</v>
      </c>
      <c r="I135" s="21">
        <f>IFERROR(100/'Skjema total MA'!F135*G135,0)</f>
        <v>100</v>
      </c>
      <c r="J135" s="248">
        <f t="shared" si="3"/>
        <v>745199914.44729996</v>
      </c>
      <c r="K135" s="248">
        <f t="shared" si="3"/>
        <v>797701415.51884007</v>
      </c>
      <c r="L135" s="341">
        <f t="shared" si="4"/>
        <v>7</v>
      </c>
      <c r="M135" s="8">
        <f>IFERROR(100/'Skjema total MA'!I135*K135,0)</f>
        <v>86.40067508563061</v>
      </c>
    </row>
    <row r="136" spans="1:14" ht="15.75" x14ac:dyDescent="0.2">
      <c r="A136" s="10" t="s">
        <v>347</v>
      </c>
      <c r="B136" s="183">
        <v>263.99400000000003</v>
      </c>
      <c r="C136" s="249">
        <v>39561.440999999999</v>
      </c>
      <c r="D136" s="127">
        <f t="shared" si="1"/>
        <v>999</v>
      </c>
      <c r="E136" s="8">
        <f>IFERROR(100/'Skjema total MA'!C136*C136,0)</f>
        <v>1.2205703919942499</v>
      </c>
      <c r="F136" s="183">
        <v>-182.05500000000001</v>
      </c>
      <c r="G136" s="249">
        <v>0</v>
      </c>
      <c r="H136" s="345">
        <f t="shared" si="2"/>
        <v>-100</v>
      </c>
      <c r="I136" s="21">
        <f>IFERROR(100/'Skjema total MA'!F136*G136,0)</f>
        <v>0</v>
      </c>
      <c r="J136" s="248">
        <f t="shared" si="3"/>
        <v>81.939000000000021</v>
      </c>
      <c r="K136" s="248">
        <f t="shared" si="3"/>
        <v>39561.440999999999</v>
      </c>
      <c r="L136" s="341">
        <f t="shared" si="4"/>
        <v>999</v>
      </c>
      <c r="M136" s="8">
        <f>IFERROR(100/'Skjema total MA'!I136*K136,0)</f>
        <v>1.2205703919942499</v>
      </c>
    </row>
    <row r="137" spans="1:14" ht="15.75" x14ac:dyDescent="0.2">
      <c r="A137" s="33" t="s">
        <v>348</v>
      </c>
      <c r="B137" s="221">
        <v>2455531.2259999998</v>
      </c>
      <c r="C137" s="255">
        <v>4289073.5640000002</v>
      </c>
      <c r="D137" s="125">
        <f t="shared" si="1"/>
        <v>74.7</v>
      </c>
      <c r="E137" s="6">
        <f>IFERROR(100/'Skjema total MA'!C137*C137,0)</f>
        <v>100</v>
      </c>
      <c r="F137" s="221"/>
      <c r="G137" s="255"/>
      <c r="H137" s="346"/>
      <c r="I137" s="30"/>
      <c r="J137" s="254">
        <f t="shared" si="3"/>
        <v>2455531.2259999998</v>
      </c>
      <c r="K137" s="254">
        <f t="shared" si="3"/>
        <v>4289073.5640000002</v>
      </c>
      <c r="L137" s="342">
        <f t="shared" si="4"/>
        <v>74.7</v>
      </c>
      <c r="M137" s="30">
        <f>IFERROR(100/'Skjema total MA'!I137*K137,0)</f>
        <v>100</v>
      </c>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44" priority="12">
      <formula>kvartal &lt; 4</formula>
    </cfRule>
  </conditionalFormatting>
  <conditionalFormatting sqref="A69:A74">
    <cfRule type="expression" dxfId="343" priority="10">
      <formula>kvartal &lt; 4</formula>
    </cfRule>
  </conditionalFormatting>
  <conditionalFormatting sqref="A80:A85">
    <cfRule type="expression" dxfId="342" priority="9">
      <formula>kvartal &lt; 4</formula>
    </cfRule>
  </conditionalFormatting>
  <conditionalFormatting sqref="A90:A95">
    <cfRule type="expression" dxfId="341" priority="6">
      <formula>kvartal &lt; 4</formula>
    </cfRule>
  </conditionalFormatting>
  <conditionalFormatting sqref="A101:A106">
    <cfRule type="expression" dxfId="340" priority="5">
      <formula>kvartal &lt; 4</formula>
    </cfRule>
  </conditionalFormatting>
  <conditionalFormatting sqref="A115:C115">
    <cfRule type="expression" dxfId="339" priority="4">
      <formula>kvartal &lt; 4</formula>
    </cfRule>
  </conditionalFormatting>
  <conditionalFormatting sqref="A123:C123">
    <cfRule type="expression" dxfId="338" priority="3">
      <formula>kvartal &lt; 4</formula>
    </cfRule>
  </conditionalFormatting>
  <conditionalFormatting sqref="F115:G115">
    <cfRule type="expression" dxfId="337" priority="57">
      <formula>kvartal &lt; 4</formula>
    </cfRule>
  </conditionalFormatting>
  <conditionalFormatting sqref="F123:G123">
    <cfRule type="expression" dxfId="336" priority="56">
      <formula>kvartal &lt; 4</formula>
    </cfRule>
  </conditionalFormatting>
  <conditionalFormatting sqref="J115:K115">
    <cfRule type="expression" dxfId="335" priority="32">
      <formula>kvartal &lt; 4</formula>
    </cfRule>
  </conditionalFormatting>
  <conditionalFormatting sqref="J123:K123">
    <cfRule type="expression" dxfId="334" priority="31">
      <formula>kvartal &lt; 4</formula>
    </cfRule>
  </conditionalFormatting>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2"/>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123</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10270.314</v>
      </c>
      <c r="C7" s="247">
        <v>11608.009</v>
      </c>
      <c r="D7" s="283">
        <f>IF(B7=0, "    ---- ", IF(ABS(ROUND(100/B7*C7-100,1))&lt;999,ROUND(100/B7*C7-100,1),IF(ROUND(100/B7*C7-100,1)&gt;999,999,-999)))</f>
        <v>13</v>
      </c>
      <c r="E7" s="8">
        <f>IFERROR(100/'Skjema total MA'!C7*C7,0)</f>
        <v>0.57817624856939287</v>
      </c>
      <c r="F7" s="246"/>
      <c r="G7" s="247"/>
      <c r="H7" s="283"/>
      <c r="I7" s="119"/>
      <c r="J7" s="248">
        <f t="shared" ref="J7:K10" si="0">SUM(B7,F7)</f>
        <v>10270.314</v>
      </c>
      <c r="K7" s="249">
        <f t="shared" si="0"/>
        <v>11608.009</v>
      </c>
      <c r="L7" s="340">
        <f>IF(J7=0, "    ---- ", IF(ABS(ROUND(100/J7*K7-100,1))&lt;999,ROUND(100/J7*K7-100,1),IF(ROUND(100/J7*K7-100,1)&gt;999,999,-999)))</f>
        <v>13</v>
      </c>
      <c r="M7" s="8">
        <f>IFERROR(100/'Skjema total MA'!I7*K7,0)</f>
        <v>0.23233772279378093</v>
      </c>
    </row>
    <row r="8" spans="1:14" ht="15.75" x14ac:dyDescent="0.2">
      <c r="A8" s="18" t="s">
        <v>25</v>
      </c>
      <c r="B8" s="226">
        <v>9843.0810000000001</v>
      </c>
      <c r="C8" s="227">
        <v>11189.424999999999</v>
      </c>
      <c r="D8" s="123">
        <f t="shared" ref="D8:D10" si="1">IF(B8=0, "    ---- ", IF(ABS(ROUND(100/B8*C8-100,1))&lt;999,ROUND(100/B8*C8-100,1),IF(ROUND(100/B8*C8-100,1)&gt;999,999,-999)))</f>
        <v>13.7</v>
      </c>
      <c r="E8" s="23">
        <f>IFERROR(100/'Skjema total MA'!C8*C8,0)</f>
        <v>0.81518768353887427</v>
      </c>
      <c r="F8" s="230"/>
      <c r="G8" s="231"/>
      <c r="H8" s="123"/>
      <c r="I8" s="132"/>
      <c r="J8" s="181">
        <f t="shared" si="0"/>
        <v>9843.0810000000001</v>
      </c>
      <c r="K8" s="232">
        <f t="shared" si="0"/>
        <v>11189.424999999999</v>
      </c>
      <c r="L8" s="123">
        <f t="shared" ref="L8:L9" si="2">IF(J8=0, "    ---- ", IF(ABS(ROUND(100/J8*K8-100,1))&lt;999,ROUND(100/J8*K8-100,1),IF(ROUND(100/J8*K8-100,1)&gt;999,999,-999)))</f>
        <v>13.7</v>
      </c>
      <c r="M8" s="23">
        <f>IFERROR(100/'Skjema total MA'!I8*K8,0)</f>
        <v>0.81518768353887427</v>
      </c>
    </row>
    <row r="9" spans="1:14" ht="15.75" x14ac:dyDescent="0.2">
      <c r="A9" s="18" t="s">
        <v>24</v>
      </c>
      <c r="B9" s="226">
        <v>427.233</v>
      </c>
      <c r="C9" s="227">
        <v>418.584</v>
      </c>
      <c r="D9" s="123">
        <f t="shared" si="1"/>
        <v>-2</v>
      </c>
      <c r="E9" s="23">
        <f>IFERROR(100/'Skjema total MA'!C9*C9,0)</f>
        <v>9.8256371303448525E-2</v>
      </c>
      <c r="F9" s="230"/>
      <c r="G9" s="231"/>
      <c r="H9" s="123"/>
      <c r="I9" s="132"/>
      <c r="J9" s="181">
        <f t="shared" si="0"/>
        <v>427.233</v>
      </c>
      <c r="K9" s="232">
        <f t="shared" si="0"/>
        <v>418.584</v>
      </c>
      <c r="L9" s="123">
        <f t="shared" si="2"/>
        <v>-2</v>
      </c>
      <c r="M9" s="23">
        <f>IFERROR(100/'Skjema total MA'!I9*K9,0)</f>
        <v>9.8256371303448525E-2</v>
      </c>
    </row>
    <row r="10" spans="1:14" ht="15.75" x14ac:dyDescent="0.2">
      <c r="A10" s="10" t="s">
        <v>323</v>
      </c>
      <c r="B10" s="250">
        <v>29900.562000000002</v>
      </c>
      <c r="C10" s="251">
        <v>27164.18</v>
      </c>
      <c r="D10" s="127">
        <f t="shared" si="1"/>
        <v>-9.1999999999999993</v>
      </c>
      <c r="E10" s="8">
        <f>IFERROR(100/'Skjema total MA'!C10*C10,0)</f>
        <v>0.21468244323881952</v>
      </c>
      <c r="F10" s="250"/>
      <c r="G10" s="251"/>
      <c r="H10" s="127"/>
      <c r="I10" s="119"/>
      <c r="J10" s="248">
        <f t="shared" si="0"/>
        <v>29900.562000000002</v>
      </c>
      <c r="K10" s="249">
        <f t="shared" si="0"/>
        <v>27164.18</v>
      </c>
      <c r="L10" s="341">
        <f t="shared" ref="L10" si="3">IF(J10=0, "    ---- ", IF(ABS(ROUND(100/J10*K10-100,1))&lt;999,ROUND(100/J10*K10-100,1),IF(ROUND(100/J10*K10-100,1)&gt;999,999,-999)))</f>
        <v>-9.1999999999999993</v>
      </c>
      <c r="M10" s="8">
        <f>IFERROR(100/'Skjema total MA'!I10*K10,0)</f>
        <v>2.5348378975759568E-2</v>
      </c>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9305.2669999999998</v>
      </c>
      <c r="C22" s="250">
        <v>11275.386</v>
      </c>
      <c r="D22" s="283">
        <f t="shared" ref="D22:D29" si="4">IF(B22=0, "    ---- ", IF(ABS(ROUND(100/B22*C22-100,1))&lt;999,ROUND(100/B22*C22-100,1),IF(ROUND(100/B22*C22-100,1)&gt;999,999,-999)))</f>
        <v>21.2</v>
      </c>
      <c r="E22" s="8">
        <f>IFERROR(100/'Skjema total MA'!C22*C22,0)</f>
        <v>1.13585545150352</v>
      </c>
      <c r="F22" s="258"/>
      <c r="G22" s="258"/>
      <c r="H22" s="283"/>
      <c r="I22" s="8"/>
      <c r="J22" s="256">
        <f t="shared" ref="J22:K29" si="5">SUM(B22,F22)</f>
        <v>9305.2669999999998</v>
      </c>
      <c r="K22" s="256">
        <f t="shared" si="5"/>
        <v>11275.386</v>
      </c>
      <c r="L22" s="340">
        <f t="shared" ref="L22:L29" si="6">IF(J22=0, "    ---- ", IF(ABS(ROUND(100/J22*K22-100,1))&lt;999,ROUND(100/J22*K22-100,1),IF(ROUND(100/J22*K22-100,1)&gt;999,999,-999)))</f>
        <v>21.2</v>
      </c>
      <c r="M22" s="21">
        <f>IFERROR(100/'Skjema total MA'!I22*K22,0)</f>
        <v>0.88074828281814477</v>
      </c>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9305.2669999999998</v>
      </c>
      <c r="C28" s="232">
        <v>11275.386</v>
      </c>
      <c r="D28" s="123">
        <f t="shared" si="4"/>
        <v>21.2</v>
      </c>
      <c r="E28" s="8">
        <f>IFERROR(100/'Skjema total MA'!C28*C28,0)</f>
        <v>0.94658807215067053</v>
      </c>
      <c r="F28" s="181"/>
      <c r="G28" s="232"/>
      <c r="H28" s="123"/>
      <c r="I28" s="23"/>
      <c r="J28" s="36">
        <f t="shared" si="5"/>
        <v>9305.2669999999998</v>
      </c>
      <c r="K28" s="36">
        <f t="shared" si="5"/>
        <v>11275.386</v>
      </c>
      <c r="L28" s="204">
        <f t="shared" si="6"/>
        <v>21.2</v>
      </c>
      <c r="M28" s="20">
        <f>IFERROR(100/'Skjema total MA'!I28*K28,0)</f>
        <v>0.94658807215067053</v>
      </c>
    </row>
    <row r="29" spans="1:13" ht="15.75" x14ac:dyDescent="0.2">
      <c r="A29" s="10" t="s">
        <v>323</v>
      </c>
      <c r="B29" s="183">
        <v>118416.177</v>
      </c>
      <c r="C29" s="183">
        <v>146439.67300000001</v>
      </c>
      <c r="D29" s="127">
        <f t="shared" si="4"/>
        <v>23.7</v>
      </c>
      <c r="E29" s="8">
        <f>IFERROR(100/'Skjema total MA'!C29*C29,0)</f>
        <v>0.33277148490546687</v>
      </c>
      <c r="F29" s="248"/>
      <c r="G29" s="248"/>
      <c r="H29" s="127"/>
      <c r="I29" s="8"/>
      <c r="J29" s="183">
        <f t="shared" si="5"/>
        <v>118416.177</v>
      </c>
      <c r="K29" s="183">
        <f t="shared" si="5"/>
        <v>146439.67300000001</v>
      </c>
      <c r="L29" s="341">
        <f t="shared" si="6"/>
        <v>23.7</v>
      </c>
      <c r="M29" s="21">
        <f>IFERROR(100/'Skjema total MA'!I29*K29,0)</f>
        <v>0.20167509790648072</v>
      </c>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193188.46799999999</v>
      </c>
      <c r="C47" s="251">
        <v>211817.16</v>
      </c>
      <c r="D47" s="340">
        <f t="shared" ref="D47:D48" si="7">IF(B47=0, "    ---- ", IF(ABS(ROUND(100/B47*C47-100,1))&lt;999,ROUND(100/B47*C47-100,1),IF(ROUND(100/B47*C47-100,1)&gt;999,999,-999)))</f>
        <v>9.6</v>
      </c>
      <c r="E47" s="8">
        <f>IFERROR(100/'Skjema total MA'!C47*C47,0)</f>
        <v>4.7801132914426239</v>
      </c>
      <c r="F47" s="109"/>
      <c r="G47" s="27"/>
      <c r="H47" s="118"/>
      <c r="I47" s="118"/>
      <c r="J47" s="31"/>
      <c r="K47" s="31"/>
      <c r="L47" s="118"/>
      <c r="M47" s="118"/>
    </row>
    <row r="48" spans="1:13" ht="15.75" x14ac:dyDescent="0.2">
      <c r="A48" s="18" t="s">
        <v>334</v>
      </c>
      <c r="B48" s="226">
        <v>193188.46799999999</v>
      </c>
      <c r="C48" s="227">
        <v>211817.16</v>
      </c>
      <c r="D48" s="204">
        <f t="shared" si="7"/>
        <v>9.6</v>
      </c>
      <c r="E48" s="23">
        <f>IFERROR(100/'Skjema total MA'!C48*C48,0)</f>
        <v>8.8050959258523349</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33" priority="12">
      <formula>kvartal &lt; 4</formula>
    </cfRule>
  </conditionalFormatting>
  <conditionalFormatting sqref="A69:A74">
    <cfRule type="expression" dxfId="332" priority="10">
      <formula>kvartal &lt; 4</formula>
    </cfRule>
  </conditionalFormatting>
  <conditionalFormatting sqref="A80:A85">
    <cfRule type="expression" dxfId="331" priority="9">
      <formula>kvartal &lt; 4</formula>
    </cfRule>
  </conditionalFormatting>
  <conditionalFormatting sqref="A90:A95">
    <cfRule type="expression" dxfId="330" priority="6">
      <formula>kvartal &lt; 4</formula>
    </cfRule>
  </conditionalFormatting>
  <conditionalFormatting sqref="A101:A106">
    <cfRule type="expression" dxfId="329" priority="5">
      <formula>kvartal &lt; 4</formula>
    </cfRule>
  </conditionalFormatting>
  <conditionalFormatting sqref="A115:C115">
    <cfRule type="expression" dxfId="328" priority="4">
      <formula>kvartal &lt; 4</formula>
    </cfRule>
  </conditionalFormatting>
  <conditionalFormatting sqref="A123:C123">
    <cfRule type="expression" dxfId="327" priority="3">
      <formula>kvartal &lt; 4</formula>
    </cfRule>
  </conditionalFormatting>
  <conditionalFormatting sqref="F115:G115">
    <cfRule type="expression" dxfId="326" priority="57">
      <formula>kvartal &lt; 4</formula>
    </cfRule>
  </conditionalFormatting>
  <conditionalFormatting sqref="F123:G123">
    <cfRule type="expression" dxfId="325" priority="56">
      <formula>kvartal &lt; 4</formula>
    </cfRule>
  </conditionalFormatting>
  <conditionalFormatting sqref="J115:K115">
    <cfRule type="expression" dxfId="324" priority="32">
      <formula>kvartal &lt; 4</formula>
    </cfRule>
  </conditionalFormatting>
  <conditionalFormatting sqref="J123:K123">
    <cfRule type="expression" dxfId="323" priority="31">
      <formula>kvartal &lt; 4</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3"/>
  <dimension ref="A1:N144"/>
  <sheetViews>
    <sheetView showGridLines="0" zoomScaleNormal="10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362</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22470</v>
      </c>
      <c r="C47" s="251">
        <v>82536</v>
      </c>
      <c r="D47" s="340">
        <f t="shared" ref="D47:D57" si="0">IF(B47=0, "    ---- ", IF(ABS(ROUND(100/B47*C47-100,1))&lt;999,ROUND(100/B47*C47-100,1),IF(ROUND(100/B47*C47-100,1)&gt;999,999,-999)))</f>
        <v>267.3</v>
      </c>
      <c r="E47" s="8">
        <f>IFERROR(100/'Skjema total MA'!C47*C47,0)</f>
        <v>1.8626037221087677</v>
      </c>
      <c r="F47" s="109"/>
      <c r="G47" s="27"/>
      <c r="H47" s="118"/>
      <c r="I47" s="118"/>
      <c r="J47" s="31"/>
      <c r="K47" s="31"/>
      <c r="L47" s="118"/>
      <c r="M47" s="118"/>
    </row>
    <row r="48" spans="1:13" ht="15.75" x14ac:dyDescent="0.2">
      <c r="A48" s="18" t="s">
        <v>334</v>
      </c>
      <c r="B48" s="226">
        <v>22470</v>
      </c>
      <c r="C48" s="227">
        <v>82536</v>
      </c>
      <c r="D48" s="204">
        <f t="shared" si="0"/>
        <v>267.3</v>
      </c>
      <c r="E48" s="23">
        <f>IFERROR(100/'Skjema total MA'!C48*C48,0)</f>
        <v>3.430965637232358</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1738</v>
      </c>
      <c r="C53" s="251">
        <v>56480</v>
      </c>
      <c r="D53" s="341">
        <f t="shared" si="0"/>
        <v>999</v>
      </c>
      <c r="E53" s="8">
        <f>IFERROR(100/'Skjema total MA'!C53*C53,0)</f>
        <v>32.401719455070314</v>
      </c>
      <c r="F53" s="109"/>
      <c r="G53" s="27"/>
      <c r="H53" s="109"/>
      <c r="I53" s="109"/>
      <c r="J53" s="27"/>
      <c r="K53" s="27"/>
      <c r="L53" s="118"/>
      <c r="M53" s="118"/>
    </row>
    <row r="54" spans="1:13" ht="15.75" x14ac:dyDescent="0.2">
      <c r="A54" s="18" t="s">
        <v>334</v>
      </c>
      <c r="B54" s="226">
        <v>1738</v>
      </c>
      <c r="C54" s="227">
        <v>56480</v>
      </c>
      <c r="D54" s="204">
        <f t="shared" si="0"/>
        <v>999</v>
      </c>
      <c r="E54" s="23">
        <f>IFERROR(100/'Skjema total MA'!C54*C54,0)</f>
        <v>32.451240101330377</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v>711</v>
      </c>
      <c r="C56" s="251">
        <v>270</v>
      </c>
      <c r="D56" s="341">
        <f t="shared" si="0"/>
        <v>-62</v>
      </c>
      <c r="E56" s="8">
        <f>IFERROR(100/'Skjema total MA'!C56*C56,0)</f>
        <v>0.8249175449085111</v>
      </c>
      <c r="F56" s="109"/>
      <c r="G56" s="27"/>
      <c r="H56" s="109"/>
      <c r="I56" s="109"/>
      <c r="J56" s="27"/>
      <c r="K56" s="27"/>
      <c r="L56" s="118"/>
      <c r="M56" s="118"/>
    </row>
    <row r="57" spans="1:13" ht="15.75" x14ac:dyDescent="0.2">
      <c r="A57" s="18" t="s">
        <v>334</v>
      </c>
      <c r="B57" s="226">
        <v>711</v>
      </c>
      <c r="C57" s="227">
        <v>270</v>
      </c>
      <c r="D57" s="204">
        <f t="shared" si="0"/>
        <v>-62</v>
      </c>
      <c r="E57" s="23">
        <f>IFERROR(100/'Skjema total MA'!C57*C57,0)</f>
        <v>0.8249175449085111</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22" priority="12">
      <formula>kvartal &lt; 4</formula>
    </cfRule>
  </conditionalFormatting>
  <conditionalFormatting sqref="A69:A74">
    <cfRule type="expression" dxfId="321" priority="10">
      <formula>kvartal &lt; 4</formula>
    </cfRule>
  </conditionalFormatting>
  <conditionalFormatting sqref="A80:A85">
    <cfRule type="expression" dxfId="320" priority="9">
      <formula>kvartal &lt; 4</formula>
    </cfRule>
  </conditionalFormatting>
  <conditionalFormatting sqref="A90:A95">
    <cfRule type="expression" dxfId="319" priority="6">
      <formula>kvartal &lt; 4</formula>
    </cfRule>
  </conditionalFormatting>
  <conditionalFormatting sqref="A101:A106">
    <cfRule type="expression" dxfId="318" priority="5">
      <formula>kvartal &lt; 4</formula>
    </cfRule>
  </conditionalFormatting>
  <conditionalFormatting sqref="A115:C115">
    <cfRule type="expression" dxfId="317" priority="4">
      <formula>kvartal &lt; 4</formula>
    </cfRule>
  </conditionalFormatting>
  <conditionalFormatting sqref="A123:C123">
    <cfRule type="expression" dxfId="316" priority="3">
      <formula>kvartal &lt; 4</formula>
    </cfRule>
  </conditionalFormatting>
  <conditionalFormatting sqref="F115:G115">
    <cfRule type="expression" dxfId="315" priority="57">
      <formula>kvartal &lt; 4</formula>
    </cfRule>
  </conditionalFormatting>
  <conditionalFormatting sqref="F123:G123">
    <cfRule type="expression" dxfId="314" priority="56">
      <formula>kvartal &lt; 4</formula>
    </cfRule>
  </conditionalFormatting>
  <conditionalFormatting sqref="J115:K115">
    <cfRule type="expression" dxfId="313" priority="32">
      <formula>kvartal &lt; 4</formula>
    </cfRule>
  </conditionalFormatting>
  <conditionalFormatting sqref="J123:K123">
    <cfRule type="expression" dxfId="312" priority="31">
      <formula>kvartal &lt; 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N58"/>
  <sheetViews>
    <sheetView showGridLines="0" tabSelected="1" zoomScale="70" zoomScaleNormal="70" workbookViewId="0"/>
  </sheetViews>
  <sheetFormatPr baseColWidth="10" defaultColWidth="11.42578125" defaultRowHeight="25.5" x14ac:dyDescent="0.35"/>
  <cols>
    <col min="1" max="1" width="11.42578125" style="41"/>
    <col min="2" max="2" width="25" style="41" customWidth="1"/>
    <col min="3" max="3" width="141.7109375" style="41" customWidth="1"/>
    <col min="4" max="16384" width="11.42578125" style="41"/>
  </cols>
  <sheetData>
    <row r="1" spans="1:14" ht="20.100000000000001" customHeight="1" x14ac:dyDescent="0.35">
      <c r="C1" s="42"/>
      <c r="D1" s="43"/>
      <c r="E1" s="43"/>
      <c r="F1" s="43"/>
      <c r="G1" s="43"/>
      <c r="H1" s="43"/>
      <c r="I1" s="43"/>
      <c r="J1" s="43"/>
      <c r="K1" s="43"/>
      <c r="L1" s="43"/>
      <c r="M1" s="43"/>
      <c r="N1" s="43"/>
    </row>
    <row r="2" spans="1:14" ht="20.100000000000001" customHeight="1" x14ac:dyDescent="0.35">
      <c r="C2" s="220" t="s">
        <v>31</v>
      </c>
      <c r="D2" s="43"/>
      <c r="E2" s="43"/>
      <c r="F2" s="43"/>
      <c r="G2" s="43"/>
      <c r="H2" s="43"/>
      <c r="I2" s="43"/>
      <c r="J2" s="43"/>
      <c r="K2" s="43"/>
      <c r="L2" s="43"/>
      <c r="M2" s="43"/>
      <c r="N2" s="43"/>
    </row>
    <row r="3" spans="1:14" ht="20.100000000000001" customHeight="1" x14ac:dyDescent="0.35">
      <c r="C3" s="44"/>
      <c r="D3" s="43"/>
      <c r="E3" s="43"/>
      <c r="F3" s="43"/>
      <c r="G3" s="43"/>
      <c r="H3" s="43"/>
      <c r="I3" s="43"/>
      <c r="J3" s="43"/>
      <c r="K3" s="43"/>
      <c r="L3" s="43"/>
      <c r="M3" s="43"/>
      <c r="N3" s="43"/>
    </row>
    <row r="4" spans="1:14" ht="20.100000000000001" customHeight="1" x14ac:dyDescent="0.35">
      <c r="C4" s="44"/>
      <c r="D4" s="43"/>
      <c r="E4" s="43"/>
      <c r="F4" s="43"/>
      <c r="G4" s="43"/>
      <c r="H4" s="43"/>
      <c r="I4" s="43"/>
      <c r="J4" s="43"/>
      <c r="K4" s="43"/>
      <c r="L4" s="43"/>
      <c r="M4" s="43"/>
      <c r="N4" s="43"/>
    </row>
    <row r="5" spans="1:14" ht="20.100000000000001" customHeight="1" x14ac:dyDescent="0.35">
      <c r="A5" s="44"/>
      <c r="B5" s="44"/>
      <c r="C5" s="44"/>
      <c r="D5" s="43"/>
      <c r="E5" s="43"/>
      <c r="F5" s="43"/>
      <c r="G5" s="43"/>
      <c r="H5" s="43"/>
      <c r="I5" s="43"/>
      <c r="J5" s="43"/>
      <c r="K5" s="43"/>
      <c r="L5" s="43"/>
      <c r="M5" s="43"/>
      <c r="N5" s="43"/>
    </row>
    <row r="6" spans="1:14" ht="20.100000000000001" customHeight="1" x14ac:dyDescent="0.35">
      <c r="A6" s="45" t="s">
        <v>32</v>
      </c>
      <c r="B6" s="45"/>
      <c r="C6" s="44"/>
      <c r="D6" s="43"/>
      <c r="E6" s="43"/>
      <c r="F6" s="43"/>
      <c r="G6" s="43"/>
      <c r="H6" s="43"/>
      <c r="I6" s="43"/>
      <c r="J6" s="43"/>
      <c r="K6" s="43"/>
      <c r="L6" s="43"/>
      <c r="M6" s="43"/>
      <c r="N6" s="43"/>
    </row>
    <row r="7" spans="1:14" ht="20.100000000000001" customHeight="1" x14ac:dyDescent="0.35">
      <c r="A7" s="44"/>
      <c r="B7" s="44" t="s">
        <v>33</v>
      </c>
      <c r="C7" s="44" t="s">
        <v>34</v>
      </c>
      <c r="D7" s="43"/>
      <c r="E7" s="43"/>
      <c r="F7" s="43"/>
      <c r="G7" s="43"/>
      <c r="H7" s="43"/>
      <c r="I7" s="43"/>
      <c r="J7" s="43"/>
      <c r="K7" s="43"/>
      <c r="L7" s="43"/>
      <c r="M7" s="43"/>
      <c r="N7" s="43"/>
    </row>
    <row r="8" spans="1:14" ht="20.100000000000001" customHeight="1" x14ac:dyDescent="0.35">
      <c r="A8" s="44"/>
      <c r="B8" s="44" t="s">
        <v>35</v>
      </c>
      <c r="C8" s="44" t="s">
        <v>36</v>
      </c>
      <c r="D8" s="43"/>
      <c r="E8" s="43"/>
      <c r="F8" s="43"/>
      <c r="G8" s="43"/>
      <c r="H8" s="43"/>
      <c r="I8" s="43"/>
      <c r="J8" s="43"/>
      <c r="K8" s="43"/>
      <c r="L8" s="43"/>
      <c r="M8" s="43"/>
      <c r="N8" s="43"/>
    </row>
    <row r="9" spans="1:14" ht="20.100000000000001" customHeight="1" x14ac:dyDescent="0.35">
      <c r="A9" s="44"/>
      <c r="B9" s="44" t="s">
        <v>37</v>
      </c>
      <c r="C9" s="44" t="s">
        <v>40</v>
      </c>
      <c r="D9" s="43"/>
      <c r="E9" s="43"/>
      <c r="F9" s="43"/>
      <c r="G9" s="43"/>
      <c r="H9" s="43"/>
      <c r="I9" s="43"/>
      <c r="J9" s="43"/>
      <c r="K9" s="43"/>
      <c r="L9" s="43"/>
      <c r="M9" s="43"/>
      <c r="N9" s="43"/>
    </row>
    <row r="10" spans="1:14" ht="20.100000000000001" customHeight="1" x14ac:dyDescent="0.35">
      <c r="A10" s="44"/>
      <c r="B10" s="44" t="s">
        <v>38</v>
      </c>
      <c r="C10" s="44" t="s">
        <v>42</v>
      </c>
      <c r="D10" s="43"/>
      <c r="E10" s="43"/>
      <c r="F10" s="43"/>
      <c r="G10" s="43"/>
      <c r="H10" s="43"/>
      <c r="I10" s="43"/>
      <c r="J10" s="43"/>
      <c r="K10" s="43"/>
      <c r="L10" s="43"/>
      <c r="M10" s="43"/>
      <c r="N10" s="43"/>
    </row>
    <row r="11" spans="1:14" ht="20.100000000000001" customHeight="1" x14ac:dyDescent="0.35">
      <c r="A11" s="44"/>
      <c r="B11" s="44" t="s">
        <v>39</v>
      </c>
      <c r="C11" s="44" t="s">
        <v>43</v>
      </c>
      <c r="D11" s="43"/>
      <c r="E11" s="43"/>
      <c r="F11" s="43"/>
      <c r="G11" s="43"/>
      <c r="H11" s="43"/>
      <c r="I11" s="43"/>
      <c r="J11" s="43"/>
      <c r="K11" s="43"/>
      <c r="L11" s="43"/>
      <c r="M11" s="43"/>
      <c r="N11" s="43"/>
    </row>
    <row r="12" spans="1:14" ht="20.100000000000001" customHeight="1" x14ac:dyDescent="0.35">
      <c r="A12" s="44"/>
      <c r="B12" s="44" t="s">
        <v>41</v>
      </c>
      <c r="C12" s="44" t="s">
        <v>44</v>
      </c>
      <c r="D12" s="43"/>
      <c r="E12" s="43"/>
      <c r="F12" s="43"/>
      <c r="G12" s="43"/>
      <c r="H12" s="43"/>
      <c r="I12" s="43"/>
      <c r="J12" s="43"/>
      <c r="K12" s="43"/>
      <c r="L12" s="43"/>
      <c r="M12" s="43"/>
      <c r="N12" s="43"/>
    </row>
    <row r="13" spans="1:14" ht="18.75" customHeight="1" x14ac:dyDescent="0.35">
      <c r="A13" s="44"/>
      <c r="B13" s="44"/>
      <c r="C13" s="44"/>
      <c r="D13" s="43"/>
      <c r="E13" s="43"/>
      <c r="F13" s="43"/>
      <c r="G13" s="43"/>
      <c r="H13" s="43"/>
      <c r="I13" s="43"/>
      <c r="J13" s="43"/>
      <c r="K13" s="43"/>
      <c r="L13" s="43"/>
      <c r="M13" s="43"/>
      <c r="N13" s="43"/>
    </row>
    <row r="14" spans="1:14" ht="20.100000000000001" customHeight="1" x14ac:dyDescent="0.35">
      <c r="A14" s="219" t="s">
        <v>45</v>
      </c>
      <c r="B14" s="45"/>
      <c r="C14" s="44"/>
      <c r="D14" s="43"/>
      <c r="E14" s="43"/>
      <c r="F14" s="43"/>
      <c r="G14" s="43"/>
      <c r="H14" s="43"/>
      <c r="I14" s="43"/>
      <c r="J14" s="43"/>
      <c r="K14" s="43"/>
      <c r="L14" s="43"/>
      <c r="M14" s="43"/>
      <c r="N14" s="43"/>
    </row>
    <row r="15" spans="1:14" ht="20.100000000000001" customHeight="1" x14ac:dyDescent="0.35">
      <c r="A15" s="44"/>
      <c r="B15" s="44" t="s">
        <v>46</v>
      </c>
      <c r="C15" s="44"/>
      <c r="D15" s="43"/>
      <c r="E15" s="43"/>
      <c r="F15" s="43"/>
      <c r="G15" s="43"/>
      <c r="H15" s="43"/>
      <c r="I15" s="43"/>
      <c r="J15" s="43"/>
      <c r="K15" s="43"/>
      <c r="L15" s="43"/>
      <c r="M15" s="43"/>
      <c r="N15" s="43"/>
    </row>
    <row r="16" spans="1:14" ht="20.100000000000001" customHeight="1" x14ac:dyDescent="0.35">
      <c r="A16" s="44"/>
      <c r="B16" s="45" t="s">
        <v>47</v>
      </c>
      <c r="C16" s="44" t="s">
        <v>48</v>
      </c>
      <c r="D16" s="43"/>
      <c r="E16" s="43"/>
      <c r="F16" s="43"/>
      <c r="G16" s="43"/>
      <c r="H16" s="43"/>
      <c r="I16" s="43"/>
      <c r="J16" s="43"/>
      <c r="K16" s="43"/>
      <c r="L16" s="43"/>
      <c r="M16" s="43"/>
      <c r="N16" s="43"/>
    </row>
    <row r="17" spans="1:14" ht="20.100000000000001" customHeight="1" x14ac:dyDescent="0.35">
      <c r="A17" s="44"/>
      <c r="B17" s="45" t="s">
        <v>49</v>
      </c>
      <c r="C17" s="44" t="s">
        <v>50</v>
      </c>
      <c r="D17" s="43"/>
      <c r="E17" s="43"/>
      <c r="F17" s="43"/>
      <c r="G17" s="43"/>
      <c r="H17" s="43"/>
      <c r="I17" s="43"/>
      <c r="J17" s="43"/>
      <c r="K17" s="43"/>
      <c r="L17" s="43"/>
      <c r="M17" s="43"/>
      <c r="N17" s="43"/>
    </row>
    <row r="18" spans="1:14" ht="20.100000000000001" customHeight="1" x14ac:dyDescent="0.35">
      <c r="A18" s="44"/>
      <c r="B18" s="45" t="s">
        <v>302</v>
      </c>
      <c r="C18" s="44" t="s">
        <v>303</v>
      </c>
      <c r="D18" s="43"/>
      <c r="E18" s="43"/>
      <c r="F18" s="43"/>
      <c r="G18" s="43"/>
      <c r="H18" s="43"/>
      <c r="I18" s="43"/>
      <c r="J18" s="43"/>
      <c r="K18" s="43"/>
      <c r="L18" s="43"/>
      <c r="M18" s="43"/>
      <c r="N18" s="43"/>
    </row>
    <row r="19" spans="1:14" ht="20.100000000000001" customHeight="1" x14ac:dyDescent="0.35">
      <c r="A19" s="44"/>
      <c r="B19" s="44" t="s">
        <v>304</v>
      </c>
      <c r="C19" s="44" t="s">
        <v>242</v>
      </c>
      <c r="D19" s="43"/>
      <c r="E19" s="43"/>
      <c r="F19" s="43"/>
      <c r="G19" s="43"/>
      <c r="H19" s="43"/>
      <c r="I19" s="43"/>
      <c r="J19" s="43"/>
      <c r="K19" s="43"/>
      <c r="L19" s="43"/>
      <c r="M19" s="43"/>
      <c r="N19" s="43"/>
    </row>
    <row r="20" spans="1:14" ht="20.100000000000001" customHeight="1" x14ac:dyDescent="0.35">
      <c r="A20" s="44"/>
      <c r="B20" s="44" t="s">
        <v>306</v>
      </c>
      <c r="C20" s="44" t="s">
        <v>305</v>
      </c>
      <c r="D20" s="43"/>
      <c r="E20" s="43"/>
      <c r="F20" s="43"/>
      <c r="G20" s="43"/>
      <c r="H20" s="43"/>
      <c r="I20" s="43"/>
      <c r="J20" s="43"/>
      <c r="K20" s="43"/>
      <c r="L20" s="43"/>
      <c r="M20" s="43"/>
      <c r="N20" s="43"/>
    </row>
    <row r="21" spans="1:14" ht="20.100000000000001" customHeight="1" x14ac:dyDescent="0.35">
      <c r="A21" s="44"/>
      <c r="B21" s="44"/>
      <c r="C21" s="44"/>
    </row>
    <row r="22" spans="1:14" ht="18.75" customHeight="1" x14ac:dyDescent="0.35">
      <c r="A22" s="44"/>
      <c r="B22" s="44" t="s">
        <v>226</v>
      </c>
      <c r="C22" s="44"/>
    </row>
    <row r="23" spans="1:14" ht="20.100000000000001" customHeight="1" x14ac:dyDescent="0.35">
      <c r="A23" s="44"/>
      <c r="B23" s="282" t="s">
        <v>227</v>
      </c>
      <c r="C23" s="44" t="s">
        <v>228</v>
      </c>
    </row>
    <row r="24" spans="1:14" ht="20.100000000000001" hidden="1" customHeight="1" x14ac:dyDescent="0.35">
      <c r="A24" s="44"/>
      <c r="B24" s="282" t="s">
        <v>229</v>
      </c>
      <c r="C24" s="44" t="s">
        <v>230</v>
      </c>
    </row>
    <row r="25" spans="1:14" ht="20.100000000000001" hidden="1" customHeight="1" x14ac:dyDescent="0.35">
      <c r="A25" s="44"/>
      <c r="B25" s="282" t="s">
        <v>231</v>
      </c>
      <c r="C25" s="44" t="s">
        <v>232</v>
      </c>
    </row>
    <row r="26" spans="1:14" ht="20.100000000000001" hidden="1" customHeight="1" x14ac:dyDescent="0.35">
      <c r="A26" s="44"/>
      <c r="B26" s="282" t="s">
        <v>233</v>
      </c>
      <c r="C26" s="44" t="s">
        <v>234</v>
      </c>
    </row>
    <row r="27" spans="1:14" ht="20.100000000000001" customHeight="1" x14ac:dyDescent="0.35">
      <c r="A27" s="44"/>
      <c r="B27" s="282" t="s">
        <v>154</v>
      </c>
      <c r="C27" s="44" t="s">
        <v>235</v>
      </c>
    </row>
    <row r="28" spans="1:14" ht="20.100000000000001" hidden="1" customHeight="1" x14ac:dyDescent="0.35">
      <c r="A28" s="44"/>
      <c r="B28" s="279" t="s">
        <v>236</v>
      </c>
      <c r="C28" s="218" t="s">
        <v>237</v>
      </c>
    </row>
    <row r="29" spans="1:14" ht="20.100000000000001" hidden="1" customHeight="1" x14ac:dyDescent="0.35">
      <c r="A29" s="44"/>
      <c r="B29" s="279" t="s">
        <v>238</v>
      </c>
      <c r="C29" s="218" t="s">
        <v>239</v>
      </c>
    </row>
    <row r="30" spans="1:14" ht="18.75" customHeight="1" x14ac:dyDescent="0.35">
      <c r="A30" s="44"/>
      <c r="B30" s="282" t="s">
        <v>240</v>
      </c>
      <c r="C30" s="44" t="s">
        <v>241</v>
      </c>
    </row>
    <row r="31" spans="1:14" ht="18.75" customHeight="1" x14ac:dyDescent="0.35">
      <c r="A31" s="44"/>
      <c r="B31" s="282"/>
      <c r="C31" s="44"/>
    </row>
    <row r="32" spans="1:14" ht="20.100000000000001" customHeight="1" x14ac:dyDescent="0.35">
      <c r="A32" s="44"/>
      <c r="B32" s="44"/>
      <c r="C32" s="44"/>
    </row>
    <row r="33" spans="1:4" x14ac:dyDescent="0.35">
      <c r="A33" s="45" t="s">
        <v>51</v>
      </c>
      <c r="B33" s="44"/>
      <c r="C33" s="44"/>
    </row>
    <row r="34" spans="1:4" ht="26.25" hidden="1" customHeight="1" x14ac:dyDescent="0.4">
      <c r="C34" s="46"/>
    </row>
    <row r="35" spans="1:4" ht="26.25" hidden="1" customHeight="1" x14ac:dyDescent="0.4">
      <c r="C35" s="46"/>
    </row>
    <row r="36" spans="1:4" ht="18.75" customHeight="1" x14ac:dyDescent="0.4">
      <c r="C36" s="280"/>
      <c r="D36" s="281"/>
    </row>
    <row r="37" spans="1:4" ht="26.25" x14ac:dyDescent="0.4">
      <c r="C37" s="46"/>
    </row>
    <row r="38" spans="1:4" ht="26.25" x14ac:dyDescent="0.4">
      <c r="C38" s="46"/>
    </row>
    <row r="39" spans="1:4" ht="26.25" x14ac:dyDescent="0.4">
      <c r="C39" s="280"/>
    </row>
    <row r="40" spans="1:4" ht="26.25" x14ac:dyDescent="0.4">
      <c r="C40" s="46"/>
    </row>
    <row r="41" spans="1:4" ht="26.25" x14ac:dyDescent="0.4">
      <c r="C41" s="46"/>
    </row>
    <row r="42" spans="1:4" ht="26.25" x14ac:dyDescent="0.4">
      <c r="C42" s="46"/>
    </row>
    <row r="43" spans="1:4" ht="26.25" x14ac:dyDescent="0.4">
      <c r="C43" s="46"/>
    </row>
    <row r="44" spans="1:4" ht="26.25" x14ac:dyDescent="0.4">
      <c r="C44" s="46"/>
    </row>
    <row r="45" spans="1:4" ht="26.25" x14ac:dyDescent="0.4">
      <c r="C45" s="46"/>
    </row>
    <row r="46" spans="1:4" ht="26.25" x14ac:dyDescent="0.4">
      <c r="C46" s="46"/>
    </row>
    <row r="47" spans="1:4" ht="26.25" x14ac:dyDescent="0.4">
      <c r="C47" s="46"/>
    </row>
    <row r="48" spans="1:4" ht="26.25" x14ac:dyDescent="0.4">
      <c r="C48" s="46"/>
    </row>
    <row r="49" spans="3:3" ht="26.25" x14ac:dyDescent="0.4">
      <c r="C49" s="46"/>
    </row>
    <row r="50" spans="3:3" ht="26.25" x14ac:dyDescent="0.4">
      <c r="C50" s="46"/>
    </row>
    <row r="51" spans="3:3" ht="26.25" x14ac:dyDescent="0.4">
      <c r="C51" s="46"/>
    </row>
    <row r="52" spans="3:3" ht="26.25" x14ac:dyDescent="0.4">
      <c r="C52" s="46"/>
    </row>
    <row r="53" spans="3:3" ht="26.25" x14ac:dyDescent="0.4">
      <c r="C53" s="46"/>
    </row>
    <row r="54" spans="3:3" ht="26.25" x14ac:dyDescent="0.4">
      <c r="C54" s="46"/>
    </row>
    <row r="55" spans="3:3" ht="26.25" x14ac:dyDescent="0.4">
      <c r="C55" s="46"/>
    </row>
    <row r="56" spans="3:3" ht="26.25" x14ac:dyDescent="0.4">
      <c r="C56" s="46"/>
    </row>
    <row r="57" spans="3:3" ht="26.25" x14ac:dyDescent="0.4">
      <c r="C57" s="46"/>
    </row>
    <row r="58" spans="3:3" ht="26.25" x14ac:dyDescent="0.4">
      <c r="C58" s="46"/>
    </row>
  </sheetData>
  <hyperlinks>
    <hyperlink ref="A6" location="Figurer!A1" display="FIGURER" xr:uid="{00000000-0004-0000-0100-000000000000}"/>
    <hyperlink ref="A14" location="'Tabel 1.1'!A1" display="TABELLER" xr:uid="{00000000-0004-0000-0100-000001000000}"/>
    <hyperlink ref="B16" location="'Tabell 1.1'!A1" display="Tabell 1.1" xr:uid="{00000000-0004-0000-0100-000002000000}"/>
    <hyperlink ref="B17" location="'Tabell 1.2'!A1" display="Tabell 1.2" xr:uid="{00000000-0004-0000-0100-000003000000}"/>
    <hyperlink ref="A33" location="'Noter og kommentarer'!A1" display="NOTER OG KOMMENTARER" xr:uid="{00000000-0004-0000-0100-000004000000}"/>
    <hyperlink ref="B23" location="'Tabell 4'!A1" display="Tabell 4" xr:uid="{00000000-0004-0000-0100-000005000000}"/>
    <hyperlink ref="B27" location="'Tabell 6'!A1" display="Tabell 6" xr:uid="{00000000-0004-0000-0100-000006000000}"/>
    <hyperlink ref="B30" location="'Tabell 8'!A1" display="Tabell 8" xr:uid="{00000000-0004-0000-0100-000007000000}"/>
    <hyperlink ref="B24" location="'Tabell 5.1'!A1" display="Tabell 5.1" xr:uid="{00000000-0004-0000-0100-000008000000}"/>
    <hyperlink ref="B25" location="'Tabell 5.2'!A1" display="Tabell 5.2" xr:uid="{00000000-0004-0000-0100-000009000000}"/>
    <hyperlink ref="B26" location="'Tabell 5.3'!A1" display="Tabell 5.3" xr:uid="{00000000-0004-0000-0100-00000A000000}"/>
    <hyperlink ref="B28" location="'Tabell 7a'!A1" display="Tabell 7a" xr:uid="{00000000-0004-0000-0100-00000B000000}"/>
    <hyperlink ref="B29" location="'Tabell 7b'!A1" display="Tabell 7b" xr:uid="{00000000-0004-0000-0100-00000C000000}"/>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D853-0DF0-4C61-8584-51A962037551}">
  <sheetPr codeName="Ark21"/>
  <dimension ref="A1:N144"/>
  <sheetViews>
    <sheetView showGridLines="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371</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14299.8</v>
      </c>
      <c r="C47" s="251">
        <v>15177</v>
      </c>
      <c r="D47" s="340">
        <f t="shared" ref="D47:D48" si="0">IF(B47=0, "    ---- ", IF(ABS(ROUND(100/B47*C47-100,1))&lt;999,ROUND(100/B47*C47-100,1),IF(ROUND(100/B47*C47-100,1)&gt;999,999,-999)))</f>
        <v>6.1</v>
      </c>
      <c r="E47" s="8">
        <f>IFERROR(100/'Skjema total MA'!C47*C47,0)</f>
        <v>0.34250189844970397</v>
      </c>
      <c r="F47" s="109"/>
      <c r="G47" s="27"/>
      <c r="H47" s="118"/>
      <c r="I47" s="118"/>
      <c r="J47" s="31"/>
      <c r="K47" s="31"/>
      <c r="L47" s="118"/>
      <c r="M47" s="118"/>
    </row>
    <row r="48" spans="1:13" ht="15.75" x14ac:dyDescent="0.2">
      <c r="A48" s="18" t="s">
        <v>334</v>
      </c>
      <c r="B48" s="226">
        <v>14299.8</v>
      </c>
      <c r="C48" s="227">
        <v>15177</v>
      </c>
      <c r="D48" s="204">
        <f t="shared" si="0"/>
        <v>6.1</v>
      </c>
      <c r="E48" s="23">
        <f>IFERROR(100/'Skjema total MA'!C48*C48,0)</f>
        <v>0.63089761408688927</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30:D130"/>
    <mergeCell ref="F130:H130"/>
    <mergeCell ref="J130:L130"/>
    <mergeCell ref="B131:D131"/>
    <mergeCell ref="F131:H131"/>
    <mergeCell ref="J131:L131"/>
    <mergeCell ref="B44:D44"/>
    <mergeCell ref="B62:D62"/>
    <mergeCell ref="F62:H62"/>
    <mergeCell ref="J62:L62"/>
    <mergeCell ref="B63:D63"/>
    <mergeCell ref="F63:H63"/>
    <mergeCell ref="J63:L63"/>
    <mergeCell ref="D40:F40"/>
    <mergeCell ref="G40:I40"/>
    <mergeCell ref="J40:L40"/>
    <mergeCell ref="B42:D42"/>
    <mergeCell ref="F42:H42"/>
    <mergeCell ref="J42:L42"/>
    <mergeCell ref="B18:D18"/>
    <mergeCell ref="F18:H18"/>
    <mergeCell ref="J18:L18"/>
    <mergeCell ref="B19:D19"/>
    <mergeCell ref="F19:H19"/>
    <mergeCell ref="J19:L19"/>
    <mergeCell ref="B2:D2"/>
    <mergeCell ref="F2:H2"/>
    <mergeCell ref="J2:L2"/>
    <mergeCell ref="B4:D4"/>
    <mergeCell ref="F4:H4"/>
    <mergeCell ref="J4:L4"/>
  </mergeCells>
  <conditionalFormatting sqref="A50:A52">
    <cfRule type="expression" dxfId="311" priority="7">
      <formula>kvartal &lt; 4</formula>
    </cfRule>
  </conditionalFormatting>
  <conditionalFormatting sqref="A69:A74">
    <cfRule type="expression" dxfId="310" priority="6">
      <formula>kvartal &lt; 4</formula>
    </cfRule>
  </conditionalFormatting>
  <conditionalFormatting sqref="A80:A85">
    <cfRule type="expression" dxfId="309" priority="5">
      <formula>kvartal &lt; 4</formula>
    </cfRule>
  </conditionalFormatting>
  <conditionalFormatting sqref="A90:A95">
    <cfRule type="expression" dxfId="308" priority="4">
      <formula>kvartal &lt; 4</formula>
    </cfRule>
  </conditionalFormatting>
  <conditionalFormatting sqref="A101:A106">
    <cfRule type="expression" dxfId="307" priority="3">
      <formula>kvartal &lt; 4</formula>
    </cfRule>
  </conditionalFormatting>
  <conditionalFormatting sqref="A115:C115">
    <cfRule type="expression" dxfId="306" priority="2">
      <formula>kvartal &lt; 4</formula>
    </cfRule>
  </conditionalFormatting>
  <conditionalFormatting sqref="A123:C123">
    <cfRule type="expression" dxfId="305" priority="1">
      <formula>kvartal &lt; 4</formula>
    </cfRule>
  </conditionalFormatting>
  <conditionalFormatting sqref="F115:G115">
    <cfRule type="expression" dxfId="304" priority="27">
      <formula>kvartal &lt; 4</formula>
    </cfRule>
  </conditionalFormatting>
  <conditionalFormatting sqref="F123:G123">
    <cfRule type="expression" dxfId="303" priority="26">
      <formula>kvartal &lt; 4</formula>
    </cfRule>
  </conditionalFormatting>
  <conditionalFormatting sqref="J115:K115">
    <cfRule type="expression" dxfId="302" priority="9">
      <formula>kvartal &lt; 4</formula>
    </cfRule>
  </conditionalFormatting>
  <conditionalFormatting sqref="J123:K123">
    <cfRule type="expression" dxfId="301" priority="8">
      <formula>kvartal &lt; 4</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5"/>
  <dimension ref="A1:N144"/>
  <sheetViews>
    <sheetView showGridLines="0" topLeftCell="A6" zoomScaleNormal="10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408</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138670.85144447401</v>
      </c>
      <c r="C7" s="247">
        <v>144697.81383615299</v>
      </c>
      <c r="D7" s="283">
        <f>IF(B7=0, "    ---- ", IF(ABS(ROUND(100/B7*C7-100,1))&lt;999,ROUND(100/B7*C7-100,1),IF(ROUND(100/B7*C7-100,1)&gt;999,999,-999)))</f>
        <v>4.3</v>
      </c>
      <c r="E7" s="8">
        <f>IFERROR(100/'Skjema total MA'!C7*C7,0)</f>
        <v>7.2071652580541006</v>
      </c>
      <c r="F7" s="246">
        <v>3161800.1961599998</v>
      </c>
      <c r="G7" s="247">
        <v>2333704.6928300001</v>
      </c>
      <c r="H7" s="283">
        <f>IF(F7=0, "    ---- ", IF(ABS(ROUND(100/F7*G7-100,1))&lt;999,ROUND(100/F7*G7-100,1),IF(ROUND(100/F7*G7-100,1)&gt;999,999,-999)))</f>
        <v>-26.2</v>
      </c>
      <c r="I7" s="119">
        <f>IFERROR(100/'Skjema total MA'!F7*G7,0)</f>
        <v>78.089882159470321</v>
      </c>
      <c r="J7" s="248">
        <f t="shared" ref="J7:K12" si="0">SUM(B7,F7)</f>
        <v>3300471.0476044738</v>
      </c>
      <c r="K7" s="249">
        <f t="shared" si="0"/>
        <v>2478402.5066661532</v>
      </c>
      <c r="L7" s="340">
        <f>IF(J7=0, "    ---- ", IF(ABS(ROUND(100/J7*K7-100,1))&lt;999,ROUND(100/J7*K7-100,1),IF(ROUND(100/J7*K7-100,1)&gt;999,999,-999)))</f>
        <v>-24.9</v>
      </c>
      <c r="M7" s="8">
        <f>IFERROR(100/'Skjema total MA'!I7*K7,0)</f>
        <v>49.605956935871816</v>
      </c>
    </row>
    <row r="8" spans="1:14" ht="15.75" x14ac:dyDescent="0.2">
      <c r="A8" s="18" t="s">
        <v>25</v>
      </c>
      <c r="B8" s="226">
        <v>120979.86989029701</v>
      </c>
      <c r="C8" s="227">
        <v>127697.625118914</v>
      </c>
      <c r="D8" s="123">
        <f t="shared" ref="D8:D10" si="1">IF(B8=0, "    ---- ", IF(ABS(ROUND(100/B8*C8-100,1))&lt;999,ROUND(100/B8*C8-100,1),IF(ROUND(100/B8*C8-100,1)&gt;999,999,-999)))</f>
        <v>5.6</v>
      </c>
      <c r="E8" s="23">
        <f>IFERROR(100/'Skjema total MA'!C8*C8,0)</f>
        <v>9.3032064841672444</v>
      </c>
      <c r="F8" s="230"/>
      <c r="G8" s="231"/>
      <c r="H8" s="123"/>
      <c r="I8" s="132"/>
      <c r="J8" s="181">
        <f t="shared" si="0"/>
        <v>120979.86989029701</v>
      </c>
      <c r="K8" s="232">
        <f t="shared" si="0"/>
        <v>127697.625118914</v>
      </c>
      <c r="L8" s="123">
        <f t="shared" ref="L8:L9" si="2">IF(J8=0, "    ---- ", IF(ABS(ROUND(100/J8*K8-100,1))&lt;999,ROUND(100/J8*K8-100,1),IF(ROUND(100/J8*K8-100,1)&gt;999,999,-999)))</f>
        <v>5.6</v>
      </c>
      <c r="M8" s="23">
        <f>IFERROR(100/'Skjema total MA'!I8*K8,0)</f>
        <v>9.3032064841672444</v>
      </c>
    </row>
    <row r="9" spans="1:14" ht="15.75" x14ac:dyDescent="0.2">
      <c r="A9" s="18" t="s">
        <v>24</v>
      </c>
      <c r="B9" s="226">
        <v>16411.967533266299</v>
      </c>
      <c r="C9" s="227">
        <v>15811.367581008401</v>
      </c>
      <c r="D9" s="123">
        <f t="shared" si="1"/>
        <v>-3.7</v>
      </c>
      <c r="E9" s="23">
        <f>IFERROR(100/'Skjema total MA'!C9*C9,0)</f>
        <v>3.7114834868386515</v>
      </c>
      <c r="F9" s="230"/>
      <c r="G9" s="231"/>
      <c r="H9" s="123"/>
      <c r="I9" s="132"/>
      <c r="J9" s="181">
        <f t="shared" si="0"/>
        <v>16411.967533266299</v>
      </c>
      <c r="K9" s="232">
        <f t="shared" si="0"/>
        <v>15811.367581008401</v>
      </c>
      <c r="L9" s="123">
        <f t="shared" si="2"/>
        <v>-3.7</v>
      </c>
      <c r="M9" s="23">
        <f>IFERROR(100/'Skjema total MA'!I9*K9,0)</f>
        <v>3.7114834868386515</v>
      </c>
    </row>
    <row r="10" spans="1:14" ht="15.75" x14ac:dyDescent="0.2">
      <c r="A10" s="10" t="s">
        <v>323</v>
      </c>
      <c r="B10" s="250">
        <v>567367.75051859801</v>
      </c>
      <c r="C10" s="251">
        <v>532491.32548198197</v>
      </c>
      <c r="D10" s="127">
        <f t="shared" si="1"/>
        <v>-6.1</v>
      </c>
      <c r="E10" s="8">
        <f>IFERROR(100/'Skjema total MA'!C10*C10,0)</f>
        <v>4.2083559583962913</v>
      </c>
      <c r="F10" s="250">
        <v>57945313.705119997</v>
      </c>
      <c r="G10" s="251">
        <v>60719071.941565</v>
      </c>
      <c r="H10" s="127">
        <f t="shared" ref="H10:H12" si="3">IF(F10=0, "    ---- ", IF(ABS(ROUND(100/F10*G10-100,1))&lt;999,ROUND(100/F10*G10-100,1),IF(ROUND(100/F10*G10-100,1)&gt;999,999,-999)))</f>
        <v>4.8</v>
      </c>
      <c r="I10" s="119">
        <f>IFERROR(100/'Skjema total MA'!F10*G10,0)</f>
        <v>64.246058452541419</v>
      </c>
      <c r="J10" s="248">
        <f t="shared" si="0"/>
        <v>58512681.455638595</v>
      </c>
      <c r="K10" s="249">
        <f t="shared" si="0"/>
        <v>61251563.267046981</v>
      </c>
      <c r="L10" s="341">
        <f t="shared" ref="L10:L12" si="4">IF(J10=0, "    ---- ", IF(ABS(ROUND(100/J10*K10-100,1))&lt;999,ROUND(100/J10*K10-100,1),IF(ROUND(100/J10*K10-100,1)&gt;999,999,-999)))</f>
        <v>4.7</v>
      </c>
      <c r="M10" s="8">
        <f>IFERROR(100/'Skjema total MA'!I10*K10,0)</f>
        <v>57.157176787623293</v>
      </c>
    </row>
    <row r="11" spans="1:14" s="35" customFormat="1" ht="15.75" x14ac:dyDescent="0.2">
      <c r="A11" s="10" t="s">
        <v>324</v>
      </c>
      <c r="B11" s="250"/>
      <c r="C11" s="251"/>
      <c r="D11" s="127"/>
      <c r="E11" s="8"/>
      <c r="F11" s="250">
        <v>49886.958919999997</v>
      </c>
      <c r="G11" s="251">
        <v>112624.36655000001</v>
      </c>
      <c r="H11" s="127">
        <f t="shared" si="3"/>
        <v>125.8</v>
      </c>
      <c r="I11" s="119">
        <f>IFERROR(100/'Skjema total MA'!F11*G11,0)</f>
        <v>69.293328194226973</v>
      </c>
      <c r="J11" s="248">
        <f t="shared" si="0"/>
        <v>49886.958919999997</v>
      </c>
      <c r="K11" s="249">
        <f t="shared" si="0"/>
        <v>112624.36655000001</v>
      </c>
      <c r="L11" s="341">
        <f t="shared" si="4"/>
        <v>125.8</v>
      </c>
      <c r="M11" s="8">
        <f>IFERROR(100/'Skjema total MA'!I11*K11,0)</f>
        <v>69.293328194226973</v>
      </c>
      <c r="N11" s="107"/>
    </row>
    <row r="12" spans="1:14" s="35" customFormat="1" ht="15.75" x14ac:dyDescent="0.2">
      <c r="A12" s="33" t="s">
        <v>325</v>
      </c>
      <c r="B12" s="252"/>
      <c r="C12" s="253"/>
      <c r="D12" s="125"/>
      <c r="E12" s="30"/>
      <c r="F12" s="252">
        <v>35152.293740000001</v>
      </c>
      <c r="G12" s="253">
        <v>17492.829269999998</v>
      </c>
      <c r="H12" s="125">
        <f t="shared" si="3"/>
        <v>-50.2</v>
      </c>
      <c r="I12" s="125">
        <f>IFERROR(100/'Skjema total MA'!F12*G12,0)</f>
        <v>8.0276719341565403</v>
      </c>
      <c r="J12" s="254">
        <f t="shared" si="0"/>
        <v>35152.293740000001</v>
      </c>
      <c r="K12" s="255">
        <f t="shared" si="0"/>
        <v>17492.829269999998</v>
      </c>
      <c r="L12" s="342">
        <f t="shared" si="4"/>
        <v>-50.2</v>
      </c>
      <c r="M12" s="30">
        <f>IFERROR(100/'Skjema total MA'!I12*K12,0)</f>
        <v>8.0276719341565403</v>
      </c>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59397.0746225084</v>
      </c>
      <c r="C22" s="250">
        <v>66869.210272487893</v>
      </c>
      <c r="D22" s="283">
        <f t="shared" ref="D22:D34" si="5">IF(B22=0, "    ---- ", IF(ABS(ROUND(100/B22*C22-100,1))&lt;999,ROUND(100/B22*C22-100,1),IF(ROUND(100/B22*C22-100,1)&gt;999,999,-999)))</f>
        <v>12.6</v>
      </c>
      <c r="E22" s="8">
        <f>IFERROR(100/'Skjema total MA'!C22*C22,0)</f>
        <v>6.7362445086793965</v>
      </c>
      <c r="F22" s="258">
        <v>63034.62599</v>
      </c>
      <c r="G22" s="258">
        <v>78012.202350000007</v>
      </c>
      <c r="H22" s="283">
        <f t="shared" ref="H22:H35" si="6">IF(F22=0, "    ---- ", IF(ABS(ROUND(100/F22*G22-100,1))&lt;999,ROUND(100/F22*G22-100,1),IF(ROUND(100/F22*G22-100,1)&gt;999,999,-999)))</f>
        <v>23.8</v>
      </c>
      <c r="I22" s="8">
        <f>IFERROR(100/'Skjema total MA'!F22*G22,0)</f>
        <v>27.132095017531402</v>
      </c>
      <c r="J22" s="256">
        <f t="shared" ref="J22:K35" si="7">SUM(B22,F22)</f>
        <v>122431.7006125084</v>
      </c>
      <c r="K22" s="256">
        <f t="shared" si="7"/>
        <v>144881.4126224879</v>
      </c>
      <c r="L22" s="340">
        <f t="shared" ref="L22:L35" si="8">IF(J22=0, "    ---- ", IF(ABS(ROUND(100/J22*K22-100,1))&lt;999,ROUND(100/J22*K22-100,1),IF(ROUND(100/J22*K22-100,1)&gt;999,999,-999)))</f>
        <v>18.3</v>
      </c>
      <c r="M22" s="21">
        <f>IFERROR(100/'Skjema total MA'!I22*K22,0)</f>
        <v>11.317045410199109</v>
      </c>
    </row>
    <row r="23" spans="1:13" ht="15.75" x14ac:dyDescent="0.2">
      <c r="A23" s="381" t="s">
        <v>326</v>
      </c>
      <c r="B23" s="226">
        <v>59358.3206225084</v>
      </c>
      <c r="C23" s="226">
        <v>66829.044272487896</v>
      </c>
      <c r="D23" s="123">
        <f t="shared" si="5"/>
        <v>12.6</v>
      </c>
      <c r="E23" s="8">
        <f>IFERROR(100/'Skjema total MA'!C23*C23,0)</f>
        <v>9.1564700405549377</v>
      </c>
      <c r="F23" s="235">
        <v>513.51199999999994</v>
      </c>
      <c r="G23" s="235">
        <v>416.02499999999998</v>
      </c>
      <c r="H23" s="123">
        <f t="shared" si="6"/>
        <v>-19</v>
      </c>
      <c r="I23" s="333">
        <f>IFERROR(100/'Skjema total MA'!F23*G23,0)</f>
        <v>3.9114875695002893</v>
      </c>
      <c r="J23" s="235">
        <f t="shared" ref="J23:J26" si="9">SUM(B23,F23)</f>
        <v>59871.832622508402</v>
      </c>
      <c r="K23" s="235">
        <f t="shared" ref="K23:K26" si="10">SUM(C23,G23)</f>
        <v>67245.06927248789</v>
      </c>
      <c r="L23" s="123">
        <f t="shared" si="8"/>
        <v>12.3</v>
      </c>
      <c r="M23" s="20">
        <f>IFERROR(100/'Skjema total MA'!I23*K23,0)</f>
        <v>9.0811342815338634</v>
      </c>
    </row>
    <row r="24" spans="1:13" ht="15.75" x14ac:dyDescent="0.2">
      <c r="A24" s="381" t="s">
        <v>327</v>
      </c>
      <c r="B24" s="226">
        <v>38.753999999999998</v>
      </c>
      <c r="C24" s="226">
        <v>40.165999999999997</v>
      </c>
      <c r="D24" s="123">
        <f t="shared" si="5"/>
        <v>3.6</v>
      </c>
      <c r="E24" s="8">
        <f>IFERROR(100/'Skjema total MA'!C24*C24,0)</f>
        <v>0.8456145478069218</v>
      </c>
      <c r="F24" s="235"/>
      <c r="G24" s="235"/>
      <c r="H24" s="123"/>
      <c r="I24" s="333"/>
      <c r="J24" s="235">
        <f t="shared" si="9"/>
        <v>38.753999999999998</v>
      </c>
      <c r="K24" s="235">
        <f t="shared" si="10"/>
        <v>40.165999999999997</v>
      </c>
      <c r="L24" s="123">
        <f t="shared" si="8"/>
        <v>3.6</v>
      </c>
      <c r="M24" s="20">
        <f>IFERROR(100/'Skjema total MA'!I24*K24,0)</f>
        <v>0.84443143989513547</v>
      </c>
    </row>
    <row r="25" spans="1:13" ht="15.75" x14ac:dyDescent="0.2">
      <c r="A25" s="381" t="s">
        <v>328</v>
      </c>
      <c r="B25" s="226"/>
      <c r="C25" s="226"/>
      <c r="D25" s="123"/>
      <c r="E25" s="8"/>
      <c r="F25" s="235">
        <v>231.05</v>
      </c>
      <c r="G25" s="235">
        <v>192.26499999999999</v>
      </c>
      <c r="H25" s="123">
        <f t="shared" si="6"/>
        <v>-16.8</v>
      </c>
      <c r="I25" s="333">
        <f>IFERROR(100/'Skjema total MA'!F25*G25,0)</f>
        <v>5.6637995956253588</v>
      </c>
      <c r="J25" s="235">
        <f t="shared" si="9"/>
        <v>231.05</v>
      </c>
      <c r="K25" s="235">
        <f t="shared" si="10"/>
        <v>192.26499999999999</v>
      </c>
      <c r="L25" s="123">
        <f t="shared" si="8"/>
        <v>-16.8</v>
      </c>
      <c r="M25" s="20">
        <f>IFERROR(100/'Skjema total MA'!I25*K25,0)</f>
        <v>2.1302469799362869</v>
      </c>
    </row>
    <row r="26" spans="1:13" ht="15.75" x14ac:dyDescent="0.2">
      <c r="A26" s="381" t="s">
        <v>329</v>
      </c>
      <c r="B26" s="226"/>
      <c r="C26" s="226"/>
      <c r="D26" s="123"/>
      <c r="E26" s="8"/>
      <c r="F26" s="235">
        <v>62290.063990000002</v>
      </c>
      <c r="G26" s="235">
        <v>77403.912349999999</v>
      </c>
      <c r="H26" s="123">
        <f t="shared" si="6"/>
        <v>24.3</v>
      </c>
      <c r="I26" s="333">
        <f>IFERROR(100/'Skjema total MA'!F26*G26,0)</f>
        <v>28.302270251514752</v>
      </c>
      <c r="J26" s="235">
        <f t="shared" si="9"/>
        <v>62290.063990000002</v>
      </c>
      <c r="K26" s="235">
        <f t="shared" si="10"/>
        <v>77403.912349999999</v>
      </c>
      <c r="L26" s="123">
        <f t="shared" si="8"/>
        <v>24.3</v>
      </c>
      <c r="M26" s="20">
        <f>IFERROR(100/'Skjema total MA'!I26*K26,0)</f>
        <v>28.302270251514752</v>
      </c>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61490.111796419202</v>
      </c>
      <c r="C28" s="232">
        <v>69210.684177278701</v>
      </c>
      <c r="D28" s="123">
        <f t="shared" si="5"/>
        <v>12.6</v>
      </c>
      <c r="E28" s="8">
        <f>IFERROR(100/'Skjema total MA'!C28*C28,0)</f>
        <v>5.8103561250673961</v>
      </c>
      <c r="F28" s="181"/>
      <c r="G28" s="232"/>
      <c r="H28" s="123"/>
      <c r="I28" s="23"/>
      <c r="J28" s="36">
        <f t="shared" si="7"/>
        <v>61490.111796419202</v>
      </c>
      <c r="K28" s="36">
        <f t="shared" si="7"/>
        <v>69210.684177278701</v>
      </c>
      <c r="L28" s="204">
        <f t="shared" si="8"/>
        <v>12.6</v>
      </c>
      <c r="M28" s="20">
        <f>IFERROR(100/'Skjema total MA'!I28*K28,0)</f>
        <v>5.8103561250673961</v>
      </c>
    </row>
    <row r="29" spans="1:13" ht="15.75" x14ac:dyDescent="0.2">
      <c r="A29" s="10" t="s">
        <v>323</v>
      </c>
      <c r="B29" s="183">
        <v>3983479.4246413098</v>
      </c>
      <c r="C29" s="183">
        <v>4167589.2331875102</v>
      </c>
      <c r="D29" s="127">
        <f t="shared" si="5"/>
        <v>4.5999999999999996</v>
      </c>
      <c r="E29" s="8">
        <f>IFERROR(100/'Skjema total MA'!C29*C29,0)</f>
        <v>9.4704858949244137</v>
      </c>
      <c r="F29" s="248">
        <v>6443012.5999999996</v>
      </c>
      <c r="G29" s="248">
        <v>6716333.7000000002</v>
      </c>
      <c r="H29" s="127">
        <f t="shared" si="6"/>
        <v>4.2</v>
      </c>
      <c r="I29" s="8">
        <f>IFERROR(100/'Skjema total MA'!F29*G29,0)</f>
        <v>23.479085307576163</v>
      </c>
      <c r="J29" s="183">
        <f t="shared" si="7"/>
        <v>10426492.024641309</v>
      </c>
      <c r="K29" s="183">
        <f t="shared" si="7"/>
        <v>10883922.933187511</v>
      </c>
      <c r="L29" s="341">
        <f t="shared" si="8"/>
        <v>4.4000000000000004</v>
      </c>
      <c r="M29" s="21">
        <f>IFERROR(100/'Skjema total MA'!I29*K29,0)</f>
        <v>14.98921827800846</v>
      </c>
    </row>
    <row r="30" spans="1:13" ht="15.75" x14ac:dyDescent="0.2">
      <c r="A30" s="381" t="s">
        <v>326</v>
      </c>
      <c r="B30" s="226">
        <v>476164.21967465302</v>
      </c>
      <c r="C30" s="226">
        <v>442616.81837501097</v>
      </c>
      <c r="D30" s="123">
        <f t="shared" si="5"/>
        <v>-7</v>
      </c>
      <c r="E30" s="8">
        <f>IFERROR(100/'Skjema total MA'!C30*C30,0)</f>
        <v>2.3597360437739754</v>
      </c>
      <c r="F30" s="235">
        <v>391831.15892456099</v>
      </c>
      <c r="G30" s="235">
        <v>356937.45812312502</v>
      </c>
      <c r="H30" s="123">
        <f t="shared" si="6"/>
        <v>-8.9</v>
      </c>
      <c r="I30" s="333">
        <f>IFERROR(100/'Skjema total MA'!F30*G30,0)</f>
        <v>10.012238819510024</v>
      </c>
      <c r="J30" s="235">
        <f t="shared" ref="J30:J33" si="11">SUM(B30,F30)</f>
        <v>867995.37859921402</v>
      </c>
      <c r="K30" s="235">
        <f t="shared" ref="K30:K33" si="12">SUM(C30,G30)</f>
        <v>799554.27649813599</v>
      </c>
      <c r="L30" s="123">
        <f t="shared" si="8"/>
        <v>-7.9</v>
      </c>
      <c r="M30" s="20">
        <f>IFERROR(100/'Skjema total MA'!I30*K30,0)</f>
        <v>3.5819019530415082</v>
      </c>
    </row>
    <row r="31" spans="1:13" ht="15.75" x14ac:dyDescent="0.2">
      <c r="A31" s="381" t="s">
        <v>327</v>
      </c>
      <c r="B31" s="226">
        <v>2671031.60474212</v>
      </c>
      <c r="C31" s="226">
        <v>2726188.97060264</v>
      </c>
      <c r="D31" s="123">
        <f t="shared" si="5"/>
        <v>2.1</v>
      </c>
      <c r="E31" s="8">
        <f>IFERROR(100/'Skjema total MA'!C31*C31,0)</f>
        <v>11.980959184102407</v>
      </c>
      <c r="F31" s="235">
        <v>696347.26498291199</v>
      </c>
      <c r="G31" s="235">
        <v>630999.74736001005</v>
      </c>
      <c r="H31" s="123">
        <f t="shared" si="6"/>
        <v>-9.4</v>
      </c>
      <c r="I31" s="333">
        <f>IFERROR(100/'Skjema total MA'!F31*G31,0)</f>
        <v>8.8627171587572988</v>
      </c>
      <c r="J31" s="235">
        <f t="shared" si="11"/>
        <v>3367378.8697250318</v>
      </c>
      <c r="K31" s="235">
        <f t="shared" si="12"/>
        <v>3357188.7179626501</v>
      </c>
      <c r="L31" s="123">
        <f t="shared" si="8"/>
        <v>-0.3</v>
      </c>
      <c r="M31" s="20">
        <f>IFERROR(100/'Skjema total MA'!I31*K31,0)</f>
        <v>11.237806724291293</v>
      </c>
    </row>
    <row r="32" spans="1:13" ht="15.75" x14ac:dyDescent="0.2">
      <c r="A32" s="381" t="s">
        <v>328</v>
      </c>
      <c r="B32" s="226">
        <v>836283.60022453696</v>
      </c>
      <c r="C32" s="226">
        <v>998783.44420986006</v>
      </c>
      <c r="D32" s="123">
        <f t="shared" si="5"/>
        <v>19.399999999999999</v>
      </c>
      <c r="E32" s="8">
        <f>IFERROR(100/'Skjema total MA'!C32*C32,0)</f>
        <v>42.533235486616626</v>
      </c>
      <c r="F32" s="235">
        <v>2649044.5110153002</v>
      </c>
      <c r="G32" s="235">
        <v>2675393.95386818</v>
      </c>
      <c r="H32" s="123">
        <f t="shared" si="6"/>
        <v>1</v>
      </c>
      <c r="I32" s="333">
        <f>IFERROR(100/'Skjema total MA'!F32*G32,0)</f>
        <v>40.858413449226212</v>
      </c>
      <c r="J32" s="235">
        <f t="shared" si="11"/>
        <v>3485328.111239837</v>
      </c>
      <c r="K32" s="235">
        <f t="shared" si="12"/>
        <v>3674177.3980780402</v>
      </c>
      <c r="L32" s="123">
        <f t="shared" si="8"/>
        <v>5.4</v>
      </c>
      <c r="M32" s="20">
        <f>IFERROR(100/'Skjema total MA'!I32*K32,0)</f>
        <v>41.300499450823175</v>
      </c>
    </row>
    <row r="33" spans="1:13" ht="15.75" x14ac:dyDescent="0.2">
      <c r="A33" s="381" t="s">
        <v>329</v>
      </c>
      <c r="B33" s="226"/>
      <c r="C33" s="226"/>
      <c r="D33" s="123"/>
      <c r="E33" s="8"/>
      <c r="F33" s="235">
        <v>2705789.66507723</v>
      </c>
      <c r="G33" s="235">
        <v>3053002.5406486802</v>
      </c>
      <c r="H33" s="123">
        <f t="shared" si="6"/>
        <v>12.8</v>
      </c>
      <c r="I33" s="333">
        <f>IFERROR(100/'Skjema total MA'!F34*G33,0)</f>
        <v>-2925.2315714037941</v>
      </c>
      <c r="J33" s="235">
        <f t="shared" si="11"/>
        <v>2705789.66507723</v>
      </c>
      <c r="K33" s="235">
        <f t="shared" si="12"/>
        <v>3053002.5406486802</v>
      </c>
      <c r="L33" s="123">
        <f t="shared" si="8"/>
        <v>12.8</v>
      </c>
      <c r="M33" s="20">
        <f>IFERROR(100/'Skjema total MA'!I34*K33,0)</f>
        <v>-3097.2736341206833</v>
      </c>
    </row>
    <row r="34" spans="1:13" ht="15.75" x14ac:dyDescent="0.2">
      <c r="A34" s="10" t="s">
        <v>324</v>
      </c>
      <c r="B34" s="183"/>
      <c r="C34" s="249">
        <v>2215</v>
      </c>
      <c r="D34" s="127" t="str">
        <f t="shared" si="5"/>
        <v xml:space="preserve">    ---- </v>
      </c>
      <c r="E34" s="8">
        <f>IFERROR(100/'Skjema total MA'!C34*C34,0)</f>
        <v>38.207775341620497</v>
      </c>
      <c r="F34" s="248">
        <v>16529.754349999999</v>
      </c>
      <c r="G34" s="249">
        <v>17000.669440000001</v>
      </c>
      <c r="H34" s="127">
        <f t="shared" si="6"/>
        <v>2.8</v>
      </c>
      <c r="I34" s="8">
        <f>IFERROR(100/'Skjema total MA'!F34*G34,0)</f>
        <v>-16.289175760175162</v>
      </c>
      <c r="J34" s="183">
        <f t="shared" si="7"/>
        <v>16529.754349999999</v>
      </c>
      <c r="K34" s="183">
        <f t="shared" si="7"/>
        <v>19215.669440000001</v>
      </c>
      <c r="L34" s="341">
        <f t="shared" si="8"/>
        <v>16.2</v>
      </c>
      <c r="M34" s="21">
        <f>IFERROR(100/'Skjema total MA'!I34*K34,0)</f>
        <v>-19.4943127383854</v>
      </c>
    </row>
    <row r="35" spans="1:13" ht="15.75" x14ac:dyDescent="0.2">
      <c r="A35" s="10" t="s">
        <v>325</v>
      </c>
      <c r="B35" s="183"/>
      <c r="C35" s="249"/>
      <c r="D35" s="127"/>
      <c r="E35" s="8"/>
      <c r="F35" s="248">
        <v>16248.165360000001</v>
      </c>
      <c r="G35" s="249">
        <v>15494.852059999999</v>
      </c>
      <c r="H35" s="127">
        <f t="shared" si="6"/>
        <v>-4.5999999999999996</v>
      </c>
      <c r="I35" s="8">
        <f>IFERROR(100/'Skjema total MA'!F35*G35,0)</f>
        <v>22.504255902234952</v>
      </c>
      <c r="J35" s="183">
        <f t="shared" si="7"/>
        <v>16248.165360000001</v>
      </c>
      <c r="K35" s="183">
        <f t="shared" si="7"/>
        <v>15494.852059999999</v>
      </c>
      <c r="L35" s="341">
        <f t="shared" si="8"/>
        <v>-4.5999999999999996</v>
      </c>
      <c r="M35" s="21">
        <f>IFERROR(100/'Skjema total MA'!I35*K35,0)</f>
        <v>-19.320063603343897</v>
      </c>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c r="C47" s="251"/>
      <c r="D47" s="340"/>
      <c r="E47" s="8"/>
      <c r="F47" s="109"/>
      <c r="G47" s="27"/>
      <c r="H47" s="118"/>
      <c r="I47" s="118"/>
      <c r="J47" s="31"/>
      <c r="K47" s="31"/>
      <c r="L47" s="118"/>
      <c r="M47" s="118"/>
    </row>
    <row r="48" spans="1:13" ht="15.75" x14ac:dyDescent="0.2">
      <c r="A48" s="18" t="s">
        <v>334</v>
      </c>
      <c r="B48" s="226"/>
      <c r="C48" s="227"/>
      <c r="D48" s="204"/>
      <c r="E48" s="23"/>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v>550944</v>
      </c>
      <c r="C66" s="286">
        <v>600171</v>
      </c>
      <c r="D66" s="283">
        <f t="shared" ref="D66:D109" si="13">IF(B66=0, "    ---- ", IF(ABS(ROUND(100/B66*C66-100,1))&lt;999,ROUND(100/B66*C66-100,1),IF(ROUND(100/B66*C66-100,1)&gt;999,999,-999)))</f>
        <v>8.9</v>
      </c>
      <c r="E66" s="8">
        <f>IFERROR(100/'Skjema total MA'!C66*C66,0)</f>
        <v>20.377578405394821</v>
      </c>
      <c r="F66" s="285">
        <v>2086478.5460000001</v>
      </c>
      <c r="G66" s="285">
        <v>2369950.2519999999</v>
      </c>
      <c r="H66" s="283">
        <f t="shared" ref="H66:H111" si="14">IF(F66=0, "    ---- ", IF(ABS(ROUND(100/F66*G66-100,1))&lt;999,ROUND(100/F66*G66-100,1),IF(ROUND(100/F66*G66-100,1)&gt;999,999,-999)))</f>
        <v>13.6</v>
      </c>
      <c r="I66" s="8">
        <f>IFERROR(100/'Skjema total MA'!F66*G66,0)</f>
        <v>16.260713906857202</v>
      </c>
      <c r="J66" s="249">
        <f t="shared" ref="J66:K86" si="15">SUM(B66,F66)</f>
        <v>2637422.5460000001</v>
      </c>
      <c r="K66" s="256">
        <f t="shared" si="15"/>
        <v>2970121.2519999999</v>
      </c>
      <c r="L66" s="341">
        <f t="shared" ref="L66:L111" si="16">IF(J66=0, "    ---- ", IF(ABS(ROUND(100/J66*K66-100,1))&lt;999,ROUND(100/J66*K66-100,1),IF(ROUND(100/J66*K66-100,1)&gt;999,999,-999)))</f>
        <v>12.6</v>
      </c>
      <c r="M66" s="8">
        <f>IFERROR(100/'Skjema total MA'!I66*K66,0)</f>
        <v>16.952793592719615</v>
      </c>
    </row>
    <row r="67" spans="1:13" x14ac:dyDescent="0.2">
      <c r="A67" s="39" t="s">
        <v>9</v>
      </c>
      <c r="B67" s="36">
        <v>436036.06098626897</v>
      </c>
      <c r="C67" s="109">
        <v>468512.72461736202</v>
      </c>
      <c r="D67" s="123">
        <f t="shared" si="13"/>
        <v>7.4</v>
      </c>
      <c r="E67" s="23">
        <f>IFERROR(100/'Skjema total MA'!C67*C67,0)</f>
        <v>25.593301813276998</v>
      </c>
      <c r="F67" s="181"/>
      <c r="G67" s="109"/>
      <c r="H67" s="123"/>
      <c r="I67" s="23"/>
      <c r="J67" s="232">
        <f t="shared" si="15"/>
        <v>436036.06098626897</v>
      </c>
      <c r="K67" s="36">
        <f t="shared" si="15"/>
        <v>468512.72461736202</v>
      </c>
      <c r="L67" s="204">
        <f t="shared" si="16"/>
        <v>7.4</v>
      </c>
      <c r="M67" s="23">
        <f>IFERROR(100/'Skjema total MA'!I67*K67,0)</f>
        <v>25.593301813276998</v>
      </c>
    </row>
    <row r="68" spans="1:13" x14ac:dyDescent="0.2">
      <c r="A68" s="18" t="s">
        <v>10</v>
      </c>
      <c r="B68" s="236">
        <v>320</v>
      </c>
      <c r="C68" s="237">
        <v>1511</v>
      </c>
      <c r="D68" s="123">
        <f t="shared" si="13"/>
        <v>372.2</v>
      </c>
      <c r="E68" s="23">
        <f>IFERROR(100/'Skjema total MA'!C68*C68,0)</f>
        <v>18.319587031357987</v>
      </c>
      <c r="F68" s="236">
        <v>2086478.5460000001</v>
      </c>
      <c r="G68" s="237">
        <v>2369950.2519999999</v>
      </c>
      <c r="H68" s="123">
        <f t="shared" si="14"/>
        <v>13.6</v>
      </c>
      <c r="I68" s="23">
        <f>IFERROR(100/'Skjema total MA'!F68*G68,0)</f>
        <v>16.879077147389399</v>
      </c>
      <c r="J68" s="232">
        <f t="shared" si="15"/>
        <v>2086798.5460000001</v>
      </c>
      <c r="K68" s="36">
        <f t="shared" si="15"/>
        <v>2371461.2519999999</v>
      </c>
      <c r="L68" s="204">
        <f t="shared" si="16"/>
        <v>13.6</v>
      </c>
      <c r="M68" s="23">
        <f>IFERROR(100/'Skjema total MA'!I68*K68,0)</f>
        <v>16.879922853467583</v>
      </c>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v>114587.939013731</v>
      </c>
      <c r="C76" s="109">
        <v>130147.27538263801</v>
      </c>
      <c r="D76" s="123">
        <f t="shared" ref="D76" si="17">IF(B76=0, "    ---- ", IF(ABS(ROUND(100/B76*C76-100,1))&lt;999,ROUND(100/B76*C76-100,1),IF(ROUND(100/B76*C76-100,1)&gt;999,999,-999)))</f>
        <v>13.6</v>
      </c>
      <c r="E76" s="23">
        <f>IFERROR(100/'Skjema total MA'!C77*C76,0)</f>
        <v>7.3750278217335064</v>
      </c>
      <c r="F76" s="181"/>
      <c r="G76" s="109"/>
      <c r="H76" s="123"/>
      <c r="I76" s="23"/>
      <c r="J76" s="232">
        <f t="shared" ref="J76" si="18">SUM(B76,F76)</f>
        <v>114587.939013731</v>
      </c>
      <c r="K76" s="36">
        <f t="shared" ref="K76" si="19">SUM(C76,G76)</f>
        <v>130147.27538263801</v>
      </c>
      <c r="L76" s="204">
        <f t="shared" ref="L76" si="20">IF(J76=0, "    ---- ", IF(ABS(ROUND(100/J76*K76-100,1))&lt;999,ROUND(100/J76*K76-100,1),IF(ROUND(100/J76*K76-100,1)&gt;999,999,-999)))</f>
        <v>13.6</v>
      </c>
      <c r="M76" s="23">
        <f>IFERROR(100/'Skjema total MA'!I77*K76,0)</f>
        <v>0.82361972412403062</v>
      </c>
    </row>
    <row r="77" spans="1:13" ht="15.75" x14ac:dyDescent="0.2">
      <c r="A77" s="18" t="s">
        <v>340</v>
      </c>
      <c r="B77" s="181">
        <v>431756.90898626897</v>
      </c>
      <c r="C77" s="181">
        <v>465093.31861736201</v>
      </c>
      <c r="D77" s="123">
        <f t="shared" si="13"/>
        <v>7.7</v>
      </c>
      <c r="E77" s="23">
        <f>IFERROR(100/'Skjema total MA'!C77*C77,0)</f>
        <v>26.355343624527329</v>
      </c>
      <c r="F77" s="181">
        <v>2085391.649</v>
      </c>
      <c r="G77" s="109">
        <v>2368942.852</v>
      </c>
      <c r="H77" s="123">
        <f t="shared" si="14"/>
        <v>13.6</v>
      </c>
      <c r="I77" s="23">
        <f>IFERROR(100/'Skjema total MA'!F77*G77,0)</f>
        <v>16.876222857480666</v>
      </c>
      <c r="J77" s="232">
        <f t="shared" si="15"/>
        <v>2517148.5579862688</v>
      </c>
      <c r="K77" s="36">
        <f t="shared" si="15"/>
        <v>2834036.170617362</v>
      </c>
      <c r="L77" s="204">
        <f t="shared" si="16"/>
        <v>12.6</v>
      </c>
      <c r="M77" s="23">
        <f>IFERROR(100/'Skjema total MA'!I77*K77,0)</f>
        <v>17.934821010573227</v>
      </c>
    </row>
    <row r="78" spans="1:13" x14ac:dyDescent="0.2">
      <c r="A78" s="18" t="s">
        <v>9</v>
      </c>
      <c r="B78" s="181">
        <v>431436.90898626897</v>
      </c>
      <c r="C78" s="109">
        <v>463582.31861736201</v>
      </c>
      <c r="D78" s="123">
        <f t="shared" si="13"/>
        <v>7.5</v>
      </c>
      <c r="E78" s="23">
        <f>IFERROR(100/'Skjema total MA'!C78*C78,0)</f>
        <v>26.393078136578815</v>
      </c>
      <c r="F78" s="181"/>
      <c r="G78" s="109"/>
      <c r="H78" s="123"/>
      <c r="I78" s="23"/>
      <c r="J78" s="232">
        <f t="shared" si="15"/>
        <v>431436.90898626897</v>
      </c>
      <c r="K78" s="36">
        <f t="shared" si="15"/>
        <v>463582.31861736201</v>
      </c>
      <c r="L78" s="204">
        <f t="shared" si="16"/>
        <v>7.5</v>
      </c>
      <c r="M78" s="23">
        <f>IFERROR(100/'Skjema total MA'!I78*K78,0)</f>
        <v>26.393078136578815</v>
      </c>
    </row>
    <row r="79" spans="1:13" x14ac:dyDescent="0.2">
      <c r="A79" s="18" t="s">
        <v>368</v>
      </c>
      <c r="B79" s="236">
        <v>320</v>
      </c>
      <c r="C79" s="237">
        <v>1511</v>
      </c>
      <c r="D79" s="123">
        <f t="shared" si="13"/>
        <v>372.2</v>
      </c>
      <c r="E79" s="23">
        <f>IFERROR(100/'Skjema total MA'!C79*C79,0)</f>
        <v>18.319587031357987</v>
      </c>
      <c r="F79" s="236">
        <v>2085391.649</v>
      </c>
      <c r="G79" s="237">
        <v>2368942.852</v>
      </c>
      <c r="H79" s="123">
        <f t="shared" si="14"/>
        <v>13.6</v>
      </c>
      <c r="I79" s="23">
        <f>IFERROR(100/'Skjema total MA'!F79*G79,0)</f>
        <v>16.876222857480666</v>
      </c>
      <c r="J79" s="232">
        <f t="shared" si="15"/>
        <v>2085711.649</v>
      </c>
      <c r="K79" s="36">
        <f t="shared" si="15"/>
        <v>2370453.852</v>
      </c>
      <c r="L79" s="204">
        <f t="shared" si="16"/>
        <v>13.7</v>
      </c>
      <c r="M79" s="23">
        <f>IFERROR(100/'Skjema total MA'!I79*K79,0)</f>
        <v>16.877070456147329</v>
      </c>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v>4599.2560000000003</v>
      </c>
      <c r="C86" s="109">
        <v>4930.4059999999999</v>
      </c>
      <c r="D86" s="123">
        <f t="shared" si="13"/>
        <v>7.2</v>
      </c>
      <c r="E86" s="23">
        <f>IFERROR(100/'Skjema total MA'!C86*C86,0)</f>
        <v>6.6489991369689463</v>
      </c>
      <c r="F86" s="181">
        <v>1086.8969999999999</v>
      </c>
      <c r="G86" s="109">
        <v>1007.4</v>
      </c>
      <c r="H86" s="123">
        <f t="shared" si="14"/>
        <v>-7.3</v>
      </c>
      <c r="I86" s="23">
        <f>IFERROR(100/'Skjema total MA'!F86*G86,0)</f>
        <v>28.024357879451305</v>
      </c>
      <c r="J86" s="232">
        <f t="shared" si="15"/>
        <v>5686.1530000000002</v>
      </c>
      <c r="K86" s="36">
        <f t="shared" si="15"/>
        <v>5937.8059999999996</v>
      </c>
      <c r="L86" s="204">
        <f t="shared" si="16"/>
        <v>4.4000000000000004</v>
      </c>
      <c r="M86" s="23">
        <f>IFERROR(100/'Skjema total MA'!I86*K86,0)</f>
        <v>7.6373113964267896</v>
      </c>
    </row>
    <row r="87" spans="1:13" ht="15.75" x14ac:dyDescent="0.2">
      <c r="A87" s="10" t="s">
        <v>323</v>
      </c>
      <c r="B87" s="286">
        <v>50049132.824844114</v>
      </c>
      <c r="C87" s="286">
        <v>50264559.441332296</v>
      </c>
      <c r="D87" s="127">
        <f t="shared" si="13"/>
        <v>0.4</v>
      </c>
      <c r="E87" s="8">
        <f>IFERROR(100/'Skjema total MA'!C87*C87,0)</f>
        <v>12.362549860657104</v>
      </c>
      <c r="F87" s="285">
        <v>94741753.694879994</v>
      </c>
      <c r="G87" s="285">
        <v>110015624.358435</v>
      </c>
      <c r="H87" s="127">
        <f t="shared" si="14"/>
        <v>16.100000000000001</v>
      </c>
      <c r="I87" s="8">
        <f>IFERROR(100/'Skjema total MA'!F87*G87,0)</f>
        <v>16.535234734364654</v>
      </c>
      <c r="J87" s="249">
        <f t="shared" ref="J87:K111" si="21">SUM(B87,F87)</f>
        <v>144790886.5197241</v>
      </c>
      <c r="K87" s="183">
        <f t="shared" si="21"/>
        <v>160280183.79976732</v>
      </c>
      <c r="L87" s="341">
        <f t="shared" si="16"/>
        <v>10.7</v>
      </c>
      <c r="M87" s="8">
        <f>IFERROR(100/'Skjema total MA'!I87*K87,0)</f>
        <v>14.952515628738466</v>
      </c>
    </row>
    <row r="88" spans="1:13" x14ac:dyDescent="0.2">
      <c r="A88" s="18" t="s">
        <v>9</v>
      </c>
      <c r="B88" s="181">
        <v>48189526.589127898</v>
      </c>
      <c r="C88" s="109">
        <v>48285762.813332297</v>
      </c>
      <c r="D88" s="123">
        <f t="shared" si="13"/>
        <v>0.2</v>
      </c>
      <c r="E88" s="23">
        <f>IFERROR(100/'Skjema total MA'!C88*C88,0)</f>
        <v>12.566326386524485</v>
      </c>
      <c r="F88" s="181"/>
      <c r="G88" s="109"/>
      <c r="H88" s="123"/>
      <c r="I88" s="23"/>
      <c r="J88" s="232">
        <f t="shared" si="21"/>
        <v>48189526.589127898</v>
      </c>
      <c r="K88" s="36">
        <f t="shared" si="21"/>
        <v>48285762.813332297</v>
      </c>
      <c r="L88" s="204">
        <f t="shared" si="16"/>
        <v>0.2</v>
      </c>
      <c r="M88" s="23">
        <f>IFERROR(100/'Skjema total MA'!I88*K88,0)</f>
        <v>12.566326386524485</v>
      </c>
    </row>
    <row r="89" spans="1:13" x14ac:dyDescent="0.2">
      <c r="A89" s="18" t="s">
        <v>10</v>
      </c>
      <c r="B89" s="181">
        <v>1539794.08971622</v>
      </c>
      <c r="C89" s="109">
        <v>1603098.2279999999</v>
      </c>
      <c r="D89" s="123">
        <f t="shared" si="13"/>
        <v>4.0999999999999996</v>
      </c>
      <c r="E89" s="23">
        <f>IFERROR(100/'Skjema total MA'!C89*C89,0)</f>
        <v>67.662844511843232</v>
      </c>
      <c r="F89" s="181">
        <v>94741753.694879994</v>
      </c>
      <c r="G89" s="109">
        <v>110015624.358435</v>
      </c>
      <c r="H89" s="123">
        <f t="shared" si="14"/>
        <v>16.100000000000001</v>
      </c>
      <c r="I89" s="23">
        <f>IFERROR(100/'Skjema total MA'!F89*G89,0)</f>
        <v>16.793505201727168</v>
      </c>
      <c r="J89" s="232">
        <f t="shared" si="21"/>
        <v>96281547.78459622</v>
      </c>
      <c r="K89" s="36">
        <f t="shared" si="21"/>
        <v>111618722.58643501</v>
      </c>
      <c r="L89" s="204">
        <f t="shared" si="16"/>
        <v>15.9</v>
      </c>
      <c r="M89" s="23">
        <f>IFERROR(100/'Skjema total MA'!I89*K89,0)</f>
        <v>16.976814773174318</v>
      </c>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v>319812.14600000001</v>
      </c>
      <c r="C97" s="109">
        <v>375698.4</v>
      </c>
      <c r="D97" s="123">
        <f t="shared" ref="D97" si="22">IF(B97=0, "    ---- ", IF(ABS(ROUND(100/B97*C97-100,1))&lt;999,ROUND(100/B97*C97-100,1),IF(ROUND(100/B97*C97-100,1)&gt;999,999,-999)))</f>
        <v>17.5</v>
      </c>
      <c r="E97" s="23">
        <f>IFERROR(100/'Skjema total MA'!C98*C97,0)</f>
        <v>9.8234150785489457E-2</v>
      </c>
      <c r="F97" s="181"/>
      <c r="G97" s="109"/>
      <c r="H97" s="123"/>
      <c r="I97" s="23"/>
      <c r="J97" s="232">
        <f t="shared" ref="J97" si="23">SUM(B97,F97)</f>
        <v>319812.14600000001</v>
      </c>
      <c r="K97" s="36">
        <f t="shared" ref="K97" si="24">SUM(C97,G97)</f>
        <v>375698.4</v>
      </c>
      <c r="L97" s="204">
        <f t="shared" ref="L97" si="25">IF(J97=0, "    ---- ", IF(ABS(ROUND(100/J97*K97-100,1))&lt;999,ROUND(100/J97*K97-100,1),IF(ROUND(100/J97*K97-100,1)&gt;999,999,-999)))</f>
        <v>17.5</v>
      </c>
      <c r="M97" s="23">
        <f>IFERROR(100/'Skjema total MA'!I98*K97,0)</f>
        <v>3.6223585152136487E-2</v>
      </c>
    </row>
    <row r="98" spans="1:13" ht="15.75" x14ac:dyDescent="0.2">
      <c r="A98" s="18" t="s">
        <v>340</v>
      </c>
      <c r="B98" s="181">
        <v>49718863.305844121</v>
      </c>
      <c r="C98" s="181">
        <v>49874619.772332303</v>
      </c>
      <c r="D98" s="123">
        <f t="shared" si="13"/>
        <v>0.3</v>
      </c>
      <c r="E98" s="23">
        <f>IFERROR(100/'Skjema total MA'!C98*C98,0)</f>
        <v>13.040755348130961</v>
      </c>
      <c r="F98" s="236">
        <v>94725954.310880005</v>
      </c>
      <c r="G98" s="236">
        <v>109998931.061435</v>
      </c>
      <c r="H98" s="123">
        <f t="shared" si="14"/>
        <v>16.100000000000001</v>
      </c>
      <c r="I98" s="23">
        <f>IFERROR(100/'Skjema total MA'!F98*G98,0)</f>
        <v>16.801085931481811</v>
      </c>
      <c r="J98" s="232">
        <f t="shared" si="21"/>
        <v>144444817.61672413</v>
      </c>
      <c r="K98" s="36">
        <f t="shared" si="21"/>
        <v>159873550.83376729</v>
      </c>
      <c r="L98" s="204">
        <f t="shared" si="16"/>
        <v>10.7</v>
      </c>
      <c r="M98" s="23">
        <f>IFERROR(100/'Skjema total MA'!I98*K98,0)</f>
        <v>15.414473903006748</v>
      </c>
    </row>
    <row r="99" spans="1:13" x14ac:dyDescent="0.2">
      <c r="A99" s="18" t="s">
        <v>9</v>
      </c>
      <c r="B99" s="236">
        <v>48179069.216127902</v>
      </c>
      <c r="C99" s="237">
        <v>48271521.544332303</v>
      </c>
      <c r="D99" s="123">
        <f t="shared" si="13"/>
        <v>0.2</v>
      </c>
      <c r="E99" s="23">
        <f>IFERROR(100/'Skjema total MA'!C99*C99,0)</f>
        <v>12.700268681194927</v>
      </c>
      <c r="F99" s="181"/>
      <c r="G99" s="109"/>
      <c r="H99" s="123"/>
      <c r="I99" s="23"/>
      <c r="J99" s="232">
        <f t="shared" si="21"/>
        <v>48179069.216127902</v>
      </c>
      <c r="K99" s="36">
        <f t="shared" si="21"/>
        <v>48271521.544332303</v>
      </c>
      <c r="L99" s="204">
        <f t="shared" si="16"/>
        <v>0.2</v>
      </c>
      <c r="M99" s="23">
        <f>IFERROR(100/'Skjema total MA'!I99*K99,0)</f>
        <v>12.700268681194927</v>
      </c>
    </row>
    <row r="100" spans="1:13" x14ac:dyDescent="0.2">
      <c r="A100" s="18" t="s">
        <v>368</v>
      </c>
      <c r="B100" s="236">
        <v>1539794.08971622</v>
      </c>
      <c r="C100" s="237">
        <v>1603098.2279999999</v>
      </c>
      <c r="D100" s="123">
        <f t="shared" si="13"/>
        <v>4.0999999999999996</v>
      </c>
      <c r="E100" s="23">
        <f>IFERROR(100/'Skjema total MA'!C100*C100,0)</f>
        <v>67.662844511843232</v>
      </c>
      <c r="F100" s="181">
        <v>94725954.310880005</v>
      </c>
      <c r="G100" s="181">
        <v>109998931.061435</v>
      </c>
      <c r="H100" s="123">
        <f t="shared" si="14"/>
        <v>16.100000000000001</v>
      </c>
      <c r="I100" s="23">
        <f>IFERROR(100/'Skjema total MA'!F100*G100,0)</f>
        <v>16.801085931481811</v>
      </c>
      <c r="J100" s="232">
        <f t="shared" si="21"/>
        <v>96265748.400596231</v>
      </c>
      <c r="K100" s="36">
        <f t="shared" si="21"/>
        <v>111602029.289435</v>
      </c>
      <c r="L100" s="204">
        <f t="shared" si="16"/>
        <v>15.9</v>
      </c>
      <c r="M100" s="23">
        <f>IFERROR(100/'Skjema total MA'!I100*K100,0)</f>
        <v>16.984478349219806</v>
      </c>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v>10457.373</v>
      </c>
      <c r="C107" s="109">
        <v>14241.269</v>
      </c>
      <c r="D107" s="123">
        <f t="shared" si="13"/>
        <v>36.200000000000003</v>
      </c>
      <c r="E107" s="23">
        <f>IFERROR(100/'Skjema total MA'!C107*C107,0)</f>
        <v>0.34196301707674975</v>
      </c>
      <c r="F107" s="181">
        <v>15799.384</v>
      </c>
      <c r="G107" s="109">
        <v>16693.296999999999</v>
      </c>
      <c r="H107" s="123">
        <f t="shared" si="14"/>
        <v>5.7</v>
      </c>
      <c r="I107" s="23">
        <f>IFERROR(100/'Skjema total MA'!F107*G107,0)</f>
        <v>4.2267251477660377</v>
      </c>
      <c r="J107" s="232">
        <f t="shared" si="21"/>
        <v>26256.756999999998</v>
      </c>
      <c r="K107" s="36">
        <f t="shared" si="21"/>
        <v>30934.565999999999</v>
      </c>
      <c r="L107" s="204">
        <f t="shared" si="16"/>
        <v>17.8</v>
      </c>
      <c r="M107" s="23">
        <f>IFERROR(100/'Skjema total MA'!I107*K107,0)</f>
        <v>0.6784624441280559</v>
      </c>
    </row>
    <row r="108" spans="1:13" ht="15.75" x14ac:dyDescent="0.2">
      <c r="A108" s="18" t="s">
        <v>342</v>
      </c>
      <c r="B108" s="181">
        <v>39746763.097082101</v>
      </c>
      <c r="C108" s="181">
        <v>39618150.358095199</v>
      </c>
      <c r="D108" s="123">
        <f t="shared" si="13"/>
        <v>-0.3</v>
      </c>
      <c r="E108" s="23">
        <f>IFERROR(100/'Skjema total MA'!C108*C108,0)</f>
        <v>11.988864669191917</v>
      </c>
      <c r="F108" s="181"/>
      <c r="G108" s="181"/>
      <c r="H108" s="123"/>
      <c r="I108" s="23"/>
      <c r="J108" s="232">
        <f t="shared" si="21"/>
        <v>39746763.097082101</v>
      </c>
      <c r="K108" s="36">
        <f t="shared" si="21"/>
        <v>39618150.358095199</v>
      </c>
      <c r="L108" s="204">
        <f t="shared" si="16"/>
        <v>-0.3</v>
      </c>
      <c r="M108" s="23">
        <f>IFERROR(100/'Skjema total MA'!I108*K108,0)</f>
        <v>11.201691987163485</v>
      </c>
    </row>
    <row r="109" spans="1:13" ht="15.75" x14ac:dyDescent="0.2">
      <c r="A109" s="18" t="s">
        <v>376</v>
      </c>
      <c r="B109" s="181">
        <v>1305914.8640900501</v>
      </c>
      <c r="C109" s="181">
        <v>1302783.89494733</v>
      </c>
      <c r="D109" s="123">
        <f t="shared" si="13"/>
        <v>-0.2</v>
      </c>
      <c r="E109" s="23">
        <f>IFERROR(100/'Skjema total MA'!C109*C109,0)</f>
        <v>50.799046452043385</v>
      </c>
      <c r="F109" s="181">
        <v>40485648.36011</v>
      </c>
      <c r="G109" s="181">
        <v>49442336.051789999</v>
      </c>
      <c r="H109" s="123">
        <f t="shared" si="14"/>
        <v>22.1</v>
      </c>
      <c r="I109" s="23">
        <f>IFERROR(100/'Skjema total MA'!F109*G109,0)</f>
        <v>19.155825212144677</v>
      </c>
      <c r="J109" s="232">
        <f t="shared" si="21"/>
        <v>41791563.224200048</v>
      </c>
      <c r="K109" s="36">
        <f t="shared" si="21"/>
        <v>50745119.946737327</v>
      </c>
      <c r="L109" s="204">
        <f t="shared" si="16"/>
        <v>21.4</v>
      </c>
      <c r="M109" s="23">
        <f>IFERROR(100/'Skjema total MA'!I109*K109,0)</f>
        <v>19.467144098953007</v>
      </c>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v>2816179.36</v>
      </c>
      <c r="G111" s="118">
        <v>3471851.5320000001</v>
      </c>
      <c r="H111" s="127">
        <f t="shared" si="14"/>
        <v>23.3</v>
      </c>
      <c r="I111" s="8">
        <f>IFERROR(100/'Skjema total MA'!F111*G111,0)</f>
        <v>17.378422409614938</v>
      </c>
      <c r="J111" s="249">
        <f t="shared" si="21"/>
        <v>2816179.36</v>
      </c>
      <c r="K111" s="183">
        <f t="shared" si="21"/>
        <v>3471851.5320000001</v>
      </c>
      <c r="L111" s="341">
        <f t="shared" si="16"/>
        <v>23.3</v>
      </c>
      <c r="M111" s="8">
        <f>IFERROR(100/'Skjema total MA'!I111*K111,0)</f>
        <v>16.443800203187006</v>
      </c>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v>2816179.36</v>
      </c>
      <c r="G113" s="109">
        <v>3471851.5320000001</v>
      </c>
      <c r="H113" s="123">
        <f t="shared" ref="H113:H125" si="26">IF(F113=0, "    ---- ", IF(ABS(ROUND(100/F113*G113-100,1))&lt;999,ROUND(100/F113*G113-100,1),IF(ROUND(100/F113*G113-100,1)&gt;999,999,-999)))</f>
        <v>23.3</v>
      </c>
      <c r="I113" s="23">
        <f>IFERROR(100/'Skjema total MA'!F113*G113,0)</f>
        <v>17.378833704898618</v>
      </c>
      <c r="J113" s="232">
        <f t="shared" ref="J113:K125" si="27">SUM(B113,F113)</f>
        <v>2816179.36</v>
      </c>
      <c r="K113" s="36">
        <f t="shared" si="27"/>
        <v>3471851.5320000001</v>
      </c>
      <c r="L113" s="204">
        <f t="shared" ref="L113:L125" si="28">IF(J113=0, "    ---- ", IF(ABS(ROUND(100/J113*K113-100,1))&lt;999,ROUND(100/J113*K113-100,1),IF(ROUND(100/J113*K113-100,1)&gt;999,999,-999)))</f>
        <v>23.3</v>
      </c>
      <c r="M113" s="23">
        <f>IFERROR(100/'Skjema total MA'!I113*K113,0)</f>
        <v>17.378833704898618</v>
      </c>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v>1691590.959</v>
      </c>
      <c r="G117" s="181">
        <v>2173686.1919999998</v>
      </c>
      <c r="H117" s="123">
        <f t="shared" si="26"/>
        <v>28.5</v>
      </c>
      <c r="I117" s="23">
        <f>IFERROR(100/'Skjema total MA'!F117*G117,0)</f>
        <v>19.412436101276445</v>
      </c>
      <c r="J117" s="232">
        <f t="shared" si="27"/>
        <v>1691590.959</v>
      </c>
      <c r="K117" s="36">
        <f t="shared" si="27"/>
        <v>2173686.1919999998</v>
      </c>
      <c r="L117" s="204">
        <f t="shared" si="28"/>
        <v>28.5</v>
      </c>
      <c r="M117" s="23">
        <f>IFERROR(100/'Skjema total MA'!I117*K117,0)</f>
        <v>19.412436101276445</v>
      </c>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v>1336.18390000006</v>
      </c>
      <c r="C119" s="118">
        <v>3832</v>
      </c>
      <c r="D119" s="127">
        <f t="shared" ref="D119:D120" si="29">IF(B119=0, "    ---- ", IF(ABS(ROUND(100/B119*C119-100,1))&lt;999,ROUND(100/B119*C119-100,1),IF(ROUND(100/B119*C119-100,1)&gt;999,999,-999)))</f>
        <v>186.8</v>
      </c>
      <c r="E119" s="8">
        <f>IFERROR(100/'Skjema total MA'!C119*C119,0)</f>
        <v>1.7797138251992146</v>
      </c>
      <c r="F119" s="248">
        <v>3630263.3569999998</v>
      </c>
      <c r="G119" s="118">
        <v>4319180.26</v>
      </c>
      <c r="H119" s="127">
        <f t="shared" si="26"/>
        <v>19</v>
      </c>
      <c r="I119" s="8">
        <f>IFERROR(100/'Skjema total MA'!F119*G119,0)</f>
        <v>20.54424687852099</v>
      </c>
      <c r="J119" s="249">
        <f t="shared" si="27"/>
        <v>3631599.5408999999</v>
      </c>
      <c r="K119" s="183">
        <f t="shared" si="27"/>
        <v>4323012.26</v>
      </c>
      <c r="L119" s="341">
        <f t="shared" si="28"/>
        <v>19</v>
      </c>
      <c r="M119" s="8">
        <f>IFERROR(100/'Skjema total MA'!I119*K119,0)</f>
        <v>20.354017857911526</v>
      </c>
    </row>
    <row r="120" spans="1:13" x14ac:dyDescent="0.2">
      <c r="A120" s="18" t="s">
        <v>9</v>
      </c>
      <c r="B120" s="181">
        <v>1336.18390000006</v>
      </c>
      <c r="C120" s="109">
        <v>3832</v>
      </c>
      <c r="D120" s="123">
        <f t="shared" si="29"/>
        <v>186.8</v>
      </c>
      <c r="E120" s="23">
        <f>IFERROR(100/'Skjema total MA'!C120*C120,0)</f>
        <v>6.5871162242068237</v>
      </c>
      <c r="F120" s="181"/>
      <c r="G120" s="109"/>
      <c r="H120" s="123"/>
      <c r="I120" s="23"/>
      <c r="J120" s="232">
        <f t="shared" si="27"/>
        <v>1336.18390000006</v>
      </c>
      <c r="K120" s="36">
        <f t="shared" si="27"/>
        <v>3832</v>
      </c>
      <c r="L120" s="204">
        <f t="shared" si="28"/>
        <v>186.8</v>
      </c>
      <c r="M120" s="23">
        <f>IFERROR(100/'Skjema total MA'!I120*K120,0)</f>
        <v>6.5871162242068237</v>
      </c>
    </row>
    <row r="121" spans="1:13" x14ac:dyDescent="0.2">
      <c r="A121" s="18" t="s">
        <v>10</v>
      </c>
      <c r="B121" s="181"/>
      <c r="C121" s="109"/>
      <c r="D121" s="123"/>
      <c r="E121" s="23"/>
      <c r="F121" s="181">
        <v>3630263.3569999998</v>
      </c>
      <c r="G121" s="109">
        <v>4319180.26</v>
      </c>
      <c r="H121" s="123">
        <f t="shared" si="26"/>
        <v>19</v>
      </c>
      <c r="I121" s="23">
        <f>IFERROR(100/'Skjema total MA'!F121*G121,0)</f>
        <v>20.54424687852099</v>
      </c>
      <c r="J121" s="232">
        <f t="shared" si="27"/>
        <v>3630263.3569999998</v>
      </c>
      <c r="K121" s="36">
        <f t="shared" si="27"/>
        <v>4319180.26</v>
      </c>
      <c r="L121" s="204">
        <f t="shared" si="28"/>
        <v>19</v>
      </c>
      <c r="M121" s="23">
        <f>IFERROR(100/'Skjema total MA'!I121*K121,0)</f>
        <v>20.540443991661153</v>
      </c>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v>1664504.2039999999</v>
      </c>
      <c r="G125" s="181">
        <v>2113593.6889999998</v>
      </c>
      <c r="H125" s="123">
        <f t="shared" si="26"/>
        <v>27</v>
      </c>
      <c r="I125" s="23">
        <f>IFERROR(100/'Skjema total MA'!F125*G125,0)</f>
        <v>18.895893687324573</v>
      </c>
      <c r="J125" s="232">
        <f t="shared" si="27"/>
        <v>1664504.2039999999</v>
      </c>
      <c r="K125" s="36">
        <f t="shared" si="27"/>
        <v>2113593.6889999998</v>
      </c>
      <c r="L125" s="204">
        <f t="shared" si="28"/>
        <v>27</v>
      </c>
      <c r="M125" s="23">
        <f>IFERROR(100/'Skjema total MA'!I125*K125,0)</f>
        <v>18.894292061512811</v>
      </c>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300" priority="12">
      <formula>kvartal &lt; 4</formula>
    </cfRule>
  </conditionalFormatting>
  <conditionalFormatting sqref="A69:A74">
    <cfRule type="expression" dxfId="299" priority="10">
      <formula>kvartal &lt; 4</formula>
    </cfRule>
  </conditionalFormatting>
  <conditionalFormatting sqref="A80:A85">
    <cfRule type="expression" dxfId="298" priority="9">
      <formula>kvartal &lt; 4</formula>
    </cfRule>
  </conditionalFormatting>
  <conditionalFormatting sqref="A90:A95">
    <cfRule type="expression" dxfId="297" priority="6">
      <formula>kvartal &lt; 4</formula>
    </cfRule>
  </conditionalFormatting>
  <conditionalFormatting sqref="A101:A106">
    <cfRule type="expression" dxfId="296" priority="5">
      <formula>kvartal &lt; 4</formula>
    </cfRule>
  </conditionalFormatting>
  <conditionalFormatting sqref="A115:C115">
    <cfRule type="expression" dxfId="295" priority="4">
      <formula>kvartal &lt; 4</formula>
    </cfRule>
  </conditionalFormatting>
  <conditionalFormatting sqref="A123:C123">
    <cfRule type="expression" dxfId="294" priority="3">
      <formula>kvartal &lt; 4</formula>
    </cfRule>
  </conditionalFormatting>
  <conditionalFormatting sqref="F115:G115">
    <cfRule type="expression" dxfId="293" priority="57">
      <formula>kvartal &lt; 4</formula>
    </cfRule>
  </conditionalFormatting>
  <conditionalFormatting sqref="F123:G123">
    <cfRule type="expression" dxfId="292" priority="56">
      <formula>kvartal &lt; 4</formula>
    </cfRule>
  </conditionalFormatting>
  <conditionalFormatting sqref="J115:K115">
    <cfRule type="expression" dxfId="291" priority="32">
      <formula>kvartal &lt; 4</formula>
    </cfRule>
  </conditionalFormatting>
  <conditionalFormatting sqref="J123:K123">
    <cfRule type="expression" dxfId="290" priority="31">
      <formula>kvartal &lt; 4</formula>
    </cfRule>
  </conditionalFormatting>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FCAE9-D5F2-4A61-80DB-C3B7691ABF8D}">
  <sheetPr codeName="Ark24"/>
  <dimension ref="A1:N144"/>
  <sheetViews>
    <sheetView showGridLines="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401</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8485</v>
      </c>
      <c r="C47" s="251">
        <v>8970</v>
      </c>
      <c r="D47" s="340">
        <f t="shared" ref="D47:D48" si="0">IF(B47=0, "    ---- ", IF(ABS(ROUND(100/B47*C47-100,1))&lt;999,ROUND(100/B47*C47-100,1),IF(ROUND(100/B47*C47-100,1)&gt;999,999,-999)))</f>
        <v>5.7</v>
      </c>
      <c r="E47" s="8">
        <f>IFERROR(100/'Skjema total MA'!C47*C47,0)</f>
        <v>0.20242749088053269</v>
      </c>
      <c r="F47" s="109"/>
      <c r="G47" s="27"/>
      <c r="H47" s="118"/>
      <c r="I47" s="118"/>
      <c r="J47" s="31"/>
      <c r="K47" s="31"/>
      <c r="L47" s="118"/>
      <c r="M47" s="118"/>
    </row>
    <row r="48" spans="1:13" ht="15.75" x14ac:dyDescent="0.2">
      <c r="A48" s="18" t="s">
        <v>334</v>
      </c>
      <c r="B48" s="226">
        <v>8485</v>
      </c>
      <c r="C48" s="227">
        <v>8970</v>
      </c>
      <c r="D48" s="204">
        <f t="shared" si="0"/>
        <v>5.7</v>
      </c>
      <c r="E48" s="23">
        <f>IFERROR(100/'Skjema total MA'!C48*C48,0)</f>
        <v>0.37287682666926253</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2:D2"/>
    <mergeCell ref="F2:H2"/>
    <mergeCell ref="J2:L2"/>
    <mergeCell ref="B4:D4"/>
    <mergeCell ref="F4:H4"/>
    <mergeCell ref="J4:L4"/>
    <mergeCell ref="B18:D18"/>
    <mergeCell ref="F18:H18"/>
    <mergeCell ref="J18:L18"/>
    <mergeCell ref="B19:D19"/>
    <mergeCell ref="F19:H19"/>
    <mergeCell ref="J19:L19"/>
    <mergeCell ref="D40:F40"/>
    <mergeCell ref="G40:I40"/>
    <mergeCell ref="J40:L40"/>
    <mergeCell ref="B42:D42"/>
    <mergeCell ref="F42:H42"/>
    <mergeCell ref="J42:L42"/>
    <mergeCell ref="B44:D44"/>
    <mergeCell ref="B62:D62"/>
    <mergeCell ref="F62:H62"/>
    <mergeCell ref="J62:L62"/>
    <mergeCell ref="B63:D63"/>
    <mergeCell ref="F63:H63"/>
    <mergeCell ref="J63:L63"/>
    <mergeCell ref="B130:D130"/>
    <mergeCell ref="F130:H130"/>
    <mergeCell ref="J130:L130"/>
    <mergeCell ref="B131:D131"/>
    <mergeCell ref="F131:H131"/>
    <mergeCell ref="J131:L131"/>
  </mergeCells>
  <conditionalFormatting sqref="A50:A52">
    <cfRule type="expression" dxfId="289" priority="7">
      <formula>kvartal &lt; 4</formula>
    </cfRule>
  </conditionalFormatting>
  <conditionalFormatting sqref="A69:A74">
    <cfRule type="expression" dxfId="288" priority="6">
      <formula>kvartal &lt; 4</formula>
    </cfRule>
  </conditionalFormatting>
  <conditionalFormatting sqref="A80:A85">
    <cfRule type="expression" dxfId="287" priority="5">
      <formula>kvartal &lt; 4</formula>
    </cfRule>
  </conditionalFormatting>
  <conditionalFormatting sqref="A90:A95">
    <cfRule type="expression" dxfId="286" priority="4">
      <formula>kvartal &lt; 4</formula>
    </cfRule>
  </conditionalFormatting>
  <conditionalFormatting sqref="A101:A106">
    <cfRule type="expression" dxfId="285" priority="3">
      <formula>kvartal &lt; 4</formula>
    </cfRule>
  </conditionalFormatting>
  <conditionalFormatting sqref="A115:C115">
    <cfRule type="expression" dxfId="284" priority="2">
      <formula>kvartal &lt; 4</formula>
    </cfRule>
  </conditionalFormatting>
  <conditionalFormatting sqref="A123:C123">
    <cfRule type="expression" dxfId="283" priority="1">
      <formula>kvartal &lt; 4</formula>
    </cfRule>
  </conditionalFormatting>
  <conditionalFormatting sqref="F115:G115">
    <cfRule type="expression" dxfId="282" priority="27">
      <formula>kvartal &lt; 4</formula>
    </cfRule>
  </conditionalFormatting>
  <conditionalFormatting sqref="F123:G123">
    <cfRule type="expression" dxfId="281" priority="26">
      <formula>kvartal &lt; 4</formula>
    </cfRule>
  </conditionalFormatting>
  <conditionalFormatting sqref="J115:K115">
    <cfRule type="expression" dxfId="280" priority="9">
      <formula>kvartal &lt; 4</formula>
    </cfRule>
  </conditionalFormatting>
  <conditionalFormatting sqref="J123:K123">
    <cfRule type="expression" dxfId="279" priority="8">
      <formula>kvartal &lt; 4</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6"/>
  <dimension ref="A1:N144"/>
  <sheetViews>
    <sheetView showGridLines="0" zoomScaleNormal="10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88</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123"/>
      <c r="M8" s="23"/>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c r="C47" s="251"/>
      <c r="D47" s="340"/>
      <c r="E47" s="8"/>
      <c r="F47" s="109"/>
      <c r="G47" s="27"/>
      <c r="H47" s="118"/>
      <c r="I47" s="118"/>
      <c r="J47" s="31"/>
      <c r="K47" s="31"/>
      <c r="L47" s="118"/>
      <c r="M47" s="118"/>
    </row>
    <row r="48" spans="1:13" ht="15.75" x14ac:dyDescent="0.2">
      <c r="A48" s="18" t="s">
        <v>334</v>
      </c>
      <c r="B48" s="226"/>
      <c r="C48" s="227"/>
      <c r="D48" s="204"/>
      <c r="E48" s="23"/>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v>908134</v>
      </c>
      <c r="C134" s="249">
        <v>908116</v>
      </c>
      <c r="D134" s="283">
        <f t="shared" ref="D134:D135" si="0">IF(B134=0, "    ---- ", IF(ABS(ROUND(100/B134*C134-100,1))&lt;999,ROUND(100/B134*C134-100,1),IF(ROUND(100/B134*C134-100,1)&gt;999,999,-999)))</f>
        <v>0</v>
      </c>
      <c r="E134" s="8">
        <f>IFERROR(100/'Skjema total MA'!C134*C134,0)</f>
        <v>9.6814850017413558</v>
      </c>
      <c r="F134" s="256"/>
      <c r="G134" s="257"/>
      <c r="H134" s="344"/>
      <c r="I134" s="21"/>
      <c r="J134" s="258">
        <f t="shared" ref="J134:K135" si="1">SUM(B134,F134)</f>
        <v>908134</v>
      </c>
      <c r="K134" s="258">
        <f t="shared" si="1"/>
        <v>908116</v>
      </c>
      <c r="L134" s="340">
        <f t="shared" ref="L134:L135" si="2">IF(J134=0, "    ---- ", IF(ABS(ROUND(100/J134*K134-100,1))&lt;999,ROUND(100/J134*K134-100,1),IF(ROUND(100/J134*K134-100,1)&gt;999,999,-999)))</f>
        <v>0</v>
      </c>
      <c r="M134" s="8">
        <f>IFERROR(100/'Skjema total MA'!I134*K134,0)</f>
        <v>9.6599309532243058</v>
      </c>
    </row>
    <row r="135" spans="1:14" ht="15.75" x14ac:dyDescent="0.2">
      <c r="A135" s="10" t="s">
        <v>350</v>
      </c>
      <c r="B135" s="183">
        <v>94317675</v>
      </c>
      <c r="C135" s="249">
        <v>97889000</v>
      </c>
      <c r="D135" s="127">
        <f t="shared" si="0"/>
        <v>3.8</v>
      </c>
      <c r="E135" s="8">
        <f>IFERROR(100/'Skjema total MA'!C135*C135,0)</f>
        <v>10.635836149872182</v>
      </c>
      <c r="F135" s="183"/>
      <c r="G135" s="249"/>
      <c r="H135" s="345"/>
      <c r="I135" s="21"/>
      <c r="J135" s="248">
        <f t="shared" si="1"/>
        <v>94317675</v>
      </c>
      <c r="K135" s="248">
        <f t="shared" si="1"/>
        <v>97889000</v>
      </c>
      <c r="L135" s="341">
        <f t="shared" si="2"/>
        <v>3.8</v>
      </c>
      <c r="M135" s="8">
        <f>IFERROR(100/'Skjema total MA'!I135*K135,0)</f>
        <v>10.602558198992616</v>
      </c>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278" priority="12">
      <formula>kvartal &lt; 4</formula>
    </cfRule>
  </conditionalFormatting>
  <conditionalFormatting sqref="A69:A74">
    <cfRule type="expression" dxfId="277" priority="10">
      <formula>kvartal &lt; 4</formula>
    </cfRule>
  </conditionalFormatting>
  <conditionalFormatting sqref="A80:A85">
    <cfRule type="expression" dxfId="276" priority="9">
      <formula>kvartal &lt; 4</formula>
    </cfRule>
  </conditionalFormatting>
  <conditionalFormatting sqref="A90:A95">
    <cfRule type="expression" dxfId="275" priority="6">
      <formula>kvartal &lt; 4</formula>
    </cfRule>
  </conditionalFormatting>
  <conditionalFormatting sqref="A101:A106">
    <cfRule type="expression" dxfId="274" priority="5">
      <formula>kvartal &lt; 4</formula>
    </cfRule>
  </conditionalFormatting>
  <conditionalFormatting sqref="A115:C115">
    <cfRule type="expression" dxfId="273" priority="4">
      <formula>kvartal &lt; 4</formula>
    </cfRule>
  </conditionalFormatting>
  <conditionalFormatting sqref="A123:C123">
    <cfRule type="expression" dxfId="272" priority="3">
      <formula>kvartal &lt; 4</formula>
    </cfRule>
  </conditionalFormatting>
  <conditionalFormatting sqref="F115:G115">
    <cfRule type="expression" dxfId="271" priority="57">
      <formula>kvartal &lt; 4</formula>
    </cfRule>
  </conditionalFormatting>
  <conditionalFormatting sqref="F123:G123">
    <cfRule type="expression" dxfId="270" priority="56">
      <formula>kvartal &lt; 4</formula>
    </cfRule>
  </conditionalFormatting>
  <conditionalFormatting sqref="J115:K115">
    <cfRule type="expression" dxfId="269" priority="32">
      <formula>kvartal &lt; 4</formula>
    </cfRule>
  </conditionalFormatting>
  <conditionalFormatting sqref="J123:K123">
    <cfRule type="expression" dxfId="268" priority="31">
      <formula>kvartal &lt; 4</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7"/>
  <dimension ref="A1:N144"/>
  <sheetViews>
    <sheetView showGridLines="0" zoomScaleNormal="10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322</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3779</v>
      </c>
      <c r="C7" s="247">
        <v>1213</v>
      </c>
      <c r="D7" s="283">
        <f>IF(B7=0, "    ---- ", IF(ABS(ROUND(100/B7*C7-100,1))&lt;999,ROUND(100/B7*C7-100,1),IF(ROUND(100/B7*C7-100,1)&gt;999,999,-999)))</f>
        <v>-67.900000000000006</v>
      </c>
      <c r="E7" s="8">
        <f>IFERROR(100/'Skjema total MA'!C7*C7,0)</f>
        <v>6.0417578028641568E-2</v>
      </c>
      <c r="F7" s="246"/>
      <c r="G7" s="247"/>
      <c r="H7" s="283"/>
      <c r="I7" s="119"/>
      <c r="J7" s="248">
        <f t="shared" ref="J7:K9" si="0">SUM(B7,F7)</f>
        <v>3779</v>
      </c>
      <c r="K7" s="249">
        <f t="shared" si="0"/>
        <v>1213</v>
      </c>
      <c r="L7" s="340">
        <f>IF(J7=0, "    ---- ", IF(ABS(ROUND(100/J7*K7-100,1))&lt;999,ROUND(100/J7*K7-100,1),IF(ROUND(100/J7*K7-100,1)&gt;999,999,-999)))</f>
        <v>-67.900000000000006</v>
      </c>
      <c r="M7" s="8">
        <f>IFERROR(100/'Skjema total MA'!I7*K7,0)</f>
        <v>2.4278552656950583E-2</v>
      </c>
    </row>
    <row r="8" spans="1:14" ht="15.75" x14ac:dyDescent="0.2">
      <c r="A8" s="18" t="s">
        <v>25</v>
      </c>
      <c r="B8" s="226">
        <v>0</v>
      </c>
      <c r="C8" s="227">
        <v>1091.7</v>
      </c>
      <c r="D8" s="123" t="str">
        <f t="shared" ref="D8:D9" si="1">IF(B8=0, "    ---- ", IF(ABS(ROUND(100/B8*C8-100,1))&lt;999,ROUND(100/B8*C8-100,1),IF(ROUND(100/B8*C8-100,1)&gt;999,999,-999)))</f>
        <v xml:space="preserve">    ---- </v>
      </c>
      <c r="E8" s="23">
        <f>IFERROR(100/'Skjema total MA'!C8*C8,0)</f>
        <v>7.9534059535623064E-2</v>
      </c>
      <c r="F8" s="230"/>
      <c r="G8" s="231"/>
      <c r="H8" s="123"/>
      <c r="I8" s="132"/>
      <c r="J8" s="181">
        <f t="shared" si="0"/>
        <v>0</v>
      </c>
      <c r="K8" s="232">
        <f t="shared" si="0"/>
        <v>1091.7</v>
      </c>
      <c r="L8" s="123" t="str">
        <f t="shared" ref="L8:L9" si="2">IF(J8=0, "    ---- ", IF(ABS(ROUND(100/J8*K8-100,1))&lt;999,ROUND(100/J8*K8-100,1),IF(ROUND(100/J8*K8-100,1)&gt;999,999,-999)))</f>
        <v xml:space="preserve">    ---- </v>
      </c>
      <c r="M8" s="23">
        <f>IFERROR(100/'Skjema total MA'!I8*K8,0)</f>
        <v>7.9534059535623064E-2</v>
      </c>
    </row>
    <row r="9" spans="1:14" ht="15.75" x14ac:dyDescent="0.2">
      <c r="A9" s="18" t="s">
        <v>24</v>
      </c>
      <c r="B9" s="226">
        <v>3779</v>
      </c>
      <c r="C9" s="227">
        <v>121.3</v>
      </c>
      <c r="D9" s="123">
        <f t="shared" si="1"/>
        <v>-96.8</v>
      </c>
      <c r="E9" s="23">
        <f>IFERROR(100/'Skjema total MA'!C9*C9,0)</f>
        <v>2.8473371746431553E-2</v>
      </c>
      <c r="F9" s="230"/>
      <c r="G9" s="231"/>
      <c r="H9" s="123"/>
      <c r="I9" s="132"/>
      <c r="J9" s="181">
        <f t="shared" si="0"/>
        <v>3779</v>
      </c>
      <c r="K9" s="232">
        <f t="shared" si="0"/>
        <v>121.3</v>
      </c>
      <c r="L9" s="123">
        <f t="shared" si="2"/>
        <v>-96.8</v>
      </c>
      <c r="M9" s="23">
        <f>IFERROR(100/'Skjema total MA'!I9*K9,0)</f>
        <v>2.8473371746431553E-2</v>
      </c>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265128</v>
      </c>
      <c r="C47" s="251">
        <v>317316</v>
      </c>
      <c r="D47" s="340">
        <f t="shared" ref="D47:D48" si="3">IF(B47=0, "    ---- ", IF(ABS(ROUND(100/B47*C47-100,1))&lt;999,ROUND(100/B47*C47-100,1),IF(ROUND(100/B47*C47-100,1)&gt;999,999,-999)))</f>
        <v>19.7</v>
      </c>
      <c r="E47" s="8">
        <f>IFERROR(100/'Skjema total MA'!C47*C47,0)</f>
        <v>7.1609232660253195</v>
      </c>
      <c r="F47" s="109"/>
      <c r="G47" s="27"/>
      <c r="H47" s="118"/>
      <c r="I47" s="118"/>
      <c r="J47" s="31"/>
      <c r="K47" s="31"/>
      <c r="L47" s="118"/>
      <c r="M47" s="118"/>
    </row>
    <row r="48" spans="1:13" ht="15.75" x14ac:dyDescent="0.2">
      <c r="A48" s="18" t="s">
        <v>334</v>
      </c>
      <c r="B48" s="226">
        <v>265128</v>
      </c>
      <c r="C48" s="227">
        <v>317316</v>
      </c>
      <c r="D48" s="204">
        <f t="shared" si="3"/>
        <v>19.7</v>
      </c>
      <c r="E48" s="23">
        <f>IFERROR(100/'Skjema total MA'!C48*C48,0)</f>
        <v>13.190611274401752</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2:D2"/>
    <mergeCell ref="F2:H2"/>
    <mergeCell ref="J2:L2"/>
    <mergeCell ref="B4:D4"/>
    <mergeCell ref="F4:H4"/>
    <mergeCell ref="J4:L4"/>
    <mergeCell ref="B18:D18"/>
    <mergeCell ref="F18:H18"/>
    <mergeCell ref="J18:L18"/>
    <mergeCell ref="B19:D19"/>
    <mergeCell ref="F19:H19"/>
    <mergeCell ref="J19:L19"/>
    <mergeCell ref="D40:F40"/>
    <mergeCell ref="G40:I40"/>
    <mergeCell ref="J40:L40"/>
    <mergeCell ref="B42:D42"/>
    <mergeCell ref="F42:H42"/>
    <mergeCell ref="J42:L42"/>
    <mergeCell ref="B44:D44"/>
    <mergeCell ref="B62:D62"/>
    <mergeCell ref="F62:H62"/>
    <mergeCell ref="J62:L62"/>
    <mergeCell ref="B63:D63"/>
    <mergeCell ref="F63:H63"/>
    <mergeCell ref="J63:L63"/>
    <mergeCell ref="B130:D130"/>
    <mergeCell ref="F130:H130"/>
    <mergeCell ref="J130:L130"/>
    <mergeCell ref="B131:D131"/>
    <mergeCell ref="F131:H131"/>
    <mergeCell ref="J131:L131"/>
  </mergeCells>
  <conditionalFormatting sqref="A50:A52">
    <cfRule type="expression" dxfId="267" priority="8">
      <formula>kvartal &lt; 4</formula>
    </cfRule>
  </conditionalFormatting>
  <conditionalFormatting sqref="A69:A74">
    <cfRule type="expression" dxfId="266" priority="7">
      <formula>kvartal &lt; 4</formula>
    </cfRule>
  </conditionalFormatting>
  <conditionalFormatting sqref="A80:A85">
    <cfRule type="expression" dxfId="265" priority="6">
      <formula>kvartal &lt; 4</formula>
    </cfRule>
  </conditionalFormatting>
  <conditionalFormatting sqref="A90:A95">
    <cfRule type="expression" dxfId="264" priority="5">
      <formula>kvartal &lt; 4</formula>
    </cfRule>
  </conditionalFormatting>
  <conditionalFormatting sqref="A101:A106">
    <cfRule type="expression" dxfId="263" priority="4">
      <formula>kvartal &lt; 4</formula>
    </cfRule>
  </conditionalFormatting>
  <conditionalFormatting sqref="A115:C115">
    <cfRule type="expression" dxfId="262" priority="3">
      <formula>kvartal &lt; 4</formula>
    </cfRule>
  </conditionalFormatting>
  <conditionalFormatting sqref="A123:C123">
    <cfRule type="expression" dxfId="261" priority="2">
      <formula>kvartal &lt; 4</formula>
    </cfRule>
  </conditionalFormatting>
  <conditionalFormatting sqref="F115:G115">
    <cfRule type="expression" dxfId="260" priority="30">
      <formula>kvartal &lt; 4</formula>
    </cfRule>
  </conditionalFormatting>
  <conditionalFormatting sqref="F123:G123">
    <cfRule type="expression" dxfId="259" priority="29">
      <formula>kvartal &lt; 4</formula>
    </cfRule>
  </conditionalFormatting>
  <conditionalFormatting sqref="J115:K115">
    <cfRule type="expression" dxfId="258" priority="12">
      <formula>kvartal &lt; 4</formula>
    </cfRule>
  </conditionalFormatting>
  <conditionalFormatting sqref="J123:K123">
    <cfRule type="expression" dxfId="257" priority="11">
      <formula>kvartal &lt; 4</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9"/>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122</v>
      </c>
    </row>
    <row r="2" spans="1:14" ht="15.75" x14ac:dyDescent="0.25">
      <c r="A2" s="110" t="s">
        <v>28</v>
      </c>
      <c r="B2" s="577"/>
      <c r="C2" s="577"/>
      <c r="D2" s="577"/>
      <c r="E2" s="240"/>
      <c r="F2" s="579"/>
      <c r="G2" s="579"/>
      <c r="H2" s="579"/>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1070.1621700000001</v>
      </c>
      <c r="C7" s="247">
        <v>821.04242999999997</v>
      </c>
      <c r="D7" s="283">
        <f>IF(B7=0, "    ---- ", IF(ABS(ROUND(100/B7*C7-100,1))&lt;999,ROUND(100/B7*C7-100,1),IF(ROUND(100/B7*C7-100,1)&gt;999,999,-999)))</f>
        <v>-23.3</v>
      </c>
      <c r="E7" s="8">
        <f>IFERROR(100/'Skjema total MA'!C7*C7,0)</f>
        <v>4.089480220886272E-2</v>
      </c>
      <c r="F7" s="246">
        <v>189812.77585000001</v>
      </c>
      <c r="G7" s="247">
        <v>193308.59813</v>
      </c>
      <c r="H7" s="283">
        <f>IF(F7=0, "    ---- ", IF(ABS(ROUND(100/F7*G7-100,1))&lt;999,ROUND(100/F7*G7-100,1),IF(ROUND(100/F7*G7-100,1)&gt;999,999,-999)))</f>
        <v>1.8</v>
      </c>
      <c r="I7" s="119">
        <f>IFERROR(100/'Skjema total MA'!F7*G7,0)</f>
        <v>6.4684472267476139</v>
      </c>
      <c r="J7" s="248">
        <f t="shared" ref="J7:K12" si="0">SUM(B7,F7)</f>
        <v>190882.93802</v>
      </c>
      <c r="K7" s="249">
        <f t="shared" si="0"/>
        <v>194129.64056</v>
      </c>
      <c r="L7" s="340">
        <f>IF(J7=0, "    ---- ", IF(ABS(ROUND(100/J7*K7-100,1))&lt;999,ROUND(100/J7*K7-100,1),IF(ROUND(100/J7*K7-100,1)&gt;999,999,-999)))</f>
        <v>1.7</v>
      </c>
      <c r="M7" s="8">
        <f>IFERROR(100/'Skjema total MA'!I7*K7,0)</f>
        <v>3.8855619955571719</v>
      </c>
    </row>
    <row r="8" spans="1:14" ht="15.75" x14ac:dyDescent="0.2">
      <c r="A8" s="18" t="s">
        <v>25</v>
      </c>
      <c r="B8" s="226">
        <v>1069.69614</v>
      </c>
      <c r="C8" s="227">
        <v>966.24309000000005</v>
      </c>
      <c r="D8" s="123">
        <f t="shared" ref="D8:D10" si="1">IF(B8=0, "    ---- ", IF(ABS(ROUND(100/B8*C8-100,1))&lt;999,ROUND(100/B8*C8-100,1),IF(ROUND(100/B8*C8-100,1)&gt;999,999,-999)))</f>
        <v>-9.6999999999999993</v>
      </c>
      <c r="E8" s="23">
        <f>IFERROR(100/'Skjema total MA'!C8*C8,0)</f>
        <v>7.039409677195603E-2</v>
      </c>
      <c r="F8" s="230"/>
      <c r="G8" s="231"/>
      <c r="H8" s="123"/>
      <c r="I8" s="132"/>
      <c r="J8" s="181">
        <f t="shared" si="0"/>
        <v>1069.69614</v>
      </c>
      <c r="K8" s="232">
        <f t="shared" si="0"/>
        <v>966.24309000000005</v>
      </c>
      <c r="L8" s="123">
        <f t="shared" ref="L8:L9" si="2">IF(J8=0, "    ---- ", IF(ABS(ROUND(100/J8*K8-100,1))&lt;999,ROUND(100/J8*K8-100,1),IF(ROUND(100/J8*K8-100,1)&gt;999,999,-999)))</f>
        <v>-9.6999999999999993</v>
      </c>
      <c r="M8" s="23">
        <f>IFERROR(100/'Skjema total MA'!I8*K8,0)</f>
        <v>7.039409677195603E-2</v>
      </c>
    </row>
    <row r="9" spans="1:14" ht="15.75" x14ac:dyDescent="0.2">
      <c r="A9" s="18" t="s">
        <v>24</v>
      </c>
      <c r="B9" s="226">
        <v>411.47877</v>
      </c>
      <c r="C9" s="227">
        <v>333.40417000000002</v>
      </c>
      <c r="D9" s="123">
        <f t="shared" si="1"/>
        <v>-19</v>
      </c>
      <c r="E9" s="23">
        <f>IFERROR(100/'Skjema total MA'!C9*C9,0)</f>
        <v>7.8261672499756504E-2</v>
      </c>
      <c r="F9" s="230"/>
      <c r="G9" s="231"/>
      <c r="H9" s="123"/>
      <c r="I9" s="132"/>
      <c r="J9" s="181">
        <f t="shared" si="0"/>
        <v>411.47877</v>
      </c>
      <c r="K9" s="232">
        <f t="shared" si="0"/>
        <v>333.40417000000002</v>
      </c>
      <c r="L9" s="123">
        <f t="shared" si="2"/>
        <v>-19</v>
      </c>
      <c r="M9" s="23">
        <f>IFERROR(100/'Skjema total MA'!I9*K9,0)</f>
        <v>7.8261672499756504E-2</v>
      </c>
    </row>
    <row r="10" spans="1:14" ht="15.75" x14ac:dyDescent="0.2">
      <c r="A10" s="10" t="s">
        <v>323</v>
      </c>
      <c r="B10" s="250">
        <v>322318.71309999999</v>
      </c>
      <c r="C10" s="251">
        <v>273097.32526000001</v>
      </c>
      <c r="D10" s="127">
        <f t="shared" si="1"/>
        <v>-15.3</v>
      </c>
      <c r="E10" s="8">
        <f>IFERROR(100/'Skjema total MA'!C10*C10,0)</f>
        <v>2.1583276590275644</v>
      </c>
      <c r="F10" s="250">
        <v>5774288.4236700004</v>
      </c>
      <c r="G10" s="251">
        <v>6407110.0963599999</v>
      </c>
      <c r="H10" s="127">
        <f t="shared" ref="H10:H12" si="3">IF(F10=0, "    ---- ", IF(ABS(ROUND(100/F10*G10-100,1))&lt;999,ROUND(100/F10*G10-100,1),IF(ROUND(100/F10*G10-100,1)&gt;999,999,-999)))</f>
        <v>11</v>
      </c>
      <c r="I10" s="119">
        <f>IFERROR(100/'Skjema total MA'!F10*G10,0)</f>
        <v>6.7792796661773762</v>
      </c>
      <c r="J10" s="248">
        <f t="shared" si="0"/>
        <v>6096607.1367700007</v>
      </c>
      <c r="K10" s="249">
        <f t="shared" si="0"/>
        <v>6680207.4216200002</v>
      </c>
      <c r="L10" s="341">
        <f t="shared" ref="L10:L12" si="4">IF(J10=0, "    ---- ", IF(ABS(ROUND(100/J10*K10-100,1))&lt;999,ROUND(100/J10*K10-100,1),IF(ROUND(100/J10*K10-100,1)&gt;999,999,-999)))</f>
        <v>9.6</v>
      </c>
      <c r="M10" s="8">
        <f>IFERROR(100/'Skjema total MA'!I10*K10,0)</f>
        <v>6.2336661500514818</v>
      </c>
    </row>
    <row r="11" spans="1:14" s="35" customFormat="1" ht="15.75" x14ac:dyDescent="0.2">
      <c r="A11" s="10" t="s">
        <v>324</v>
      </c>
      <c r="B11" s="250"/>
      <c r="C11" s="251"/>
      <c r="D11" s="127"/>
      <c r="E11" s="8"/>
      <c r="F11" s="250">
        <v>17288.039499999999</v>
      </c>
      <c r="G11" s="251">
        <v>13721.81581</v>
      </c>
      <c r="H11" s="127">
        <f t="shared" si="3"/>
        <v>-20.6</v>
      </c>
      <c r="I11" s="119">
        <f>IFERROR(100/'Skjema total MA'!F11*G11,0)</f>
        <v>8.4424917579530874</v>
      </c>
      <c r="J11" s="248">
        <f t="shared" si="0"/>
        <v>17288.039499999999</v>
      </c>
      <c r="K11" s="249">
        <f t="shared" si="0"/>
        <v>13721.81581</v>
      </c>
      <c r="L11" s="341">
        <f t="shared" si="4"/>
        <v>-20.6</v>
      </c>
      <c r="M11" s="8">
        <f>IFERROR(100/'Skjema total MA'!I11*K11,0)</f>
        <v>8.4424917579530874</v>
      </c>
      <c r="N11" s="107"/>
    </row>
    <row r="12" spans="1:14" s="35" customFormat="1" ht="15.75" x14ac:dyDescent="0.2">
      <c r="A12" s="33" t="s">
        <v>325</v>
      </c>
      <c r="B12" s="252"/>
      <c r="C12" s="253"/>
      <c r="D12" s="125"/>
      <c r="E12" s="30"/>
      <c r="F12" s="252">
        <v>14152.44558</v>
      </c>
      <c r="G12" s="253">
        <v>7123.0036399999999</v>
      </c>
      <c r="H12" s="125">
        <f t="shared" si="3"/>
        <v>-49.7</v>
      </c>
      <c r="I12" s="125">
        <f>IFERROR(100/'Skjema total MA'!F12*G12,0)</f>
        <v>3.2688329329199979</v>
      </c>
      <c r="J12" s="254">
        <f t="shared" si="0"/>
        <v>14152.44558</v>
      </c>
      <c r="K12" s="255">
        <f t="shared" si="0"/>
        <v>7123.0036399999999</v>
      </c>
      <c r="L12" s="342">
        <f t="shared" si="4"/>
        <v>-49.7</v>
      </c>
      <c r="M12" s="30">
        <f>IFERROR(100/'Skjema total MA'!I12*K12,0)</f>
        <v>3.2688329329199979</v>
      </c>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946.09915000000001</v>
      </c>
      <c r="C22" s="250">
        <v>1480.2568799999999</v>
      </c>
      <c r="D22" s="283">
        <f t="shared" ref="D22:D35" si="5">IF(B22=0, "    ---- ", IF(ABS(ROUND(100/B22*C22-100,1))&lt;999,ROUND(100/B22*C22-100,1),IF(ROUND(100/B22*C22-100,1)&gt;999,999,-999)))</f>
        <v>56.5</v>
      </c>
      <c r="E22" s="8">
        <f>IFERROR(100/'Skjema total MA'!C22*C22,0)</f>
        <v>0.14911754211994088</v>
      </c>
      <c r="F22" s="258">
        <v>91953.556960000002</v>
      </c>
      <c r="G22" s="258">
        <v>116382.21334</v>
      </c>
      <c r="H22" s="283">
        <f t="shared" ref="H22:H35" si="6">IF(F22=0, "    ---- ", IF(ABS(ROUND(100/F22*G22-100,1))&lt;999,ROUND(100/F22*G22-100,1),IF(ROUND(100/F22*G22-100,1)&gt;999,999,-999)))</f>
        <v>26.6</v>
      </c>
      <c r="I22" s="8">
        <f>IFERROR(100/'Skjema total MA'!F22*G22,0)</f>
        <v>40.476914836022317</v>
      </c>
      <c r="J22" s="256">
        <f t="shared" ref="J22:K35" si="7">SUM(B22,F22)</f>
        <v>92899.656109999996</v>
      </c>
      <c r="K22" s="256">
        <f t="shared" si="7"/>
        <v>117862.47022</v>
      </c>
      <c r="L22" s="340">
        <f t="shared" ref="L22:L35" si="8">IF(J22=0, "    ---- ", IF(ABS(ROUND(100/J22*K22-100,1))&lt;999,ROUND(100/J22*K22-100,1),IF(ROUND(100/J22*K22-100,1)&gt;999,999,-999)))</f>
        <v>26.9</v>
      </c>
      <c r="M22" s="21">
        <f>IFERROR(100/'Skjema total MA'!I22*K22,0)</f>
        <v>9.2065290053014355</v>
      </c>
    </row>
    <row r="23" spans="1:13" ht="15.75" x14ac:dyDescent="0.2">
      <c r="A23" s="381" t="s">
        <v>326</v>
      </c>
      <c r="B23" s="226">
        <v>945.15134</v>
      </c>
      <c r="C23" s="226">
        <v>1479.30907</v>
      </c>
      <c r="D23" s="123">
        <f t="shared" si="5"/>
        <v>56.5</v>
      </c>
      <c r="E23" s="8">
        <f>IFERROR(100/'Skjema total MA'!C23*C23,0)</f>
        <v>0.20268506496886235</v>
      </c>
      <c r="F23" s="235">
        <v>1323.6502599999999</v>
      </c>
      <c r="G23" s="235">
        <v>1637.3214599999999</v>
      </c>
      <c r="H23" s="123">
        <f t="shared" si="6"/>
        <v>23.7</v>
      </c>
      <c r="I23" s="333">
        <f>IFERROR(100/'Skjema total MA'!F23*G23,0)</f>
        <v>15.394177124129715</v>
      </c>
      <c r="J23" s="235">
        <f t="shared" ref="J23:J26" si="9">SUM(B23,F23)</f>
        <v>2268.8015999999998</v>
      </c>
      <c r="K23" s="235">
        <f t="shared" ref="K23:K26" si="10">SUM(C23,G23)</f>
        <v>3116.6305299999999</v>
      </c>
      <c r="L23" s="123">
        <f t="shared" si="8"/>
        <v>37.4</v>
      </c>
      <c r="M23" s="20">
        <f>IFERROR(100/'Skjema total MA'!I23*K23,0)</f>
        <v>0.42088647770101306</v>
      </c>
    </row>
    <row r="24" spans="1:13" ht="15.75" x14ac:dyDescent="0.2">
      <c r="A24" s="381" t="s">
        <v>327</v>
      </c>
      <c r="B24" s="226">
        <v>0.94781000000000004</v>
      </c>
      <c r="C24" s="226">
        <v>0.94781000000000004</v>
      </c>
      <c r="D24" s="123">
        <f t="shared" si="5"/>
        <v>0</v>
      </c>
      <c r="E24" s="8">
        <f>IFERROR(100/'Skjema total MA'!C24*C24,0)</f>
        <v>1.9954238026113593E-2</v>
      </c>
      <c r="F24" s="235">
        <v>0</v>
      </c>
      <c r="G24" s="235">
        <v>3.6549700000000001</v>
      </c>
      <c r="H24" s="123" t="str">
        <f t="shared" si="6"/>
        <v xml:space="preserve">    ---- </v>
      </c>
      <c r="I24" s="333">
        <f>IFERROR(100/'Skjema total MA'!F24*G24,0)</f>
        <v>54.920908734374457</v>
      </c>
      <c r="J24" s="235">
        <f t="shared" si="9"/>
        <v>0.94781000000000004</v>
      </c>
      <c r="K24" s="235">
        <f t="shared" si="10"/>
        <v>4.6027800000000001</v>
      </c>
      <c r="L24" s="123">
        <f t="shared" si="8"/>
        <v>385.6</v>
      </c>
      <c r="M24" s="20">
        <f>IFERROR(100/'Skjema total MA'!I24*K24,0)</f>
        <v>9.6766721678049394E-2</v>
      </c>
    </row>
    <row r="25" spans="1:13" ht="15.75" x14ac:dyDescent="0.2">
      <c r="A25" s="381" t="s">
        <v>328</v>
      </c>
      <c r="B25" s="226"/>
      <c r="C25" s="226"/>
      <c r="D25" s="123"/>
      <c r="E25" s="8"/>
      <c r="F25" s="235">
        <v>1194.2044599999999</v>
      </c>
      <c r="G25" s="235">
        <v>1461.1452899999999</v>
      </c>
      <c r="H25" s="123">
        <f t="shared" si="6"/>
        <v>22.4</v>
      </c>
      <c r="I25" s="333">
        <f>IFERROR(100/'Skjema total MA'!F25*G25,0)</f>
        <v>43.042852847121935</v>
      </c>
      <c r="J25" s="235">
        <f t="shared" si="9"/>
        <v>1194.2044599999999</v>
      </c>
      <c r="K25" s="235">
        <f t="shared" si="10"/>
        <v>1461.1452899999999</v>
      </c>
      <c r="L25" s="123">
        <f t="shared" si="8"/>
        <v>22.4</v>
      </c>
      <c r="M25" s="20">
        <f>IFERROR(100/'Skjema total MA'!I25*K25,0)</f>
        <v>16.189115758305618</v>
      </c>
    </row>
    <row r="26" spans="1:13" ht="15.75" x14ac:dyDescent="0.2">
      <c r="A26" s="381" t="s">
        <v>329</v>
      </c>
      <c r="B26" s="226"/>
      <c r="C26" s="226"/>
      <c r="D26" s="123"/>
      <c r="E26" s="8"/>
      <c r="F26" s="235">
        <v>89435.702239999999</v>
      </c>
      <c r="G26" s="235">
        <v>113280.09162000001</v>
      </c>
      <c r="H26" s="123">
        <f t="shared" si="6"/>
        <v>26.7</v>
      </c>
      <c r="I26" s="333">
        <f>IFERROR(100/'Skjema total MA'!F26*G26,0)</f>
        <v>41.42017722112714</v>
      </c>
      <c r="J26" s="235">
        <f t="shared" si="9"/>
        <v>89435.702239999999</v>
      </c>
      <c r="K26" s="235">
        <f t="shared" si="10"/>
        <v>113280.09162000001</v>
      </c>
      <c r="L26" s="123">
        <f t="shared" si="8"/>
        <v>26.7</v>
      </c>
      <c r="M26" s="20">
        <f>IFERROR(100/'Skjema total MA'!I26*K26,0)</f>
        <v>41.42017722112714</v>
      </c>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v>2557927.2523099999</v>
      </c>
      <c r="C29" s="183">
        <v>2450024.4079499999</v>
      </c>
      <c r="D29" s="127">
        <f t="shared" si="5"/>
        <v>-4.2</v>
      </c>
      <c r="E29" s="8">
        <f>IFERROR(100/'Skjema total MA'!C29*C29,0)</f>
        <v>5.5674684570496051</v>
      </c>
      <c r="F29" s="248">
        <v>4796516.85953</v>
      </c>
      <c r="G29" s="248">
        <v>5202302.3294200003</v>
      </c>
      <c r="H29" s="127">
        <f t="shared" si="6"/>
        <v>8.5</v>
      </c>
      <c r="I29" s="8">
        <f>IFERROR(100/'Skjema total MA'!F29*G29,0)</f>
        <v>18.186306047934213</v>
      </c>
      <c r="J29" s="183">
        <f t="shared" si="7"/>
        <v>7354444.1118400004</v>
      </c>
      <c r="K29" s="183">
        <f t="shared" si="7"/>
        <v>7652326.7373700002</v>
      </c>
      <c r="L29" s="341">
        <f t="shared" si="8"/>
        <v>4.0999999999999996</v>
      </c>
      <c r="M29" s="21">
        <f>IFERROR(100/'Skjema total MA'!I29*K29,0)</f>
        <v>10.538699741370461</v>
      </c>
    </row>
    <row r="30" spans="1:13" ht="15.75" x14ac:dyDescent="0.2">
      <c r="A30" s="381" t="s">
        <v>326</v>
      </c>
      <c r="B30" s="226">
        <v>1467462.4737579599</v>
      </c>
      <c r="C30" s="226">
        <v>1405559.47211198</v>
      </c>
      <c r="D30" s="123">
        <f t="shared" si="5"/>
        <v>-4.2</v>
      </c>
      <c r="E30" s="8">
        <f>IFERROR(100/'Skjema total MA'!C30*C30,0)</f>
        <v>7.4935004959536258</v>
      </c>
      <c r="F30" s="235">
        <v>653323.94098999898</v>
      </c>
      <c r="G30" s="235">
        <v>614912.37034999905</v>
      </c>
      <c r="H30" s="123">
        <f t="shared" si="6"/>
        <v>-5.9</v>
      </c>
      <c r="I30" s="333">
        <f>IFERROR(100/'Skjema total MA'!F30*G30,0)</f>
        <v>17.248538546188275</v>
      </c>
      <c r="J30" s="235">
        <f t="shared" ref="J30:J33" si="11">SUM(B30,F30)</f>
        <v>2120786.414747959</v>
      </c>
      <c r="K30" s="235">
        <f t="shared" ref="K30:K33" si="12">SUM(C30,G30)</f>
        <v>2020471.842461979</v>
      </c>
      <c r="L30" s="123">
        <f t="shared" si="8"/>
        <v>-4.7</v>
      </c>
      <c r="M30" s="20">
        <f>IFERROR(100/'Skjema total MA'!I30*K30,0)</f>
        <v>9.0514581077308627</v>
      </c>
    </row>
    <row r="31" spans="1:13" ht="15.75" x14ac:dyDescent="0.2">
      <c r="A31" s="381" t="s">
        <v>327</v>
      </c>
      <c r="B31" s="226">
        <v>1090464.77855204</v>
      </c>
      <c r="C31" s="226">
        <v>1044464.9358380201</v>
      </c>
      <c r="D31" s="123">
        <f t="shared" si="5"/>
        <v>-4.2</v>
      </c>
      <c r="E31" s="8">
        <f>IFERROR(100/'Skjema total MA'!C31*C31,0)</f>
        <v>4.5901776804324879</v>
      </c>
      <c r="F31" s="235">
        <v>827980.61554999999</v>
      </c>
      <c r="G31" s="235">
        <v>769636.27049999905</v>
      </c>
      <c r="H31" s="123">
        <f t="shared" si="6"/>
        <v>-7</v>
      </c>
      <c r="I31" s="333">
        <f>IFERROR(100/'Skjema total MA'!F31*G31,0)</f>
        <v>10.809938687139645</v>
      </c>
      <c r="J31" s="235">
        <f t="shared" si="11"/>
        <v>1918445.39410204</v>
      </c>
      <c r="K31" s="235">
        <f t="shared" si="12"/>
        <v>1814101.2063380191</v>
      </c>
      <c r="L31" s="123">
        <f t="shared" si="8"/>
        <v>-5.4</v>
      </c>
      <c r="M31" s="20">
        <f>IFERROR(100/'Skjema total MA'!I31*K31,0)</f>
        <v>6.0724970943850121</v>
      </c>
    </row>
    <row r="32" spans="1:13" ht="15.75" x14ac:dyDescent="0.2">
      <c r="A32" s="381" t="s">
        <v>328</v>
      </c>
      <c r="B32" s="226"/>
      <c r="C32" s="226"/>
      <c r="D32" s="123"/>
      <c r="E32" s="8"/>
      <c r="F32" s="235">
        <v>661264.71502999996</v>
      </c>
      <c r="G32" s="235">
        <v>709975.17327999906</v>
      </c>
      <c r="H32" s="123">
        <f t="shared" si="6"/>
        <v>7.4</v>
      </c>
      <c r="I32" s="333">
        <f>IFERROR(100/'Skjema total MA'!F32*G32,0)</f>
        <v>10.842686971994819</v>
      </c>
      <c r="J32" s="235">
        <f t="shared" si="11"/>
        <v>661264.71502999996</v>
      </c>
      <c r="K32" s="235">
        <f t="shared" si="12"/>
        <v>709975.17327999906</v>
      </c>
      <c r="L32" s="123">
        <f t="shared" si="8"/>
        <v>7.4</v>
      </c>
      <c r="M32" s="20">
        <f>IFERROR(100/'Skjema total MA'!I32*K32,0)</f>
        <v>7.9806514703092937</v>
      </c>
    </row>
    <row r="33" spans="1:13" ht="15.75" x14ac:dyDescent="0.2">
      <c r="A33" s="381" t="s">
        <v>329</v>
      </c>
      <c r="B33" s="226"/>
      <c r="C33" s="226"/>
      <c r="D33" s="123"/>
      <c r="E33" s="8"/>
      <c r="F33" s="235">
        <v>2653947.5879600001</v>
      </c>
      <c r="G33" s="235">
        <v>3107778.51529</v>
      </c>
      <c r="H33" s="123">
        <f t="shared" si="6"/>
        <v>17.100000000000001</v>
      </c>
      <c r="I33" s="333">
        <f>IFERROR(100/'Skjema total MA'!F34*G33,0)</f>
        <v>-2977.7151210379052</v>
      </c>
      <c r="J33" s="235">
        <f t="shared" si="11"/>
        <v>2653947.5879600001</v>
      </c>
      <c r="K33" s="235">
        <f t="shared" si="12"/>
        <v>3107778.51529</v>
      </c>
      <c r="L33" s="123">
        <f t="shared" si="8"/>
        <v>17.100000000000001</v>
      </c>
      <c r="M33" s="20">
        <f>IFERROR(100/'Skjema total MA'!I34*K33,0)</f>
        <v>-3152.8439062645693</v>
      </c>
    </row>
    <row r="34" spans="1:13" ht="15.75" x14ac:dyDescent="0.2">
      <c r="A34" s="10" t="s">
        <v>324</v>
      </c>
      <c r="B34" s="183"/>
      <c r="C34" s="249">
        <v>149.44933</v>
      </c>
      <c r="D34" s="127" t="str">
        <f t="shared" si="5"/>
        <v xml:space="preserve">    ---- </v>
      </c>
      <c r="E34" s="8">
        <f>IFERROR(100/'Skjema total MA'!C34*C34,0)</f>
        <v>2.5779351808558486</v>
      </c>
      <c r="F34" s="248">
        <v>18010.218659999999</v>
      </c>
      <c r="G34" s="249">
        <v>16621.423439999999</v>
      </c>
      <c r="H34" s="127">
        <f t="shared" si="6"/>
        <v>-7.7</v>
      </c>
      <c r="I34" s="8">
        <f>IFERROR(100/'Skjema total MA'!F34*G34,0)</f>
        <v>-15.92580155469779</v>
      </c>
      <c r="J34" s="183">
        <f t="shared" si="7"/>
        <v>18010.218659999999</v>
      </c>
      <c r="K34" s="183">
        <f t="shared" si="7"/>
        <v>16770.872769999998</v>
      </c>
      <c r="L34" s="341">
        <f t="shared" si="8"/>
        <v>-6.9</v>
      </c>
      <c r="M34" s="21">
        <f>IFERROR(100/'Skjema total MA'!I34*K34,0)</f>
        <v>-17.014064469359013</v>
      </c>
    </row>
    <row r="35" spans="1:13" ht="15.75" x14ac:dyDescent="0.2">
      <c r="A35" s="10" t="s">
        <v>325</v>
      </c>
      <c r="B35" s="183"/>
      <c r="C35" s="249">
        <v>169.25630000000001</v>
      </c>
      <c r="D35" s="127" t="str">
        <f t="shared" si="5"/>
        <v xml:space="preserve">    ---- </v>
      </c>
      <c r="E35" s="8">
        <f>IFERROR(100/'Skjema total MA'!C35*C35,0)</f>
        <v>-0.11355381633243188</v>
      </c>
      <c r="F35" s="248">
        <v>10109.09734</v>
      </c>
      <c r="G35" s="249">
        <v>9083.1576800000003</v>
      </c>
      <c r="H35" s="127">
        <f t="shared" si="6"/>
        <v>-10.1</v>
      </c>
      <c r="I35" s="8">
        <f>IFERROR(100/'Skjema total MA'!F35*G35,0)</f>
        <v>13.192104322102882</v>
      </c>
      <c r="J35" s="183">
        <f t="shared" si="7"/>
        <v>10109.09734</v>
      </c>
      <c r="K35" s="183">
        <f t="shared" si="7"/>
        <v>9252.4139800000012</v>
      </c>
      <c r="L35" s="341">
        <f t="shared" si="8"/>
        <v>-8.5</v>
      </c>
      <c r="M35" s="21">
        <f>IFERROR(100/'Skjema total MA'!I35*K35,0)</f>
        <v>-11.536555875840243</v>
      </c>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c r="C47" s="251"/>
      <c r="D47" s="340"/>
      <c r="E47" s="8"/>
      <c r="F47" s="109"/>
      <c r="G47" s="27"/>
      <c r="H47" s="118"/>
      <c r="I47" s="118"/>
      <c r="J47" s="31"/>
      <c r="K47" s="31"/>
      <c r="L47" s="118"/>
      <c r="M47" s="118"/>
    </row>
    <row r="48" spans="1:13" ht="15.75" x14ac:dyDescent="0.2">
      <c r="A48" s="18" t="s">
        <v>334</v>
      </c>
      <c r="B48" s="226"/>
      <c r="C48" s="227"/>
      <c r="D48" s="204"/>
      <c r="E48" s="23"/>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v>280524.96312999999</v>
      </c>
      <c r="C66" s="286">
        <v>285513.54829999997</v>
      </c>
      <c r="D66" s="283">
        <f t="shared" ref="D66:D111" si="13">IF(B66=0, "    ---- ", IF(ABS(ROUND(100/B66*C66-100,1))&lt;999,ROUND(100/B66*C66-100,1),IF(ROUND(100/B66*C66-100,1)&gt;999,999,-999)))</f>
        <v>1.8</v>
      </c>
      <c r="E66" s="8">
        <f>IFERROR(100/'Skjema total MA'!C66*C66,0)</f>
        <v>9.6940283957167708</v>
      </c>
      <c r="F66" s="285">
        <v>1558056.64784</v>
      </c>
      <c r="G66" s="285">
        <v>1786404.1542499999</v>
      </c>
      <c r="H66" s="283">
        <f t="shared" ref="H66:H111" si="14">IF(F66=0, "    ---- ", IF(ABS(ROUND(100/F66*G66-100,1))&lt;999,ROUND(100/F66*G66-100,1),IF(ROUND(100/F66*G66-100,1)&gt;999,999,-999)))</f>
        <v>14.7</v>
      </c>
      <c r="I66" s="8">
        <f>IFERROR(100/'Skjema total MA'!F66*G66,0)</f>
        <v>12.256884653914859</v>
      </c>
      <c r="J66" s="249">
        <f t="shared" ref="J66:K86" si="15">SUM(B66,F66)</f>
        <v>1838581.61097</v>
      </c>
      <c r="K66" s="256">
        <f t="shared" si="15"/>
        <v>2071917.7025499998</v>
      </c>
      <c r="L66" s="341">
        <f t="shared" ref="L66:L111" si="16">IF(J66=0, "    ---- ", IF(ABS(ROUND(100/J66*K66-100,1))&lt;999,ROUND(100/J66*K66-100,1),IF(ROUND(100/J66*K66-100,1)&gt;999,999,-999)))</f>
        <v>12.7</v>
      </c>
      <c r="M66" s="8">
        <f>IFERROR(100/'Skjema total MA'!I66*K66,0)</f>
        <v>11.826046875621623</v>
      </c>
    </row>
    <row r="67" spans="1:13" x14ac:dyDescent="0.2">
      <c r="A67" s="39" t="s">
        <v>9</v>
      </c>
      <c r="B67" s="36">
        <v>100010.59697</v>
      </c>
      <c r="C67" s="109">
        <v>79999.62</v>
      </c>
      <c r="D67" s="123">
        <f t="shared" si="13"/>
        <v>-20</v>
      </c>
      <c r="E67" s="23">
        <f>IFERROR(100/'Skjema total MA'!C67*C67,0)</f>
        <v>4.3701148592701351</v>
      </c>
      <c r="F67" s="181"/>
      <c r="G67" s="109"/>
      <c r="H67" s="123"/>
      <c r="I67" s="23"/>
      <c r="J67" s="232">
        <f t="shared" si="15"/>
        <v>100010.59697</v>
      </c>
      <c r="K67" s="36">
        <f t="shared" si="15"/>
        <v>79999.62</v>
      </c>
      <c r="L67" s="204">
        <f t="shared" si="16"/>
        <v>-20</v>
      </c>
      <c r="M67" s="23">
        <f>IFERROR(100/'Skjema total MA'!I67*K67,0)</f>
        <v>4.3701148592701351</v>
      </c>
    </row>
    <row r="68" spans="1:13" x14ac:dyDescent="0.2">
      <c r="A68" s="18" t="s">
        <v>10</v>
      </c>
      <c r="B68" s="236">
        <v>9369.0630199999996</v>
      </c>
      <c r="C68" s="237">
        <v>6737.00252</v>
      </c>
      <c r="D68" s="123">
        <f t="shared" si="13"/>
        <v>-28.1</v>
      </c>
      <c r="E68" s="23">
        <f>IFERROR(100/'Skjema total MA'!C68*C68,0)</f>
        <v>81.680412968642017</v>
      </c>
      <c r="F68" s="236">
        <v>1451832.23856</v>
      </c>
      <c r="G68" s="237">
        <v>1672680.9439999999</v>
      </c>
      <c r="H68" s="123">
        <f t="shared" si="14"/>
        <v>15.2</v>
      </c>
      <c r="I68" s="23">
        <f>IFERROR(100/'Skjema total MA'!F68*G68,0)</f>
        <v>11.913039386762673</v>
      </c>
      <c r="J68" s="232">
        <f t="shared" si="15"/>
        <v>1461201.30158</v>
      </c>
      <c r="K68" s="36">
        <f t="shared" si="15"/>
        <v>1679417.94652</v>
      </c>
      <c r="L68" s="204">
        <f t="shared" si="16"/>
        <v>14.9</v>
      </c>
      <c r="M68" s="23">
        <f>IFERROR(100/'Skjema total MA'!I68*K68,0)</f>
        <v>11.95399897513761</v>
      </c>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v>96351.831990000006</v>
      </c>
      <c r="C75" s="109">
        <v>112834.49178</v>
      </c>
      <c r="D75" s="123">
        <f t="shared" si="13"/>
        <v>17.100000000000001</v>
      </c>
      <c r="E75" s="23">
        <f>IFERROR(100/'Skjema total MA'!C75*C75,0)</f>
        <v>56.404255628941428</v>
      </c>
      <c r="F75" s="181">
        <v>106224.40928000001</v>
      </c>
      <c r="G75" s="109">
        <v>113723.21025</v>
      </c>
      <c r="H75" s="123">
        <f t="shared" si="14"/>
        <v>7.1</v>
      </c>
      <c r="I75" s="23">
        <f>IFERROR(100/'Skjema total MA'!F75*G75,0)</f>
        <v>21.298769990721965</v>
      </c>
      <c r="J75" s="232">
        <f t="shared" si="15"/>
        <v>202576.24127</v>
      </c>
      <c r="K75" s="36">
        <f t="shared" si="15"/>
        <v>226557.70202999999</v>
      </c>
      <c r="L75" s="204">
        <f t="shared" si="16"/>
        <v>11.8</v>
      </c>
      <c r="M75" s="23">
        <f>IFERROR(100/'Skjema total MA'!I75*K75,0)</f>
        <v>30.86664797347283</v>
      </c>
    </row>
    <row r="76" spans="1:13" x14ac:dyDescent="0.2">
      <c r="A76" s="18" t="s">
        <v>309</v>
      </c>
      <c r="B76" s="181">
        <v>74793.471149999998</v>
      </c>
      <c r="C76" s="109">
        <v>85942.433999999994</v>
      </c>
      <c r="D76" s="123">
        <f t="shared" ref="D76" si="17">IF(B76=0, "    ---- ", IF(ABS(ROUND(100/B76*C76-100,1))&lt;999,ROUND(100/B76*C76-100,1),IF(ROUND(100/B76*C76-100,1)&gt;999,999,-999)))</f>
        <v>14.9</v>
      </c>
      <c r="E76" s="23">
        <f>IFERROR(100/'Skjema total MA'!C77*C76,0)</f>
        <v>4.8700815284378205</v>
      </c>
      <c r="F76" s="181"/>
      <c r="G76" s="109"/>
      <c r="H76" s="123"/>
      <c r="I76" s="23"/>
      <c r="J76" s="232">
        <f t="shared" ref="J76" si="18">SUM(B76,F76)</f>
        <v>74793.471149999998</v>
      </c>
      <c r="K76" s="36">
        <f t="shared" ref="K76" si="19">SUM(C76,G76)</f>
        <v>85942.433999999994</v>
      </c>
      <c r="L76" s="204">
        <f t="shared" ref="L76" si="20">IF(J76=0, "    ---- ", IF(ABS(ROUND(100/J76*K76-100,1))&lt;999,ROUND(100/J76*K76-100,1),IF(ROUND(100/J76*K76-100,1)&gt;999,999,-999)))</f>
        <v>14.9</v>
      </c>
      <c r="M76" s="23">
        <f>IFERROR(100/'Skjema total MA'!I77*K76,0)</f>
        <v>0.54387526418451992</v>
      </c>
    </row>
    <row r="77" spans="1:13" ht="15.75" x14ac:dyDescent="0.2">
      <c r="A77" s="18" t="s">
        <v>340</v>
      </c>
      <c r="B77" s="181">
        <v>109379.65999</v>
      </c>
      <c r="C77" s="181">
        <v>86736.62251999999</v>
      </c>
      <c r="D77" s="123">
        <f t="shared" si="13"/>
        <v>-20.7</v>
      </c>
      <c r="E77" s="23">
        <f>IFERROR(100/'Skjema total MA'!C77*C77,0)</f>
        <v>4.9150856394611289</v>
      </c>
      <c r="F77" s="181">
        <v>1449296.5205600001</v>
      </c>
      <c r="G77" s="109">
        <v>1670123.6140000001</v>
      </c>
      <c r="H77" s="123">
        <f t="shared" si="14"/>
        <v>15.2</v>
      </c>
      <c r="I77" s="23">
        <f>IFERROR(100/'Skjema total MA'!F77*G77,0)</f>
        <v>11.897871780912434</v>
      </c>
      <c r="J77" s="232">
        <f t="shared" si="15"/>
        <v>1558676.1805500002</v>
      </c>
      <c r="K77" s="36">
        <f t="shared" si="15"/>
        <v>1756860.23652</v>
      </c>
      <c r="L77" s="204">
        <f t="shared" si="16"/>
        <v>12.7</v>
      </c>
      <c r="M77" s="23">
        <f>IFERROR(100/'Skjema total MA'!I77*K77,0)</f>
        <v>11.118056364014466</v>
      </c>
    </row>
    <row r="78" spans="1:13" x14ac:dyDescent="0.2">
      <c r="A78" s="18" t="s">
        <v>9</v>
      </c>
      <c r="B78" s="181">
        <v>100010.59697</v>
      </c>
      <c r="C78" s="109">
        <v>79999.62</v>
      </c>
      <c r="D78" s="123">
        <f t="shared" si="13"/>
        <v>-20</v>
      </c>
      <c r="E78" s="23">
        <f>IFERROR(100/'Skjema total MA'!C78*C78,0)</f>
        <v>4.5546090451723629</v>
      </c>
      <c r="F78" s="181"/>
      <c r="G78" s="109"/>
      <c r="H78" s="123"/>
      <c r="I78" s="23"/>
      <c r="J78" s="232">
        <f t="shared" si="15"/>
        <v>100010.59697</v>
      </c>
      <c r="K78" s="36">
        <f t="shared" si="15"/>
        <v>79999.62</v>
      </c>
      <c r="L78" s="204">
        <f t="shared" si="16"/>
        <v>-20</v>
      </c>
      <c r="M78" s="23">
        <f>IFERROR(100/'Skjema total MA'!I78*K78,0)</f>
        <v>4.5546090451723629</v>
      </c>
    </row>
    <row r="79" spans="1:13" x14ac:dyDescent="0.2">
      <c r="A79" s="18" t="s">
        <v>368</v>
      </c>
      <c r="B79" s="236">
        <v>9369.0630199999996</v>
      </c>
      <c r="C79" s="237">
        <v>6737.00252</v>
      </c>
      <c r="D79" s="123">
        <f t="shared" si="13"/>
        <v>-28.1</v>
      </c>
      <c r="E79" s="23">
        <f>IFERROR(100/'Skjema total MA'!C79*C79,0)</f>
        <v>81.680412968642017</v>
      </c>
      <c r="F79" s="236">
        <v>1449296.5205600001</v>
      </c>
      <c r="G79" s="237">
        <v>1670123.6140000001</v>
      </c>
      <c r="H79" s="123">
        <f t="shared" si="14"/>
        <v>15.2</v>
      </c>
      <c r="I79" s="23">
        <f>IFERROR(100/'Skjema total MA'!F79*G79,0)</f>
        <v>11.897871780912434</v>
      </c>
      <c r="J79" s="232">
        <f t="shared" si="15"/>
        <v>1458665.5835800001</v>
      </c>
      <c r="K79" s="36">
        <f t="shared" si="15"/>
        <v>1676860.6165200002</v>
      </c>
      <c r="L79" s="204">
        <f t="shared" si="16"/>
        <v>15</v>
      </c>
      <c r="M79" s="23">
        <f>IFERROR(100/'Skjema total MA'!I79*K79,0)</f>
        <v>11.93885075900929</v>
      </c>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v>2535.7179999999998</v>
      </c>
      <c r="G86" s="109">
        <v>2557.33</v>
      </c>
      <c r="H86" s="123">
        <f t="shared" si="14"/>
        <v>0.9</v>
      </c>
      <c r="I86" s="23">
        <f>IFERROR(100/'Skjema total MA'!F86*G86,0)</f>
        <v>71.141087091380996</v>
      </c>
      <c r="J86" s="232">
        <f t="shared" si="15"/>
        <v>2535.7179999999998</v>
      </c>
      <c r="K86" s="36">
        <f t="shared" si="15"/>
        <v>2557.33</v>
      </c>
      <c r="L86" s="204">
        <f t="shared" si="16"/>
        <v>0.9</v>
      </c>
      <c r="M86" s="23">
        <f>IFERROR(100/'Skjema total MA'!I86*K86,0)</f>
        <v>3.2892832055180183</v>
      </c>
    </row>
    <row r="87" spans="1:13" ht="15.75" x14ac:dyDescent="0.2">
      <c r="A87" s="10" t="s">
        <v>323</v>
      </c>
      <c r="B87" s="286">
        <v>19024734.855980001</v>
      </c>
      <c r="C87" s="286">
        <v>20909648.51094</v>
      </c>
      <c r="D87" s="127">
        <f t="shared" si="13"/>
        <v>9.9</v>
      </c>
      <c r="E87" s="8">
        <f>IFERROR(100/'Skjema total MA'!C87*C87,0)</f>
        <v>5.1427203412977676</v>
      </c>
      <c r="F87" s="285">
        <v>64943505.915169902</v>
      </c>
      <c r="G87" s="285">
        <v>74105217.262160003</v>
      </c>
      <c r="H87" s="127">
        <f t="shared" si="14"/>
        <v>14.1</v>
      </c>
      <c r="I87" s="8">
        <f>IFERROR(100/'Skjema total MA'!F87*G87,0)</f>
        <v>11.137937630374033</v>
      </c>
      <c r="J87" s="249">
        <f t="shared" ref="J87:K111" si="21">SUM(B87,F87)</f>
        <v>83968240.771149904</v>
      </c>
      <c r="K87" s="183">
        <f t="shared" si="21"/>
        <v>95014865.773100004</v>
      </c>
      <c r="L87" s="341">
        <f t="shared" si="16"/>
        <v>13.2</v>
      </c>
      <c r="M87" s="8">
        <f>IFERROR(100/'Skjema total MA'!I87*K87,0)</f>
        <v>8.8639233606670462</v>
      </c>
    </row>
    <row r="88" spans="1:13" x14ac:dyDescent="0.2">
      <c r="A88" s="18" t="s">
        <v>9</v>
      </c>
      <c r="B88" s="181">
        <v>13617199.023490001</v>
      </c>
      <c r="C88" s="109">
        <v>14591348.21091</v>
      </c>
      <c r="D88" s="123">
        <f t="shared" si="13"/>
        <v>7.2</v>
      </c>
      <c r="E88" s="23">
        <f>IFERROR(100/'Skjema total MA'!C88*C88,0)</f>
        <v>3.7973852612948122</v>
      </c>
      <c r="F88" s="181"/>
      <c r="G88" s="109"/>
      <c r="H88" s="123"/>
      <c r="I88" s="23"/>
      <c r="J88" s="232">
        <f t="shared" si="21"/>
        <v>13617199.023490001</v>
      </c>
      <c r="K88" s="36">
        <f t="shared" si="21"/>
        <v>14591348.21091</v>
      </c>
      <c r="L88" s="204">
        <f t="shared" si="16"/>
        <v>7.2</v>
      </c>
      <c r="M88" s="23">
        <f>IFERROR(100/'Skjema total MA'!I88*K88,0)</f>
        <v>3.7973852612948122</v>
      </c>
    </row>
    <row r="89" spans="1:13" x14ac:dyDescent="0.2">
      <c r="A89" s="18" t="s">
        <v>10</v>
      </c>
      <c r="B89" s="181">
        <v>667486.22520999995</v>
      </c>
      <c r="C89" s="109">
        <v>634842.47779000003</v>
      </c>
      <c r="D89" s="123">
        <f t="shared" si="13"/>
        <v>-4.9000000000000004</v>
      </c>
      <c r="E89" s="23">
        <f>IFERROR(100/'Skjema total MA'!C89*C89,0)</f>
        <v>26.795143999259707</v>
      </c>
      <c r="F89" s="181">
        <v>62434113.053199902</v>
      </c>
      <c r="G89" s="109">
        <v>71179843.994369999</v>
      </c>
      <c r="H89" s="123">
        <f t="shared" si="14"/>
        <v>14</v>
      </c>
      <c r="I89" s="23">
        <f>IFERROR(100/'Skjema total MA'!F89*G89,0)</f>
        <v>10.865357419443045</v>
      </c>
      <c r="J89" s="232">
        <f t="shared" si="21"/>
        <v>63101599.278409906</v>
      </c>
      <c r="K89" s="36">
        <f t="shared" si="21"/>
        <v>71814686.472159997</v>
      </c>
      <c r="L89" s="204">
        <f t="shared" si="16"/>
        <v>13.8</v>
      </c>
      <c r="M89" s="23">
        <f>IFERROR(100/'Skjema total MA'!I89*K89,0)</f>
        <v>10.922761002638593</v>
      </c>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v>3198734.2706900002</v>
      </c>
      <c r="C96" s="109">
        <v>3918859.1374400002</v>
      </c>
      <c r="D96" s="123">
        <f t="shared" si="13"/>
        <v>22.5</v>
      </c>
      <c r="E96" s="23">
        <f>IFERROR(100/'Skjema total MA'!C96*C96,0)</f>
        <v>52.888467142531766</v>
      </c>
      <c r="F96" s="181">
        <v>2509392.86197</v>
      </c>
      <c r="G96" s="109">
        <v>2925373.26779</v>
      </c>
      <c r="H96" s="123">
        <f t="shared" si="14"/>
        <v>16.600000000000001</v>
      </c>
      <c r="I96" s="23">
        <f>IFERROR(100/'Skjema total MA'!F96*G96,0)</f>
        <v>28.589324224103951</v>
      </c>
      <c r="J96" s="232">
        <f t="shared" si="21"/>
        <v>5708127.1326599997</v>
      </c>
      <c r="K96" s="36">
        <f t="shared" si="21"/>
        <v>6844232.4052300006</v>
      </c>
      <c r="L96" s="204">
        <f t="shared" si="16"/>
        <v>19.899999999999999</v>
      </c>
      <c r="M96" s="23">
        <f>IFERROR(100/'Skjema total MA'!I96*K96,0)</f>
        <v>38.794963944835267</v>
      </c>
    </row>
    <row r="97" spans="1:13" x14ac:dyDescent="0.2">
      <c r="A97" s="18" t="s">
        <v>307</v>
      </c>
      <c r="B97" s="181">
        <v>1541315.33659</v>
      </c>
      <c r="C97" s="109">
        <v>1764598.6847999999</v>
      </c>
      <c r="D97" s="123">
        <f t="shared" ref="D97" si="22">IF(B97=0, "    ---- ", IF(ABS(ROUND(100/B97*C97-100,1))&lt;999,ROUND(100/B97*C97-100,1),IF(ROUND(100/B97*C97-100,1)&gt;999,999,-999)))</f>
        <v>14.5</v>
      </c>
      <c r="E97" s="23">
        <f>IFERROR(100/'Skjema total MA'!C98*C97,0)</f>
        <v>0.4613909808466567</v>
      </c>
      <c r="F97" s="181"/>
      <c r="G97" s="109"/>
      <c r="H97" s="123"/>
      <c r="I97" s="23"/>
      <c r="J97" s="232">
        <f t="shared" ref="J97" si="23">SUM(B97,F97)</f>
        <v>1541315.33659</v>
      </c>
      <c r="K97" s="36">
        <f t="shared" ref="K97" si="24">SUM(C97,G97)</f>
        <v>1764598.6847999999</v>
      </c>
      <c r="L97" s="204">
        <f t="shared" ref="L97" si="25">IF(J97=0, "    ---- ", IF(ABS(ROUND(100/J97*K97-100,1))&lt;999,ROUND(100/J97*K97-100,1),IF(ROUND(100/J97*K97-100,1)&gt;999,999,-999)))</f>
        <v>14.5</v>
      </c>
      <c r="M97" s="23">
        <f>IFERROR(100/'Skjema total MA'!I98*K97,0)</f>
        <v>0.1701367126349243</v>
      </c>
    </row>
    <row r="98" spans="1:13" ht="15.75" x14ac:dyDescent="0.2">
      <c r="A98" s="18" t="s">
        <v>340</v>
      </c>
      <c r="B98" s="181">
        <v>14284685.2487</v>
      </c>
      <c r="C98" s="181">
        <v>15226190.6887</v>
      </c>
      <c r="D98" s="123">
        <f t="shared" si="13"/>
        <v>6.6</v>
      </c>
      <c r="E98" s="23">
        <f>IFERROR(100/'Skjema total MA'!C98*C98,0)</f>
        <v>3.9812038379784722</v>
      </c>
      <c r="F98" s="236">
        <v>62344015.668979898</v>
      </c>
      <c r="G98" s="236">
        <v>71094547.372250006</v>
      </c>
      <c r="H98" s="123">
        <f t="shared" si="14"/>
        <v>14</v>
      </c>
      <c r="I98" s="23">
        <f>IFERROR(100/'Skjema total MA'!F98*G98,0)</f>
        <v>10.858883701277618</v>
      </c>
      <c r="J98" s="232">
        <f t="shared" si="21"/>
        <v>76628700.917679906</v>
      </c>
      <c r="K98" s="36">
        <f t="shared" si="21"/>
        <v>86320738.060950011</v>
      </c>
      <c r="L98" s="204">
        <f t="shared" si="16"/>
        <v>12.6</v>
      </c>
      <c r="M98" s="23">
        <f>IFERROR(100/'Skjema total MA'!I98*K98,0)</f>
        <v>8.3227573115725058</v>
      </c>
    </row>
    <row r="99" spans="1:13" x14ac:dyDescent="0.2">
      <c r="A99" s="18" t="s">
        <v>9</v>
      </c>
      <c r="B99" s="236">
        <v>13617199.023490001</v>
      </c>
      <c r="C99" s="237">
        <v>14591348.21091</v>
      </c>
      <c r="D99" s="123">
        <f t="shared" si="13"/>
        <v>7.2</v>
      </c>
      <c r="E99" s="23">
        <f>IFERROR(100/'Skjema total MA'!C99*C99,0)</f>
        <v>3.8389931945534079</v>
      </c>
      <c r="F99" s="181"/>
      <c r="G99" s="109"/>
      <c r="H99" s="123"/>
      <c r="I99" s="23"/>
      <c r="J99" s="232">
        <f t="shared" si="21"/>
        <v>13617199.023490001</v>
      </c>
      <c r="K99" s="36">
        <f t="shared" si="21"/>
        <v>14591348.21091</v>
      </c>
      <c r="L99" s="204">
        <f t="shared" si="16"/>
        <v>7.2</v>
      </c>
      <c r="M99" s="23">
        <f>IFERROR(100/'Skjema total MA'!I99*K99,0)</f>
        <v>3.8389931945534079</v>
      </c>
    </row>
    <row r="100" spans="1:13" x14ac:dyDescent="0.2">
      <c r="A100" s="18" t="s">
        <v>368</v>
      </c>
      <c r="B100" s="236">
        <v>667486.22520999995</v>
      </c>
      <c r="C100" s="237">
        <v>634842.47779000003</v>
      </c>
      <c r="D100" s="123">
        <f t="shared" si="13"/>
        <v>-4.9000000000000004</v>
      </c>
      <c r="E100" s="23">
        <f>IFERROR(100/'Skjema total MA'!C100*C100,0)</f>
        <v>26.795143999259707</v>
      </c>
      <c r="F100" s="181">
        <v>62344015.668979898</v>
      </c>
      <c r="G100" s="181">
        <v>71094547.372250006</v>
      </c>
      <c r="H100" s="123">
        <f t="shared" si="14"/>
        <v>14</v>
      </c>
      <c r="I100" s="23">
        <f>IFERROR(100/'Skjema total MA'!F100*G100,0)</f>
        <v>10.858883701277618</v>
      </c>
      <c r="J100" s="232">
        <f t="shared" si="21"/>
        <v>63011501.894189902</v>
      </c>
      <c r="K100" s="36">
        <f t="shared" si="21"/>
        <v>71729389.850040004</v>
      </c>
      <c r="L100" s="204">
        <f t="shared" si="16"/>
        <v>13.8</v>
      </c>
      <c r="M100" s="23">
        <f>IFERROR(100/'Skjema total MA'!I100*K100,0)</f>
        <v>10.916345129811026</v>
      </c>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v>90097.384219999905</v>
      </c>
      <c r="G107" s="109">
        <v>85296.622119999898</v>
      </c>
      <c r="H107" s="123">
        <f t="shared" si="14"/>
        <v>-5.3</v>
      </c>
      <c r="I107" s="23">
        <f>IFERROR(100/'Skjema total MA'!F107*G107,0)</f>
        <v>21.597014522302004</v>
      </c>
      <c r="J107" s="232">
        <f t="shared" si="21"/>
        <v>90097.384219999905</v>
      </c>
      <c r="K107" s="36">
        <f t="shared" si="21"/>
        <v>85296.622119999898</v>
      </c>
      <c r="L107" s="204">
        <f t="shared" si="16"/>
        <v>-5.3</v>
      </c>
      <c r="M107" s="23">
        <f>IFERROR(100/'Skjema total MA'!I107*K107,0)</f>
        <v>1.8707407991242655</v>
      </c>
    </row>
    <row r="108" spans="1:13" ht="15.75" x14ac:dyDescent="0.2">
      <c r="A108" s="18" t="s">
        <v>342</v>
      </c>
      <c r="B108" s="181">
        <v>10751275.285599999</v>
      </c>
      <c r="C108" s="181">
        <v>11840350.213230001</v>
      </c>
      <c r="D108" s="123">
        <f t="shared" si="13"/>
        <v>10.1</v>
      </c>
      <c r="E108" s="23">
        <f>IFERROR(100/'Skjema total MA'!C108*C108,0)</f>
        <v>3.5830132163968362</v>
      </c>
      <c r="F108" s="181"/>
      <c r="G108" s="181"/>
      <c r="H108" s="123"/>
      <c r="I108" s="23"/>
      <c r="J108" s="232">
        <f t="shared" si="21"/>
        <v>10751275.285599999</v>
      </c>
      <c r="K108" s="36">
        <f t="shared" si="21"/>
        <v>11840350.213230001</v>
      </c>
      <c r="L108" s="204">
        <f t="shared" si="16"/>
        <v>10.1</v>
      </c>
      <c r="M108" s="23">
        <f>IFERROR(100/'Skjema total MA'!I108*K108,0)</f>
        <v>3.3477574018456724</v>
      </c>
    </row>
    <row r="109" spans="1:13" ht="15.75" x14ac:dyDescent="0.2">
      <c r="A109" s="18" t="s">
        <v>376</v>
      </c>
      <c r="B109" s="181">
        <v>444896.27103</v>
      </c>
      <c r="C109" s="181">
        <v>454433.35732000001</v>
      </c>
      <c r="D109" s="123">
        <f t="shared" si="13"/>
        <v>2.1</v>
      </c>
      <c r="E109" s="23">
        <f>IFERROR(100/'Skjema total MA'!C109*C109,0)</f>
        <v>17.719578294902089</v>
      </c>
      <c r="F109" s="181">
        <v>25747039.641970001</v>
      </c>
      <c r="G109" s="181">
        <v>30125629.590039998</v>
      </c>
      <c r="H109" s="123">
        <f t="shared" si="14"/>
        <v>17</v>
      </c>
      <c r="I109" s="23">
        <f>IFERROR(100/'Skjema total MA'!F109*G109,0)</f>
        <v>11.671804791507771</v>
      </c>
      <c r="J109" s="232">
        <f t="shared" si="21"/>
        <v>26191935.913000003</v>
      </c>
      <c r="K109" s="36">
        <f t="shared" si="21"/>
        <v>30580062.947359998</v>
      </c>
      <c r="L109" s="204">
        <f t="shared" si="16"/>
        <v>16.8</v>
      </c>
      <c r="M109" s="23">
        <f>IFERROR(100/'Skjema total MA'!I109*K109,0)</f>
        <v>11.731305248192365</v>
      </c>
    </row>
    <row r="110" spans="1:13" ht="15.75" x14ac:dyDescent="0.2">
      <c r="A110" s="18" t="s">
        <v>343</v>
      </c>
      <c r="B110" s="181">
        <v>1245153.2934000001</v>
      </c>
      <c r="C110" s="181">
        <v>1649946.5117599999</v>
      </c>
      <c r="D110" s="123">
        <f t="shared" si="13"/>
        <v>32.5</v>
      </c>
      <c r="E110" s="23">
        <f>IFERROR(100/'Skjema total MA'!C110*C110,0)</f>
        <v>43.533390257825772</v>
      </c>
      <c r="F110" s="181"/>
      <c r="G110" s="181"/>
      <c r="H110" s="123"/>
      <c r="I110" s="23"/>
      <c r="J110" s="232">
        <f t="shared" si="21"/>
        <v>1245153.2934000001</v>
      </c>
      <c r="K110" s="36">
        <f t="shared" si="21"/>
        <v>1649946.5117599999</v>
      </c>
      <c r="L110" s="204">
        <f t="shared" si="16"/>
        <v>32.5</v>
      </c>
      <c r="M110" s="23">
        <f>IFERROR(100/'Skjema total MA'!I110*K110,0)</f>
        <v>43.533390257825772</v>
      </c>
    </row>
    <row r="111" spans="1:13" ht="15.75" x14ac:dyDescent="0.2">
      <c r="A111" s="10" t="s">
        <v>324</v>
      </c>
      <c r="B111" s="248">
        <v>2846.6688099999997</v>
      </c>
      <c r="C111" s="118">
        <v>905536.37223999994</v>
      </c>
      <c r="D111" s="127">
        <f t="shared" si="13"/>
        <v>999</v>
      </c>
      <c r="E111" s="8">
        <f>IFERROR(100/'Skjema total MA'!C111*C111,0)</f>
        <v>79.748256873400479</v>
      </c>
      <c r="F111" s="248">
        <v>1414328.64479</v>
      </c>
      <c r="G111" s="118">
        <v>2140127.63283</v>
      </c>
      <c r="H111" s="127">
        <f t="shared" si="14"/>
        <v>51.3</v>
      </c>
      <c r="I111" s="8">
        <f>IFERROR(100/'Skjema total MA'!F111*G111,0)</f>
        <v>10.71245174829931</v>
      </c>
      <c r="J111" s="249">
        <f t="shared" si="21"/>
        <v>1417175.3136</v>
      </c>
      <c r="K111" s="183">
        <f t="shared" si="21"/>
        <v>3045664.00507</v>
      </c>
      <c r="L111" s="341">
        <f t="shared" si="16"/>
        <v>114.9</v>
      </c>
      <c r="M111" s="8">
        <f>IFERROR(100/'Skjema total MA'!I111*K111,0)</f>
        <v>14.425239652042073</v>
      </c>
    </row>
    <row r="112" spans="1:13" x14ac:dyDescent="0.2">
      <c r="A112" s="18" t="s">
        <v>9</v>
      </c>
      <c r="B112" s="181">
        <v>7.5089699999999997</v>
      </c>
      <c r="C112" s="109">
        <v>900027.79871999996</v>
      </c>
      <c r="D112" s="123">
        <f t="shared" ref="D112:D125" si="26">IF(B112=0, "    ---- ", IF(ABS(ROUND(100/B112*C112-100,1))&lt;999,ROUND(100/B112*C112-100,1),IF(ROUND(100/B112*C112-100,1)&gt;999,999,-999)))</f>
        <v>999</v>
      </c>
      <c r="E112" s="23">
        <f>IFERROR(100/'Skjema total MA'!C112*C112,0)</f>
        <v>85.081565173219531</v>
      </c>
      <c r="F112" s="181"/>
      <c r="G112" s="109"/>
      <c r="H112" s="123"/>
      <c r="I112" s="23"/>
      <c r="J112" s="232">
        <f t="shared" ref="J112:K125" si="27">SUM(B112,F112)</f>
        <v>7.5089699999999997</v>
      </c>
      <c r="K112" s="36">
        <f t="shared" si="27"/>
        <v>900027.79871999996</v>
      </c>
      <c r="L112" s="204">
        <f t="shared" ref="L112:L125" si="28">IF(J112=0, "    ---- ", IF(ABS(ROUND(100/J112*K112-100,1))&lt;999,ROUND(100/J112*K112-100,1),IF(ROUND(100/J112*K112-100,1)&gt;999,999,-999)))</f>
        <v>999</v>
      </c>
      <c r="M112" s="23">
        <f>IFERROR(100/'Skjema total MA'!I112*K112,0)</f>
        <v>85.043554562370531</v>
      </c>
    </row>
    <row r="113" spans="1:13" x14ac:dyDescent="0.2">
      <c r="A113" s="18" t="s">
        <v>10</v>
      </c>
      <c r="B113" s="181"/>
      <c r="C113" s="109"/>
      <c r="D113" s="123"/>
      <c r="E113" s="23"/>
      <c r="F113" s="181">
        <v>1414328.64479</v>
      </c>
      <c r="G113" s="109">
        <v>2140127.63283</v>
      </c>
      <c r="H113" s="123">
        <f t="shared" ref="H113:H125" si="29">IF(F113=0, "    ---- ", IF(ABS(ROUND(100/F113*G113-100,1))&lt;999,ROUND(100/F113*G113-100,1),IF(ROUND(100/F113*G113-100,1)&gt;999,999,-999)))</f>
        <v>51.3</v>
      </c>
      <c r="I113" s="23">
        <f>IFERROR(100/'Skjema total MA'!F113*G113,0)</f>
        <v>10.712705279993781</v>
      </c>
      <c r="J113" s="232">
        <f t="shared" si="27"/>
        <v>1414328.64479</v>
      </c>
      <c r="K113" s="36">
        <f t="shared" si="27"/>
        <v>2140127.63283</v>
      </c>
      <c r="L113" s="204">
        <f t="shared" si="28"/>
        <v>51.3</v>
      </c>
      <c r="M113" s="23">
        <f>IFERROR(100/'Skjema total MA'!I113*K113,0)</f>
        <v>10.712705279993781</v>
      </c>
    </row>
    <row r="114" spans="1:13" x14ac:dyDescent="0.2">
      <c r="A114" s="18" t="s">
        <v>26</v>
      </c>
      <c r="B114" s="181">
        <v>2839.1598399999998</v>
      </c>
      <c r="C114" s="109">
        <v>5508.5735199999999</v>
      </c>
      <c r="D114" s="123">
        <f t="shared" si="26"/>
        <v>94</v>
      </c>
      <c r="E114" s="23">
        <f>IFERROR(100/'Skjema total MA'!C114*C114,0)</f>
        <v>7.093879293174739</v>
      </c>
      <c r="F114" s="181"/>
      <c r="G114" s="109"/>
      <c r="H114" s="123"/>
      <c r="I114" s="23"/>
      <c r="J114" s="232">
        <f t="shared" si="27"/>
        <v>2839.1598399999998</v>
      </c>
      <c r="K114" s="36">
        <f t="shared" si="27"/>
        <v>5508.5735199999999</v>
      </c>
      <c r="L114" s="204">
        <f t="shared" si="28"/>
        <v>94</v>
      </c>
      <c r="M114" s="23">
        <f>IFERROR(100/'Skjema total MA'!I114*K114,0)</f>
        <v>7.093879293174739</v>
      </c>
    </row>
    <row r="115" spans="1:13" x14ac:dyDescent="0.2">
      <c r="A115" s="547" t="s">
        <v>15</v>
      </c>
      <c r="B115" s="226" t="s">
        <v>410</v>
      </c>
      <c r="C115" s="226" t="s">
        <v>410</v>
      </c>
      <c r="D115" s="123" t="e">
        <f>IF(kvartal=4,IF(B115=0, "    ---- ", IF(ABS(ROUND(100/B115*C115-100,1))&lt;999,ROUND(100/B115*C115-100,1),IF(ROUND(100/B115*C115-100,1)&gt;999,999,-999))),"")</f>
        <v>#REF!</v>
      </c>
      <c r="E115" s="333" t="e">
        <f>IF(kvartal=4,IFERROR(100/'Skjema total MA'!B115*C115,0),"")</f>
        <v>#REF!</v>
      </c>
      <c r="F115" s="226" t="s">
        <v>410</v>
      </c>
      <c r="G115" s="226" t="s">
        <v>410</v>
      </c>
      <c r="H115" s="123" t="e">
        <f>IF(kvartal=4,IF(F115=0, "    ---- ", IF(ABS(ROUND(100/F115*G115-100,1))&lt;999,ROUND(100/F115*G115-100,1),IF(ROUND(100/F115*G115-100,1)&gt;999,999,-999))),"")</f>
        <v>#REF!</v>
      </c>
      <c r="I115" s="333">
        <f>IFERROR(100/'Skjema total MA'!F115*G115,0)</f>
        <v>0</v>
      </c>
      <c r="J115" s="235" t="e">
        <f>IF(kvartal=4,SUM(B115,F115),"")</f>
        <v>#REF!</v>
      </c>
      <c r="K115" s="235" t="e">
        <f>IF(kvartal=4,SUM(C115,G115),"")</f>
        <v>#REF!</v>
      </c>
      <c r="L115" s="123" t="e">
        <f>IF(kvartal=4,IF(J115=0, "    ---- ", IF(ABS(ROUND(100/J115*K115-100,1))&lt;999,ROUND(100/J115*K115-100,1),IF(ROUND(100/J115*K115-100,1)&gt;999,999,-999))),"")</f>
        <v>#REF!</v>
      </c>
      <c r="M115" s="20">
        <f>IFERROR(100/'Skjema total MA'!I115*K115,0)</f>
        <v>0</v>
      </c>
    </row>
    <row r="116" spans="1:13" ht="15.75" x14ac:dyDescent="0.2">
      <c r="A116" s="18" t="s">
        <v>344</v>
      </c>
      <c r="B116" s="181">
        <v>0</v>
      </c>
      <c r="C116" s="181">
        <v>895687.11184000003</v>
      </c>
      <c r="D116" s="123" t="str">
        <f t="shared" si="26"/>
        <v xml:space="preserve">    ---- </v>
      </c>
      <c r="E116" s="23">
        <f>IFERROR(100/'Skjema total MA'!C116*C116,0)</f>
        <v>97.857465668999254</v>
      </c>
      <c r="F116" s="181"/>
      <c r="G116" s="181"/>
      <c r="H116" s="123"/>
      <c r="I116" s="23"/>
      <c r="J116" s="232">
        <f t="shared" si="27"/>
        <v>0</v>
      </c>
      <c r="K116" s="36">
        <f t="shared" si="27"/>
        <v>895687.11184000003</v>
      </c>
      <c r="L116" s="204" t="str">
        <f t="shared" si="28"/>
        <v xml:space="preserve">    ---- </v>
      </c>
      <c r="M116" s="23">
        <f>IFERROR(100/'Skjema total MA'!I116*K116,0)</f>
        <v>97.806942426018637</v>
      </c>
    </row>
    <row r="117" spans="1:13" ht="15.75" x14ac:dyDescent="0.2">
      <c r="A117" s="18" t="s">
        <v>376</v>
      </c>
      <c r="B117" s="181"/>
      <c r="C117" s="181"/>
      <c r="D117" s="123"/>
      <c r="E117" s="23"/>
      <c r="F117" s="181">
        <v>931426.15512000001</v>
      </c>
      <c r="G117" s="181">
        <v>975474.10491999995</v>
      </c>
      <c r="H117" s="123">
        <f t="shared" si="29"/>
        <v>4.7</v>
      </c>
      <c r="I117" s="23">
        <f>IFERROR(100/'Skjema total MA'!F117*G117,0)</f>
        <v>8.7116202881088807</v>
      </c>
      <c r="J117" s="232">
        <f t="shared" si="27"/>
        <v>931426.15512000001</v>
      </c>
      <c r="K117" s="36">
        <f t="shared" si="27"/>
        <v>975474.10491999995</v>
      </c>
      <c r="L117" s="204">
        <f t="shared" si="28"/>
        <v>4.7</v>
      </c>
      <c r="M117" s="23">
        <f>IFERROR(100/'Skjema total MA'!I117*K117,0)</f>
        <v>8.7116202881088807</v>
      </c>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v>9988.0814300000002</v>
      </c>
      <c r="C119" s="118">
        <v>22181.379659999999</v>
      </c>
      <c r="D119" s="127">
        <f t="shared" si="26"/>
        <v>122.1</v>
      </c>
      <c r="E119" s="8">
        <f>IFERROR(100/'Skjema total MA'!C119*C119,0)</f>
        <v>10.301802725181277</v>
      </c>
      <c r="F119" s="248">
        <v>1722549.8801</v>
      </c>
      <c r="G119" s="118">
        <v>2396843.15949</v>
      </c>
      <c r="H119" s="127">
        <f t="shared" si="29"/>
        <v>39.1</v>
      </c>
      <c r="I119" s="8">
        <f>IFERROR(100/'Skjema total MA'!F119*G119,0)</f>
        <v>11.400621097869349</v>
      </c>
      <c r="J119" s="249">
        <f t="shared" si="27"/>
        <v>1732537.96153</v>
      </c>
      <c r="K119" s="183">
        <f t="shared" si="27"/>
        <v>2419024.5391500001</v>
      </c>
      <c r="L119" s="341">
        <f t="shared" si="28"/>
        <v>39.6</v>
      </c>
      <c r="M119" s="8">
        <f>IFERROR(100/'Skjema total MA'!I119*K119,0)</f>
        <v>11.389481617751716</v>
      </c>
    </row>
    <row r="120" spans="1:13" x14ac:dyDescent="0.2">
      <c r="A120" s="18" t="s">
        <v>9</v>
      </c>
      <c r="B120" s="181">
        <v>0</v>
      </c>
      <c r="C120" s="109">
        <v>150.85410999999999</v>
      </c>
      <c r="D120" s="123" t="str">
        <f t="shared" si="26"/>
        <v xml:space="preserve">    ---- </v>
      </c>
      <c r="E120" s="23">
        <f>IFERROR(100/'Skjema total MA'!C120*C120,0)</f>
        <v>0.25931460215795427</v>
      </c>
      <c r="F120" s="181"/>
      <c r="G120" s="109"/>
      <c r="H120" s="123"/>
      <c r="I120" s="23"/>
      <c r="J120" s="232">
        <f t="shared" si="27"/>
        <v>0</v>
      </c>
      <c r="K120" s="36">
        <f t="shared" si="27"/>
        <v>150.85410999999999</v>
      </c>
      <c r="L120" s="204" t="str">
        <f t="shared" si="28"/>
        <v xml:space="preserve">    ---- </v>
      </c>
      <c r="M120" s="23">
        <f>IFERROR(100/'Skjema total MA'!I120*K120,0)</f>
        <v>0.25931460215795427</v>
      </c>
    </row>
    <row r="121" spans="1:13" x14ac:dyDescent="0.2">
      <c r="A121" s="18" t="s">
        <v>10</v>
      </c>
      <c r="B121" s="181">
        <v>6027.9584999999997</v>
      </c>
      <c r="C121" s="109">
        <v>3892.3750700000001</v>
      </c>
      <c r="D121" s="123">
        <f t="shared" si="26"/>
        <v>-35.4</v>
      </c>
      <c r="E121" s="23">
        <f>IFERROR(100/'Skjema total MA'!C121*C121,0)</f>
        <v>100</v>
      </c>
      <c r="F121" s="181">
        <v>1722549.8801</v>
      </c>
      <c r="G121" s="109">
        <v>2396843.15949</v>
      </c>
      <c r="H121" s="123">
        <f t="shared" si="29"/>
        <v>39.1</v>
      </c>
      <c r="I121" s="23">
        <f>IFERROR(100/'Skjema total MA'!F121*G121,0)</f>
        <v>11.400621097869349</v>
      </c>
      <c r="J121" s="232">
        <f t="shared" si="27"/>
        <v>1728577.8385999999</v>
      </c>
      <c r="K121" s="36">
        <f t="shared" si="27"/>
        <v>2400735.5345600001</v>
      </c>
      <c r="L121" s="204">
        <f t="shared" si="28"/>
        <v>38.9</v>
      </c>
      <c r="M121" s="23">
        <f>IFERROR(100/'Skjema total MA'!I121*K121,0)</f>
        <v>11.417021475834487</v>
      </c>
    </row>
    <row r="122" spans="1:13" x14ac:dyDescent="0.2">
      <c r="A122" s="18" t="s">
        <v>26</v>
      </c>
      <c r="B122" s="181">
        <v>3960.12293</v>
      </c>
      <c r="C122" s="109">
        <v>18138.15048</v>
      </c>
      <c r="D122" s="123">
        <f t="shared" si="26"/>
        <v>358</v>
      </c>
      <c r="E122" s="23">
        <f>IFERROR(100/'Skjema total MA'!C122*C122,0)</f>
        <v>11.835740278134487</v>
      </c>
      <c r="F122" s="181"/>
      <c r="G122" s="109"/>
      <c r="H122" s="123"/>
      <c r="I122" s="23"/>
      <c r="J122" s="232">
        <f t="shared" si="27"/>
        <v>3960.12293</v>
      </c>
      <c r="K122" s="36">
        <f t="shared" si="27"/>
        <v>18138.15048</v>
      </c>
      <c r="L122" s="204">
        <f t="shared" si="28"/>
        <v>358</v>
      </c>
      <c r="M122" s="23">
        <f>IFERROR(100/'Skjema total MA'!I122*K122,0)</f>
        <v>11.835740278134487</v>
      </c>
    </row>
    <row r="123" spans="1:13" x14ac:dyDescent="0.2">
      <c r="A123" s="238" t="s">
        <v>14</v>
      </c>
      <c r="B123" s="226"/>
      <c r="C123" s="226"/>
      <c r="D123" s="123"/>
      <c r="E123" s="333"/>
      <c r="F123" s="226"/>
      <c r="G123" s="226"/>
      <c r="H123" s="123"/>
      <c r="I123" s="333"/>
      <c r="J123" s="235" t="e">
        <f>IF(kvartal=4,SUM(B123,F123),"")</f>
        <v>#REF!</v>
      </c>
      <c r="K123" s="235" t="e">
        <f>IF(kvartal=4,SUM(C123,G123),"")</f>
        <v>#REF!</v>
      </c>
      <c r="L123" s="123" t="e">
        <f>IF(kvartal=4,IF(J123=0, "    ---- ", IF(ABS(ROUND(100/J123*K123-100,1))&lt;999,ROUND(100/J123*K123-100,1),IF(ROUND(100/J123*K123-100,1)&gt;999,999,-999))),"")</f>
        <v>#REF!</v>
      </c>
      <c r="M123" s="20">
        <f>IFERROR(100/'Skjema total MA'!I123*K123,0)</f>
        <v>0</v>
      </c>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v>0</v>
      </c>
      <c r="C125" s="181">
        <v>868.74527</v>
      </c>
      <c r="D125" s="123" t="str">
        <f t="shared" si="26"/>
        <v xml:space="preserve">    ---- </v>
      </c>
      <c r="E125" s="23">
        <f>IFERROR(100/'Skjema total MA'!C125*C125,0)</f>
        <v>91.623726501049219</v>
      </c>
      <c r="F125" s="181">
        <v>724837.67457000003</v>
      </c>
      <c r="G125" s="181">
        <v>865952.01656999998</v>
      </c>
      <c r="H125" s="123">
        <f t="shared" si="29"/>
        <v>19.5</v>
      </c>
      <c r="I125" s="23">
        <f>IFERROR(100/'Skjema total MA'!F125*G125,0)</f>
        <v>7.7417610246427309</v>
      </c>
      <c r="J125" s="232">
        <f t="shared" si="27"/>
        <v>724837.67457000003</v>
      </c>
      <c r="K125" s="36">
        <f t="shared" si="27"/>
        <v>866820.76183999993</v>
      </c>
      <c r="L125" s="204">
        <f t="shared" si="28"/>
        <v>19.600000000000001</v>
      </c>
      <c r="M125" s="23">
        <f>IFERROR(100/'Skjema total MA'!I125*K125,0)</f>
        <v>7.7488709038192063</v>
      </c>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256" priority="12">
      <formula>kvartal &lt; 4</formula>
    </cfRule>
  </conditionalFormatting>
  <conditionalFormatting sqref="A69:A74">
    <cfRule type="expression" dxfId="255" priority="10">
      <formula>kvartal &lt; 4</formula>
    </cfRule>
  </conditionalFormatting>
  <conditionalFormatting sqref="A80:A85">
    <cfRule type="expression" dxfId="254" priority="9">
      <formula>kvartal &lt; 4</formula>
    </cfRule>
  </conditionalFormatting>
  <conditionalFormatting sqref="A90:A95">
    <cfRule type="expression" dxfId="253" priority="6">
      <formula>kvartal &lt; 4</formula>
    </cfRule>
  </conditionalFormatting>
  <conditionalFormatting sqref="A101:A106">
    <cfRule type="expression" dxfId="252" priority="5">
      <formula>kvartal &lt; 4</formula>
    </cfRule>
  </conditionalFormatting>
  <conditionalFormatting sqref="A115:C115">
    <cfRule type="expression" dxfId="251" priority="4">
      <formula>kvartal &lt; 4</formula>
    </cfRule>
  </conditionalFormatting>
  <conditionalFormatting sqref="A123:C123">
    <cfRule type="expression" dxfId="250" priority="3">
      <formula>kvartal &lt; 4</formula>
    </cfRule>
  </conditionalFormatting>
  <conditionalFormatting sqref="F115:G115">
    <cfRule type="expression" dxfId="249" priority="57">
      <formula>kvartal &lt; 4</formula>
    </cfRule>
  </conditionalFormatting>
  <conditionalFormatting sqref="F123:G123">
    <cfRule type="expression" dxfId="248" priority="56">
      <formula>kvartal &lt; 4</formula>
    </cfRule>
  </conditionalFormatting>
  <conditionalFormatting sqref="J115:K115">
    <cfRule type="expression" dxfId="247" priority="32">
      <formula>kvartal &lt; 4</formula>
    </cfRule>
  </conditionalFormatting>
  <conditionalFormatting sqref="J123:K123">
    <cfRule type="expression" dxfId="246" priority="31">
      <formula>kvartal &lt; 4</formula>
    </cfRule>
  </conditionalFormatting>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30"/>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89</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310349.53450000001</v>
      </c>
      <c r="C7" s="247">
        <v>338617.50955999998</v>
      </c>
      <c r="D7" s="283">
        <f>IF(B7=0, "    ---- ", IF(ABS(ROUND(100/B7*C7-100,1))&lt;999,ROUND(100/B7*C7-100,1),IF(ROUND(100/B7*C7-100,1)&gt;999,999,-999)))</f>
        <v>9.1</v>
      </c>
      <c r="E7" s="8">
        <f>IFERROR(100/'Skjema total MA'!C7*C7,0)</f>
        <v>16.865993244604766</v>
      </c>
      <c r="F7" s="246">
        <v>370265.68356999999</v>
      </c>
      <c r="G7" s="247">
        <v>249084.88501</v>
      </c>
      <c r="H7" s="283">
        <f>IF(F7=0, "    ---- ", IF(ABS(ROUND(100/F7*G7-100,1))&lt;999,ROUND(100/F7*G7-100,1),IF(ROUND(100/F7*G7-100,1)&gt;999,999,-999)))</f>
        <v>-32.700000000000003</v>
      </c>
      <c r="I7" s="119">
        <f>IFERROR(100/'Skjema total MA'!F7*G7,0)</f>
        <v>8.3348203300515173</v>
      </c>
      <c r="J7" s="248">
        <f t="shared" ref="J7:K12" si="0">SUM(B7,F7)</f>
        <v>680615.21806999994</v>
      </c>
      <c r="K7" s="249">
        <f t="shared" si="0"/>
        <v>587702.39457</v>
      </c>
      <c r="L7" s="340">
        <f>IF(J7=0, "    ---- ", IF(ABS(ROUND(100/J7*K7-100,1))&lt;999,ROUND(100/J7*K7-100,1),IF(ROUND(100/J7*K7-100,1)&gt;999,999,-999)))</f>
        <v>-13.7</v>
      </c>
      <c r="M7" s="8">
        <f>IFERROR(100/'Skjema total MA'!I7*K7,0)</f>
        <v>11.763036713259433</v>
      </c>
    </row>
    <row r="8" spans="1:14" ht="15.75" x14ac:dyDescent="0.2">
      <c r="A8" s="18" t="s">
        <v>25</v>
      </c>
      <c r="B8" s="226">
        <v>100696.722990001</v>
      </c>
      <c r="C8" s="227">
        <v>107992.94871842601</v>
      </c>
      <c r="D8" s="123">
        <f t="shared" ref="D8:D10" si="1">IF(B8=0, "    ---- ", IF(ABS(ROUND(100/B8*C8-100,1))&lt;999,ROUND(100/B8*C8-100,1),IF(ROUND(100/B8*C8-100,1)&gt;999,999,-999)))</f>
        <v>7.2</v>
      </c>
      <c r="E8" s="23">
        <f>IFERROR(100/'Skjema total MA'!C8*C8,0)</f>
        <v>7.8676537627542205</v>
      </c>
      <c r="F8" s="230"/>
      <c r="G8" s="231"/>
      <c r="H8" s="123"/>
      <c r="I8" s="132"/>
      <c r="J8" s="181">
        <f t="shared" si="0"/>
        <v>100696.722990001</v>
      </c>
      <c r="K8" s="232">
        <f t="shared" si="0"/>
        <v>107992.94871842601</v>
      </c>
      <c r="L8" s="123">
        <f t="shared" ref="L8:L9" si="2">IF(J8=0, "    ---- ", IF(ABS(ROUND(100/J8*K8-100,1))&lt;999,ROUND(100/J8*K8-100,1),IF(ROUND(100/J8*K8-100,1)&gt;999,999,-999)))</f>
        <v>7.2</v>
      </c>
      <c r="M8" s="23">
        <f>IFERROR(100/'Skjema total MA'!I8*K8,0)</f>
        <v>7.8676537627542205</v>
      </c>
    </row>
    <row r="9" spans="1:14" ht="15.75" x14ac:dyDescent="0.2">
      <c r="A9" s="18" t="s">
        <v>24</v>
      </c>
      <c r="B9" s="226">
        <v>41882.712120003001</v>
      </c>
      <c r="C9" s="227">
        <v>45450.334194737203</v>
      </c>
      <c r="D9" s="123">
        <f t="shared" si="1"/>
        <v>8.5</v>
      </c>
      <c r="E9" s="23">
        <f>IFERROR(100/'Skjema total MA'!C9*C9,0)</f>
        <v>10.668790284635632</v>
      </c>
      <c r="F9" s="230"/>
      <c r="G9" s="231"/>
      <c r="H9" s="123"/>
      <c r="I9" s="132"/>
      <c r="J9" s="181">
        <f t="shared" si="0"/>
        <v>41882.712120003001</v>
      </c>
      <c r="K9" s="232">
        <f t="shared" si="0"/>
        <v>45450.334194737203</v>
      </c>
      <c r="L9" s="123">
        <f t="shared" si="2"/>
        <v>8.5</v>
      </c>
      <c r="M9" s="23">
        <f>IFERROR(100/'Skjema total MA'!I9*K9,0)</f>
        <v>10.668790284635632</v>
      </c>
    </row>
    <row r="10" spans="1:14" ht="15.75" x14ac:dyDescent="0.2">
      <c r="A10" s="10" t="s">
        <v>323</v>
      </c>
      <c r="B10" s="250">
        <v>4978766.0751400003</v>
      </c>
      <c r="C10" s="251">
        <v>5376744.7851900002</v>
      </c>
      <c r="D10" s="127">
        <f t="shared" si="1"/>
        <v>8</v>
      </c>
      <c r="E10" s="8">
        <f>IFERROR(100/'Skjema total MA'!C10*C10,0)</f>
        <v>42.493191664764815</v>
      </c>
      <c r="F10" s="250">
        <v>15524082.80947</v>
      </c>
      <c r="G10" s="251">
        <v>15699661.338479999</v>
      </c>
      <c r="H10" s="127">
        <f t="shared" ref="H10:H12" si="3">IF(F10=0, "    ---- ", IF(ABS(ROUND(100/F10*G10-100,1))&lt;999,ROUND(100/F10*G10-100,1),IF(ROUND(100/F10*G10-100,1)&gt;999,999,-999)))</f>
        <v>1.1000000000000001</v>
      </c>
      <c r="I10" s="119">
        <f>IFERROR(100/'Skjema total MA'!F10*G10,0)</f>
        <v>16.611606992409072</v>
      </c>
      <c r="J10" s="248">
        <f t="shared" si="0"/>
        <v>20502848.884610001</v>
      </c>
      <c r="K10" s="249">
        <f t="shared" si="0"/>
        <v>21076406.123670001</v>
      </c>
      <c r="L10" s="341">
        <f t="shared" ref="L10:L12" si="4">IF(J10=0, "    ---- ", IF(ABS(ROUND(100/J10*K10-100,1))&lt;999,ROUND(100/J10*K10-100,1),IF(ROUND(100/J10*K10-100,1)&gt;999,999,-999)))</f>
        <v>2.8</v>
      </c>
      <c r="M10" s="8">
        <f>IFERROR(100/'Skjema total MA'!I10*K10,0)</f>
        <v>19.667544901771631</v>
      </c>
    </row>
    <row r="11" spans="1:14" s="35" customFormat="1" ht="15.75" x14ac:dyDescent="0.2">
      <c r="A11" s="10" t="s">
        <v>324</v>
      </c>
      <c r="B11" s="250"/>
      <c r="C11" s="251"/>
      <c r="D11" s="127"/>
      <c r="E11" s="8"/>
      <c r="F11" s="250">
        <v>16517.79679</v>
      </c>
      <c r="G11" s="251">
        <v>2637.5888100000002</v>
      </c>
      <c r="H11" s="127">
        <f t="shared" si="3"/>
        <v>-84</v>
      </c>
      <c r="I11" s="119">
        <f>IFERROR(100/'Skjema total MA'!F11*G11,0)</f>
        <v>1.6228043064873563</v>
      </c>
      <c r="J11" s="248">
        <f t="shared" si="0"/>
        <v>16517.79679</v>
      </c>
      <c r="K11" s="249">
        <f t="shared" si="0"/>
        <v>2637.5888100000002</v>
      </c>
      <c r="L11" s="341">
        <f t="shared" si="4"/>
        <v>-84</v>
      </c>
      <c r="M11" s="8">
        <f>IFERROR(100/'Skjema total MA'!I11*K11,0)</f>
        <v>1.6228043064873563</v>
      </c>
      <c r="N11" s="107"/>
    </row>
    <row r="12" spans="1:14" s="35" customFormat="1" ht="15.75" x14ac:dyDescent="0.2">
      <c r="A12" s="33" t="s">
        <v>325</v>
      </c>
      <c r="B12" s="252"/>
      <c r="C12" s="253"/>
      <c r="D12" s="125"/>
      <c r="E12" s="30"/>
      <c r="F12" s="252">
        <v>24884.145850000001</v>
      </c>
      <c r="G12" s="253">
        <v>173065.79573000001</v>
      </c>
      <c r="H12" s="125">
        <f t="shared" si="3"/>
        <v>595.5</v>
      </c>
      <c r="I12" s="125">
        <f>IFERROR(100/'Skjema total MA'!F12*G12,0)</f>
        <v>79.421996847979869</v>
      </c>
      <c r="J12" s="254">
        <f t="shared" si="0"/>
        <v>24884.145850000001</v>
      </c>
      <c r="K12" s="255">
        <f t="shared" si="0"/>
        <v>173065.79573000001</v>
      </c>
      <c r="L12" s="342">
        <f t="shared" si="4"/>
        <v>595.5</v>
      </c>
      <c r="M12" s="30">
        <f>IFERROR(100/'Skjema total MA'!I12*K12,0)</f>
        <v>79.421996847979869</v>
      </c>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1514.45009</v>
      </c>
      <c r="C22" s="250">
        <v>1029.2824900000001</v>
      </c>
      <c r="D22" s="283">
        <f t="shared" ref="D22:D37" si="5">IF(B22=0, "    ---- ", IF(ABS(ROUND(100/B22*C22-100,1))&lt;999,ROUND(100/B22*C22-100,1),IF(ROUND(100/B22*C22-100,1)&gt;999,999,-999)))</f>
        <v>-32</v>
      </c>
      <c r="E22" s="8">
        <f>IFERROR(100/'Skjema total MA'!C22*C22,0)</f>
        <v>0.10368745933874168</v>
      </c>
      <c r="F22" s="258">
        <v>75749.661219999995</v>
      </c>
      <c r="G22" s="258">
        <v>67245.241810000007</v>
      </c>
      <c r="H22" s="283">
        <f t="shared" ref="H22:H35" si="6">IF(F22=0, "    ---- ", IF(ABS(ROUND(100/F22*G22-100,1))&lt;999,ROUND(100/F22*G22-100,1),IF(ROUND(100/F22*G22-100,1)&gt;999,999,-999)))</f>
        <v>-11.2</v>
      </c>
      <c r="I22" s="8">
        <f>IFERROR(100/'Skjema total MA'!F22*G22,0)</f>
        <v>23.387421907154955</v>
      </c>
      <c r="J22" s="256">
        <f t="shared" ref="J22:K35" si="7">SUM(B22,F22)</f>
        <v>77264.111309999993</v>
      </c>
      <c r="K22" s="256">
        <f t="shared" si="7"/>
        <v>68274.524300000005</v>
      </c>
      <c r="L22" s="340">
        <f t="shared" ref="L22:L37" si="8">IF(J22=0, "    ---- ", IF(ABS(ROUND(100/J22*K22-100,1))&lt;999,ROUND(100/J22*K22-100,1),IF(ROUND(100/J22*K22-100,1)&gt;999,999,-999)))</f>
        <v>-11.6</v>
      </c>
      <c r="M22" s="21">
        <f>IFERROR(100/'Skjema total MA'!I22*K22,0)</f>
        <v>5.3330919258507601</v>
      </c>
    </row>
    <row r="23" spans="1:13" ht="15.75" x14ac:dyDescent="0.2">
      <c r="A23" s="381" t="s">
        <v>326</v>
      </c>
      <c r="B23" s="226">
        <v>246.96600000000001</v>
      </c>
      <c r="C23" s="226">
        <v>184.62801818124299</v>
      </c>
      <c r="D23" s="123">
        <f t="shared" si="5"/>
        <v>-25.2</v>
      </c>
      <c r="E23" s="8">
        <f>IFERROR(100/'Skjema total MA'!C23*C23,0)</f>
        <v>2.5296499980316849E-2</v>
      </c>
      <c r="F23" s="235">
        <v>12801.40379</v>
      </c>
      <c r="G23" s="235">
        <v>5401.7416300000004</v>
      </c>
      <c r="H23" s="123">
        <f t="shared" si="6"/>
        <v>-57.8</v>
      </c>
      <c r="I23" s="333">
        <f>IFERROR(100/'Skjema total MA'!F23*G23,0)</f>
        <v>50.787441234053802</v>
      </c>
      <c r="J23" s="235">
        <f t="shared" ref="J23:J26" si="9">SUM(B23,F23)</f>
        <v>13048.369790000001</v>
      </c>
      <c r="K23" s="235">
        <f t="shared" ref="K23:K26" si="10">SUM(C23,G23)</f>
        <v>5586.3696481812431</v>
      </c>
      <c r="L23" s="123">
        <f t="shared" si="8"/>
        <v>-57.2</v>
      </c>
      <c r="M23" s="20">
        <f>IFERROR(100/'Skjema total MA'!I23*K23,0)</f>
        <v>0.75441327476146203</v>
      </c>
    </row>
    <row r="24" spans="1:13" ht="15.75" x14ac:dyDescent="0.2">
      <c r="A24" s="381" t="s">
        <v>327</v>
      </c>
      <c r="B24" s="226">
        <v>1267.4839999999999</v>
      </c>
      <c r="C24" s="226">
        <v>844.65447181875697</v>
      </c>
      <c r="D24" s="123">
        <f t="shared" si="5"/>
        <v>-33.4</v>
      </c>
      <c r="E24" s="8">
        <f>IFERROR(100/'Skjema total MA'!C24*C24,0)</f>
        <v>17.782505333867267</v>
      </c>
      <c r="F24" s="235">
        <v>820.28484000000003</v>
      </c>
      <c r="G24" s="235">
        <v>1</v>
      </c>
      <c r="H24" s="123">
        <f t="shared" si="6"/>
        <v>-99.9</v>
      </c>
      <c r="I24" s="333">
        <f>IFERROR(100/'Skjema total MA'!F24*G24,0)</f>
        <v>15.026363755208513</v>
      </c>
      <c r="J24" s="235">
        <f t="shared" si="9"/>
        <v>2087.7688399999997</v>
      </c>
      <c r="K24" s="235">
        <f t="shared" si="10"/>
        <v>845.65447181875697</v>
      </c>
      <c r="L24" s="123">
        <f t="shared" si="8"/>
        <v>-59.5</v>
      </c>
      <c r="M24" s="20">
        <f>IFERROR(100/'Skjema total MA'!I24*K24,0)</f>
        <v>17.778649188160962</v>
      </c>
    </row>
    <row r="25" spans="1:13" ht="15.75" x14ac:dyDescent="0.2">
      <c r="A25" s="381" t="s">
        <v>328</v>
      </c>
      <c r="B25" s="226"/>
      <c r="C25" s="226"/>
      <c r="D25" s="123"/>
      <c r="E25" s="8"/>
      <c r="F25" s="235">
        <v>239.79922999999999</v>
      </c>
      <c r="G25" s="235">
        <v>151.386</v>
      </c>
      <c r="H25" s="123">
        <f t="shared" si="6"/>
        <v>-36.9</v>
      </c>
      <c r="I25" s="333">
        <f>IFERROR(100/'Skjema total MA'!F25*G25,0)</f>
        <v>4.4595738464272783</v>
      </c>
      <c r="J25" s="235">
        <f t="shared" si="9"/>
        <v>239.79922999999999</v>
      </c>
      <c r="K25" s="235">
        <f t="shared" si="10"/>
        <v>151.386</v>
      </c>
      <c r="L25" s="123">
        <f t="shared" si="8"/>
        <v>-36.9</v>
      </c>
      <c r="M25" s="20">
        <f>IFERROR(100/'Skjema total MA'!I25*K25,0)</f>
        <v>1.6773181250078522</v>
      </c>
    </row>
    <row r="26" spans="1:13" ht="15.75" x14ac:dyDescent="0.2">
      <c r="A26" s="381" t="s">
        <v>329</v>
      </c>
      <c r="B26" s="226"/>
      <c r="C26" s="226"/>
      <c r="D26" s="123"/>
      <c r="E26" s="8"/>
      <c r="F26" s="235">
        <v>61888.173360000001</v>
      </c>
      <c r="G26" s="235">
        <v>61691.114179999997</v>
      </c>
      <c r="H26" s="123">
        <f t="shared" si="6"/>
        <v>-0.3</v>
      </c>
      <c r="I26" s="333">
        <f>IFERROR(100/'Skjema total MA'!F26*G26,0)</f>
        <v>22.556981070213485</v>
      </c>
      <c r="J26" s="235">
        <f t="shared" si="9"/>
        <v>61888.173360000001</v>
      </c>
      <c r="K26" s="235">
        <f t="shared" si="10"/>
        <v>61691.114179999997</v>
      </c>
      <c r="L26" s="123">
        <f t="shared" si="8"/>
        <v>-0.3</v>
      </c>
      <c r="M26" s="20">
        <f>IFERROR(100/'Skjema total MA'!I26*K26,0)</f>
        <v>22.556981070213485</v>
      </c>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110760.861710003</v>
      </c>
      <c r="C28" s="232">
        <v>132022.77009720801</v>
      </c>
      <c r="D28" s="123">
        <f t="shared" si="5"/>
        <v>19.2</v>
      </c>
      <c r="E28" s="8">
        <f>IFERROR(100/'Skjema total MA'!C28*C28,0)</f>
        <v>11.083538907342714</v>
      </c>
      <c r="F28" s="181"/>
      <c r="G28" s="232"/>
      <c r="H28" s="123"/>
      <c r="I28" s="23"/>
      <c r="J28" s="36">
        <f t="shared" si="7"/>
        <v>110760.861710003</v>
      </c>
      <c r="K28" s="36">
        <f t="shared" si="7"/>
        <v>132022.77009720801</v>
      </c>
      <c r="L28" s="204">
        <f t="shared" si="8"/>
        <v>19.2</v>
      </c>
      <c r="M28" s="20">
        <f>IFERROR(100/'Skjema total MA'!I28*K28,0)</f>
        <v>11.083538907342714</v>
      </c>
    </row>
    <row r="29" spans="1:13" ht="15.75" x14ac:dyDescent="0.2">
      <c r="A29" s="10" t="s">
        <v>323</v>
      </c>
      <c r="B29" s="183">
        <v>6797669.3109999998</v>
      </c>
      <c r="C29" s="183">
        <v>6208454.7856099997</v>
      </c>
      <c r="D29" s="127">
        <f t="shared" si="5"/>
        <v>-8.6999999999999993</v>
      </c>
      <c r="E29" s="8">
        <f>IFERROR(100/'Skjema total MA'!C29*C29,0)</f>
        <v>14.108176258874133</v>
      </c>
      <c r="F29" s="248">
        <v>9463581.23917</v>
      </c>
      <c r="G29" s="248">
        <v>9555587.9172699992</v>
      </c>
      <c r="H29" s="127">
        <f t="shared" si="6"/>
        <v>1</v>
      </c>
      <c r="I29" s="8">
        <f>IFERROR(100/'Skjema total MA'!F29*G29,0)</f>
        <v>33.404603448102399</v>
      </c>
      <c r="J29" s="183">
        <f t="shared" si="7"/>
        <v>16261250.550170001</v>
      </c>
      <c r="K29" s="183">
        <f t="shared" si="7"/>
        <v>15764042.702879999</v>
      </c>
      <c r="L29" s="341">
        <f t="shared" si="8"/>
        <v>-3.1</v>
      </c>
      <c r="M29" s="21">
        <f>IFERROR(100/'Skjema total MA'!I29*K29,0)</f>
        <v>21.710065246494143</v>
      </c>
    </row>
    <row r="30" spans="1:13" ht="15.75" x14ac:dyDescent="0.2">
      <c r="A30" s="381" t="s">
        <v>326</v>
      </c>
      <c r="B30" s="226">
        <v>1108517.7323131401</v>
      </c>
      <c r="C30" s="226">
        <v>1113644.4214017801</v>
      </c>
      <c r="D30" s="123">
        <f t="shared" si="5"/>
        <v>0.5</v>
      </c>
      <c r="E30" s="8">
        <f>IFERROR(100/'Skjema total MA'!C30*C30,0)</f>
        <v>5.937205212349336</v>
      </c>
      <c r="F30" s="235">
        <v>1105465.83956</v>
      </c>
      <c r="G30" s="235">
        <v>1036489.92208</v>
      </c>
      <c r="H30" s="123">
        <f t="shared" si="6"/>
        <v>-6.2</v>
      </c>
      <c r="I30" s="333">
        <f>IFERROR(100/'Skjema total MA'!F30*G30,0)</f>
        <v>29.073957909737132</v>
      </c>
      <c r="J30" s="235">
        <f t="shared" ref="J30:J33" si="11">SUM(B30,F30)</f>
        <v>2213983.5718731401</v>
      </c>
      <c r="K30" s="235">
        <f t="shared" ref="K30:K33" si="12">SUM(C30,G30)</f>
        <v>2150134.34348178</v>
      </c>
      <c r="L30" s="123">
        <f t="shared" si="8"/>
        <v>-2.9</v>
      </c>
      <c r="M30" s="20">
        <f>IFERROR(100/'Skjema total MA'!I30*K30,0)</f>
        <v>9.6323296999299632</v>
      </c>
    </row>
    <row r="31" spans="1:13" ht="15.75" x14ac:dyDescent="0.2">
      <c r="A31" s="381" t="s">
        <v>327</v>
      </c>
      <c r="B31" s="226">
        <v>5689151.5786868604</v>
      </c>
      <c r="C31" s="226">
        <v>5094810.3642082196</v>
      </c>
      <c r="D31" s="123">
        <f t="shared" si="5"/>
        <v>-10.4</v>
      </c>
      <c r="E31" s="8">
        <f>IFERROR(100/'Skjema total MA'!C31*C31,0)</f>
        <v>22.390492985828192</v>
      </c>
      <c r="F31" s="235">
        <v>2349383.35072</v>
      </c>
      <c r="G31" s="235">
        <v>2108788.1453399998</v>
      </c>
      <c r="H31" s="123">
        <f t="shared" si="6"/>
        <v>-10.199999999999999</v>
      </c>
      <c r="I31" s="333">
        <f>IFERROR(100/'Skjema total MA'!F31*G31,0)</f>
        <v>29.61901800766594</v>
      </c>
      <c r="J31" s="235">
        <f t="shared" si="11"/>
        <v>8038534.9294068608</v>
      </c>
      <c r="K31" s="235">
        <f t="shared" si="12"/>
        <v>7203598.5095482189</v>
      </c>
      <c r="L31" s="123">
        <f t="shared" si="8"/>
        <v>-10.4</v>
      </c>
      <c r="M31" s="20">
        <f>IFERROR(100/'Skjema total MA'!I31*K31,0)</f>
        <v>24.113225251996791</v>
      </c>
    </row>
    <row r="32" spans="1:13" ht="15.75" x14ac:dyDescent="0.2">
      <c r="A32" s="381" t="s">
        <v>328</v>
      </c>
      <c r="B32" s="226"/>
      <c r="C32" s="226"/>
      <c r="D32" s="123"/>
      <c r="E32" s="8"/>
      <c r="F32" s="235">
        <v>2446747.59962</v>
      </c>
      <c r="G32" s="235">
        <v>2575443.5663200002</v>
      </c>
      <c r="H32" s="123">
        <f t="shared" si="6"/>
        <v>5.3</v>
      </c>
      <c r="I32" s="333">
        <f>IFERROR(100/'Skjema total MA'!F32*G32,0)</f>
        <v>39.33197871502589</v>
      </c>
      <c r="J32" s="235">
        <f t="shared" si="11"/>
        <v>2446747.59962</v>
      </c>
      <c r="K32" s="235">
        <f t="shared" si="12"/>
        <v>2575443.5663200002</v>
      </c>
      <c r="L32" s="123">
        <f t="shared" si="8"/>
        <v>5.3</v>
      </c>
      <c r="M32" s="20">
        <f>IFERROR(100/'Skjema total MA'!I32*K32,0)</f>
        <v>28.949910162766177</v>
      </c>
    </row>
    <row r="33" spans="1:13" ht="15.75" x14ac:dyDescent="0.2">
      <c r="A33" s="381" t="s">
        <v>329</v>
      </c>
      <c r="B33" s="226"/>
      <c r="C33" s="226"/>
      <c r="D33" s="123"/>
      <c r="E33" s="8"/>
      <c r="F33" s="235">
        <v>3561984.4492700002</v>
      </c>
      <c r="G33" s="235">
        <v>3834866.2835300001</v>
      </c>
      <c r="H33" s="123">
        <f t="shared" si="6"/>
        <v>7.7</v>
      </c>
      <c r="I33" s="333">
        <f>IFERROR(100/'Skjema total MA'!F34*G33,0)</f>
        <v>-3674.3735962664468</v>
      </c>
      <c r="J33" s="235">
        <f t="shared" si="11"/>
        <v>3561984.4492700002</v>
      </c>
      <c r="K33" s="235">
        <f t="shared" si="12"/>
        <v>3834866.2835300001</v>
      </c>
      <c r="L33" s="123">
        <f t="shared" si="8"/>
        <v>7.7</v>
      </c>
      <c r="M33" s="20">
        <f>IFERROR(100/'Skjema total MA'!I34*K33,0)</f>
        <v>-3890.4750560188422</v>
      </c>
    </row>
    <row r="34" spans="1:13" ht="15.75" x14ac:dyDescent="0.2">
      <c r="A34" s="10" t="s">
        <v>324</v>
      </c>
      <c r="B34" s="183">
        <v>2291.1619999999998</v>
      </c>
      <c r="C34" s="249">
        <v>2626.8</v>
      </c>
      <c r="D34" s="127">
        <f t="shared" si="5"/>
        <v>14.6</v>
      </c>
      <c r="E34" s="8">
        <f>IFERROR(100/'Skjema total MA'!C34*C34,0)</f>
        <v>45.31114413876692</v>
      </c>
      <c r="F34" s="248">
        <v>7853.9515899999997</v>
      </c>
      <c r="G34" s="249">
        <v>3681.0146599999998</v>
      </c>
      <c r="H34" s="127">
        <f t="shared" si="6"/>
        <v>-53.1</v>
      </c>
      <c r="I34" s="8">
        <f>IFERROR(100/'Skjema total MA'!F34*G34,0)</f>
        <v>-3.5269608049341268</v>
      </c>
      <c r="J34" s="183">
        <f t="shared" si="7"/>
        <v>10145.113589999999</v>
      </c>
      <c r="K34" s="183">
        <f t="shared" si="7"/>
        <v>6307.81466</v>
      </c>
      <c r="L34" s="341">
        <f t="shared" si="8"/>
        <v>-37.799999999999997</v>
      </c>
      <c r="M34" s="21">
        <f>IFERROR(100/'Skjema total MA'!I34*K34,0)</f>
        <v>-6.3992832548337262</v>
      </c>
    </row>
    <row r="35" spans="1:13" ht="15.75" x14ac:dyDescent="0.2">
      <c r="A35" s="10" t="s">
        <v>325</v>
      </c>
      <c r="B35" s="183">
        <v>125.75749999999999</v>
      </c>
      <c r="C35" s="249">
        <v>72.924580000000006</v>
      </c>
      <c r="D35" s="127">
        <f t="shared" si="5"/>
        <v>-42</v>
      </c>
      <c r="E35" s="8">
        <f>IFERROR(100/'Skjema total MA'!C35*C35,0)</f>
        <v>-4.8924999326109192E-2</v>
      </c>
      <c r="F35" s="248">
        <v>23910.45246</v>
      </c>
      <c r="G35" s="249">
        <v>34191.975789999997</v>
      </c>
      <c r="H35" s="127">
        <f t="shared" si="6"/>
        <v>43</v>
      </c>
      <c r="I35" s="8">
        <f>IFERROR(100/'Skjema total MA'!F35*G35,0)</f>
        <v>49.659394617103693</v>
      </c>
      <c r="J35" s="183">
        <f t="shared" si="7"/>
        <v>24036.20996</v>
      </c>
      <c r="K35" s="183">
        <f t="shared" si="7"/>
        <v>34264.900369999996</v>
      </c>
      <c r="L35" s="341">
        <f t="shared" si="8"/>
        <v>42.6</v>
      </c>
      <c r="M35" s="21">
        <f>IFERROR(100/'Skjema total MA'!I35*K35,0)</f>
        <v>-42.723870608587262</v>
      </c>
    </row>
    <row r="36" spans="1:13" ht="15.75" x14ac:dyDescent="0.2">
      <c r="A36" s="9" t="s">
        <v>255</v>
      </c>
      <c r="B36" s="183">
        <v>29.727</v>
      </c>
      <c r="C36" s="249">
        <v>0</v>
      </c>
      <c r="D36" s="127">
        <f t="shared" si="5"/>
        <v>-100</v>
      </c>
      <c r="E36" s="8">
        <f>IFERROR(100/'Skjema total MA'!C36*C36,0)</f>
        <v>0</v>
      </c>
      <c r="F36" s="259"/>
      <c r="G36" s="260"/>
      <c r="H36" s="127"/>
      <c r="I36" s="347"/>
      <c r="J36" s="183">
        <f t="shared" ref="J36:J37" si="13">SUM(B36,F36)</f>
        <v>29.727</v>
      </c>
      <c r="K36" s="183">
        <f t="shared" ref="K36:K37" si="14">SUM(C36,G36)</f>
        <v>0</v>
      </c>
      <c r="L36" s="341">
        <f t="shared" si="8"/>
        <v>-100</v>
      </c>
      <c r="M36" s="21">
        <f>IFERROR(100/'Skjema total MA'!I36*K36,0)</f>
        <v>0</v>
      </c>
    </row>
    <row r="37" spans="1:13" ht="15.75" x14ac:dyDescent="0.2">
      <c r="A37" s="9" t="s">
        <v>331</v>
      </c>
      <c r="B37" s="183">
        <v>399327.48022000003</v>
      </c>
      <c r="C37" s="249">
        <v>382887.15678000002</v>
      </c>
      <c r="D37" s="127">
        <f t="shared" si="5"/>
        <v>-4.0999999999999996</v>
      </c>
      <c r="E37" s="8">
        <f>IFERROR(100/'Skjema total MA'!C37*C37,0)</f>
        <v>15.653960806316912</v>
      </c>
      <c r="F37" s="259"/>
      <c r="G37" s="261"/>
      <c r="H37" s="127"/>
      <c r="I37" s="347"/>
      <c r="J37" s="183">
        <f t="shared" si="13"/>
        <v>399327.48022000003</v>
      </c>
      <c r="K37" s="183">
        <f t="shared" si="14"/>
        <v>382887.15678000002</v>
      </c>
      <c r="L37" s="341">
        <f t="shared" si="8"/>
        <v>-4.0999999999999996</v>
      </c>
      <c r="M37" s="21">
        <f>IFERROR(100/'Skjema total MA'!I37*K37,0)</f>
        <v>15.653960806316912</v>
      </c>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766378.50762000005</v>
      </c>
      <c r="C47" s="251">
        <v>813054.32147000008</v>
      </c>
      <c r="D47" s="340">
        <f t="shared" ref="D47:D57" si="15">IF(B47=0, "    ---- ", IF(ABS(ROUND(100/B47*C47-100,1))&lt;999,ROUND(100/B47*C47-100,1),IF(ROUND(100/B47*C47-100,1)&gt;999,999,-999)))</f>
        <v>6.1</v>
      </c>
      <c r="E47" s="8">
        <f>IFERROR(100/'Skjema total MA'!C47*C47,0)</f>
        <v>18.348332914687418</v>
      </c>
      <c r="F47" s="109"/>
      <c r="G47" s="27"/>
      <c r="H47" s="118"/>
      <c r="I47" s="118"/>
      <c r="J47" s="31"/>
      <c r="K47" s="31"/>
      <c r="L47" s="118"/>
      <c r="M47" s="118"/>
    </row>
    <row r="48" spans="1:13" ht="15.75" x14ac:dyDescent="0.2">
      <c r="A48" s="18" t="s">
        <v>334</v>
      </c>
      <c r="B48" s="226">
        <v>204239.185</v>
      </c>
      <c r="C48" s="227">
        <v>235547.82500000001</v>
      </c>
      <c r="D48" s="204">
        <f t="shared" si="15"/>
        <v>15.3</v>
      </c>
      <c r="E48" s="23">
        <f>IFERROR(100/'Skjema total MA'!C48*C48,0)</f>
        <v>9.7915636025470221</v>
      </c>
      <c r="F48" s="109"/>
      <c r="G48" s="27"/>
      <c r="H48" s="109"/>
      <c r="I48" s="109"/>
      <c r="J48" s="27"/>
      <c r="K48" s="27"/>
      <c r="L48" s="118"/>
      <c r="M48" s="118"/>
    </row>
    <row r="49" spans="1:13" ht="15.75" x14ac:dyDescent="0.2">
      <c r="A49" s="18" t="s">
        <v>335</v>
      </c>
      <c r="B49" s="226">
        <v>562139.32261999999</v>
      </c>
      <c r="C49" s="227">
        <v>577506.49647000001</v>
      </c>
      <c r="D49" s="204">
        <f>IF(B49=0, "    ---- ", IF(ABS(ROUND(100/B49*C49-100,1))&lt;999,ROUND(100/B49*C49-100,1),IF(ROUND(100/B49*C49-100,1)&gt;999,999,-999)))</f>
        <v>2.7</v>
      </c>
      <c r="E49" s="23">
        <f>IFERROR(100/'Skjema total MA'!C49*C49,0)</f>
        <v>28.510445508936979</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8627.3189999999995</v>
      </c>
      <c r="C53" s="251">
        <v>46354.417999999998</v>
      </c>
      <c r="D53" s="341">
        <f t="shared" si="15"/>
        <v>437.3</v>
      </c>
      <c r="E53" s="8">
        <f>IFERROR(100/'Skjema total MA'!C53*C53,0)</f>
        <v>26.592826620734094</v>
      </c>
      <c r="F53" s="109"/>
      <c r="G53" s="27"/>
      <c r="H53" s="109"/>
      <c r="I53" s="109"/>
      <c r="J53" s="27"/>
      <c r="K53" s="27"/>
      <c r="L53" s="118"/>
      <c r="M53" s="118"/>
    </row>
    <row r="54" spans="1:13" ht="15.75" x14ac:dyDescent="0.2">
      <c r="A54" s="18" t="s">
        <v>334</v>
      </c>
      <c r="B54" s="226">
        <v>8627.3189999999995</v>
      </c>
      <c r="C54" s="227">
        <v>46354.417999999998</v>
      </c>
      <c r="D54" s="204">
        <f t="shared" si="15"/>
        <v>437.3</v>
      </c>
      <c r="E54" s="23">
        <f>IFERROR(100/'Skjema total MA'!C54*C54,0)</f>
        <v>26.633469339154225</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v>482.58199999999999</v>
      </c>
      <c r="C56" s="251">
        <v>817.06899999999996</v>
      </c>
      <c r="D56" s="341">
        <f t="shared" si="15"/>
        <v>69.3</v>
      </c>
      <c r="E56" s="8">
        <f>IFERROR(100/'Skjema total MA'!C56*C56,0)</f>
        <v>2.4963501981513048</v>
      </c>
      <c r="F56" s="109"/>
      <c r="G56" s="27"/>
      <c r="H56" s="109"/>
      <c r="I56" s="109"/>
      <c r="J56" s="27"/>
      <c r="K56" s="27"/>
      <c r="L56" s="118"/>
      <c r="M56" s="118"/>
    </row>
    <row r="57" spans="1:13" ht="15.75" x14ac:dyDescent="0.2">
      <c r="A57" s="18" t="s">
        <v>334</v>
      </c>
      <c r="B57" s="226">
        <v>482.58199999999999</v>
      </c>
      <c r="C57" s="227">
        <v>817.06899999999996</v>
      </c>
      <c r="D57" s="204">
        <f t="shared" si="15"/>
        <v>69.3</v>
      </c>
      <c r="E57" s="23">
        <f>IFERROR(100/'Skjema total MA'!C57*C57,0)</f>
        <v>2.4963501981513048</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v>1189753.80394</v>
      </c>
      <c r="C66" s="286">
        <v>1114905.27731</v>
      </c>
      <c r="D66" s="283">
        <f t="shared" ref="D66:D111" si="16">IF(B66=0, "    ---- ", IF(ABS(ROUND(100/B66*C66-100,1))&lt;999,ROUND(100/B66*C66-100,1),IF(ROUND(100/B66*C66-100,1)&gt;999,999,-999)))</f>
        <v>-6.3</v>
      </c>
      <c r="E66" s="8">
        <f>IFERROR(100/'Skjema total MA'!C66*C66,0)</f>
        <v>37.854327688230491</v>
      </c>
      <c r="F66" s="285">
        <v>4074737.8289000001</v>
      </c>
      <c r="G66" s="285">
        <v>4499100.4843899999</v>
      </c>
      <c r="H66" s="283">
        <f t="shared" ref="H66:H111" si="17">IF(F66=0, "    ---- ", IF(ABS(ROUND(100/F66*G66-100,1))&lt;999,ROUND(100/F66*G66-100,1),IF(ROUND(100/F66*G66-100,1)&gt;999,999,-999)))</f>
        <v>10.4</v>
      </c>
      <c r="I66" s="8">
        <f>IFERROR(100/'Skjema total MA'!F66*G66,0)</f>
        <v>30.869249577340263</v>
      </c>
      <c r="J66" s="249">
        <f t="shared" ref="J66:K86" si="18">SUM(B66,F66)</f>
        <v>5264491.6328400001</v>
      </c>
      <c r="K66" s="256">
        <f t="shared" si="18"/>
        <v>5614005.7616999997</v>
      </c>
      <c r="L66" s="341">
        <f t="shared" ref="L66:L111" si="19">IF(J66=0, "    ---- ", IF(ABS(ROUND(100/J66*K66-100,1))&lt;999,ROUND(100/J66*K66-100,1),IF(ROUND(100/J66*K66-100,1)&gt;999,999,-999)))</f>
        <v>6.6</v>
      </c>
      <c r="M66" s="8">
        <f>IFERROR(100/'Skjema total MA'!I66*K66,0)</f>
        <v>32.043500191230159</v>
      </c>
    </row>
    <row r="67" spans="1:13" x14ac:dyDescent="0.2">
      <c r="A67" s="39" t="s">
        <v>9</v>
      </c>
      <c r="B67" s="36">
        <v>636632.86106999998</v>
      </c>
      <c r="C67" s="109">
        <v>487759.76637999999</v>
      </c>
      <c r="D67" s="123">
        <f t="shared" si="16"/>
        <v>-23.4</v>
      </c>
      <c r="E67" s="23">
        <f>IFERROR(100/'Skjema total MA'!C67*C67,0)</f>
        <v>26.64470409748656</v>
      </c>
      <c r="F67" s="181"/>
      <c r="G67" s="109"/>
      <c r="H67" s="123"/>
      <c r="I67" s="23"/>
      <c r="J67" s="232">
        <f t="shared" si="18"/>
        <v>636632.86106999998</v>
      </c>
      <c r="K67" s="36">
        <f t="shared" si="18"/>
        <v>487759.76637999999</v>
      </c>
      <c r="L67" s="204">
        <f t="shared" si="19"/>
        <v>-23.4</v>
      </c>
      <c r="M67" s="23">
        <f>IFERROR(100/'Skjema total MA'!I67*K67,0)</f>
        <v>26.64470409748656</v>
      </c>
    </row>
    <row r="68" spans="1:13" x14ac:dyDescent="0.2">
      <c r="A68" s="18" t="s">
        <v>10</v>
      </c>
      <c r="B68" s="236"/>
      <c r="C68" s="237"/>
      <c r="D68" s="123"/>
      <c r="E68" s="23"/>
      <c r="F68" s="236">
        <v>3661340.6206499999</v>
      </c>
      <c r="G68" s="237">
        <v>4078881.07589</v>
      </c>
      <c r="H68" s="123">
        <f t="shared" si="17"/>
        <v>11.4</v>
      </c>
      <c r="I68" s="23">
        <f>IFERROR(100/'Skjema total MA'!F68*G68,0)</f>
        <v>29.050292636680197</v>
      </c>
      <c r="J68" s="232">
        <f t="shared" si="18"/>
        <v>3661340.6206499999</v>
      </c>
      <c r="K68" s="36">
        <f t="shared" si="18"/>
        <v>4078881.07589</v>
      </c>
      <c r="L68" s="204">
        <f t="shared" si="19"/>
        <v>11.4</v>
      </c>
      <c r="M68" s="23">
        <f>IFERROR(100/'Skjema total MA'!I68*K68,0)</f>
        <v>29.033237558246245</v>
      </c>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v>74468.702999999994</v>
      </c>
      <c r="C75" s="109">
        <v>87211.569499999998</v>
      </c>
      <c r="D75" s="123">
        <f t="shared" si="16"/>
        <v>17.100000000000001</v>
      </c>
      <c r="E75" s="23">
        <f>IFERROR(100/'Skjema total MA'!C75*C75,0)</f>
        <v>43.595744371058586</v>
      </c>
      <c r="F75" s="181">
        <v>413397.20825000003</v>
      </c>
      <c r="G75" s="109">
        <v>420219.40850000002</v>
      </c>
      <c r="H75" s="123">
        <f t="shared" si="17"/>
        <v>1.7</v>
      </c>
      <c r="I75" s="23">
        <f>IFERROR(100/'Skjema total MA'!F75*G75,0)</f>
        <v>78.701230009278035</v>
      </c>
      <c r="J75" s="232">
        <f t="shared" si="18"/>
        <v>487865.91125</v>
      </c>
      <c r="K75" s="36">
        <f t="shared" si="18"/>
        <v>507430.978</v>
      </c>
      <c r="L75" s="204">
        <f t="shared" si="19"/>
        <v>4</v>
      </c>
      <c r="M75" s="23">
        <f>IFERROR(100/'Skjema total MA'!I75*K75,0)</f>
        <v>69.133352026527163</v>
      </c>
    </row>
    <row r="76" spans="1:13" x14ac:dyDescent="0.2">
      <c r="A76" s="18" t="s">
        <v>309</v>
      </c>
      <c r="B76" s="181">
        <v>478652.23986999999</v>
      </c>
      <c r="C76" s="109">
        <v>539933.94143000001</v>
      </c>
      <c r="D76" s="123">
        <f t="shared" ref="D76" si="20">IF(B76=0, "    ---- ", IF(ABS(ROUND(100/B76*C76-100,1))&lt;999,ROUND(100/B76*C76-100,1),IF(ROUND(100/B76*C76-100,1)&gt;999,999,-999)))</f>
        <v>12.8</v>
      </c>
      <c r="E76" s="23">
        <f>IFERROR(100/'Skjema total MA'!C77*C76,0)</f>
        <v>30.596321192565611</v>
      </c>
      <c r="F76" s="181"/>
      <c r="G76" s="109"/>
      <c r="H76" s="123"/>
      <c r="I76" s="23"/>
      <c r="J76" s="232">
        <f t="shared" ref="J76" si="21">SUM(B76,F76)</f>
        <v>478652.23986999999</v>
      </c>
      <c r="K76" s="36">
        <f t="shared" ref="K76" si="22">SUM(C76,G76)</f>
        <v>539933.94143000001</v>
      </c>
      <c r="L76" s="204">
        <f t="shared" ref="L76" si="23">IF(J76=0, "    ---- ", IF(ABS(ROUND(100/J76*K76-100,1))&lt;999,ROUND(100/J76*K76-100,1),IF(ROUND(100/J76*K76-100,1)&gt;999,999,-999)))</f>
        <v>12.8</v>
      </c>
      <c r="M76" s="23">
        <f>IFERROR(100/'Skjema total MA'!I77*K76,0)</f>
        <v>3.416900143151989</v>
      </c>
    </row>
    <row r="77" spans="1:13" ht="15.75" x14ac:dyDescent="0.2">
      <c r="A77" s="18" t="s">
        <v>340</v>
      </c>
      <c r="B77" s="181">
        <v>590548.70406999998</v>
      </c>
      <c r="C77" s="181">
        <v>443622.52638</v>
      </c>
      <c r="D77" s="123">
        <f t="shared" si="16"/>
        <v>-24.9</v>
      </c>
      <c r="E77" s="23">
        <f>IFERROR(100/'Skjema total MA'!C77*C77,0)</f>
        <v>25.138662832404279</v>
      </c>
      <c r="F77" s="181">
        <v>3661340.6206499999</v>
      </c>
      <c r="G77" s="109">
        <v>4078881.07589</v>
      </c>
      <c r="H77" s="123">
        <f t="shared" si="17"/>
        <v>11.4</v>
      </c>
      <c r="I77" s="23">
        <f>IFERROR(100/'Skjema total MA'!F77*G77,0)</f>
        <v>29.057731801239818</v>
      </c>
      <c r="J77" s="232">
        <f t="shared" si="18"/>
        <v>4251889.3247199999</v>
      </c>
      <c r="K77" s="36">
        <f t="shared" si="18"/>
        <v>4522503.6022699997</v>
      </c>
      <c r="L77" s="204">
        <f t="shared" si="19"/>
        <v>6.4</v>
      </c>
      <c r="M77" s="23">
        <f>IFERROR(100/'Skjema total MA'!I77*K77,0)</f>
        <v>28.620062604464277</v>
      </c>
    </row>
    <row r="78" spans="1:13" x14ac:dyDescent="0.2">
      <c r="A78" s="18" t="s">
        <v>9</v>
      </c>
      <c r="B78" s="181">
        <v>590548.70406999998</v>
      </c>
      <c r="C78" s="109">
        <v>443622.52638</v>
      </c>
      <c r="D78" s="123">
        <f t="shared" si="16"/>
        <v>-24.9</v>
      </c>
      <c r="E78" s="23">
        <f>IFERROR(100/'Skjema total MA'!C78*C78,0)</f>
        <v>25.25670961052769</v>
      </c>
      <c r="F78" s="181"/>
      <c r="G78" s="109"/>
      <c r="H78" s="123"/>
      <c r="I78" s="23"/>
      <c r="J78" s="232">
        <f t="shared" si="18"/>
        <v>590548.70406999998</v>
      </c>
      <c r="K78" s="36">
        <f t="shared" si="18"/>
        <v>443622.52638</v>
      </c>
      <c r="L78" s="204">
        <f t="shared" si="19"/>
        <v>-24.9</v>
      </c>
      <c r="M78" s="23">
        <f>IFERROR(100/'Skjema total MA'!I78*K78,0)</f>
        <v>25.25670961052769</v>
      </c>
    </row>
    <row r="79" spans="1:13" x14ac:dyDescent="0.2">
      <c r="A79" s="18" t="s">
        <v>368</v>
      </c>
      <c r="B79" s="236"/>
      <c r="C79" s="237"/>
      <c r="D79" s="123"/>
      <c r="E79" s="23"/>
      <c r="F79" s="236">
        <v>3661340.6206499999</v>
      </c>
      <c r="G79" s="237">
        <v>4078881.07589</v>
      </c>
      <c r="H79" s="123">
        <f t="shared" si="17"/>
        <v>11.4</v>
      </c>
      <c r="I79" s="23">
        <f>IFERROR(100/'Skjema total MA'!F79*G79,0)</f>
        <v>29.057731801239818</v>
      </c>
      <c r="J79" s="232">
        <f t="shared" si="18"/>
        <v>3661340.6206499999</v>
      </c>
      <c r="K79" s="36">
        <f t="shared" si="18"/>
        <v>4078881.07589</v>
      </c>
      <c r="L79" s="204">
        <f t="shared" si="19"/>
        <v>11.4</v>
      </c>
      <c r="M79" s="23">
        <f>IFERROR(100/'Skjema total MA'!I79*K79,0)</f>
        <v>29.040667989364241</v>
      </c>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v>46084.156999999999</v>
      </c>
      <c r="C86" s="109">
        <v>44137.24</v>
      </c>
      <c r="D86" s="123">
        <f t="shared" si="16"/>
        <v>-4.2</v>
      </c>
      <c r="E86" s="23">
        <f>IFERROR(100/'Skjema total MA'!C86*C86,0)</f>
        <v>59.522171331973723</v>
      </c>
      <c r="F86" s="181"/>
      <c r="G86" s="109"/>
      <c r="H86" s="123"/>
      <c r="I86" s="23"/>
      <c r="J86" s="232">
        <f t="shared" si="18"/>
        <v>46084.156999999999</v>
      </c>
      <c r="K86" s="36">
        <f t="shared" si="18"/>
        <v>44137.24</v>
      </c>
      <c r="L86" s="204">
        <f t="shared" si="19"/>
        <v>-4.2</v>
      </c>
      <c r="M86" s="23">
        <f>IFERROR(100/'Skjema total MA'!I86*K86,0)</f>
        <v>56.770100952914994</v>
      </c>
    </row>
    <row r="87" spans="1:13" ht="15.75" x14ac:dyDescent="0.2">
      <c r="A87" s="10" t="s">
        <v>323</v>
      </c>
      <c r="B87" s="286">
        <v>174185121.88381001</v>
      </c>
      <c r="C87" s="286">
        <v>175482632.03440002</v>
      </c>
      <c r="D87" s="127">
        <f t="shared" si="16"/>
        <v>0.7</v>
      </c>
      <c r="E87" s="8">
        <f>IFERROR(100/'Skjema total MA'!C87*C87,0)</f>
        <v>43.159888643542281</v>
      </c>
      <c r="F87" s="285">
        <v>201494137.88587001</v>
      </c>
      <c r="G87" s="285">
        <v>219497758.13139001</v>
      </c>
      <c r="H87" s="127">
        <f t="shared" si="17"/>
        <v>8.9</v>
      </c>
      <c r="I87" s="8">
        <f>IFERROR(100/'Skjema total MA'!F87*G87,0)</f>
        <v>32.990286384636228</v>
      </c>
      <c r="J87" s="249">
        <f t="shared" ref="J87:K111" si="24">SUM(B87,F87)</f>
        <v>375679259.76968002</v>
      </c>
      <c r="K87" s="183">
        <f t="shared" si="24"/>
        <v>394980390.16579002</v>
      </c>
      <c r="L87" s="341">
        <f t="shared" si="19"/>
        <v>5.0999999999999996</v>
      </c>
      <c r="M87" s="8">
        <f>IFERROR(100/'Skjema total MA'!I87*K87,0)</f>
        <v>36.847664614468492</v>
      </c>
    </row>
    <row r="88" spans="1:13" x14ac:dyDescent="0.2">
      <c r="A88" s="18" t="s">
        <v>9</v>
      </c>
      <c r="B88" s="181">
        <v>162471139.97536001</v>
      </c>
      <c r="C88" s="109">
        <v>161625777.98425001</v>
      </c>
      <c r="D88" s="123">
        <f t="shared" si="16"/>
        <v>-0.5</v>
      </c>
      <c r="E88" s="23">
        <f>IFERROR(100/'Skjema total MA'!C88*C88,0)</f>
        <v>42.062963496669319</v>
      </c>
      <c r="F88" s="181"/>
      <c r="G88" s="109"/>
      <c r="H88" s="123"/>
      <c r="I88" s="23"/>
      <c r="J88" s="232">
        <f t="shared" si="24"/>
        <v>162471139.97536001</v>
      </c>
      <c r="K88" s="36">
        <f t="shared" si="24"/>
        <v>161625777.98425001</v>
      </c>
      <c r="L88" s="204">
        <f t="shared" si="19"/>
        <v>-0.5</v>
      </c>
      <c r="M88" s="23">
        <f>IFERROR(100/'Skjema total MA'!I88*K88,0)</f>
        <v>42.062963496669319</v>
      </c>
    </row>
    <row r="89" spans="1:13" x14ac:dyDescent="0.2">
      <c r="A89" s="18" t="s">
        <v>10</v>
      </c>
      <c r="B89" s="181">
        <v>47410.378819999998</v>
      </c>
      <c r="C89" s="109">
        <v>46663.965629999999</v>
      </c>
      <c r="D89" s="123">
        <f t="shared" si="16"/>
        <v>-1.6</v>
      </c>
      <c r="E89" s="23">
        <f>IFERROR(100/'Skjema total MA'!C89*C89,0)</f>
        <v>1.9695715431410776</v>
      </c>
      <c r="F89" s="181">
        <v>195306729.77743</v>
      </c>
      <c r="G89" s="109">
        <v>212190734.00196001</v>
      </c>
      <c r="H89" s="123">
        <f t="shared" si="17"/>
        <v>8.6</v>
      </c>
      <c r="I89" s="23">
        <f>IFERROR(100/'Skjema total MA'!F89*G89,0)</f>
        <v>32.390182903570548</v>
      </c>
      <c r="J89" s="232">
        <f t="shared" si="24"/>
        <v>195354140.15625</v>
      </c>
      <c r="K89" s="36">
        <f t="shared" si="24"/>
        <v>212237397.96759</v>
      </c>
      <c r="L89" s="204">
        <f t="shared" si="19"/>
        <v>8.6</v>
      </c>
      <c r="M89" s="23">
        <f>IFERROR(100/'Skjema total MA'!I89*K89,0)</f>
        <v>32.280561089973851</v>
      </c>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v>2446340.7422799999</v>
      </c>
      <c r="C96" s="109">
        <v>3490807.5614999998</v>
      </c>
      <c r="D96" s="123">
        <f t="shared" si="16"/>
        <v>42.7</v>
      </c>
      <c r="E96" s="23">
        <f>IFERROR(100/'Skjema total MA'!C96*C96,0)</f>
        <v>47.111532857468234</v>
      </c>
      <c r="F96" s="181">
        <v>6187408.1084399996</v>
      </c>
      <c r="G96" s="109">
        <v>7307024.1294299997</v>
      </c>
      <c r="H96" s="123">
        <f t="shared" si="17"/>
        <v>18.100000000000001</v>
      </c>
      <c r="I96" s="23">
        <f>IFERROR(100/'Skjema total MA'!F96*G96,0)</f>
        <v>71.410675775896038</v>
      </c>
      <c r="J96" s="232">
        <f t="shared" si="24"/>
        <v>8633748.8507199995</v>
      </c>
      <c r="K96" s="36">
        <f t="shared" si="24"/>
        <v>10797831.69093</v>
      </c>
      <c r="L96" s="204">
        <f t="shared" si="19"/>
        <v>25.1</v>
      </c>
      <c r="M96" s="23">
        <f>IFERROR(100/'Skjema total MA'!I96*K96,0)</f>
        <v>61.205036055164726</v>
      </c>
    </row>
    <row r="97" spans="1:13" x14ac:dyDescent="0.2">
      <c r="A97" s="18" t="s">
        <v>307</v>
      </c>
      <c r="B97" s="181">
        <v>9220230.7873500008</v>
      </c>
      <c r="C97" s="109">
        <v>10319382.523019999</v>
      </c>
      <c r="D97" s="123">
        <f t="shared" ref="D97" si="25">IF(B97=0, "    ---- ", IF(ABS(ROUND(100/B97*C97-100,1))&lt;999,ROUND(100/B97*C97-100,1),IF(ROUND(100/B97*C97-100,1)&gt;999,999,-999)))</f>
        <v>11.9</v>
      </c>
      <c r="E97" s="23">
        <f>IFERROR(100/'Skjema total MA'!C98*C97,0)</f>
        <v>2.6982169175580495</v>
      </c>
      <c r="F97" s="181"/>
      <c r="G97" s="109"/>
      <c r="H97" s="123"/>
      <c r="I97" s="23"/>
      <c r="J97" s="232">
        <f t="shared" ref="J97" si="26">SUM(B97,F97)</f>
        <v>9220230.7873500008</v>
      </c>
      <c r="K97" s="36">
        <f t="shared" ref="K97" si="27">SUM(C97,G97)</f>
        <v>10319382.523019999</v>
      </c>
      <c r="L97" s="204">
        <f t="shared" ref="L97" si="28">IF(J97=0, "    ---- ", IF(ABS(ROUND(100/J97*K97-100,1))&lt;999,ROUND(100/J97*K97-100,1),IF(ROUND(100/J97*K97-100,1)&gt;999,999,-999)))</f>
        <v>11.9</v>
      </c>
      <c r="M97" s="23">
        <f>IFERROR(100/'Skjema total MA'!I98*K97,0)</f>
        <v>0.99496040318533163</v>
      </c>
    </row>
    <row r="98" spans="1:13" ht="15.75" x14ac:dyDescent="0.2">
      <c r="A98" s="18" t="s">
        <v>340</v>
      </c>
      <c r="B98" s="181">
        <v>159336299.74917999</v>
      </c>
      <c r="C98" s="181">
        <v>158631481.00288001</v>
      </c>
      <c r="D98" s="123">
        <f t="shared" si="16"/>
        <v>-0.4</v>
      </c>
      <c r="E98" s="23">
        <f>IFERROR(100/'Skjema total MA'!C98*C98,0)</f>
        <v>41.477495842842075</v>
      </c>
      <c r="F98" s="236">
        <v>195306729.77743</v>
      </c>
      <c r="G98" s="236">
        <v>212190734.00196001</v>
      </c>
      <c r="H98" s="123">
        <f t="shared" si="17"/>
        <v>8.6</v>
      </c>
      <c r="I98" s="23">
        <f>IFERROR(100/'Skjema total MA'!F98*G98,0)</f>
        <v>32.40972181666055</v>
      </c>
      <c r="J98" s="232">
        <f t="shared" si="24"/>
        <v>354643029.52661002</v>
      </c>
      <c r="K98" s="36">
        <f t="shared" si="24"/>
        <v>370822215.00484002</v>
      </c>
      <c r="L98" s="204">
        <f t="shared" si="19"/>
        <v>4.5999999999999996</v>
      </c>
      <c r="M98" s="23">
        <f>IFERROR(100/'Skjema total MA'!I98*K98,0)</f>
        <v>35.753439678028137</v>
      </c>
    </row>
    <row r="99" spans="1:13" x14ac:dyDescent="0.2">
      <c r="A99" s="18" t="s">
        <v>9</v>
      </c>
      <c r="B99" s="236">
        <v>159288889.37035999</v>
      </c>
      <c r="C99" s="237">
        <v>158584817.03725001</v>
      </c>
      <c r="D99" s="123">
        <f t="shared" si="16"/>
        <v>-0.4</v>
      </c>
      <c r="E99" s="23">
        <f>IFERROR(100/'Skjema total MA'!C99*C99,0)</f>
        <v>41.723768397925959</v>
      </c>
      <c r="F99" s="181"/>
      <c r="G99" s="109"/>
      <c r="H99" s="123"/>
      <c r="I99" s="23"/>
      <c r="J99" s="232">
        <f t="shared" si="24"/>
        <v>159288889.37035999</v>
      </c>
      <c r="K99" s="36">
        <f t="shared" si="24"/>
        <v>158584817.03725001</v>
      </c>
      <c r="L99" s="204">
        <f t="shared" si="19"/>
        <v>-0.4</v>
      </c>
      <c r="M99" s="23">
        <f>IFERROR(100/'Skjema total MA'!I99*K99,0)</f>
        <v>41.723768397925959</v>
      </c>
    </row>
    <row r="100" spans="1:13" x14ac:dyDescent="0.2">
      <c r="A100" s="18" t="s">
        <v>368</v>
      </c>
      <c r="B100" s="236">
        <v>47410.378819999998</v>
      </c>
      <c r="C100" s="237">
        <v>46663.965629999999</v>
      </c>
      <c r="D100" s="123">
        <f t="shared" si="16"/>
        <v>-1.6</v>
      </c>
      <c r="E100" s="23">
        <f>IFERROR(100/'Skjema total MA'!C100*C100,0)</f>
        <v>1.9695715431410776</v>
      </c>
      <c r="F100" s="181">
        <v>195306729.77743</v>
      </c>
      <c r="G100" s="181">
        <v>212190734.00196001</v>
      </c>
      <c r="H100" s="123">
        <f t="shared" si="17"/>
        <v>8.6</v>
      </c>
      <c r="I100" s="23">
        <f>IFERROR(100/'Skjema total MA'!F100*G100,0)</f>
        <v>32.40972181666055</v>
      </c>
      <c r="J100" s="232">
        <f t="shared" si="24"/>
        <v>195354140.15625</v>
      </c>
      <c r="K100" s="36">
        <f t="shared" si="24"/>
        <v>212237397.96759</v>
      </c>
      <c r="L100" s="204">
        <f t="shared" si="19"/>
        <v>8.6</v>
      </c>
      <c r="M100" s="23">
        <f>IFERROR(100/'Skjema total MA'!I100*K100,0)</f>
        <v>32.299963662188794</v>
      </c>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v>3182250.605</v>
      </c>
      <c r="C107" s="109">
        <v>3040960.9470000002</v>
      </c>
      <c r="D107" s="123">
        <f t="shared" si="16"/>
        <v>-4.4000000000000004</v>
      </c>
      <c r="E107" s="23">
        <f>IFERROR(100/'Skjema total MA'!C107*C107,0)</f>
        <v>73.019909970711893</v>
      </c>
      <c r="F107" s="181"/>
      <c r="G107" s="109"/>
      <c r="H107" s="123"/>
      <c r="I107" s="23"/>
      <c r="J107" s="232">
        <f t="shared" si="24"/>
        <v>3182250.605</v>
      </c>
      <c r="K107" s="36">
        <f t="shared" si="24"/>
        <v>3040960.9470000002</v>
      </c>
      <c r="L107" s="204">
        <f t="shared" si="19"/>
        <v>-4.4000000000000004</v>
      </c>
      <c r="M107" s="23">
        <f>IFERROR(100/'Skjema total MA'!I107*K107,0)</f>
        <v>66.694900345444893</v>
      </c>
    </row>
    <row r="108" spans="1:13" ht="15.75" x14ac:dyDescent="0.2">
      <c r="A108" s="18" t="s">
        <v>342</v>
      </c>
      <c r="B108" s="181">
        <v>142764844.01141</v>
      </c>
      <c r="C108" s="181">
        <v>142326802.71575999</v>
      </c>
      <c r="D108" s="123">
        <f t="shared" si="16"/>
        <v>-0.3</v>
      </c>
      <c r="E108" s="23">
        <f>IFERROR(100/'Skjema total MA'!C108*C108,0)</f>
        <v>43.069571929406507</v>
      </c>
      <c r="F108" s="181">
        <v>20735644.561840001</v>
      </c>
      <c r="G108" s="181">
        <v>21029734.11411</v>
      </c>
      <c r="H108" s="123">
        <f t="shared" si="17"/>
        <v>1.4</v>
      </c>
      <c r="I108" s="23">
        <f>IFERROR(100/'Skjema total MA'!F108*G108,0)</f>
        <v>90.558924593128523</v>
      </c>
      <c r="J108" s="232">
        <f t="shared" si="24"/>
        <v>163500488.57325</v>
      </c>
      <c r="K108" s="36">
        <f t="shared" si="24"/>
        <v>163356536.82986999</v>
      </c>
      <c r="L108" s="204">
        <f t="shared" si="19"/>
        <v>-0.1</v>
      </c>
      <c r="M108" s="23">
        <f>IFERROR(100/'Skjema total MA'!I108*K108,0)</f>
        <v>46.187658765448482</v>
      </c>
    </row>
    <row r="109" spans="1:13" ht="15.75" x14ac:dyDescent="0.2">
      <c r="A109" s="18" t="s">
        <v>376</v>
      </c>
      <c r="B109" s="181">
        <v>615229.61</v>
      </c>
      <c r="C109" s="181">
        <v>722726.27561000001</v>
      </c>
      <c r="D109" s="123">
        <f t="shared" si="16"/>
        <v>17.5</v>
      </c>
      <c r="E109" s="23">
        <f>IFERROR(100/'Skjema total MA'!C109*C109,0)</f>
        <v>28.181040454379424</v>
      </c>
      <c r="F109" s="181">
        <v>64254121.22817</v>
      </c>
      <c r="G109" s="181">
        <v>71741822.909999996</v>
      </c>
      <c r="H109" s="123">
        <f t="shared" si="17"/>
        <v>11.7</v>
      </c>
      <c r="I109" s="23">
        <f>IFERROR(100/'Skjema total MA'!F109*G109,0)</f>
        <v>27.795487224249847</v>
      </c>
      <c r="J109" s="232">
        <f t="shared" si="24"/>
        <v>64869350.838169999</v>
      </c>
      <c r="K109" s="36">
        <f t="shared" si="24"/>
        <v>72464549.185609996</v>
      </c>
      <c r="L109" s="204">
        <f t="shared" si="19"/>
        <v>11.7</v>
      </c>
      <c r="M109" s="23">
        <f>IFERROR(100/'Skjema total MA'!I109*K109,0)</f>
        <v>27.799280453817069</v>
      </c>
    </row>
    <row r="110" spans="1:13" ht="15.75" x14ac:dyDescent="0.2">
      <c r="A110" s="18" t="s">
        <v>343</v>
      </c>
      <c r="B110" s="181">
        <v>1404590.49981</v>
      </c>
      <c r="C110" s="181">
        <v>2140124.7461600001</v>
      </c>
      <c r="D110" s="123">
        <f t="shared" si="16"/>
        <v>52.4</v>
      </c>
      <c r="E110" s="23">
        <f>IFERROR(100/'Skjema total MA'!C110*C110,0)</f>
        <v>56.466609742174235</v>
      </c>
      <c r="F110" s="181"/>
      <c r="G110" s="181"/>
      <c r="H110" s="123"/>
      <c r="I110" s="23"/>
      <c r="J110" s="232">
        <f t="shared" si="24"/>
        <v>1404590.49981</v>
      </c>
      <c r="K110" s="36">
        <f t="shared" si="24"/>
        <v>2140124.7461600001</v>
      </c>
      <c r="L110" s="204">
        <f t="shared" si="19"/>
        <v>52.4</v>
      </c>
      <c r="M110" s="23">
        <f>IFERROR(100/'Skjema total MA'!I110*K110,0)</f>
        <v>56.466609742174235</v>
      </c>
    </row>
    <row r="111" spans="1:13" ht="15.75" x14ac:dyDescent="0.2">
      <c r="A111" s="10" t="s">
        <v>324</v>
      </c>
      <c r="B111" s="248">
        <v>62379.245000000003</v>
      </c>
      <c r="C111" s="118">
        <v>78934.251999999993</v>
      </c>
      <c r="D111" s="127">
        <f t="shared" si="16"/>
        <v>26.5</v>
      </c>
      <c r="E111" s="8">
        <f>IFERROR(100/'Skjema total MA'!C111*C111,0)</f>
        <v>6.9515363463913475</v>
      </c>
      <c r="F111" s="248">
        <v>3634591.9509999999</v>
      </c>
      <c r="G111" s="118">
        <v>4350321.915</v>
      </c>
      <c r="H111" s="127">
        <f t="shared" si="17"/>
        <v>19.7</v>
      </c>
      <c r="I111" s="8">
        <f>IFERROR(100/'Skjema total MA'!F111*G111,0)</f>
        <v>21.775623513809567</v>
      </c>
      <c r="J111" s="249">
        <f t="shared" si="24"/>
        <v>3696971.196</v>
      </c>
      <c r="K111" s="183">
        <f t="shared" si="24"/>
        <v>4429256.1670000004</v>
      </c>
      <c r="L111" s="341">
        <f t="shared" si="19"/>
        <v>19.8</v>
      </c>
      <c r="M111" s="8">
        <f>IFERROR(100/'Skjema total MA'!I111*K111,0)</f>
        <v>20.978375021965633</v>
      </c>
    </row>
    <row r="112" spans="1:13" x14ac:dyDescent="0.2">
      <c r="A112" s="18" t="s">
        <v>9</v>
      </c>
      <c r="B112" s="181">
        <v>3953.241</v>
      </c>
      <c r="C112" s="109">
        <v>8143.3410000000003</v>
      </c>
      <c r="D112" s="123">
        <f t="shared" ref="D112:D125" si="29">IF(B112=0, "    ---- ", IF(ABS(ROUND(100/B112*C112-100,1))&lt;999,ROUND(100/B112*C112-100,1),IF(ROUND(100/B112*C112-100,1)&gt;999,999,-999)))</f>
        <v>106</v>
      </c>
      <c r="E112" s="23">
        <f>IFERROR(100/'Skjema total MA'!C112*C112,0)</f>
        <v>0.76980755372734533</v>
      </c>
      <c r="F112" s="181">
        <v>983.60799999999995</v>
      </c>
      <c r="G112" s="109">
        <v>472.80700000000002</v>
      </c>
      <c r="H112" s="123">
        <f t="shared" ref="H112:H125" si="30">IF(F112=0, "    ---- ", IF(ABS(ROUND(100/F112*G112-100,1))&lt;999,ROUND(100/F112*G112-100,1),IF(ROUND(100/F112*G112-100,1)&gt;999,999,-999)))</f>
        <v>-51.9</v>
      </c>
      <c r="I112" s="23">
        <f>IFERROR(100/'Skjema total MA'!F112*G112,0)</f>
        <v>100</v>
      </c>
      <c r="J112" s="232">
        <f t="shared" ref="J112:K125" si="31">SUM(B112,F112)</f>
        <v>4936.8490000000002</v>
      </c>
      <c r="K112" s="36">
        <f t="shared" si="31"/>
        <v>8616.148000000001</v>
      </c>
      <c r="L112" s="204">
        <f t="shared" ref="L112:L125" si="32">IF(J112=0, "    ---- ", IF(ABS(ROUND(100/J112*K112-100,1))&lt;999,ROUND(100/J112*K112-100,1),IF(ROUND(100/J112*K112-100,1)&gt;999,999,-999)))</f>
        <v>74.5</v>
      </c>
      <c r="M112" s="23">
        <f>IFERROR(100/'Skjema total MA'!I112*K112,0)</f>
        <v>0.81413913392181647</v>
      </c>
    </row>
    <row r="113" spans="1:13" x14ac:dyDescent="0.2">
      <c r="A113" s="18" t="s">
        <v>10</v>
      </c>
      <c r="B113" s="181"/>
      <c r="C113" s="109"/>
      <c r="D113" s="123"/>
      <c r="E113" s="23"/>
      <c r="F113" s="181">
        <v>3633608.3429999999</v>
      </c>
      <c r="G113" s="109">
        <v>4349849.108</v>
      </c>
      <c r="H113" s="123">
        <f t="shared" si="30"/>
        <v>19.7</v>
      </c>
      <c r="I113" s="23">
        <f>IFERROR(100/'Skjema total MA'!F113*G113,0)</f>
        <v>21.773772176768755</v>
      </c>
      <c r="J113" s="232">
        <f t="shared" si="31"/>
        <v>3633608.3429999999</v>
      </c>
      <c r="K113" s="36">
        <f t="shared" si="31"/>
        <v>4349849.108</v>
      </c>
      <c r="L113" s="204">
        <f t="shared" si="32"/>
        <v>19.7</v>
      </c>
      <c r="M113" s="23">
        <f>IFERROR(100/'Skjema total MA'!I113*K113,0)</f>
        <v>21.773772176768755</v>
      </c>
    </row>
    <row r="114" spans="1:13" x14ac:dyDescent="0.2">
      <c r="A114" s="18" t="s">
        <v>26</v>
      </c>
      <c r="B114" s="181">
        <v>58426.004000000001</v>
      </c>
      <c r="C114" s="109">
        <v>70790.910999999993</v>
      </c>
      <c r="D114" s="123">
        <f t="shared" si="29"/>
        <v>21.2</v>
      </c>
      <c r="E114" s="23">
        <f>IFERROR(100/'Skjema total MA'!C114*C114,0)</f>
        <v>91.163742457934163</v>
      </c>
      <c r="F114" s="181"/>
      <c r="G114" s="109"/>
      <c r="H114" s="123"/>
      <c r="I114" s="23"/>
      <c r="J114" s="232">
        <f t="shared" si="31"/>
        <v>58426.004000000001</v>
      </c>
      <c r="K114" s="36">
        <f t="shared" si="31"/>
        <v>70790.910999999993</v>
      </c>
      <c r="L114" s="204">
        <f t="shared" si="32"/>
        <v>21.2</v>
      </c>
      <c r="M114" s="23">
        <f>IFERROR(100/'Skjema total MA'!I114*K114,0)</f>
        <v>91.163742457934163</v>
      </c>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v>3953.241</v>
      </c>
      <c r="C116" s="181">
        <v>13.567</v>
      </c>
      <c r="D116" s="123">
        <f t="shared" si="29"/>
        <v>-99.7</v>
      </c>
      <c r="E116" s="23">
        <f>IFERROR(100/'Skjema total MA'!C116*C116,0)</f>
        <v>1.4822500169774384E-3</v>
      </c>
      <c r="F116" s="181">
        <v>983.60799999999995</v>
      </c>
      <c r="G116" s="181">
        <v>472.80700000000002</v>
      </c>
      <c r="H116" s="123">
        <f t="shared" si="30"/>
        <v>-51.9</v>
      </c>
      <c r="I116" s="23">
        <f>IFERROR(100/'Skjema total MA'!F116*G116,0)</f>
        <v>100</v>
      </c>
      <c r="J116" s="232">
        <f t="shared" si="31"/>
        <v>4936.8490000000002</v>
      </c>
      <c r="K116" s="36">
        <f t="shared" si="31"/>
        <v>486.37400000000002</v>
      </c>
      <c r="L116" s="204">
        <f t="shared" si="32"/>
        <v>-90.1</v>
      </c>
      <c r="M116" s="23">
        <f>IFERROR(100/'Skjema total MA'!I116*K116,0)</f>
        <v>5.3110905791407807E-2</v>
      </c>
    </row>
    <row r="117" spans="1:13" ht="15.75" x14ac:dyDescent="0.2">
      <c r="A117" s="18" t="s">
        <v>376</v>
      </c>
      <c r="B117" s="181"/>
      <c r="C117" s="181"/>
      <c r="D117" s="123"/>
      <c r="E117" s="23"/>
      <c r="F117" s="181">
        <v>2014811</v>
      </c>
      <c r="G117" s="181">
        <v>2349855.5269999998</v>
      </c>
      <c r="H117" s="123">
        <f t="shared" si="30"/>
        <v>16.600000000000001</v>
      </c>
      <c r="I117" s="23">
        <f>IFERROR(100/'Skjema total MA'!F117*G117,0)</f>
        <v>20.985743219515648</v>
      </c>
      <c r="J117" s="232">
        <f t="shared" si="31"/>
        <v>2014811</v>
      </c>
      <c r="K117" s="36">
        <f t="shared" si="31"/>
        <v>2349855.5269999998</v>
      </c>
      <c r="L117" s="204">
        <f t="shared" si="32"/>
        <v>16.600000000000001</v>
      </c>
      <c r="M117" s="23">
        <f>IFERROR(100/'Skjema total MA'!I117*K117,0)</f>
        <v>20.985743219515648</v>
      </c>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v>38624.799999999996</v>
      </c>
      <c r="C119" s="118">
        <v>137324.136</v>
      </c>
      <c r="D119" s="127">
        <f t="shared" si="29"/>
        <v>255.5</v>
      </c>
      <c r="E119" s="8">
        <f>IFERROR(100/'Skjema total MA'!C119*C119,0)</f>
        <v>63.778095869712203</v>
      </c>
      <c r="F119" s="248">
        <v>3550908.22</v>
      </c>
      <c r="G119" s="118">
        <v>5833693.1519999998</v>
      </c>
      <c r="H119" s="127">
        <f t="shared" si="30"/>
        <v>64.3</v>
      </c>
      <c r="I119" s="8">
        <f>IFERROR(100/'Skjema total MA'!F119*G119,0)</f>
        <v>27.748050582224433</v>
      </c>
      <c r="J119" s="249">
        <f t="shared" si="31"/>
        <v>3589533.02</v>
      </c>
      <c r="K119" s="183">
        <f t="shared" si="31"/>
        <v>5971017.2879999997</v>
      </c>
      <c r="L119" s="341">
        <f t="shared" si="32"/>
        <v>66.3</v>
      </c>
      <c r="M119" s="8">
        <f>IFERROR(100/'Skjema total MA'!I119*K119,0)</f>
        <v>28.11331201495377</v>
      </c>
    </row>
    <row r="120" spans="1:13" x14ac:dyDescent="0.2">
      <c r="A120" s="18" t="s">
        <v>9</v>
      </c>
      <c r="B120" s="181">
        <v>3921.7339999999999</v>
      </c>
      <c r="C120" s="109">
        <v>2550.3130000000001</v>
      </c>
      <c r="D120" s="123">
        <f t="shared" si="29"/>
        <v>-35</v>
      </c>
      <c r="E120" s="23">
        <f>IFERROR(100/'Skjema total MA'!C120*C120,0)</f>
        <v>4.3839269674075103</v>
      </c>
      <c r="F120" s="181"/>
      <c r="G120" s="109"/>
      <c r="H120" s="123"/>
      <c r="I120" s="23"/>
      <c r="J120" s="232">
        <f t="shared" si="31"/>
        <v>3921.7339999999999</v>
      </c>
      <c r="K120" s="36">
        <f t="shared" si="31"/>
        <v>2550.3130000000001</v>
      </c>
      <c r="L120" s="204">
        <f t="shared" si="32"/>
        <v>-35</v>
      </c>
      <c r="M120" s="23">
        <f>IFERROR(100/'Skjema total MA'!I120*K120,0)</f>
        <v>4.3839269674075103</v>
      </c>
    </row>
    <row r="121" spans="1:13" x14ac:dyDescent="0.2">
      <c r="A121" s="18" t="s">
        <v>10</v>
      </c>
      <c r="B121" s="181"/>
      <c r="C121" s="109"/>
      <c r="D121" s="123"/>
      <c r="E121" s="23"/>
      <c r="F121" s="181">
        <v>3550908.22</v>
      </c>
      <c r="G121" s="109">
        <v>5833693.1519999998</v>
      </c>
      <c r="H121" s="123">
        <f t="shared" si="30"/>
        <v>64.3</v>
      </c>
      <c r="I121" s="23">
        <f>IFERROR(100/'Skjema total MA'!F121*G121,0)</f>
        <v>27.748050582224433</v>
      </c>
      <c r="J121" s="232">
        <f t="shared" si="31"/>
        <v>3550908.22</v>
      </c>
      <c r="K121" s="36">
        <f t="shared" si="31"/>
        <v>5833693.1519999998</v>
      </c>
      <c r="L121" s="204">
        <f t="shared" si="32"/>
        <v>64.3</v>
      </c>
      <c r="M121" s="23">
        <f>IFERROR(100/'Skjema total MA'!I121*K121,0)</f>
        <v>27.742914219836987</v>
      </c>
    </row>
    <row r="122" spans="1:13" x14ac:dyDescent="0.2">
      <c r="A122" s="18" t="s">
        <v>26</v>
      </c>
      <c r="B122" s="181">
        <v>34703.065999999999</v>
      </c>
      <c r="C122" s="109">
        <v>134773.823</v>
      </c>
      <c r="D122" s="123">
        <f t="shared" si="29"/>
        <v>288.39999999999998</v>
      </c>
      <c r="E122" s="23">
        <f>IFERROR(100/'Skjema total MA'!C122*C122,0)</f>
        <v>87.944356128159555</v>
      </c>
      <c r="F122" s="181"/>
      <c r="G122" s="109"/>
      <c r="H122" s="123"/>
      <c r="I122" s="23"/>
      <c r="J122" s="232">
        <f t="shared" si="31"/>
        <v>34703.065999999999</v>
      </c>
      <c r="K122" s="36">
        <f t="shared" si="31"/>
        <v>134773.823</v>
      </c>
      <c r="L122" s="204">
        <f t="shared" si="32"/>
        <v>288.39999999999998</v>
      </c>
      <c r="M122" s="23">
        <f>IFERROR(100/'Skjema total MA'!I122*K122,0)</f>
        <v>87.944356128159555</v>
      </c>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v>869.47900000000004</v>
      </c>
      <c r="C124" s="181">
        <v>2086.9180000000001</v>
      </c>
      <c r="D124" s="123">
        <f t="shared" si="29"/>
        <v>140</v>
      </c>
      <c r="E124" s="23">
        <f>IFERROR(100/'Skjema total MA'!C124*C124,0)</f>
        <v>14.851481484591643</v>
      </c>
      <c r="F124" s="181">
        <v>6482.2259999999997</v>
      </c>
      <c r="G124" s="181">
        <v>17578.107</v>
      </c>
      <c r="H124" s="123">
        <f t="shared" si="30"/>
        <v>171.2</v>
      </c>
      <c r="I124" s="23">
        <f>IFERROR(100/'Skjema total MA'!F124*G124,0)</f>
        <v>100</v>
      </c>
      <c r="J124" s="232">
        <f t="shared" si="31"/>
        <v>7351.7049999999999</v>
      </c>
      <c r="K124" s="36">
        <f t="shared" si="31"/>
        <v>19665.025000000001</v>
      </c>
      <c r="L124" s="204">
        <f t="shared" si="32"/>
        <v>167.5</v>
      </c>
      <c r="M124" s="23">
        <f>IFERROR(100/'Skjema total MA'!I124*K124,0)</f>
        <v>62.172018517215847</v>
      </c>
    </row>
    <row r="125" spans="1:13" ht="15.75" x14ac:dyDescent="0.2">
      <c r="A125" s="18" t="s">
        <v>376</v>
      </c>
      <c r="B125" s="181">
        <v>0</v>
      </c>
      <c r="C125" s="181">
        <v>79.421000000000006</v>
      </c>
      <c r="D125" s="123" t="str">
        <f t="shared" si="29"/>
        <v xml:space="preserve">    ---- </v>
      </c>
      <c r="E125" s="23">
        <f>IFERROR(100/'Skjema total MA'!C125*C125,0)</f>
        <v>8.3762734989507699</v>
      </c>
      <c r="F125" s="181">
        <v>2287375</v>
      </c>
      <c r="G125" s="181">
        <v>3203566.9840000002</v>
      </c>
      <c r="H125" s="123">
        <f t="shared" si="30"/>
        <v>40.1</v>
      </c>
      <c r="I125" s="23">
        <f>IFERROR(100/'Skjema total MA'!F125*G125,0)</f>
        <v>28.640443745139816</v>
      </c>
      <c r="J125" s="232">
        <f t="shared" si="31"/>
        <v>2287375</v>
      </c>
      <c r="K125" s="36">
        <f t="shared" si="31"/>
        <v>3203646.4050000003</v>
      </c>
      <c r="L125" s="204">
        <f t="shared" si="32"/>
        <v>40.1</v>
      </c>
      <c r="M125" s="23">
        <f>IFERROR(100/'Skjema total MA'!I125*K125,0)</f>
        <v>28.638726143492743</v>
      </c>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v>278534.01175000001</v>
      </c>
      <c r="C134" s="249">
        <v>422352.09600000002</v>
      </c>
      <c r="D134" s="283">
        <f t="shared" ref="D134:D136" si="33">IF(B134=0, "    ---- ", IF(ABS(ROUND(100/B134*C134-100,1))&lt;999,ROUND(100/B134*C134-100,1),IF(ROUND(100/B134*C134-100,1)&gt;999,999,-999)))</f>
        <v>51.6</v>
      </c>
      <c r="E134" s="8">
        <f>IFERROR(100/'Skjema total MA'!C134*C134,0)</f>
        <v>4.5027237521175989</v>
      </c>
      <c r="F134" s="256"/>
      <c r="G134" s="257"/>
      <c r="H134" s="344"/>
      <c r="I134" s="21"/>
      <c r="J134" s="258">
        <f t="shared" ref="J134:K136" si="34">SUM(B134,F134)</f>
        <v>278534.01175000001</v>
      </c>
      <c r="K134" s="258">
        <f t="shared" si="34"/>
        <v>422352.09600000002</v>
      </c>
      <c r="L134" s="340">
        <f t="shared" ref="L134:L136" si="35">IF(J134=0, "    ---- ", IF(ABS(ROUND(100/J134*K134-100,1))&lt;999,ROUND(100/J134*K134-100,1),IF(ROUND(100/J134*K134-100,1)&gt;999,999,-999)))</f>
        <v>51.6</v>
      </c>
      <c r="M134" s="8">
        <f>IFERROR(100/'Skjema total MA'!I134*K134,0)</f>
        <v>4.4926992645318036</v>
      </c>
    </row>
    <row r="135" spans="1:14" ht="15.75" x14ac:dyDescent="0.2">
      <c r="A135" s="10" t="s">
        <v>350</v>
      </c>
      <c r="B135" s="183">
        <v>22233640.83653</v>
      </c>
      <c r="C135" s="249">
        <v>27667897.831429999</v>
      </c>
      <c r="D135" s="127">
        <f t="shared" si="33"/>
        <v>24.4</v>
      </c>
      <c r="E135" s="8">
        <f>IFERROR(100/'Skjema total MA'!C135*C135,0)</f>
        <v>3.0061725826854229</v>
      </c>
      <c r="F135" s="183"/>
      <c r="G135" s="249"/>
      <c r="H135" s="345"/>
      <c r="I135" s="21"/>
      <c r="J135" s="248">
        <f t="shared" si="34"/>
        <v>22233640.83653</v>
      </c>
      <c r="K135" s="248">
        <f t="shared" si="34"/>
        <v>27667897.831429999</v>
      </c>
      <c r="L135" s="341">
        <f t="shared" si="35"/>
        <v>24.4</v>
      </c>
      <c r="M135" s="8">
        <f>IFERROR(100/'Skjema total MA'!I135*K135,0)</f>
        <v>2.9967667153767859</v>
      </c>
    </row>
    <row r="136" spans="1:14" ht="15.75" x14ac:dyDescent="0.2">
      <c r="A136" s="10" t="s">
        <v>347</v>
      </c>
      <c r="B136" s="183">
        <v>2390544.304</v>
      </c>
      <c r="C136" s="249">
        <v>3201664.24</v>
      </c>
      <c r="D136" s="127">
        <f t="shared" si="33"/>
        <v>33.9</v>
      </c>
      <c r="E136" s="8">
        <f>IFERROR(100/'Skjema total MA'!C136*C136,0)</f>
        <v>98.779429608005756</v>
      </c>
      <c r="F136" s="183"/>
      <c r="G136" s="249"/>
      <c r="H136" s="345"/>
      <c r="I136" s="21"/>
      <c r="J136" s="248">
        <f t="shared" si="34"/>
        <v>2390544.304</v>
      </c>
      <c r="K136" s="248">
        <f t="shared" si="34"/>
        <v>3201664.24</v>
      </c>
      <c r="L136" s="341">
        <f t="shared" si="35"/>
        <v>33.9</v>
      </c>
      <c r="M136" s="8">
        <f>IFERROR(100/'Skjema total MA'!I136*K136,0)</f>
        <v>98.779429608005756</v>
      </c>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245" priority="12">
      <formula>kvartal &lt; 4</formula>
    </cfRule>
  </conditionalFormatting>
  <conditionalFormatting sqref="A69:A74">
    <cfRule type="expression" dxfId="244" priority="10">
      <formula>kvartal &lt; 4</formula>
    </cfRule>
  </conditionalFormatting>
  <conditionalFormatting sqref="A80:A85">
    <cfRule type="expression" dxfId="243" priority="9">
      <formula>kvartal &lt; 4</formula>
    </cfRule>
  </conditionalFormatting>
  <conditionalFormatting sqref="A90:A95">
    <cfRule type="expression" dxfId="242" priority="6">
      <formula>kvartal &lt; 4</formula>
    </cfRule>
  </conditionalFormatting>
  <conditionalFormatting sqref="A101:A106">
    <cfRule type="expression" dxfId="241" priority="5">
      <formula>kvartal &lt; 4</formula>
    </cfRule>
  </conditionalFormatting>
  <conditionalFormatting sqref="A115:C115">
    <cfRule type="expression" dxfId="240" priority="4">
      <formula>kvartal &lt; 4</formula>
    </cfRule>
  </conditionalFormatting>
  <conditionalFormatting sqref="A123:C123">
    <cfRule type="expression" dxfId="239" priority="3">
      <formula>kvartal &lt; 4</formula>
    </cfRule>
  </conditionalFormatting>
  <conditionalFormatting sqref="F115:G115">
    <cfRule type="expression" dxfId="238" priority="57">
      <formula>kvartal &lt; 4</formula>
    </cfRule>
  </conditionalFormatting>
  <conditionalFormatting sqref="F123:G123">
    <cfRule type="expression" dxfId="237" priority="56">
      <formula>kvartal &lt; 4</formula>
    </cfRule>
  </conditionalFormatting>
  <conditionalFormatting sqref="J115:K115">
    <cfRule type="expression" dxfId="236" priority="32">
      <formula>kvartal &lt; 4</formula>
    </cfRule>
  </conditionalFormatting>
  <conditionalFormatting sqref="J123:K123">
    <cfRule type="expression" dxfId="235" priority="31">
      <formula>kvartal &lt; 4</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31"/>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121</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341"/>
      <c r="M8" s="23"/>
    </row>
    <row r="9" spans="1:14" ht="15.75" x14ac:dyDescent="0.2">
      <c r="A9" s="18" t="s">
        <v>24</v>
      </c>
      <c r="B9" s="226"/>
      <c r="C9" s="227"/>
      <c r="D9" s="123"/>
      <c r="E9" s="23"/>
      <c r="F9" s="230"/>
      <c r="G9" s="231"/>
      <c r="H9" s="123"/>
      <c r="I9" s="132"/>
      <c r="J9" s="181"/>
      <c r="K9" s="232"/>
      <c r="L9" s="341"/>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t="s">
        <v>417</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2386</v>
      </c>
      <c r="C47" s="251">
        <v>2290</v>
      </c>
      <c r="D47" s="340">
        <f t="shared" ref="D47:D48" si="0">IF(B47=0, "    ---- ", IF(ABS(ROUND(100/B47*C47-100,1))&lt;999,ROUND(100/B47*C47-100,1),IF(ROUND(100/B47*C47-100,1)&gt;999,999,-999)))</f>
        <v>-4</v>
      </c>
      <c r="E47" s="8">
        <f>IFERROR(100/'Skjema total MA'!C47*C47,0)</f>
        <v>5.1678813167939784E-2</v>
      </c>
      <c r="F47" s="109"/>
      <c r="G47" s="27"/>
      <c r="H47" s="118"/>
      <c r="I47" s="118"/>
      <c r="J47" s="31"/>
      <c r="K47" s="31"/>
      <c r="L47" s="118"/>
      <c r="M47" s="118"/>
    </row>
    <row r="48" spans="1:13" ht="15.75" x14ac:dyDescent="0.2">
      <c r="A48" s="18" t="s">
        <v>334</v>
      </c>
      <c r="B48" s="226">
        <v>2160</v>
      </c>
      <c r="C48" s="227">
        <v>2290</v>
      </c>
      <c r="D48" s="204">
        <f t="shared" si="0"/>
        <v>6</v>
      </c>
      <c r="E48" s="23">
        <f>IFERROR(100/'Skjema total MA'!C48*C48,0)</f>
        <v>9.5193749506422648E-2</v>
      </c>
      <c r="F48" s="109"/>
      <c r="G48" s="27"/>
      <c r="H48" s="109"/>
      <c r="I48" s="109"/>
      <c r="J48" s="27"/>
      <c r="K48" s="27"/>
      <c r="L48" s="118"/>
      <c r="M48" s="118"/>
    </row>
    <row r="49" spans="1:13" ht="15.75" x14ac:dyDescent="0.2">
      <c r="A49" s="18" t="s">
        <v>335</v>
      </c>
      <c r="B49" s="226">
        <v>226</v>
      </c>
      <c r="C49" s="227"/>
      <c r="D49" s="204">
        <f>IF(B49=0, "    ---- ", IF(ABS(ROUND(100/B49*C49-100,1))&lt;999,ROUND(100/B49*C49-100,1),IF(ROUND(100/B49*C49-100,1)&gt;999,999,-999)))</f>
        <v>-100</v>
      </c>
      <c r="E49" s="23">
        <f>IFERROR(100/'Skjema total MA'!C49*C49,0)</f>
        <v>0</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234" priority="12">
      <formula>kvartal &lt; 4</formula>
    </cfRule>
  </conditionalFormatting>
  <conditionalFormatting sqref="A69:A74">
    <cfRule type="expression" dxfId="233" priority="10">
      <formula>kvartal &lt; 4</formula>
    </cfRule>
  </conditionalFormatting>
  <conditionalFormatting sqref="A80:A85">
    <cfRule type="expression" dxfId="232" priority="9">
      <formula>kvartal &lt; 4</formula>
    </cfRule>
  </conditionalFormatting>
  <conditionalFormatting sqref="A90:A95">
    <cfRule type="expression" dxfId="231" priority="6">
      <formula>kvartal &lt; 4</formula>
    </cfRule>
  </conditionalFormatting>
  <conditionalFormatting sqref="A101:A106">
    <cfRule type="expression" dxfId="230" priority="5">
      <formula>kvartal &lt; 4</formula>
    </cfRule>
  </conditionalFormatting>
  <conditionalFormatting sqref="A115:C115">
    <cfRule type="expression" dxfId="229" priority="4">
      <formula>kvartal &lt; 4</formula>
    </cfRule>
  </conditionalFormatting>
  <conditionalFormatting sqref="A123:C123">
    <cfRule type="expression" dxfId="228" priority="3">
      <formula>kvartal &lt; 4</formula>
    </cfRule>
  </conditionalFormatting>
  <conditionalFormatting sqref="F115:G115">
    <cfRule type="expression" dxfId="227" priority="57">
      <formula>kvartal &lt; 4</formula>
    </cfRule>
  </conditionalFormatting>
  <conditionalFormatting sqref="F123:G123">
    <cfRule type="expression" dxfId="226" priority="56">
      <formula>kvartal &lt; 4</formula>
    </cfRule>
  </conditionalFormatting>
  <conditionalFormatting sqref="J115:K115">
    <cfRule type="expression" dxfId="225" priority="32">
      <formula>kvartal &lt; 4</formula>
    </cfRule>
  </conditionalFormatting>
  <conditionalFormatting sqref="J123:K123">
    <cfRule type="expression" dxfId="224" priority="31">
      <formula>kvartal &lt; 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32"/>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91</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c r="C7" s="247"/>
      <c r="D7" s="283"/>
      <c r="E7" s="8"/>
      <c r="F7" s="246"/>
      <c r="G7" s="247"/>
      <c r="H7" s="283"/>
      <c r="I7" s="119"/>
      <c r="J7" s="248"/>
      <c r="K7" s="249"/>
      <c r="L7" s="340"/>
      <c r="M7" s="8"/>
    </row>
    <row r="8" spans="1:14" ht="15.75" x14ac:dyDescent="0.2">
      <c r="A8" s="18" t="s">
        <v>25</v>
      </c>
      <c r="B8" s="226"/>
      <c r="C8" s="227"/>
      <c r="D8" s="123"/>
      <c r="E8" s="23"/>
      <c r="F8" s="230"/>
      <c r="G8" s="231"/>
      <c r="H8" s="123"/>
      <c r="I8" s="132"/>
      <c r="J8" s="181"/>
      <c r="K8" s="232"/>
      <c r="L8" s="204"/>
      <c r="M8" s="23"/>
    </row>
    <row r="9" spans="1:14" ht="15.75" x14ac:dyDescent="0.2">
      <c r="A9" s="18" t="s">
        <v>24</v>
      </c>
      <c r="B9" s="226"/>
      <c r="C9" s="227"/>
      <c r="D9" s="123"/>
      <c r="E9" s="23"/>
      <c r="F9" s="230"/>
      <c r="G9" s="231"/>
      <c r="H9" s="123"/>
      <c r="I9" s="132"/>
      <c r="J9" s="181"/>
      <c r="K9" s="232"/>
      <c r="L9" s="204"/>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345"/>
      <c r="E38" s="21"/>
      <c r="F38" s="259"/>
      <c r="G38" s="260"/>
      <c r="H38" s="127"/>
      <c r="I38" s="347"/>
      <c r="J38" s="183"/>
      <c r="K38" s="183"/>
      <c r="L38" s="341"/>
      <c r="M38" s="21"/>
    </row>
    <row r="39" spans="1:13" ht="15.75" x14ac:dyDescent="0.2">
      <c r="A39" s="15" t="s">
        <v>333</v>
      </c>
      <c r="B39" s="221"/>
      <c r="C39" s="255"/>
      <c r="D39" s="346"/>
      <c r="E39" s="30"/>
      <c r="F39" s="262"/>
      <c r="G39" s="263"/>
      <c r="H39" s="125"/>
      <c r="I39" s="30"/>
      <c r="J39" s="183"/>
      <c r="K39" s="183"/>
      <c r="L39" s="342"/>
      <c r="M39" s="30"/>
    </row>
    <row r="40" spans="1:13" ht="15.75" x14ac:dyDescent="0.25">
      <c r="A40" s="35"/>
      <c r="B40" s="203"/>
      <c r="C40" s="203"/>
      <c r="D40" s="578"/>
      <c r="E40" s="577"/>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751536</v>
      </c>
      <c r="C47" s="251">
        <v>758059</v>
      </c>
      <c r="D47" s="340">
        <f t="shared" ref="D47:D57" si="0">IF(B47=0, "    ---- ", IF(ABS(ROUND(100/B47*C47-100,1))&lt;999,ROUND(100/B47*C47-100,1),IF(ROUND(100/B47*C47-100,1)&gt;999,999,-999)))</f>
        <v>0.9</v>
      </c>
      <c r="E47" s="8">
        <f>IFERROR(100/'Skjema total MA'!C47*C47,0)</f>
        <v>17.107244293133306</v>
      </c>
      <c r="F47" s="109"/>
      <c r="G47" s="27"/>
      <c r="H47" s="118"/>
      <c r="I47" s="118"/>
      <c r="J47" s="31"/>
      <c r="K47" s="31"/>
      <c r="L47" s="118"/>
      <c r="M47" s="118"/>
    </row>
    <row r="48" spans="1:13" ht="15.75" x14ac:dyDescent="0.2">
      <c r="A48" s="18" t="s">
        <v>334</v>
      </c>
      <c r="B48" s="226">
        <v>149033</v>
      </c>
      <c r="C48" s="227">
        <v>145957</v>
      </c>
      <c r="D48" s="204">
        <f t="shared" si="0"/>
        <v>-2.1</v>
      </c>
      <c r="E48" s="23">
        <f>IFERROR(100/'Skjema total MA'!C48*C48,0)</f>
        <v>6.0673336666851228</v>
      </c>
      <c r="F48" s="109"/>
      <c r="G48" s="27"/>
      <c r="H48" s="109"/>
      <c r="I48" s="109"/>
      <c r="J48" s="27"/>
      <c r="K48" s="27"/>
      <c r="L48" s="118"/>
      <c r="M48" s="118"/>
    </row>
    <row r="49" spans="1:13" ht="15.75" x14ac:dyDescent="0.2">
      <c r="A49" s="18" t="s">
        <v>335</v>
      </c>
      <c r="B49" s="226">
        <v>602503</v>
      </c>
      <c r="C49" s="227">
        <v>612102</v>
      </c>
      <c r="D49" s="204">
        <f>IF(B49=0, "    ---- ", IF(ABS(ROUND(100/B49*C49-100,1))&lt;999,ROUND(100/B49*C49-100,1),IF(ROUND(100/B49*C49-100,1)&gt;999,999,-999)))</f>
        <v>1.6</v>
      </c>
      <c r="E49" s="23">
        <f>IFERROR(100/'Skjema total MA'!C49*C49,0)</f>
        <v>30.218362604719015</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7605</v>
      </c>
      <c r="C53" s="251">
        <v>13382</v>
      </c>
      <c r="D53" s="341">
        <f t="shared" si="0"/>
        <v>76</v>
      </c>
      <c r="E53" s="8">
        <f>IFERROR(100/'Skjema total MA'!C53*C53,0)</f>
        <v>7.6770504558737782</v>
      </c>
      <c r="F53" s="109"/>
      <c r="G53" s="27"/>
      <c r="H53" s="109"/>
      <c r="I53" s="109"/>
      <c r="J53" s="27"/>
      <c r="K53" s="27"/>
      <c r="L53" s="118"/>
      <c r="M53" s="118"/>
    </row>
    <row r="54" spans="1:13" ht="15.75" x14ac:dyDescent="0.2">
      <c r="A54" s="18" t="s">
        <v>334</v>
      </c>
      <c r="B54" s="226">
        <v>7605</v>
      </c>
      <c r="C54" s="227">
        <v>13382</v>
      </c>
      <c r="D54" s="204">
        <f t="shared" si="0"/>
        <v>76</v>
      </c>
      <c r="E54" s="23">
        <f>IFERROR(100/'Skjema total MA'!C54*C54,0)</f>
        <v>7.6887835523371661</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v>9029</v>
      </c>
      <c r="C56" s="251">
        <v>15889</v>
      </c>
      <c r="D56" s="341">
        <f t="shared" si="0"/>
        <v>76</v>
      </c>
      <c r="E56" s="8">
        <f>IFERROR(100/'Skjema total MA'!C56*C56,0)</f>
        <v>48.544869892782714</v>
      </c>
      <c r="F56" s="109"/>
      <c r="G56" s="27"/>
      <c r="H56" s="109"/>
      <c r="I56" s="109"/>
      <c r="J56" s="27"/>
      <c r="K56" s="27"/>
      <c r="L56" s="118"/>
      <c r="M56" s="118"/>
    </row>
    <row r="57" spans="1:13" ht="15.75" x14ac:dyDescent="0.2">
      <c r="A57" s="18" t="s">
        <v>334</v>
      </c>
      <c r="B57" s="226">
        <v>9029</v>
      </c>
      <c r="C57" s="227">
        <v>15889</v>
      </c>
      <c r="D57" s="204">
        <f t="shared" si="0"/>
        <v>76</v>
      </c>
      <c r="E57" s="23">
        <f>IFERROR(100/'Skjema total MA'!C57*C57,0)</f>
        <v>48.544869892782714</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223" priority="12">
      <formula>kvartal &lt; 4</formula>
    </cfRule>
  </conditionalFormatting>
  <conditionalFormatting sqref="A69:A74">
    <cfRule type="expression" dxfId="222" priority="10">
      <formula>kvartal &lt; 4</formula>
    </cfRule>
  </conditionalFormatting>
  <conditionalFormatting sqref="A80:A85">
    <cfRule type="expression" dxfId="221" priority="9">
      <formula>kvartal &lt; 4</formula>
    </cfRule>
  </conditionalFormatting>
  <conditionalFormatting sqref="A90:A95">
    <cfRule type="expression" dxfId="220" priority="6">
      <formula>kvartal &lt; 4</formula>
    </cfRule>
  </conditionalFormatting>
  <conditionalFormatting sqref="A101:A106">
    <cfRule type="expression" dxfId="219" priority="5">
      <formula>kvartal &lt; 4</formula>
    </cfRule>
  </conditionalFormatting>
  <conditionalFormatting sqref="A115:C115">
    <cfRule type="expression" dxfId="218" priority="4">
      <formula>kvartal &lt; 4</formula>
    </cfRule>
  </conditionalFormatting>
  <conditionalFormatting sqref="A123:C123">
    <cfRule type="expression" dxfId="217" priority="3">
      <formula>kvartal &lt; 4</formula>
    </cfRule>
  </conditionalFormatting>
  <conditionalFormatting sqref="F115:G115">
    <cfRule type="expression" dxfId="216" priority="42">
      <formula>kvartal &lt; 4</formula>
    </cfRule>
  </conditionalFormatting>
  <conditionalFormatting sqref="F123:G123">
    <cfRule type="expression" dxfId="215" priority="41">
      <formula>kvartal &lt; 4</formula>
    </cfRule>
  </conditionalFormatting>
  <conditionalFormatting sqref="J115:K115">
    <cfRule type="expression" dxfId="214" priority="17">
      <formula>kvartal &lt; 4</formula>
    </cfRule>
  </conditionalFormatting>
  <conditionalFormatting sqref="J123:K123">
    <cfRule type="expression" dxfId="213" priority="16">
      <formula>kvartal &lt; 4</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DCFD3-E4B4-485B-89B7-DA0A477AA596}">
  <sheetPr codeName="Ark28"/>
  <dimension ref="A1:O144"/>
  <sheetViews>
    <sheetView showGridLines="0" workbookViewId="0">
      <selection activeCell="B49" sqref="B49"/>
    </sheetView>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355</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1129</v>
      </c>
      <c r="C7" s="247">
        <v>1031</v>
      </c>
      <c r="D7" s="283">
        <f>IF(B7=0, "    ---- ", IF(ABS(ROUND(100/B7*C7-100,1))&lt;999,ROUND(100/B7*C7-100,1),IF(ROUND(100/B7*C7-100,1)&gt;999,999,-999)))</f>
        <v>-8.6999999999999993</v>
      </c>
      <c r="E7" s="8">
        <f>IFERROR(100/'Skjema total MA'!C7*C7,0)</f>
        <v>5.1352450904805814E-2</v>
      </c>
      <c r="F7" s="246"/>
      <c r="G7" s="247"/>
      <c r="H7" s="283"/>
      <c r="I7" s="119"/>
      <c r="J7" s="248">
        <f t="shared" ref="J7:K8" si="0">SUM(B7,F7)</f>
        <v>1129</v>
      </c>
      <c r="K7" s="249">
        <f t="shared" si="0"/>
        <v>1031</v>
      </c>
      <c r="L7" s="340">
        <f>IF(J7=0, "    ---- ", IF(ABS(ROUND(100/J7*K7-100,1))&lt;999,ROUND(100/J7*K7-100,1),IF(ROUND(100/J7*K7-100,1)&gt;999,999,-999)))</f>
        <v>-8.6999999999999993</v>
      </c>
      <c r="M7" s="8">
        <f>IFERROR(100/'Skjema total MA'!I7*K7,0)</f>
        <v>2.0635768993665333E-2</v>
      </c>
    </row>
    <row r="8" spans="1:14" ht="15.75" x14ac:dyDescent="0.2">
      <c r="A8" s="18" t="s">
        <v>25</v>
      </c>
      <c r="B8" s="226">
        <v>1129</v>
      </c>
      <c r="C8" s="227">
        <v>1031</v>
      </c>
      <c r="D8" s="123">
        <f t="shared" ref="D8" si="1">IF(B8=0, "    ---- ", IF(ABS(ROUND(100/B8*C8-100,1))&lt;999,ROUND(100/B8*C8-100,1),IF(ROUND(100/B8*C8-100,1)&gt;999,999,-999)))</f>
        <v>-8.6999999999999993</v>
      </c>
      <c r="E8" s="23">
        <f>IFERROR(100/'Skjema total MA'!C8*C8,0)</f>
        <v>7.511185800240669E-2</v>
      </c>
      <c r="F8" s="230"/>
      <c r="G8" s="231"/>
      <c r="H8" s="123"/>
      <c r="I8" s="132"/>
      <c r="J8" s="181">
        <f t="shared" si="0"/>
        <v>1129</v>
      </c>
      <c r="K8" s="232">
        <f t="shared" si="0"/>
        <v>1031</v>
      </c>
      <c r="L8" s="123">
        <f t="shared" ref="L8" si="2">IF(J8=0, "    ---- ", IF(ABS(ROUND(100/J8*K8-100,1))&lt;999,ROUND(100/J8*K8-100,1),IF(ROUND(100/J8*K8-100,1)&gt;999,999,-999)))</f>
        <v>-8.6999999999999993</v>
      </c>
      <c r="M8" s="23">
        <f>IFERROR(100/'Skjema total MA'!I8*K8,0)</f>
        <v>7.511185800240669E-2</v>
      </c>
    </row>
    <row r="9" spans="1:14" ht="15.75" x14ac:dyDescent="0.2">
      <c r="A9" s="18" t="s">
        <v>24</v>
      </c>
      <c r="B9" s="226"/>
      <c r="C9" s="227"/>
      <c r="D9" s="123"/>
      <c r="E9" s="23"/>
      <c r="F9" s="230"/>
      <c r="G9" s="231"/>
      <c r="H9" s="123"/>
      <c r="I9" s="132"/>
      <c r="J9" s="181"/>
      <c r="K9" s="232"/>
      <c r="L9" s="123"/>
      <c r="M9" s="23"/>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c r="C22" s="250"/>
      <c r="D22" s="283"/>
      <c r="E22" s="8"/>
      <c r="F22" s="258"/>
      <c r="G22" s="258"/>
      <c r="H22" s="283"/>
      <c r="I22" s="8"/>
      <c r="J22" s="256"/>
      <c r="K22" s="256"/>
      <c r="L22" s="340"/>
      <c r="M22" s="21"/>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345"/>
      <c r="E38" s="21"/>
      <c r="F38" s="259"/>
      <c r="G38" s="260"/>
      <c r="H38" s="127"/>
      <c r="I38" s="347"/>
      <c r="J38" s="183"/>
      <c r="K38" s="183"/>
      <c r="L38" s="341"/>
      <c r="M38" s="21"/>
    </row>
    <row r="39" spans="1:13" ht="15.75" x14ac:dyDescent="0.2">
      <c r="A39" s="15" t="s">
        <v>333</v>
      </c>
      <c r="B39" s="221"/>
      <c r="C39" s="255"/>
      <c r="D39" s="346"/>
      <c r="E39" s="30"/>
      <c r="F39" s="262"/>
      <c r="G39" s="263"/>
      <c r="H39" s="125"/>
      <c r="I39" s="30"/>
      <c r="J39" s="183"/>
      <c r="K39" s="183"/>
      <c r="L39" s="342"/>
      <c r="M39" s="30"/>
    </row>
    <row r="40" spans="1:13" ht="15.75" x14ac:dyDescent="0.25">
      <c r="A40" s="35"/>
      <c r="B40" s="203"/>
      <c r="C40" s="203"/>
      <c r="D40" s="578"/>
      <c r="E40" s="577"/>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597</v>
      </c>
      <c r="C47" s="251">
        <v>649</v>
      </c>
      <c r="D47" s="340">
        <f t="shared" ref="D47:D48" si="3">IF(B47=0, "    ---- ", IF(ABS(ROUND(100/B47*C47-100,1))&lt;999,ROUND(100/B47*C47-100,1),IF(ROUND(100/B47*C47-100,1)&gt;999,999,-999)))</f>
        <v>8.6999999999999993</v>
      </c>
      <c r="E47" s="8">
        <f>IFERROR(100/'Skjema total MA'!C47*C47,0)</f>
        <v>1.4646091592136647E-2</v>
      </c>
      <c r="F47" s="109"/>
      <c r="G47" s="27"/>
      <c r="H47" s="118"/>
      <c r="I47" s="118"/>
      <c r="J47" s="31"/>
      <c r="K47" s="31"/>
      <c r="L47" s="118"/>
      <c r="M47" s="118"/>
    </row>
    <row r="48" spans="1:13" ht="15.75" x14ac:dyDescent="0.2">
      <c r="A48" s="18" t="s">
        <v>334</v>
      </c>
      <c r="B48" s="226">
        <v>597</v>
      </c>
      <c r="C48" s="227">
        <v>649</v>
      </c>
      <c r="D48" s="204">
        <f t="shared" si="3"/>
        <v>8.6999999999999993</v>
      </c>
      <c r="E48" s="23">
        <f>IFERROR(100/'Skjema total MA'!C48*C48,0)</f>
        <v>2.6978490580641178E-2</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5" x14ac:dyDescent="0.2">
      <c r="A97" s="18" t="s">
        <v>307</v>
      </c>
      <c r="B97" s="181"/>
      <c r="C97" s="109"/>
      <c r="D97" s="123"/>
      <c r="E97" s="23"/>
      <c r="F97" s="181"/>
      <c r="G97" s="109"/>
      <c r="H97" s="123"/>
      <c r="I97" s="23"/>
      <c r="J97" s="232"/>
      <c r="K97" s="36"/>
      <c r="L97" s="204"/>
      <c r="M97" s="23"/>
    </row>
    <row r="98" spans="1:15" ht="15.75" x14ac:dyDescent="0.2">
      <c r="A98" s="18" t="s">
        <v>340</v>
      </c>
      <c r="B98" s="181"/>
      <c r="C98" s="181"/>
      <c r="D98" s="123"/>
      <c r="E98" s="23"/>
      <c r="F98" s="236"/>
      <c r="G98" s="236"/>
      <c r="H98" s="123"/>
      <c r="I98" s="23"/>
      <c r="J98" s="232"/>
      <c r="K98" s="36"/>
      <c r="L98" s="204"/>
      <c r="M98" s="23"/>
    </row>
    <row r="99" spans="1:15" x14ac:dyDescent="0.2">
      <c r="A99" s="18" t="s">
        <v>9</v>
      </c>
      <c r="B99" s="236"/>
      <c r="C99" s="237"/>
      <c r="D99" s="123"/>
      <c r="E99" s="23"/>
      <c r="F99" s="181"/>
      <c r="G99" s="109"/>
      <c r="H99" s="123"/>
      <c r="I99" s="23"/>
      <c r="J99" s="232"/>
      <c r="K99" s="36"/>
      <c r="L99" s="204"/>
      <c r="M99" s="23"/>
    </row>
    <row r="100" spans="1:15" x14ac:dyDescent="0.2">
      <c r="A100" s="18" t="s">
        <v>368</v>
      </c>
      <c r="B100" s="236"/>
      <c r="C100" s="237"/>
      <c r="D100" s="123"/>
      <c r="E100" s="23"/>
      <c r="F100" s="181"/>
      <c r="G100" s="181"/>
      <c r="H100" s="123"/>
      <c r="I100" s="23"/>
      <c r="J100" s="232"/>
      <c r="K100" s="36"/>
      <c r="L100" s="204"/>
      <c r="M100" s="23"/>
    </row>
    <row r="101" spans="1:15" ht="15.75" x14ac:dyDescent="0.2">
      <c r="A101" s="547" t="s">
        <v>338</v>
      </c>
      <c r="B101" s="230"/>
      <c r="C101" s="231"/>
      <c r="D101" s="123"/>
      <c r="E101" s="333"/>
      <c r="F101" s="230"/>
      <c r="G101" s="231"/>
      <c r="H101" s="123"/>
      <c r="I101" s="333"/>
      <c r="J101" s="230"/>
      <c r="K101" s="231"/>
      <c r="L101" s="123"/>
      <c r="M101" s="20"/>
    </row>
    <row r="102" spans="1:15" x14ac:dyDescent="0.2">
      <c r="A102" s="238" t="s">
        <v>12</v>
      </c>
      <c r="B102" s="230"/>
      <c r="C102" s="231"/>
      <c r="D102" s="123"/>
      <c r="E102" s="333"/>
      <c r="F102" s="230"/>
      <c r="G102" s="231"/>
      <c r="H102" s="123"/>
      <c r="I102" s="333"/>
      <c r="J102" s="230"/>
      <c r="K102" s="231"/>
      <c r="L102" s="123"/>
      <c r="M102" s="20"/>
    </row>
    <row r="103" spans="1:15" x14ac:dyDescent="0.2">
      <c r="A103" s="238" t="s">
        <v>13</v>
      </c>
      <c r="B103" s="230"/>
      <c r="C103" s="231"/>
      <c r="D103" s="123"/>
      <c r="E103" s="333"/>
      <c r="F103" s="230"/>
      <c r="G103" s="231"/>
      <c r="H103" s="123"/>
      <c r="I103" s="333"/>
      <c r="J103" s="230"/>
      <c r="K103" s="231"/>
      <c r="L103" s="123"/>
      <c r="M103" s="20"/>
    </row>
    <row r="104" spans="1:15" ht="15.75" x14ac:dyDescent="0.2">
      <c r="A104" s="238" t="s">
        <v>339</v>
      </c>
      <c r="B104" s="230"/>
      <c r="C104" s="231"/>
      <c r="D104" s="123"/>
      <c r="E104" s="333"/>
      <c r="F104" s="230"/>
      <c r="G104" s="231"/>
      <c r="H104" s="123"/>
      <c r="I104" s="333"/>
      <c r="J104" s="230"/>
      <c r="K104" s="231"/>
      <c r="L104" s="123"/>
      <c r="M104" s="20"/>
    </row>
    <row r="105" spans="1:15" x14ac:dyDescent="0.2">
      <c r="A105" s="238" t="s">
        <v>12</v>
      </c>
      <c r="B105" s="230"/>
      <c r="C105" s="231"/>
      <c r="D105" s="123"/>
      <c r="E105" s="333"/>
      <c r="F105" s="230"/>
      <c r="G105" s="231"/>
      <c r="H105" s="123"/>
      <c r="I105" s="333"/>
      <c r="J105" s="230"/>
      <c r="K105" s="231"/>
      <c r="L105" s="123"/>
      <c r="M105" s="20"/>
    </row>
    <row r="106" spans="1:15" x14ac:dyDescent="0.2">
      <c r="A106" s="238" t="s">
        <v>13</v>
      </c>
      <c r="B106" s="230"/>
      <c r="C106" s="231"/>
      <c r="D106" s="123"/>
      <c r="E106" s="333"/>
      <c r="F106" s="230"/>
      <c r="G106" s="231"/>
      <c r="H106" s="123"/>
      <c r="I106" s="333"/>
      <c r="J106" s="230"/>
      <c r="K106" s="231"/>
      <c r="L106" s="123"/>
      <c r="M106" s="20"/>
    </row>
    <row r="107" spans="1:15" ht="15.75" x14ac:dyDescent="0.2">
      <c r="A107" s="18" t="s">
        <v>341</v>
      </c>
      <c r="B107" s="181"/>
      <c r="C107" s="109"/>
      <c r="D107" s="123"/>
      <c r="E107" s="23"/>
      <c r="F107" s="181"/>
      <c r="G107" s="109"/>
      <c r="H107" s="123"/>
      <c r="I107" s="23"/>
      <c r="J107" s="232"/>
      <c r="K107" s="36"/>
      <c r="L107" s="204"/>
      <c r="M107" s="23"/>
    </row>
    <row r="108" spans="1:15" ht="15.75" x14ac:dyDescent="0.2">
      <c r="A108" s="18" t="s">
        <v>342</v>
      </c>
      <c r="B108" s="181"/>
      <c r="C108" s="181"/>
      <c r="D108" s="123"/>
      <c r="E108" s="23"/>
      <c r="F108" s="181"/>
      <c r="G108" s="181"/>
      <c r="H108" s="123"/>
      <c r="I108" s="23"/>
      <c r="J108" s="232"/>
      <c r="K108" s="36"/>
      <c r="L108" s="204"/>
      <c r="M108" s="23"/>
    </row>
    <row r="109" spans="1:15" ht="15.75" x14ac:dyDescent="0.2">
      <c r="A109" s="18" t="s">
        <v>376</v>
      </c>
      <c r="B109" s="181"/>
      <c r="C109" s="181"/>
      <c r="D109" s="123"/>
      <c r="E109" s="23"/>
      <c r="F109" s="181"/>
      <c r="G109" s="181"/>
      <c r="H109" s="123"/>
      <c r="I109" s="23"/>
      <c r="J109" s="232"/>
      <c r="K109" s="36"/>
      <c r="L109" s="204"/>
      <c r="M109" s="23"/>
      <c r="O109" s="424"/>
    </row>
    <row r="110" spans="1:15" ht="15.75" x14ac:dyDescent="0.2">
      <c r="A110" s="18" t="s">
        <v>343</v>
      </c>
      <c r="B110" s="181"/>
      <c r="C110" s="181"/>
      <c r="D110" s="123"/>
      <c r="E110" s="23"/>
      <c r="F110" s="181"/>
      <c r="G110" s="181"/>
      <c r="H110" s="123"/>
      <c r="I110" s="23"/>
      <c r="J110" s="232"/>
      <c r="K110" s="36"/>
      <c r="L110" s="204"/>
      <c r="M110" s="23"/>
    </row>
    <row r="111" spans="1:15" ht="15.75" x14ac:dyDescent="0.2">
      <c r="A111" s="10" t="s">
        <v>324</v>
      </c>
      <c r="B111" s="248"/>
      <c r="C111" s="118"/>
      <c r="D111" s="127"/>
      <c r="E111" s="8"/>
      <c r="F111" s="248"/>
      <c r="G111" s="118"/>
      <c r="H111" s="127"/>
      <c r="I111" s="8"/>
      <c r="J111" s="249"/>
      <c r="K111" s="183"/>
      <c r="L111" s="341"/>
      <c r="M111" s="8"/>
    </row>
    <row r="112" spans="1:15"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30:D130"/>
    <mergeCell ref="F130:H130"/>
    <mergeCell ref="J130:L130"/>
    <mergeCell ref="B131:D131"/>
    <mergeCell ref="F131:H131"/>
    <mergeCell ref="J131:L131"/>
    <mergeCell ref="B44:D44"/>
    <mergeCell ref="B62:D62"/>
    <mergeCell ref="F62:H62"/>
    <mergeCell ref="J62:L62"/>
    <mergeCell ref="B63:D63"/>
    <mergeCell ref="F63:H63"/>
    <mergeCell ref="J63:L63"/>
    <mergeCell ref="D40:F40"/>
    <mergeCell ref="G40:I40"/>
    <mergeCell ref="J40:L40"/>
    <mergeCell ref="B42:D42"/>
    <mergeCell ref="F42:H42"/>
    <mergeCell ref="J42:L42"/>
    <mergeCell ref="B18:D18"/>
    <mergeCell ref="F18:H18"/>
    <mergeCell ref="J18:L18"/>
    <mergeCell ref="B19:D19"/>
    <mergeCell ref="F19:H19"/>
    <mergeCell ref="J19:L19"/>
    <mergeCell ref="B2:D2"/>
    <mergeCell ref="F2:H2"/>
    <mergeCell ref="J2:L2"/>
    <mergeCell ref="B4:D4"/>
    <mergeCell ref="F4:H4"/>
    <mergeCell ref="J4:L4"/>
  </mergeCells>
  <conditionalFormatting sqref="A50:A52">
    <cfRule type="expression" dxfId="212" priority="7">
      <formula>kvartal &lt; 4</formula>
    </cfRule>
  </conditionalFormatting>
  <conditionalFormatting sqref="A69:A74">
    <cfRule type="expression" dxfId="211" priority="6">
      <formula>kvartal &lt; 4</formula>
    </cfRule>
  </conditionalFormatting>
  <conditionalFormatting sqref="A80:A85">
    <cfRule type="expression" dxfId="210" priority="5">
      <formula>kvartal &lt; 4</formula>
    </cfRule>
  </conditionalFormatting>
  <conditionalFormatting sqref="A90:A95">
    <cfRule type="expression" dxfId="209" priority="4">
      <formula>kvartal &lt; 4</formula>
    </cfRule>
  </conditionalFormatting>
  <conditionalFormatting sqref="A101:A106">
    <cfRule type="expression" dxfId="208" priority="3">
      <formula>kvartal &lt; 4</formula>
    </cfRule>
  </conditionalFormatting>
  <conditionalFormatting sqref="A115:C115">
    <cfRule type="expression" dxfId="207" priority="2">
      <formula>kvartal &lt; 4</formula>
    </cfRule>
  </conditionalFormatting>
  <conditionalFormatting sqref="A123:C123">
    <cfRule type="expression" dxfId="206" priority="1">
      <formula>kvartal &lt; 4</formula>
    </cfRule>
  </conditionalFormatting>
  <conditionalFormatting sqref="F115:G115">
    <cfRule type="expression" dxfId="205" priority="27">
      <formula>kvartal &lt; 4</formula>
    </cfRule>
  </conditionalFormatting>
  <conditionalFormatting sqref="F123:G123">
    <cfRule type="expression" dxfId="204" priority="26">
      <formula>kvartal &lt; 4</formula>
    </cfRule>
  </conditionalFormatting>
  <conditionalFormatting sqref="J115:K115">
    <cfRule type="expression" dxfId="203" priority="9">
      <formula>kvartal &lt; 4</formula>
    </cfRule>
  </conditionalFormatting>
  <conditionalFormatting sqref="J123:K123">
    <cfRule type="expression" dxfId="202" priority="8">
      <formula>kvartal &lt; 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Q176"/>
  <sheetViews>
    <sheetView showGridLines="0" showZeros="0" zoomScale="90" zoomScaleNormal="90" workbookViewId="0"/>
  </sheetViews>
  <sheetFormatPr baseColWidth="10" defaultColWidth="11.42578125" defaultRowHeight="18.75" x14ac:dyDescent="0.3"/>
  <cols>
    <col min="10" max="11" width="16.7109375" customWidth="1"/>
    <col min="12" max="12" width="24.42578125" style="48" customWidth="1"/>
    <col min="13" max="14" width="15.7109375" style="48" bestFit="1" customWidth="1"/>
    <col min="15" max="15" width="22.7109375" customWidth="1"/>
    <col min="16" max="16" width="13.42578125" customWidth="1"/>
    <col min="17" max="17" width="13.7109375" customWidth="1"/>
  </cols>
  <sheetData>
    <row r="1" spans="1:15" x14ac:dyDescent="0.3">
      <c r="A1" s="47" t="s">
        <v>52</v>
      </c>
    </row>
    <row r="2" spans="1:15" x14ac:dyDescent="0.3">
      <c r="A2" s="49"/>
      <c r="B2" s="48"/>
      <c r="C2" s="48"/>
      <c r="D2" s="48"/>
      <c r="E2" s="48"/>
      <c r="F2" s="48"/>
      <c r="G2" s="48"/>
      <c r="H2" s="48"/>
      <c r="I2" s="48"/>
      <c r="J2" s="48"/>
      <c r="K2" s="48"/>
      <c r="O2" s="48"/>
    </row>
    <row r="3" spans="1:15" x14ac:dyDescent="0.3">
      <c r="A3" s="49" t="s">
        <v>32</v>
      </c>
      <c r="B3" s="48"/>
      <c r="C3" s="48"/>
      <c r="D3" s="48"/>
      <c r="E3" s="48"/>
      <c r="F3" s="48"/>
      <c r="G3" s="48"/>
      <c r="H3" s="48"/>
      <c r="I3" s="48"/>
      <c r="J3" s="48"/>
      <c r="K3" s="48"/>
      <c r="O3" s="48"/>
    </row>
    <row r="4" spans="1:15" x14ac:dyDescent="0.3">
      <c r="A4" s="48"/>
      <c r="B4" s="48"/>
      <c r="C4" s="48"/>
      <c r="D4" s="48"/>
      <c r="E4" s="48"/>
      <c r="F4" s="48"/>
      <c r="G4" s="48"/>
      <c r="H4" s="48"/>
      <c r="I4" s="48"/>
      <c r="J4" s="48"/>
      <c r="K4" s="48"/>
      <c r="L4" s="50"/>
      <c r="O4" s="48"/>
    </row>
    <row r="5" spans="1:15" x14ac:dyDescent="0.3">
      <c r="A5" s="49" t="s">
        <v>411</v>
      </c>
      <c r="B5" s="48"/>
      <c r="C5" s="48"/>
      <c r="D5" s="48"/>
      <c r="E5" s="48"/>
      <c r="F5" s="48"/>
      <c r="G5" s="48"/>
      <c r="H5" s="48"/>
      <c r="I5" s="48"/>
      <c r="J5" s="48"/>
      <c r="K5" s="48"/>
      <c r="L5" s="48" t="s">
        <v>53</v>
      </c>
      <c r="O5" s="48"/>
    </row>
    <row r="6" spans="1:15" x14ac:dyDescent="0.3">
      <c r="A6" s="48"/>
      <c r="B6" s="48"/>
      <c r="C6" s="48"/>
      <c r="D6" s="48"/>
      <c r="E6" s="48"/>
      <c r="F6" s="48"/>
      <c r="G6" s="48"/>
      <c r="H6" s="48"/>
      <c r="I6" s="48"/>
      <c r="J6" s="48"/>
      <c r="K6" s="48"/>
      <c r="L6" s="48" t="s">
        <v>0</v>
      </c>
      <c r="O6" s="48"/>
    </row>
    <row r="7" spans="1:15" x14ac:dyDescent="0.3">
      <c r="A7" s="48"/>
      <c r="B7" s="48"/>
      <c r="C7" s="48"/>
      <c r="D7" s="48"/>
      <c r="E7" s="48"/>
      <c r="F7" s="48"/>
      <c r="G7" s="48"/>
      <c r="H7" s="48"/>
      <c r="I7" s="48"/>
      <c r="J7" s="48"/>
      <c r="K7" s="48"/>
      <c r="M7" s="48">
        <v>2024</v>
      </c>
      <c r="N7" s="48">
        <v>2025</v>
      </c>
      <c r="O7" s="48"/>
    </row>
    <row r="8" spans="1:15" x14ac:dyDescent="0.3">
      <c r="A8" s="48"/>
      <c r="B8" s="48"/>
      <c r="C8" s="48"/>
      <c r="D8" s="48"/>
      <c r="E8" s="48"/>
      <c r="F8" s="48"/>
      <c r="G8" s="48"/>
      <c r="H8" s="48"/>
      <c r="I8" s="48"/>
      <c r="J8" s="48"/>
      <c r="K8" s="48"/>
      <c r="L8" s="48" t="s">
        <v>54</v>
      </c>
      <c r="M8" s="51">
        <f>'Tabel 1.1'!B9</f>
        <v>1250013</v>
      </c>
      <c r="N8" s="51">
        <f>'Tabel 1.1'!C9</f>
        <v>1249688</v>
      </c>
      <c r="O8" s="48"/>
    </row>
    <row r="9" spans="1:15" x14ac:dyDescent="0.3">
      <c r="A9" s="48"/>
      <c r="B9" s="48"/>
      <c r="C9" s="48"/>
      <c r="D9" s="48"/>
      <c r="E9" s="48"/>
      <c r="F9" s="48"/>
      <c r="G9" s="48"/>
      <c r="H9" s="48"/>
      <c r="I9" s="48"/>
      <c r="J9" s="48"/>
      <c r="K9" s="48"/>
      <c r="L9" s="48" t="s">
        <v>55</v>
      </c>
      <c r="M9" s="51">
        <f>'Tabel 1.1'!B10</f>
        <v>205089</v>
      </c>
      <c r="N9" s="51">
        <f>'Tabel 1.1'!C10</f>
        <v>0</v>
      </c>
      <c r="O9" s="48"/>
    </row>
    <row r="10" spans="1:15" x14ac:dyDescent="0.3">
      <c r="A10" s="48"/>
      <c r="B10" s="48"/>
      <c r="C10" s="48"/>
      <c r="D10" s="48"/>
      <c r="E10" s="48"/>
      <c r="F10" s="48"/>
      <c r="G10" s="48"/>
      <c r="H10" s="48"/>
      <c r="I10" s="48"/>
      <c r="J10" s="48"/>
      <c r="K10" s="48"/>
      <c r="L10" s="48" t="s">
        <v>367</v>
      </c>
      <c r="M10" s="51">
        <f>'Tabel 1.1'!B11</f>
        <v>51311</v>
      </c>
      <c r="N10" s="51">
        <f>'Tabel 1.1'!C11</f>
        <v>30761</v>
      </c>
      <c r="O10" s="48"/>
    </row>
    <row r="11" spans="1:15" x14ac:dyDescent="0.3">
      <c r="A11" s="48"/>
      <c r="B11" s="48"/>
      <c r="C11" s="48"/>
      <c r="D11" s="48"/>
      <c r="E11" s="48"/>
      <c r="F11" s="48"/>
      <c r="G11" s="48"/>
      <c r="H11" s="48"/>
      <c r="I11" s="48"/>
      <c r="J11" s="48"/>
      <c r="K11" s="48"/>
      <c r="L11" s="48" t="s">
        <v>356</v>
      </c>
      <c r="M11" s="51">
        <f>'Tabel 1.1'!B12</f>
        <v>998261.31835000007</v>
      </c>
      <c r="N11" s="51">
        <f>'Tabel 1.1'!C12</f>
        <v>1271137.3383900002</v>
      </c>
      <c r="O11" s="48"/>
    </row>
    <row r="12" spans="1:15" x14ac:dyDescent="0.3">
      <c r="A12" s="48"/>
      <c r="B12" s="48"/>
      <c r="C12" s="48"/>
      <c r="D12" s="48"/>
      <c r="E12" s="48"/>
      <c r="F12" s="48"/>
      <c r="G12" s="48"/>
      <c r="H12" s="48"/>
      <c r="I12" s="48"/>
      <c r="J12" s="48"/>
      <c r="K12" s="48"/>
      <c r="L12" s="48" t="s">
        <v>56</v>
      </c>
      <c r="M12" s="51">
        <f>'Tabel 1.1'!B13</f>
        <v>633168</v>
      </c>
      <c r="N12" s="51">
        <f>'Tabel 1.1'!C13</f>
        <v>713825</v>
      </c>
      <c r="O12" s="48"/>
    </row>
    <row r="13" spans="1:15" x14ac:dyDescent="0.3">
      <c r="A13" s="48"/>
      <c r="B13" s="48"/>
      <c r="C13" s="48"/>
      <c r="D13" s="48"/>
      <c r="E13" s="48"/>
      <c r="F13" s="48"/>
      <c r="G13" s="48"/>
      <c r="H13" s="48"/>
      <c r="I13" s="48"/>
      <c r="J13" s="48"/>
      <c r="K13" s="48"/>
      <c r="L13" s="48" t="s">
        <v>57</v>
      </c>
      <c r="M13" s="51">
        <f>'Tabel 1.1'!B14</f>
        <v>6049.5889999999999</v>
      </c>
      <c r="N13" s="51">
        <f>'Tabel 1.1'!C14</f>
        <v>287.33699999999999</v>
      </c>
      <c r="O13" s="48"/>
    </row>
    <row r="14" spans="1:15" x14ac:dyDescent="0.3">
      <c r="A14" s="48"/>
      <c r="B14" s="48"/>
      <c r="C14" s="48"/>
      <c r="D14" s="48"/>
      <c r="E14" s="48"/>
      <c r="F14" s="48"/>
      <c r="G14" s="48"/>
      <c r="H14" s="48"/>
      <c r="I14" s="48"/>
      <c r="J14" s="48"/>
      <c r="K14" s="48"/>
      <c r="L14" s="48" t="s">
        <v>58</v>
      </c>
      <c r="M14" s="51">
        <f>'Tabel 1.1'!B15</f>
        <v>1560765.828</v>
      </c>
      <c r="N14" s="51">
        <f>'Tabel 1.1'!C15</f>
        <v>1611395.2398000001</v>
      </c>
      <c r="O14" s="48"/>
    </row>
    <row r="15" spans="1:15" x14ac:dyDescent="0.3">
      <c r="A15" s="48"/>
      <c r="B15" s="48"/>
      <c r="C15" s="48"/>
      <c r="D15" s="48"/>
      <c r="E15" s="48"/>
      <c r="F15" s="48"/>
      <c r="G15" s="48"/>
      <c r="H15" s="48"/>
      <c r="I15" s="48"/>
      <c r="J15" s="48"/>
      <c r="K15" s="48"/>
      <c r="L15" s="48" t="s">
        <v>59</v>
      </c>
      <c r="M15" s="51">
        <f>'Tabel 1.1'!B16</f>
        <v>314987</v>
      </c>
      <c r="N15" s="51">
        <f>'Tabel 1.1'!C16</f>
        <v>361354</v>
      </c>
      <c r="O15" s="48"/>
    </row>
    <row r="16" spans="1:15" x14ac:dyDescent="0.3">
      <c r="A16" s="48"/>
      <c r="B16" s="48"/>
      <c r="C16" s="48"/>
      <c r="D16" s="48"/>
      <c r="E16" s="48"/>
      <c r="F16" s="48"/>
      <c r="G16" s="48"/>
      <c r="H16" s="48"/>
      <c r="I16" s="48"/>
      <c r="J16" s="48"/>
      <c r="K16" s="48"/>
      <c r="L16" s="48" t="s">
        <v>60</v>
      </c>
      <c r="M16" s="51">
        <f>'Tabel 1.1'!B17</f>
        <v>250285.496603765</v>
      </c>
      <c r="N16" s="51">
        <f>'Tabel 1.1'!C17</f>
        <v>306096.93232210295</v>
      </c>
      <c r="O16" s="48"/>
    </row>
    <row r="17" spans="1:15" x14ac:dyDescent="0.3">
      <c r="A17" s="48"/>
      <c r="B17" s="48"/>
      <c r="C17" s="48"/>
      <c r="D17" s="48"/>
      <c r="E17" s="48"/>
      <c r="F17" s="48"/>
      <c r="G17" s="48"/>
      <c r="H17" s="48"/>
      <c r="I17" s="48"/>
      <c r="J17" s="48"/>
      <c r="K17" s="48"/>
      <c r="L17" s="48" t="s">
        <v>61</v>
      </c>
      <c r="M17" s="51">
        <f>'Tabel 1.1'!B18</f>
        <v>7819124.7919600001</v>
      </c>
      <c r="N17" s="51">
        <f>'Tabel 1.1'!C18</f>
        <v>8049379.79641</v>
      </c>
      <c r="O17" s="48"/>
    </row>
    <row r="18" spans="1:15" x14ac:dyDescent="0.3">
      <c r="A18" s="48"/>
      <c r="B18" s="48"/>
      <c r="C18" s="48"/>
      <c r="D18" s="48"/>
      <c r="E18" s="48"/>
      <c r="F18" s="48"/>
      <c r="G18" s="48"/>
      <c r="H18" s="48"/>
      <c r="I18" s="48"/>
      <c r="J18" s="48"/>
      <c r="K18" s="48"/>
      <c r="L18" s="48" t="s">
        <v>62</v>
      </c>
      <c r="M18" s="51">
        <f>'Tabel 1.1'!B19</f>
        <v>212764.049</v>
      </c>
      <c r="N18" s="51">
        <f>'Tabel 1.1'!C19</f>
        <v>234700.55499999999</v>
      </c>
      <c r="O18" s="48"/>
    </row>
    <row r="19" spans="1:15" x14ac:dyDescent="0.3">
      <c r="A19" s="48"/>
      <c r="B19" s="48"/>
      <c r="C19" s="48"/>
      <c r="D19" s="48"/>
      <c r="E19" s="48"/>
      <c r="F19" s="48"/>
      <c r="G19" s="48"/>
      <c r="H19" s="48"/>
      <c r="I19" s="48"/>
      <c r="J19" s="48"/>
      <c r="K19" s="48"/>
      <c r="L19" s="48" t="s">
        <v>357</v>
      </c>
      <c r="M19" s="51">
        <f>'Tabel 1.1'!B20</f>
        <v>22470</v>
      </c>
      <c r="N19" s="51">
        <f>'Tabel 1.1'!C20</f>
        <v>82536</v>
      </c>
      <c r="O19" s="48"/>
    </row>
    <row r="20" spans="1:15" x14ac:dyDescent="0.3">
      <c r="A20" s="48"/>
      <c r="B20" s="48"/>
      <c r="C20" s="48"/>
      <c r="D20" s="48"/>
      <c r="E20" s="48"/>
      <c r="F20" s="48"/>
      <c r="G20" s="48"/>
      <c r="H20" s="48"/>
      <c r="I20" s="48"/>
      <c r="J20" s="48"/>
      <c r="K20" s="48"/>
      <c r="L20" s="48" t="s">
        <v>371</v>
      </c>
      <c r="M20" s="51">
        <f>'Tabel 1.1'!B21</f>
        <v>14299.8</v>
      </c>
      <c r="N20" s="51">
        <f>'Tabel 1.1'!C21</f>
        <v>15177</v>
      </c>
      <c r="O20" s="48"/>
    </row>
    <row r="21" spans="1:15" x14ac:dyDescent="0.3">
      <c r="A21" s="48"/>
      <c r="B21" s="48"/>
      <c r="C21" s="48"/>
      <c r="D21" s="48"/>
      <c r="E21" s="48"/>
      <c r="F21" s="48"/>
      <c r="G21" s="48"/>
      <c r="H21" s="48"/>
      <c r="I21" s="48"/>
      <c r="J21" s="48"/>
      <c r="K21" s="48"/>
      <c r="L21" s="48" t="s">
        <v>63</v>
      </c>
      <c r="M21" s="51">
        <f>'Tabel 1.1'!B22</f>
        <v>749011.92606698244</v>
      </c>
      <c r="N21" s="51">
        <f>'Tabel 1.1'!C22</f>
        <v>811738.02410864085</v>
      </c>
      <c r="O21" s="48"/>
    </row>
    <row r="22" spans="1:15" x14ac:dyDescent="0.3">
      <c r="A22" s="48"/>
      <c r="B22" s="48"/>
      <c r="C22" s="48"/>
      <c r="D22" s="48"/>
      <c r="E22" s="48"/>
      <c r="F22" s="48"/>
      <c r="G22" s="48"/>
      <c r="H22" s="48"/>
      <c r="I22" s="48"/>
      <c r="J22" s="48"/>
      <c r="K22" s="48"/>
      <c r="L22" s="48" t="s">
        <v>401</v>
      </c>
      <c r="M22" s="51">
        <f>'Tabel 1.1'!B23</f>
        <v>8485</v>
      </c>
      <c r="N22" s="51">
        <f>'Tabel 1.1'!C23</f>
        <v>8970</v>
      </c>
      <c r="O22" s="48"/>
    </row>
    <row r="23" spans="1:15" x14ac:dyDescent="0.3">
      <c r="A23" s="48"/>
      <c r="B23" s="48"/>
      <c r="C23" s="48"/>
      <c r="D23" s="48"/>
      <c r="E23" s="48"/>
      <c r="F23" s="48"/>
      <c r="G23" s="48"/>
      <c r="H23" s="48"/>
      <c r="I23" s="48"/>
      <c r="J23" s="48"/>
      <c r="K23" s="48"/>
      <c r="L23" s="48" t="s">
        <v>64</v>
      </c>
      <c r="M23" s="51">
        <f>'Tabel 1.1'!B24</f>
        <v>908134</v>
      </c>
      <c r="N23" s="51">
        <f>'Tabel 1.1'!C24</f>
        <v>908116</v>
      </c>
      <c r="O23" s="48"/>
    </row>
    <row r="24" spans="1:15" x14ac:dyDescent="0.3">
      <c r="A24" s="48"/>
      <c r="B24" s="48"/>
      <c r="C24" s="48"/>
      <c r="D24" s="48"/>
      <c r="E24" s="48"/>
      <c r="F24" s="48"/>
      <c r="G24" s="48"/>
      <c r="H24" s="48"/>
      <c r="I24" s="48"/>
      <c r="J24" s="48"/>
      <c r="K24" s="48"/>
      <c r="L24" s="48" t="s">
        <v>352</v>
      </c>
      <c r="M24" s="51">
        <f>'Tabel 1.1'!B25</f>
        <v>268907</v>
      </c>
      <c r="N24" s="51">
        <f>'Tabel 1.1'!C25</f>
        <v>318529</v>
      </c>
      <c r="O24" s="48"/>
    </row>
    <row r="25" spans="1:15" x14ac:dyDescent="0.3">
      <c r="A25" s="48"/>
      <c r="B25" s="48"/>
      <c r="C25" s="48"/>
      <c r="D25" s="48"/>
      <c r="E25" s="48"/>
      <c r="F25" s="48"/>
      <c r="G25" s="48"/>
      <c r="H25" s="48"/>
      <c r="I25" s="48"/>
      <c r="J25" s="48"/>
      <c r="K25" s="48"/>
      <c r="L25" s="48" t="s">
        <v>370</v>
      </c>
      <c r="M25" s="51">
        <f>'Tabel 1.1'!B26</f>
        <v>282541.22444999998</v>
      </c>
      <c r="N25" s="51">
        <f>'Tabel 1.1'!C26</f>
        <v>287814.84760999994</v>
      </c>
      <c r="O25" s="48"/>
    </row>
    <row r="26" spans="1:15" x14ac:dyDescent="0.3">
      <c r="A26" s="48"/>
      <c r="B26" s="48"/>
      <c r="C26" s="48"/>
      <c r="D26" s="48"/>
      <c r="E26" s="48"/>
      <c r="F26" s="48"/>
      <c r="G26" s="48"/>
      <c r="H26" s="48"/>
      <c r="I26" s="48"/>
      <c r="J26" s="48"/>
      <c r="K26" s="48"/>
      <c r="L26" s="48" t="s">
        <v>381</v>
      </c>
      <c r="M26" s="51">
        <f>'Tabel 1.1'!B27</f>
        <v>2546560.0348999999</v>
      </c>
      <c r="N26" s="51">
        <f>'Tabel 1.1'!C27</f>
        <v>2689958.4868299998</v>
      </c>
      <c r="O26" s="48"/>
    </row>
    <row r="27" spans="1:15" x14ac:dyDescent="0.3">
      <c r="A27" s="48"/>
      <c r="B27" s="48"/>
      <c r="C27" s="48"/>
      <c r="D27" s="48"/>
      <c r="E27" s="48"/>
      <c r="F27" s="48"/>
      <c r="G27" s="48"/>
      <c r="H27" s="48"/>
      <c r="I27" s="48"/>
      <c r="J27" s="48"/>
      <c r="K27" s="48"/>
      <c r="L27" s="48" t="s">
        <v>66</v>
      </c>
      <c r="M27" s="51">
        <f>'Tabel 1.1'!B28</f>
        <v>2386</v>
      </c>
      <c r="N27" s="51">
        <f>'Tabel 1.1'!C28</f>
        <v>2290</v>
      </c>
      <c r="O27" s="48"/>
    </row>
    <row r="28" spans="1:15" x14ac:dyDescent="0.3">
      <c r="A28" s="48"/>
      <c r="B28" s="48"/>
      <c r="C28" s="48"/>
      <c r="D28" s="48"/>
      <c r="E28" s="48"/>
      <c r="F28" s="48"/>
      <c r="G28" s="48"/>
      <c r="H28" s="48"/>
      <c r="I28" s="48"/>
      <c r="J28" s="48"/>
      <c r="K28" s="48"/>
      <c r="L28" s="48" t="s">
        <v>67</v>
      </c>
      <c r="M28" s="51">
        <f>'Tabel 1.1'!B29</f>
        <v>751536</v>
      </c>
      <c r="N28" s="51">
        <f>'Tabel 1.1'!C29</f>
        <v>758059</v>
      </c>
    </row>
    <row r="29" spans="1:15" x14ac:dyDescent="0.3">
      <c r="A29" s="48"/>
      <c r="B29" s="48"/>
      <c r="C29" s="48"/>
      <c r="D29" s="48"/>
      <c r="E29" s="48"/>
      <c r="F29" s="48"/>
      <c r="G29" s="48"/>
      <c r="H29" s="48"/>
      <c r="I29" s="48"/>
      <c r="J29" s="48"/>
      <c r="K29" s="48"/>
      <c r="L29" s="48" t="s">
        <v>363</v>
      </c>
      <c r="M29" s="51">
        <f>'Tabel 1.1'!B30</f>
        <v>1726</v>
      </c>
      <c r="N29" s="51">
        <f>'Tabel 1.1'!C30</f>
        <v>1680</v>
      </c>
    </row>
    <row r="30" spans="1:15" x14ac:dyDescent="0.3">
      <c r="A30" s="48"/>
      <c r="B30" s="48"/>
      <c r="C30" s="48"/>
      <c r="D30" s="48"/>
      <c r="E30" s="48"/>
      <c r="F30" s="48"/>
      <c r="G30" s="48"/>
      <c r="H30" s="48"/>
      <c r="I30" s="48"/>
      <c r="J30" s="48"/>
      <c r="K30" s="48"/>
      <c r="L30" s="48" t="s">
        <v>374</v>
      </c>
      <c r="M30" s="51">
        <f>'Tabel 1.1'!B31</f>
        <v>16428</v>
      </c>
      <c r="N30" s="51">
        <f>'Tabel 1.1'!C31</f>
        <v>43878</v>
      </c>
    </row>
    <row r="31" spans="1:15" x14ac:dyDescent="0.3">
      <c r="A31" s="49" t="s">
        <v>412</v>
      </c>
      <c r="B31" s="48"/>
      <c r="C31" s="48"/>
      <c r="D31" s="48"/>
      <c r="E31" s="48"/>
      <c r="F31" s="48"/>
      <c r="G31" s="48"/>
      <c r="H31" s="48"/>
      <c r="I31" s="48"/>
      <c r="J31" s="48"/>
      <c r="K31" s="48"/>
    </row>
    <row r="32" spans="1:15" x14ac:dyDescent="0.3">
      <c r="B32" s="48"/>
      <c r="C32" s="48"/>
      <c r="D32" s="48"/>
      <c r="E32" s="48"/>
      <c r="F32" s="48"/>
      <c r="G32" s="48"/>
      <c r="H32" s="48"/>
      <c r="I32" s="48"/>
      <c r="J32" s="48"/>
      <c r="K32" s="48"/>
      <c r="L32" s="48" t="s">
        <v>53</v>
      </c>
    </row>
    <row r="33" spans="1:15" x14ac:dyDescent="0.3">
      <c r="B33" s="48"/>
      <c r="C33" s="48"/>
      <c r="D33" s="48"/>
      <c r="E33" s="48"/>
      <c r="F33" s="48"/>
      <c r="G33" s="48"/>
      <c r="H33" s="48"/>
      <c r="I33" s="48"/>
      <c r="J33" s="48"/>
      <c r="K33" s="48"/>
      <c r="L33" s="48" t="s">
        <v>1</v>
      </c>
    </row>
    <row r="34" spans="1:15" x14ac:dyDescent="0.3">
      <c r="A34" s="48"/>
      <c r="B34" s="48"/>
      <c r="C34" s="48"/>
      <c r="D34" s="48"/>
      <c r="E34" s="48"/>
      <c r="F34" s="48"/>
      <c r="G34" s="48"/>
      <c r="H34" s="48"/>
      <c r="I34" s="48"/>
      <c r="J34" s="48"/>
      <c r="K34" s="48"/>
      <c r="M34" s="48">
        <f>M7</f>
        <v>2024</v>
      </c>
      <c r="N34" s="48">
        <f>N7</f>
        <v>2025</v>
      </c>
    </row>
    <row r="35" spans="1:15" x14ac:dyDescent="0.3">
      <c r="A35" s="48"/>
      <c r="B35" s="48"/>
      <c r="C35" s="48"/>
      <c r="D35" s="48"/>
      <c r="E35" s="48"/>
      <c r="F35" s="48"/>
      <c r="G35" s="48"/>
      <c r="H35" s="48"/>
      <c r="I35" s="48"/>
      <c r="J35" s="48"/>
      <c r="K35" s="48"/>
      <c r="L35" s="48" t="s">
        <v>54</v>
      </c>
      <c r="M35" s="51">
        <f>'Tabel 1.1'!B35</f>
        <v>3528916.9929999998</v>
      </c>
      <c r="N35" s="51">
        <f>'Tabel 1.1'!C35</f>
        <v>4416210.9040000001</v>
      </c>
    </row>
    <row r="36" spans="1:15" x14ac:dyDescent="0.3">
      <c r="A36" s="48"/>
      <c r="B36" s="48"/>
      <c r="C36" s="48"/>
      <c r="D36" s="48"/>
      <c r="E36" s="48"/>
      <c r="F36" s="48"/>
      <c r="G36" s="48"/>
      <c r="H36" s="48"/>
      <c r="I36" s="48"/>
      <c r="J36" s="48"/>
      <c r="K36" s="48"/>
      <c r="L36" s="48" t="s">
        <v>59</v>
      </c>
      <c r="M36" s="51">
        <f>'Tabel 1.1'!B36</f>
        <v>1641372</v>
      </c>
      <c r="N36" s="51">
        <f>'Tabel 1.1'!C36</f>
        <v>1741309</v>
      </c>
    </row>
    <row r="37" spans="1:15" x14ac:dyDescent="0.3">
      <c r="A37" s="48"/>
      <c r="B37" s="48"/>
      <c r="C37" s="48"/>
      <c r="D37" s="48"/>
      <c r="E37" s="48"/>
      <c r="F37" s="48"/>
      <c r="G37" s="48"/>
      <c r="H37" s="48"/>
      <c r="I37" s="48"/>
      <c r="J37" s="48"/>
      <c r="K37" s="48"/>
      <c r="L37" s="48" t="s">
        <v>61</v>
      </c>
      <c r="M37" s="51">
        <f>'Tabel 1.1'!B37</f>
        <v>22688.987000000001</v>
      </c>
      <c r="N37" s="51">
        <f>'Tabel 1.1'!C37</f>
        <v>20929.275000000001</v>
      </c>
    </row>
    <row r="38" spans="1:15" x14ac:dyDescent="0.3">
      <c r="A38" s="48"/>
      <c r="B38" s="48"/>
      <c r="C38" s="48"/>
      <c r="D38" s="48"/>
      <c r="E38" s="48"/>
      <c r="F38" s="48"/>
      <c r="G38" s="48"/>
      <c r="H38" s="48"/>
      <c r="I38" s="48"/>
      <c r="J38" s="48"/>
      <c r="K38" s="48"/>
      <c r="L38" s="48" t="s">
        <v>63</v>
      </c>
      <c r="M38" s="51">
        <f>'Tabel 1.1'!B38</f>
        <v>5311313.3681499995</v>
      </c>
      <c r="N38" s="51">
        <f>'Tabel 1.1'!C38</f>
        <v>4781667.1471800003</v>
      </c>
    </row>
    <row r="39" spans="1:15" x14ac:dyDescent="0.3">
      <c r="A39" s="48"/>
      <c r="B39" s="48"/>
      <c r="C39" s="48"/>
      <c r="D39" s="48"/>
      <c r="E39" s="48"/>
      <c r="F39" s="48"/>
      <c r="G39" s="48"/>
      <c r="H39" s="48"/>
      <c r="I39" s="48"/>
      <c r="J39" s="48"/>
      <c r="K39" s="48"/>
      <c r="L39" s="48" t="s">
        <v>370</v>
      </c>
      <c r="M39" s="51">
        <f>'Tabel 1.1'!B39</f>
        <v>1839822.98065</v>
      </c>
      <c r="N39" s="51">
        <f>'Tabel 1.1'!C39</f>
        <v>2096094.96572</v>
      </c>
    </row>
    <row r="40" spans="1:15" x14ac:dyDescent="0.3">
      <c r="A40" s="48"/>
      <c r="B40" s="48"/>
      <c r="C40" s="48"/>
      <c r="D40" s="48"/>
      <c r="E40" s="48"/>
      <c r="F40" s="48"/>
      <c r="G40" s="48"/>
      <c r="H40" s="48"/>
      <c r="I40" s="48"/>
      <c r="J40" s="48"/>
      <c r="K40" s="48"/>
      <c r="L40" s="48" t="s">
        <v>381</v>
      </c>
      <c r="M40" s="51">
        <f>'Tabel 1.1'!B40</f>
        <v>4520753.1736900005</v>
      </c>
      <c r="N40" s="51">
        <f>'Tabel 1.1'!C40</f>
        <v>4815430.6112099998</v>
      </c>
    </row>
    <row r="41" spans="1:15" x14ac:dyDescent="0.3">
      <c r="A41" s="48"/>
      <c r="B41" s="48"/>
      <c r="C41" s="48"/>
      <c r="D41" s="48"/>
      <c r="E41" s="48"/>
      <c r="F41" s="48"/>
      <c r="G41" s="48"/>
      <c r="H41" s="48"/>
      <c r="I41" s="48"/>
      <c r="J41" s="48"/>
      <c r="K41" s="48"/>
      <c r="O41" s="48"/>
    </row>
    <row r="42" spans="1:15" x14ac:dyDescent="0.3">
      <c r="A42" s="48"/>
      <c r="B42" s="48"/>
      <c r="C42" s="48"/>
      <c r="D42" s="48"/>
      <c r="E42" s="48"/>
      <c r="F42" s="48"/>
      <c r="G42" s="48"/>
      <c r="H42" s="48"/>
      <c r="I42" s="48"/>
      <c r="J42" s="48"/>
      <c r="K42" s="48"/>
      <c r="M42" s="51"/>
      <c r="N42" s="51"/>
      <c r="O42" s="48"/>
    </row>
    <row r="43" spans="1:15" x14ac:dyDescent="0.3">
      <c r="A43" s="48"/>
      <c r="B43" s="48"/>
      <c r="C43" s="48"/>
      <c r="D43" s="48"/>
      <c r="E43" s="48"/>
      <c r="F43" s="48"/>
      <c r="G43" s="48"/>
      <c r="H43" s="48"/>
      <c r="I43" s="48"/>
      <c r="J43" s="48"/>
      <c r="K43" s="48"/>
      <c r="M43" s="51"/>
      <c r="N43" s="51"/>
      <c r="O43" s="48"/>
    </row>
    <row r="44" spans="1:15" x14ac:dyDescent="0.3">
      <c r="A44" s="48"/>
      <c r="B44" s="48"/>
      <c r="C44" s="48"/>
      <c r="D44" s="48"/>
      <c r="E44" s="48"/>
      <c r="F44" s="48"/>
      <c r="G44" s="48"/>
      <c r="H44" s="48"/>
      <c r="I44" s="48"/>
      <c r="J44" s="48"/>
      <c r="K44" s="48"/>
      <c r="M44" s="51"/>
      <c r="N44" s="51"/>
      <c r="O44" s="48"/>
    </row>
    <row r="45" spans="1:15" x14ac:dyDescent="0.3">
      <c r="A45" s="48"/>
      <c r="B45" s="48"/>
      <c r="C45" s="48"/>
      <c r="D45" s="48"/>
      <c r="E45" s="48"/>
      <c r="F45" s="48"/>
      <c r="G45" s="48"/>
      <c r="H45" s="48"/>
      <c r="I45" s="48"/>
      <c r="J45" s="48"/>
      <c r="K45" s="48"/>
      <c r="M45" s="51"/>
      <c r="N45" s="51"/>
      <c r="O45" s="48"/>
    </row>
    <row r="46" spans="1:15" x14ac:dyDescent="0.3">
      <c r="A46" s="48"/>
      <c r="B46" s="48"/>
      <c r="C46" s="48"/>
      <c r="D46" s="48"/>
      <c r="E46" s="48"/>
      <c r="F46" s="48"/>
      <c r="G46" s="48"/>
      <c r="H46" s="48"/>
      <c r="I46" s="48"/>
      <c r="J46" s="48"/>
      <c r="K46" s="48"/>
      <c r="M46" s="51"/>
      <c r="N46" s="51"/>
      <c r="O46" s="48"/>
    </row>
    <row r="47" spans="1:15" x14ac:dyDescent="0.3">
      <c r="A47" s="48"/>
      <c r="B47" s="48"/>
      <c r="C47" s="48"/>
      <c r="D47" s="48"/>
      <c r="E47" s="48"/>
      <c r="F47" s="48"/>
      <c r="G47" s="48"/>
      <c r="H47" s="48"/>
      <c r="I47" s="48"/>
      <c r="J47" s="48"/>
      <c r="K47" s="48"/>
      <c r="O47" s="48"/>
    </row>
    <row r="48" spans="1:15" x14ac:dyDescent="0.3">
      <c r="A48" s="48"/>
      <c r="B48" s="48"/>
      <c r="C48" s="48"/>
      <c r="D48" s="48"/>
      <c r="E48" s="48"/>
      <c r="F48" s="48"/>
      <c r="G48" s="48"/>
      <c r="H48" s="48"/>
      <c r="I48" s="48"/>
      <c r="J48" s="48"/>
      <c r="K48" s="48"/>
      <c r="O48" s="48"/>
    </row>
    <row r="49" spans="1:15" x14ac:dyDescent="0.3">
      <c r="A49" s="48"/>
      <c r="B49" s="48"/>
      <c r="C49" s="48"/>
      <c r="D49" s="48"/>
      <c r="E49" s="48"/>
      <c r="F49" s="48"/>
      <c r="G49" s="48"/>
      <c r="H49" s="48"/>
      <c r="I49" s="48"/>
      <c r="J49" s="48"/>
      <c r="K49" s="48"/>
      <c r="O49" s="48"/>
    </row>
    <row r="50" spans="1:15" x14ac:dyDescent="0.3">
      <c r="A50" s="48"/>
      <c r="B50" s="48"/>
      <c r="C50" s="48"/>
      <c r="D50" s="48"/>
      <c r="E50" s="48"/>
      <c r="F50" s="48"/>
      <c r="G50" s="48"/>
      <c r="H50" s="48"/>
      <c r="I50" s="48"/>
      <c r="J50" s="48"/>
      <c r="K50" s="48"/>
      <c r="L50" s="48" t="s">
        <v>69</v>
      </c>
      <c r="O50" s="48"/>
    </row>
    <row r="51" spans="1:15" x14ac:dyDescent="0.3">
      <c r="A51" s="48"/>
      <c r="B51" s="48"/>
      <c r="C51" s="48"/>
      <c r="D51" s="48"/>
      <c r="E51" s="48"/>
      <c r="F51" s="48"/>
      <c r="G51" s="48"/>
      <c r="H51" s="48"/>
      <c r="I51" s="48"/>
      <c r="J51" s="48"/>
      <c r="K51" s="48"/>
      <c r="L51" s="48" t="s">
        <v>0</v>
      </c>
      <c r="O51" s="48"/>
    </row>
    <row r="52" spans="1:15" x14ac:dyDescent="0.3">
      <c r="A52" s="48"/>
      <c r="B52" s="48"/>
      <c r="C52" s="48"/>
      <c r="D52" s="48"/>
      <c r="E52" s="48"/>
      <c r="F52" s="48"/>
      <c r="G52" s="48"/>
      <c r="H52" s="48"/>
      <c r="I52" s="48"/>
      <c r="J52" s="48"/>
      <c r="K52" s="48"/>
      <c r="M52" s="48">
        <f>M7</f>
        <v>2024</v>
      </c>
      <c r="N52" s="48">
        <f>N7</f>
        <v>2025</v>
      </c>
      <c r="O52" s="48"/>
    </row>
    <row r="53" spans="1:15" x14ac:dyDescent="0.3">
      <c r="A53" s="48"/>
      <c r="B53" s="48"/>
      <c r="C53" s="48"/>
      <c r="D53" s="48"/>
      <c r="E53" s="48"/>
      <c r="F53" s="48"/>
      <c r="G53" s="48"/>
      <c r="H53" s="48"/>
      <c r="I53" s="48"/>
      <c r="J53" s="48"/>
      <c r="K53" s="48"/>
      <c r="L53" s="48" t="s">
        <v>54</v>
      </c>
      <c r="M53" s="51">
        <f>'Tabel 1.1'!G9</f>
        <v>182678854</v>
      </c>
      <c r="N53" s="51">
        <f>'Tabel 1.1'!H9</f>
        <v>179684402.72244999</v>
      </c>
      <c r="O53" s="48"/>
    </row>
    <row r="54" spans="1:15" x14ac:dyDescent="0.3">
      <c r="A54" s="48"/>
      <c r="B54" s="48"/>
      <c r="C54" s="48"/>
      <c r="D54" s="48"/>
      <c r="E54" s="48"/>
      <c r="F54" s="48"/>
      <c r="G54" s="48"/>
      <c r="H54" s="48"/>
      <c r="I54" s="48"/>
      <c r="J54" s="48"/>
      <c r="K54" s="48"/>
      <c r="L54" s="48" t="s">
        <v>55</v>
      </c>
      <c r="M54" s="51">
        <f>'Tabel 1.1'!G10</f>
        <v>0</v>
      </c>
      <c r="N54" s="51">
        <f>'Tabel 1.1'!H10</f>
        <v>0</v>
      </c>
      <c r="O54" s="48"/>
    </row>
    <row r="55" spans="1:15" x14ac:dyDescent="0.3">
      <c r="A55" s="48"/>
      <c r="B55" s="48"/>
      <c r="C55" s="48"/>
      <c r="D55" s="48"/>
      <c r="E55" s="48"/>
      <c r="F55" s="48"/>
      <c r="G55" s="48"/>
      <c r="H55" s="48"/>
      <c r="I55" s="48"/>
      <c r="J55" s="48"/>
      <c r="K55" s="48"/>
      <c r="L55" s="48" t="s">
        <v>367</v>
      </c>
      <c r="M55" s="51">
        <f>'Tabel 1.1'!G11</f>
        <v>0</v>
      </c>
      <c r="N55" s="51">
        <f>'Tabel 1.1'!H11</f>
        <v>0</v>
      </c>
      <c r="O55" s="48"/>
    </row>
    <row r="56" spans="1:15" x14ac:dyDescent="0.3">
      <c r="A56" s="49" t="s">
        <v>413</v>
      </c>
      <c r="B56" s="48"/>
      <c r="C56" s="48"/>
      <c r="D56" s="48"/>
      <c r="E56" s="48"/>
      <c r="F56" s="48"/>
      <c r="G56" s="48"/>
      <c r="H56" s="48"/>
      <c r="I56" s="48"/>
      <c r="J56" s="48"/>
      <c r="K56" s="48"/>
      <c r="L56" s="48" t="s">
        <v>356</v>
      </c>
      <c r="M56" s="51">
        <f>'Tabel 1.1'!G12</f>
        <v>5524479.2054099999</v>
      </c>
      <c r="N56" s="51">
        <f>'Tabel 1.1'!H12</f>
        <v>6000495.18102</v>
      </c>
      <c r="O56" s="48"/>
    </row>
    <row r="57" spans="1:15" x14ac:dyDescent="0.3">
      <c r="A57" s="48"/>
      <c r="B57" s="48"/>
      <c r="C57" s="48"/>
      <c r="D57" s="48"/>
      <c r="E57" s="48"/>
      <c r="F57" s="48"/>
      <c r="G57" s="48"/>
      <c r="H57" s="48"/>
      <c r="I57" s="48"/>
      <c r="J57" s="48"/>
      <c r="K57" s="48"/>
      <c r="L57" s="48" t="s">
        <v>56</v>
      </c>
      <c r="M57" s="51">
        <f>'Tabel 1.1'!G13</f>
        <v>2088315</v>
      </c>
      <c r="N57" s="51">
        <f>'Tabel 1.1'!H13</f>
        <v>2437488</v>
      </c>
      <c r="O57" s="48"/>
    </row>
    <row r="58" spans="1:15" x14ac:dyDescent="0.3">
      <c r="A58" s="48"/>
      <c r="B58" s="48"/>
      <c r="C58" s="48"/>
      <c r="D58" s="48"/>
      <c r="E58" s="48"/>
      <c r="F58" s="48"/>
      <c r="G58" s="48"/>
      <c r="H58" s="48"/>
      <c r="I58" s="48"/>
      <c r="J58" s="48"/>
      <c r="K58" s="48"/>
      <c r="L58" s="48" t="s">
        <v>58</v>
      </c>
      <c r="M58" s="51">
        <f>'Tabel 1.1'!G14</f>
        <v>0</v>
      </c>
      <c r="N58" s="51">
        <f>'Tabel 1.1'!H14</f>
        <v>0</v>
      </c>
      <c r="O58" s="48"/>
    </row>
    <row r="59" spans="1:15" x14ac:dyDescent="0.3">
      <c r="A59" s="48"/>
      <c r="B59" s="48"/>
      <c r="C59" s="48"/>
      <c r="D59" s="48"/>
      <c r="E59" s="48"/>
      <c r="F59" s="48"/>
      <c r="G59" s="48"/>
      <c r="H59" s="48"/>
      <c r="I59" s="48"/>
      <c r="J59" s="48"/>
      <c r="K59" s="48"/>
      <c r="L59" s="48" t="s">
        <v>59</v>
      </c>
      <c r="M59" s="51">
        <f>'Tabel 1.1'!G16</f>
        <v>10139234</v>
      </c>
      <c r="N59" s="51">
        <f>'Tabel 1.1'!H16</f>
        <v>11279029</v>
      </c>
      <c r="O59" s="48"/>
    </row>
    <row r="60" spans="1:15" x14ac:dyDescent="0.3">
      <c r="A60" s="48"/>
      <c r="B60" s="48"/>
      <c r="C60" s="48"/>
      <c r="D60" s="48"/>
      <c r="E60" s="48"/>
      <c r="F60" s="48"/>
      <c r="G60" s="48"/>
      <c r="H60" s="48"/>
      <c r="I60" s="48"/>
      <c r="J60" s="48"/>
      <c r="K60" s="48"/>
      <c r="L60" s="48" t="s">
        <v>60</v>
      </c>
      <c r="M60" s="51">
        <f>'Tabel 1.1'!G17</f>
        <v>0</v>
      </c>
      <c r="N60" s="51">
        <f>'Tabel 1.1'!H17</f>
        <v>0</v>
      </c>
      <c r="O60" s="48"/>
    </row>
    <row r="61" spans="1:15" x14ac:dyDescent="0.3">
      <c r="A61" s="48"/>
      <c r="B61" s="48"/>
      <c r="C61" s="48"/>
      <c r="D61" s="48"/>
      <c r="E61" s="48"/>
      <c r="F61" s="48"/>
      <c r="G61" s="48"/>
      <c r="H61" s="48"/>
      <c r="I61" s="48"/>
      <c r="J61" s="48"/>
      <c r="K61" s="48"/>
      <c r="L61" s="48" t="s">
        <v>61</v>
      </c>
      <c r="M61" s="51">
        <f>'Tabel 1.1'!G18</f>
        <v>742435451.03683996</v>
      </c>
      <c r="N61" s="51">
        <f>'Tabel 1.1'!H18</f>
        <v>794812677.44805002</v>
      </c>
      <c r="O61" s="48"/>
    </row>
    <row r="62" spans="1:15" x14ac:dyDescent="0.3">
      <c r="A62" s="48"/>
      <c r="B62" s="48"/>
      <c r="C62" s="48"/>
      <c r="D62" s="48"/>
      <c r="E62" s="48"/>
      <c r="F62" s="48"/>
      <c r="G62" s="48"/>
      <c r="H62" s="48"/>
      <c r="I62" s="48"/>
      <c r="J62" s="48"/>
      <c r="K62" s="48"/>
      <c r="L62" s="48" t="s">
        <v>62</v>
      </c>
      <c r="M62" s="51">
        <f>'Tabel 1.1'!G19</f>
        <v>148316.739</v>
      </c>
      <c r="N62" s="51">
        <f>'Tabel 1.1'!H19</f>
        <v>173603.853</v>
      </c>
      <c r="O62" s="48"/>
    </row>
    <row r="63" spans="1:15" x14ac:dyDescent="0.3">
      <c r="A63" s="48"/>
      <c r="B63" s="48"/>
      <c r="C63" s="48"/>
      <c r="D63" s="48"/>
      <c r="E63" s="48"/>
      <c r="F63" s="48"/>
      <c r="G63" s="48"/>
      <c r="H63" s="48"/>
      <c r="I63" s="48"/>
      <c r="J63" s="48"/>
      <c r="K63" s="48"/>
      <c r="L63" s="48" t="s">
        <v>366</v>
      </c>
      <c r="M63" s="51">
        <f>'Tabel 1.1'!G20</f>
        <v>0</v>
      </c>
      <c r="N63" s="51">
        <f>'Tabel 1.1'!H20</f>
        <v>0</v>
      </c>
      <c r="O63" s="48"/>
    </row>
    <row r="64" spans="1:15" x14ac:dyDescent="0.3">
      <c r="A64" s="48"/>
      <c r="B64" s="48"/>
      <c r="C64" s="48"/>
      <c r="D64" s="48"/>
      <c r="E64" s="48"/>
      <c r="F64" s="48"/>
      <c r="G64" s="48"/>
      <c r="H64" s="48"/>
      <c r="I64" s="48"/>
      <c r="J64" s="48"/>
      <c r="K64" s="48"/>
      <c r="L64" s="48" t="s">
        <v>371</v>
      </c>
      <c r="M64" s="51">
        <f>'Tabel 1.1'!G21</f>
        <v>0</v>
      </c>
      <c r="N64" s="51">
        <f>'Tabel 1.1'!H21</f>
        <v>0</v>
      </c>
      <c r="O64" s="48"/>
    </row>
    <row r="65" spans="1:15" x14ac:dyDescent="0.3">
      <c r="A65" s="48"/>
      <c r="B65" s="48"/>
      <c r="C65" s="48"/>
      <c r="D65" s="48"/>
      <c r="E65" s="48"/>
      <c r="F65" s="48"/>
      <c r="G65" s="48"/>
      <c r="H65" s="48"/>
      <c r="I65" s="48"/>
      <c r="J65" s="48"/>
      <c r="K65" s="48"/>
      <c r="L65" s="48" t="s">
        <v>63</v>
      </c>
      <c r="M65" s="51">
        <f>'Tabel 1.1'!G22</f>
        <v>54599980.000004023</v>
      </c>
      <c r="N65" s="51">
        <f>'Tabel 1.1'!H22</f>
        <v>54964640.000001788</v>
      </c>
      <c r="O65" s="48"/>
    </row>
    <row r="66" spans="1:15" x14ac:dyDescent="0.3">
      <c r="A66" s="48"/>
      <c r="B66" s="48"/>
      <c r="C66" s="48"/>
      <c r="D66" s="48"/>
      <c r="E66" s="48"/>
      <c r="F66" s="48"/>
      <c r="G66" s="48"/>
      <c r="H66" s="48"/>
      <c r="I66" s="48"/>
      <c r="J66" s="48"/>
      <c r="K66" s="48"/>
      <c r="L66" s="48" t="s">
        <v>401</v>
      </c>
      <c r="M66" s="51">
        <f>'Tabel 1.1'!G23</f>
        <v>0</v>
      </c>
      <c r="N66" s="51">
        <f>'Tabel 1.1'!H23</f>
        <v>0</v>
      </c>
      <c r="O66" s="48"/>
    </row>
    <row r="67" spans="1:15" x14ac:dyDescent="0.3">
      <c r="A67" s="48"/>
      <c r="B67" s="48"/>
      <c r="C67" s="48"/>
      <c r="D67" s="48"/>
      <c r="E67" s="48"/>
      <c r="F67" s="48"/>
      <c r="G67" s="48"/>
      <c r="H67" s="48"/>
      <c r="I67" s="48"/>
      <c r="J67" s="48"/>
      <c r="K67" s="48"/>
      <c r="L67" s="48" t="s">
        <v>64</v>
      </c>
      <c r="M67" s="51">
        <f>'Tabel 1.1'!G24</f>
        <v>94317675</v>
      </c>
      <c r="N67" s="51">
        <f>'Tabel 1.1'!H24</f>
        <v>97889000</v>
      </c>
      <c r="O67" s="48"/>
    </row>
    <row r="68" spans="1:15" x14ac:dyDescent="0.3">
      <c r="A68" s="48"/>
      <c r="B68" s="48"/>
      <c r="C68" s="48"/>
      <c r="D68" s="48"/>
      <c r="E68" s="48"/>
      <c r="F68" s="48"/>
      <c r="G68" s="48"/>
      <c r="H68" s="48"/>
      <c r="I68" s="48"/>
      <c r="J68" s="48"/>
      <c r="K68" s="48"/>
      <c r="L68" s="48" t="s">
        <v>370</v>
      </c>
      <c r="M68" s="51">
        <f>'Tabel 1.1'!G26</f>
        <v>21904980.821390003</v>
      </c>
      <c r="N68" s="51">
        <f>'Tabel 1.1'!H26</f>
        <v>23632770.244150002</v>
      </c>
      <c r="O68" s="48"/>
    </row>
    <row r="69" spans="1:15" x14ac:dyDescent="0.3">
      <c r="A69" s="48"/>
      <c r="B69" s="48"/>
      <c r="C69" s="48"/>
      <c r="D69" s="48"/>
      <c r="E69" s="48"/>
      <c r="F69" s="48"/>
      <c r="G69" s="48"/>
      <c r="H69" s="48"/>
      <c r="I69" s="48"/>
      <c r="J69" s="48"/>
      <c r="K69" s="48"/>
      <c r="L69" s="48" t="s">
        <v>381</v>
      </c>
      <c r="M69" s="51">
        <f>'Tabel 1.1'!G27</f>
        <v>208594525.58670002</v>
      </c>
      <c r="N69" s="51">
        <f>'Tabel 1.1'!H27</f>
        <v>215118616.59341002</v>
      </c>
      <c r="O69" s="48"/>
    </row>
    <row r="70" spans="1:15" x14ac:dyDescent="0.3">
      <c r="A70" s="48"/>
      <c r="B70" s="48"/>
      <c r="C70" s="48"/>
      <c r="D70" s="48"/>
      <c r="E70" s="48"/>
      <c r="F70" s="48"/>
      <c r="G70" s="48"/>
      <c r="H70" s="48"/>
      <c r="I70" s="48"/>
      <c r="J70" s="48"/>
      <c r="K70" s="48"/>
      <c r="L70" s="48" t="s">
        <v>90</v>
      </c>
      <c r="M70" s="51">
        <f>'Tabel 1.1'!G28</f>
        <v>0</v>
      </c>
      <c r="N70" s="51">
        <f>'Tabel 1.1'!H28</f>
        <v>0</v>
      </c>
      <c r="O70" s="48"/>
    </row>
    <row r="71" spans="1:15" x14ac:dyDescent="0.3">
      <c r="A71" s="48"/>
      <c r="B71" s="48"/>
      <c r="C71" s="48"/>
      <c r="D71" s="48"/>
      <c r="E71" s="48"/>
      <c r="F71" s="48"/>
      <c r="G71" s="48"/>
      <c r="H71" s="48"/>
      <c r="I71" s="48"/>
      <c r="J71" s="48"/>
      <c r="K71" s="48"/>
      <c r="L71" s="48" t="s">
        <v>91</v>
      </c>
      <c r="M71" s="51">
        <f>'Tabel 1.1'!G29</f>
        <v>0</v>
      </c>
      <c r="N71" s="51">
        <f>'Tabel 1.1'!H29</f>
        <v>0</v>
      </c>
      <c r="O71" s="48"/>
    </row>
    <row r="72" spans="1:15" x14ac:dyDescent="0.3">
      <c r="A72" s="48"/>
      <c r="B72" s="48"/>
      <c r="C72" s="48"/>
      <c r="D72" s="48"/>
      <c r="E72" s="48"/>
      <c r="F72" s="48"/>
      <c r="G72" s="48"/>
      <c r="H72" s="48"/>
      <c r="I72" s="48"/>
      <c r="J72" s="48"/>
      <c r="K72" s="48"/>
      <c r="L72" s="48" t="s">
        <v>364</v>
      </c>
      <c r="M72" s="51">
        <f>'Tabel 1.1'!G30</f>
        <v>0</v>
      </c>
      <c r="N72" s="51">
        <f>'Tabel 1.1'!H30</f>
        <v>0</v>
      </c>
      <c r="O72" s="48"/>
    </row>
    <row r="73" spans="1:15" x14ac:dyDescent="0.3">
      <c r="A73" s="48"/>
      <c r="B73" s="48"/>
      <c r="C73" s="48"/>
      <c r="D73" s="48"/>
      <c r="E73" s="48"/>
      <c r="F73" s="48"/>
      <c r="G73" s="48"/>
      <c r="H73" s="48"/>
      <c r="I73" s="48"/>
      <c r="J73" s="48"/>
      <c r="K73" s="48"/>
      <c r="L73" s="48" t="s">
        <v>374</v>
      </c>
      <c r="M73" s="51">
        <f>'Tabel 1.1'!G31</f>
        <v>34208</v>
      </c>
      <c r="N73" s="51">
        <f>'Tabel 1.1'!H31</f>
        <v>69378</v>
      </c>
      <c r="O73" s="48"/>
    </row>
    <row r="74" spans="1:15" x14ac:dyDescent="0.3">
      <c r="A74" s="48"/>
      <c r="B74" s="48"/>
      <c r="C74" s="48"/>
      <c r="D74" s="48"/>
      <c r="E74" s="48"/>
      <c r="F74" s="48"/>
      <c r="G74" s="48"/>
      <c r="H74" s="48"/>
      <c r="I74" s="48"/>
      <c r="J74" s="48"/>
      <c r="K74" s="48"/>
      <c r="O74" s="48"/>
    </row>
    <row r="75" spans="1:15" x14ac:dyDescent="0.3">
      <c r="A75" s="48"/>
      <c r="B75" s="48"/>
      <c r="C75" s="48"/>
      <c r="D75" s="48"/>
      <c r="E75" s="48"/>
      <c r="F75" s="48"/>
      <c r="G75" s="48"/>
      <c r="H75" s="48"/>
      <c r="I75" s="48"/>
      <c r="J75" s="48"/>
      <c r="K75" s="48"/>
      <c r="O75" s="48"/>
    </row>
    <row r="76" spans="1:15" x14ac:dyDescent="0.3">
      <c r="A76" s="48"/>
      <c r="B76" s="48"/>
      <c r="C76" s="48"/>
      <c r="D76" s="48"/>
      <c r="E76" s="48"/>
      <c r="F76" s="48"/>
      <c r="G76" s="48"/>
      <c r="H76" s="48"/>
      <c r="I76" s="48"/>
      <c r="J76" s="48"/>
      <c r="K76" s="48"/>
      <c r="O76" s="48"/>
    </row>
    <row r="77" spans="1:15" x14ac:dyDescent="0.3">
      <c r="A77" s="48"/>
      <c r="B77" s="48"/>
      <c r="C77" s="48"/>
      <c r="D77" s="48"/>
      <c r="E77" s="48"/>
      <c r="F77" s="48"/>
      <c r="G77" s="48"/>
      <c r="H77" s="48"/>
      <c r="I77" s="48"/>
      <c r="J77" s="48"/>
      <c r="K77" s="48"/>
      <c r="O77" s="48"/>
    </row>
    <row r="78" spans="1:15" x14ac:dyDescent="0.3">
      <c r="A78" s="48"/>
      <c r="B78" s="48"/>
      <c r="C78" s="48"/>
      <c r="D78" s="48"/>
      <c r="E78" s="48"/>
      <c r="F78" s="48"/>
      <c r="G78" s="48"/>
      <c r="H78" s="48"/>
      <c r="I78" s="48"/>
      <c r="J78" s="48"/>
      <c r="K78" s="48"/>
      <c r="O78" s="48"/>
    </row>
    <row r="79" spans="1:15" x14ac:dyDescent="0.3">
      <c r="A79" s="48"/>
      <c r="B79" s="48"/>
      <c r="C79" s="48"/>
      <c r="D79" s="48"/>
      <c r="E79" s="48"/>
      <c r="F79" s="48"/>
      <c r="G79" s="48"/>
      <c r="H79" s="48"/>
      <c r="I79" s="48"/>
      <c r="J79" s="48"/>
      <c r="K79" s="48"/>
      <c r="O79" s="48"/>
    </row>
    <row r="80" spans="1:15" x14ac:dyDescent="0.3">
      <c r="A80" s="49" t="s">
        <v>414</v>
      </c>
      <c r="B80" s="48"/>
      <c r="C80" s="48"/>
      <c r="D80" s="48"/>
      <c r="E80" s="48"/>
      <c r="F80" s="48"/>
      <c r="G80" s="48"/>
      <c r="H80" s="48"/>
      <c r="I80" s="48"/>
      <c r="J80" s="48"/>
      <c r="K80" s="48"/>
      <c r="O80" s="48"/>
    </row>
    <row r="81" spans="1:15" x14ac:dyDescent="0.3">
      <c r="B81" s="48"/>
      <c r="C81" s="48"/>
      <c r="D81" s="48"/>
      <c r="E81" s="48"/>
      <c r="F81" s="48"/>
      <c r="G81" s="48"/>
      <c r="H81" s="48"/>
      <c r="I81" s="48"/>
      <c r="J81" s="48"/>
      <c r="K81" s="48"/>
      <c r="O81" s="48"/>
    </row>
    <row r="82" spans="1:15" x14ac:dyDescent="0.3">
      <c r="A82" s="48"/>
      <c r="B82" s="48"/>
      <c r="C82" s="48"/>
      <c r="D82" s="48"/>
      <c r="E82" s="48"/>
      <c r="F82" s="48"/>
      <c r="G82" s="48"/>
      <c r="H82" s="48"/>
      <c r="I82" s="48"/>
      <c r="J82" s="48"/>
      <c r="K82" s="48"/>
      <c r="L82" s="48" t="s">
        <v>69</v>
      </c>
      <c r="O82" s="48"/>
    </row>
    <row r="83" spans="1:15" x14ac:dyDescent="0.3">
      <c r="A83" s="48"/>
      <c r="B83" s="48"/>
      <c r="C83" s="48"/>
      <c r="D83" s="48"/>
      <c r="E83" s="48"/>
      <c r="F83" s="48"/>
      <c r="G83" s="48"/>
      <c r="H83" s="48"/>
      <c r="I83" s="48"/>
      <c r="J83" s="48"/>
      <c r="K83" s="48"/>
      <c r="L83" s="48" t="s">
        <v>1</v>
      </c>
      <c r="O83" s="48"/>
    </row>
    <row r="84" spans="1:15" x14ac:dyDescent="0.3">
      <c r="A84" s="48"/>
      <c r="B84" s="48"/>
      <c r="C84" s="48"/>
      <c r="D84" s="48"/>
      <c r="E84" s="48"/>
      <c r="F84" s="48"/>
      <c r="G84" s="48"/>
      <c r="H84" s="48"/>
      <c r="I84" s="48"/>
      <c r="J84" s="48"/>
      <c r="K84" s="48"/>
      <c r="M84" s="48">
        <f>M7</f>
        <v>2024</v>
      </c>
      <c r="N84" s="48">
        <f>N7</f>
        <v>2025</v>
      </c>
      <c r="O84" s="48"/>
    </row>
    <row r="85" spans="1:15" x14ac:dyDescent="0.3">
      <c r="B85" s="48"/>
      <c r="C85" s="48"/>
      <c r="D85" s="48"/>
      <c r="E85" s="48"/>
      <c r="F85" s="48"/>
      <c r="G85" s="48"/>
      <c r="H85" s="48"/>
      <c r="I85" s="48"/>
      <c r="J85" s="48"/>
      <c r="K85" s="48"/>
      <c r="L85" s="48" t="s">
        <v>54</v>
      </c>
      <c r="M85" s="51">
        <f>'Tabel 1.1'!G35</f>
        <v>179449570.928</v>
      </c>
      <c r="N85" s="51">
        <f>'Tabel 1.1'!H35</f>
        <v>203568699.91183773</v>
      </c>
      <c r="O85" s="48"/>
    </row>
    <row r="86" spans="1:15" x14ac:dyDescent="0.3">
      <c r="B86" s="48"/>
      <c r="C86" s="48"/>
      <c r="D86" s="48"/>
      <c r="E86" s="48"/>
      <c r="F86" s="48"/>
      <c r="G86" s="48"/>
      <c r="H86" s="48"/>
      <c r="I86" s="48"/>
      <c r="J86" s="48"/>
      <c r="K86" s="48"/>
      <c r="L86" s="48" t="s">
        <v>59</v>
      </c>
      <c r="M86" s="51">
        <f>'Tabel 1.1'!G36</f>
        <v>65817579</v>
      </c>
      <c r="N86" s="51">
        <f>'Tabel 1.1'!H36</f>
        <v>76968991</v>
      </c>
      <c r="O86" s="48"/>
    </row>
    <row r="87" spans="1:15" x14ac:dyDescent="0.3">
      <c r="B87" s="48"/>
      <c r="C87" s="48"/>
      <c r="D87" s="48"/>
      <c r="E87" s="48"/>
      <c r="F87" s="48"/>
      <c r="G87" s="48"/>
      <c r="H87" s="48"/>
      <c r="I87" s="48"/>
      <c r="J87" s="48"/>
      <c r="K87" s="48"/>
      <c r="L87" s="48" t="s">
        <v>61</v>
      </c>
      <c r="M87" s="51">
        <f>'Tabel 1.1'!G37</f>
        <v>2764463.4104599999</v>
      </c>
      <c r="N87" s="51">
        <f>'Tabel 1.1'!H37</f>
        <v>2888738.0707899998</v>
      </c>
      <c r="O87" s="48"/>
    </row>
    <row r="88" spans="1:15" x14ac:dyDescent="0.3">
      <c r="B88" s="48"/>
      <c r="C88" s="48"/>
      <c r="D88" s="48"/>
      <c r="E88" s="48"/>
      <c r="F88" s="48"/>
      <c r="G88" s="48"/>
      <c r="H88" s="48"/>
      <c r="I88" s="48"/>
      <c r="J88" s="48"/>
      <c r="K88" s="48"/>
      <c r="L88" s="48" t="s">
        <v>63</v>
      </c>
      <c r="M88" s="51">
        <f>'Tabel 1.1'!G38</f>
        <v>159130080</v>
      </c>
      <c r="N88" s="51">
        <f>'Tabel 1.1'!H38</f>
        <v>177451030</v>
      </c>
      <c r="O88" s="48"/>
    </row>
    <row r="89" spans="1:15" x14ac:dyDescent="0.3">
      <c r="B89" s="48"/>
      <c r="C89" s="48"/>
      <c r="D89" s="48"/>
      <c r="E89" s="48"/>
      <c r="F89" s="48"/>
      <c r="G89" s="48"/>
      <c r="H89" s="48"/>
      <c r="I89" s="48"/>
      <c r="J89" s="48"/>
      <c r="K89" s="48"/>
      <c r="L89" s="48" t="s">
        <v>370</v>
      </c>
      <c r="M89" s="51">
        <f>'Tabel 1.1'!G39</f>
        <v>75514311.198369905</v>
      </c>
      <c r="N89" s="51">
        <f>'Tabel 1.1'!H39</f>
        <v>85714629.687940001</v>
      </c>
      <c r="O89" s="48"/>
    </row>
    <row r="90" spans="1:15" x14ac:dyDescent="0.3">
      <c r="B90" s="48"/>
      <c r="C90" s="48"/>
      <c r="D90" s="48"/>
      <c r="E90" s="48"/>
      <c r="F90" s="48"/>
      <c r="G90" s="48"/>
      <c r="H90" s="48"/>
      <c r="I90" s="48"/>
      <c r="J90" s="48"/>
      <c r="K90" s="48"/>
      <c r="L90" s="48" t="s">
        <v>381</v>
      </c>
      <c r="M90" s="51">
        <f>'Tabel 1.1'!G40</f>
        <v>226481801.93450999</v>
      </c>
      <c r="N90" s="51">
        <f>'Tabel 1.1'!H40</f>
        <v>244753007.38714001</v>
      </c>
      <c r="O90" s="48"/>
    </row>
    <row r="91" spans="1:15" x14ac:dyDescent="0.3">
      <c r="A91" s="48"/>
      <c r="B91" s="48"/>
      <c r="C91" s="48"/>
      <c r="D91" s="48"/>
      <c r="E91" s="48"/>
      <c r="F91" s="48"/>
      <c r="G91" s="48"/>
      <c r="H91" s="48"/>
      <c r="I91" s="48"/>
      <c r="J91" s="48"/>
      <c r="K91" s="48"/>
      <c r="O91" s="48"/>
    </row>
    <row r="92" spans="1:15" ht="18.75" customHeight="1" x14ac:dyDescent="0.3">
      <c r="A92" s="48"/>
      <c r="B92" s="48"/>
      <c r="C92" s="48"/>
      <c r="D92" s="48"/>
      <c r="E92" s="48"/>
      <c r="F92" s="48"/>
      <c r="G92" s="48"/>
      <c r="H92" s="48"/>
      <c r="I92" s="48"/>
      <c r="J92" s="48"/>
      <c r="K92" s="48"/>
      <c r="O92" s="48"/>
    </row>
    <row r="93" spans="1:15" ht="18.75" customHeight="1" x14ac:dyDescent="0.3">
      <c r="A93" s="48"/>
      <c r="B93" s="48"/>
      <c r="C93" s="48"/>
      <c r="D93" s="48"/>
      <c r="E93" s="48"/>
      <c r="F93" s="48"/>
      <c r="G93" s="48"/>
      <c r="H93" s="48"/>
      <c r="I93" s="48"/>
      <c r="J93" s="48"/>
      <c r="K93" s="48"/>
      <c r="O93" s="48"/>
    </row>
    <row r="94" spans="1:15" ht="18.75" customHeight="1" x14ac:dyDescent="0.3">
      <c r="A94" s="48"/>
      <c r="B94" s="48"/>
      <c r="C94" s="48"/>
      <c r="D94" s="48"/>
      <c r="E94" s="48"/>
      <c r="F94" s="48"/>
      <c r="G94" s="48"/>
      <c r="H94" s="48"/>
      <c r="I94" s="48"/>
      <c r="J94" s="48"/>
      <c r="K94" s="48"/>
      <c r="O94" s="48"/>
    </row>
    <row r="95" spans="1:15" ht="18.75" customHeight="1" x14ac:dyDescent="0.3">
      <c r="A95" s="48"/>
      <c r="B95" s="48"/>
      <c r="C95" s="48"/>
      <c r="D95" s="48"/>
      <c r="E95" s="48"/>
      <c r="F95" s="48"/>
      <c r="G95" s="48"/>
      <c r="H95" s="48"/>
      <c r="I95" s="48"/>
      <c r="J95" s="48"/>
      <c r="K95" s="48"/>
      <c r="O95" s="48"/>
    </row>
    <row r="96" spans="1:15" ht="18.75" customHeight="1" x14ac:dyDescent="0.3">
      <c r="A96" s="48"/>
      <c r="B96" s="48"/>
      <c r="C96" s="48"/>
      <c r="D96" s="48"/>
      <c r="E96" s="48"/>
      <c r="F96" s="48"/>
      <c r="G96" s="48"/>
      <c r="H96" s="48"/>
      <c r="I96" s="48"/>
      <c r="J96" s="48"/>
      <c r="K96" s="48"/>
      <c r="O96" s="48"/>
    </row>
    <row r="97" spans="1:17" ht="18.75" customHeight="1" x14ac:dyDescent="0.3">
      <c r="A97" s="48"/>
      <c r="B97" s="48"/>
      <c r="C97" s="48"/>
      <c r="D97" s="48"/>
      <c r="E97" s="48"/>
      <c r="F97" s="48"/>
      <c r="G97" s="48"/>
      <c r="H97" s="48"/>
      <c r="I97" s="48"/>
      <c r="J97" s="48"/>
      <c r="K97" s="48"/>
      <c r="L97" s="48" t="s">
        <v>70</v>
      </c>
      <c r="O97" s="48"/>
      <c r="Q97" s="48"/>
    </row>
    <row r="98" spans="1:17" ht="18.75" customHeight="1" x14ac:dyDescent="0.3">
      <c r="A98" s="48"/>
      <c r="B98" s="48"/>
      <c r="C98" s="48"/>
      <c r="D98" s="48"/>
      <c r="E98" s="48"/>
      <c r="F98" s="48"/>
      <c r="G98" s="48"/>
      <c r="H98" s="48"/>
      <c r="I98" s="48"/>
      <c r="J98" s="48"/>
      <c r="K98" s="48"/>
      <c r="L98" s="48" t="s">
        <v>0</v>
      </c>
      <c r="O98" s="48"/>
      <c r="Q98" s="48"/>
    </row>
    <row r="99" spans="1:17" ht="18.75" customHeight="1" x14ac:dyDescent="0.3">
      <c r="A99" s="48"/>
      <c r="B99" s="48"/>
      <c r="C99" s="48"/>
      <c r="D99" s="48"/>
      <c r="E99" s="48"/>
      <c r="F99" s="48"/>
      <c r="G99" s="48"/>
      <c r="H99" s="48"/>
      <c r="I99" s="48"/>
      <c r="J99" s="48"/>
      <c r="K99" s="48"/>
      <c r="M99" s="48">
        <f>M7</f>
        <v>2024</v>
      </c>
      <c r="N99" s="48">
        <f>N7</f>
        <v>2025</v>
      </c>
      <c r="O99" s="48"/>
      <c r="Q99" s="48"/>
    </row>
    <row r="100" spans="1:17" ht="18.75" customHeight="1" x14ac:dyDescent="0.3">
      <c r="A100" s="48"/>
      <c r="B100" s="48"/>
      <c r="C100" s="48"/>
      <c r="D100" s="48"/>
      <c r="E100" s="48"/>
      <c r="F100" s="48"/>
      <c r="G100" s="48"/>
      <c r="H100" s="48"/>
      <c r="I100" s="48"/>
      <c r="J100" s="48"/>
      <c r="K100" s="48"/>
      <c r="L100" s="48" t="s">
        <v>54</v>
      </c>
      <c r="M100" s="51">
        <f>'DNB Livsforsikring'!B11-'DNB Livsforsikring'!B12+'DNB Livsforsikring'!B34-'DNB Livsforsikring'!B35+'DNB Livsforsikring'!B38-'DNB Livsforsikring'!B39+'DNB Livsforsikring'!B111-'DNB Livsforsikring'!B119+'DNB Livsforsikring'!B136-'DNB Livsforsikring'!B137</f>
        <v>142093</v>
      </c>
      <c r="N100" s="51">
        <f>'DNB Livsforsikring'!C11-'DNB Livsforsikring'!C12+'DNB Livsforsikring'!C34-'DNB Livsforsikring'!C35+'DNB Livsforsikring'!C38-'DNB Livsforsikring'!C39+'DNB Livsforsikring'!C111-'DNB Livsforsikring'!C119+'DNB Livsforsikring'!C136-'DNB Livsforsikring'!C137</f>
        <v>147076</v>
      </c>
      <c r="O100" s="48"/>
      <c r="Q100" s="48"/>
    </row>
    <row r="101" spans="1:17" ht="18.75" customHeight="1" x14ac:dyDescent="0.3">
      <c r="A101" s="48"/>
      <c r="B101" s="48"/>
      <c r="C101" s="48"/>
      <c r="D101" s="48"/>
      <c r="E101" s="48"/>
      <c r="F101" s="48"/>
      <c r="G101" s="48"/>
      <c r="H101" s="48"/>
      <c r="I101" s="48"/>
      <c r="J101" s="48"/>
      <c r="K101" s="48"/>
      <c r="L101" s="48" t="s">
        <v>59</v>
      </c>
      <c r="M101" s="51">
        <f>'Gjensidige Pensjon'!B11-'Gjensidige Pensjon'!B12+'Gjensidige Pensjon'!B34-'Gjensidige Pensjon'!B35+'Gjensidige Pensjon'!B38-'Gjensidige Pensjon'!B39+'Gjensidige Pensjon'!B111-'Gjensidige Pensjon'!B119+'Gjensidige Pensjon'!B136-'Gjensidige Pensjon'!B137</f>
        <v>22481</v>
      </c>
      <c r="N101" s="51">
        <f>'Gjensidige Pensjon'!C11-'Gjensidige Pensjon'!C12+'Gjensidige Pensjon'!C34-'Gjensidige Pensjon'!C35+'Gjensidige Pensjon'!C38-'Gjensidige Pensjon'!C39+'Gjensidige Pensjon'!C111-'Gjensidige Pensjon'!C119+'Gjensidige Pensjon'!C136-'Gjensidige Pensjon'!C137</f>
        <v>101054</v>
      </c>
      <c r="O101" s="48"/>
      <c r="Q101" s="48"/>
    </row>
    <row r="102" spans="1:17" ht="18.75" customHeight="1" x14ac:dyDescent="0.3">
      <c r="A102" s="48"/>
      <c r="B102" s="48"/>
      <c r="C102" s="48"/>
      <c r="D102" s="48"/>
      <c r="E102" s="48"/>
      <c r="F102" s="48"/>
      <c r="G102" s="48"/>
      <c r="H102" s="48"/>
      <c r="I102" s="48"/>
      <c r="J102" s="48"/>
      <c r="K102" s="48"/>
      <c r="L102" s="48" t="s">
        <v>61</v>
      </c>
      <c r="M102" s="51">
        <f>KLP!B11-KLP!B12+KLP!B34-KLP!B35+KLP!B38-KLP!B39+KLP!B111-KLP!B119+KLP!B136-KLP!B137</f>
        <v>-2455267.2319999998</v>
      </c>
      <c r="N102" s="51">
        <f>KLP!C11-KLP!C12+KLP!C34-KLP!C35+KLP!C38-KLP!C39+KLP!C111-KLP!C119+KLP!C136-KLP!C137</f>
        <v>-4249512.1230000006</v>
      </c>
      <c r="O102" s="48"/>
      <c r="Q102" s="48"/>
    </row>
    <row r="103" spans="1:17" ht="18.75" customHeight="1" x14ac:dyDescent="0.3">
      <c r="A103" s="48"/>
      <c r="B103" s="48"/>
      <c r="C103" s="48"/>
      <c r="D103" s="48"/>
      <c r="E103" s="48"/>
      <c r="F103" s="48"/>
      <c r="G103" s="48"/>
      <c r="H103" s="48"/>
      <c r="I103" s="48"/>
      <c r="J103" s="48"/>
      <c r="K103" s="48"/>
      <c r="L103" s="48" t="s">
        <v>63</v>
      </c>
      <c r="M103" s="51">
        <f>'Nordea Liv '!B11-'Nordea Liv '!B12+'Nordea Liv '!B34-'Nordea Liv '!B35+'Nordea Liv '!B38-'Nordea Liv '!B39+'Nordea Liv '!B111-'Nordea Liv '!B119+'Nordea Liv '!B136-'Nordea Liv '!B137</f>
        <v>-1336.18390000006</v>
      </c>
      <c r="N103" s="51">
        <f>'Nordea Liv '!C11-'Nordea Liv '!C12+'Nordea Liv '!C34-'Nordea Liv '!C35+'Nordea Liv '!C38-'Nordea Liv '!C39+'Nordea Liv '!C111-'Nordea Liv '!C119+'Nordea Liv '!C136-'Nordea Liv '!C137</f>
        <v>-1617</v>
      </c>
      <c r="O103" s="48"/>
      <c r="Q103" s="48"/>
    </row>
    <row r="104" spans="1:17" ht="18.75" customHeight="1" x14ac:dyDescent="0.3">
      <c r="A104" s="48"/>
      <c r="B104" s="48"/>
      <c r="C104" s="48"/>
      <c r="D104" s="48"/>
      <c r="E104" s="48"/>
      <c r="F104" s="48"/>
      <c r="G104" s="48"/>
      <c r="H104" s="48"/>
      <c r="I104" s="48"/>
      <c r="J104" s="48"/>
      <c r="K104" s="48"/>
      <c r="L104" s="48" t="s">
        <v>370</v>
      </c>
      <c r="M104" s="51">
        <f>'Sparebank 1 Fors.'!B11-'Sparebank 1 Fors.'!B12+'Sparebank 1 Fors.'!B34-'Sparebank 1 Fors.'!B35+'Sparebank 1 Fors.'!B38-'Sparebank 1 Fors.'!B39+'Sparebank 1 Fors.'!B111-'Sparebank 1 Fors.'!B119+'Sparebank 1 Fors.'!B136-'Sparebank 1 Fors.'!B137</f>
        <v>-7141.412620000001</v>
      </c>
      <c r="N104" s="51">
        <f>'Sparebank 1 Fors.'!C11-'Sparebank 1 Fors.'!C12+'Sparebank 1 Fors.'!C34-'Sparebank 1 Fors.'!C35+'Sparebank 1 Fors.'!C38-'Sparebank 1 Fors.'!C39+'Sparebank 1 Fors.'!C111-'Sparebank 1 Fors.'!C119+'Sparebank 1 Fors.'!C136-'Sparebank 1 Fors.'!C137</f>
        <v>883335.18560999993</v>
      </c>
      <c r="O104" s="48"/>
      <c r="Q104" s="48"/>
    </row>
    <row r="105" spans="1:17" ht="18.75" customHeight="1" x14ac:dyDescent="0.3">
      <c r="A105" s="48"/>
      <c r="B105" s="48"/>
      <c r="C105" s="48"/>
      <c r="D105" s="48"/>
      <c r="E105" s="48"/>
      <c r="F105" s="48"/>
      <c r="G105" s="48"/>
      <c r="H105" s="48"/>
      <c r="I105" s="48"/>
      <c r="J105" s="48"/>
      <c r="K105" s="48"/>
      <c r="L105" s="48" t="s">
        <v>381</v>
      </c>
      <c r="M105" s="51">
        <f>'Storebrand Livsforsikring'!B11-'Storebrand Livsforsikring'!B12+'Storebrand Livsforsikring'!B34-'Storebrand Livsforsikring'!B35+'Storebrand Livsforsikring'!B38-'Storebrand Livsforsikring'!B39+'Storebrand Livsforsikring'!B111-'Storebrand Livsforsikring'!B119+'Storebrand Livsforsikring'!B136-'Storebrand Livsforsikring'!B137</f>
        <v>2416464.1535</v>
      </c>
      <c r="N105" s="51">
        <f>'Storebrand Livsforsikring'!C11-'Storebrand Livsforsikring'!C12+'Storebrand Livsforsikring'!C34-'Storebrand Livsforsikring'!C35+'Storebrand Livsforsikring'!C38-'Storebrand Livsforsikring'!C39+'Storebrand Livsforsikring'!C111-'Storebrand Livsforsikring'!C119+'Storebrand Livsforsikring'!C136-'Storebrand Livsforsikring'!C137</f>
        <v>3145828.2314200001</v>
      </c>
      <c r="O105" s="48"/>
      <c r="Q105" s="48"/>
    </row>
    <row r="106" spans="1:17" ht="18.75" customHeight="1" x14ac:dyDescent="0.3">
      <c r="A106" s="49" t="s">
        <v>415</v>
      </c>
      <c r="B106" s="48"/>
      <c r="C106" s="48"/>
      <c r="D106" s="48"/>
      <c r="E106" s="48"/>
      <c r="F106" s="48"/>
      <c r="G106" s="48"/>
      <c r="H106" s="48"/>
      <c r="I106" s="48"/>
      <c r="J106" s="48"/>
      <c r="K106" s="48"/>
      <c r="M106" s="51"/>
      <c r="N106" s="51"/>
      <c r="O106" s="48"/>
      <c r="Q106" s="48"/>
    </row>
    <row r="107" spans="1:17" ht="18.75" customHeight="1" x14ac:dyDescent="0.3">
      <c r="A107" s="48"/>
      <c r="B107" s="48"/>
      <c r="C107" s="48"/>
      <c r="D107" s="48"/>
      <c r="E107" s="48"/>
      <c r="F107" s="48"/>
      <c r="G107" s="48"/>
      <c r="H107" s="48"/>
      <c r="I107" s="48"/>
      <c r="J107" s="48"/>
      <c r="K107" s="48"/>
      <c r="M107" s="51"/>
      <c r="N107" s="51"/>
      <c r="O107" s="48"/>
      <c r="Q107" s="48"/>
    </row>
    <row r="108" spans="1:17" ht="18.75" customHeight="1" x14ac:dyDescent="0.3">
      <c r="A108" s="48"/>
      <c r="B108" s="48"/>
      <c r="C108" s="48"/>
      <c r="D108" s="48"/>
      <c r="E108" s="48"/>
      <c r="F108" s="48"/>
      <c r="G108" s="48"/>
      <c r="H108" s="48"/>
      <c r="I108" s="48"/>
      <c r="J108" s="48"/>
      <c r="K108" s="48"/>
      <c r="M108" s="51"/>
      <c r="N108" s="51"/>
      <c r="O108" s="48"/>
      <c r="Q108" s="48"/>
    </row>
    <row r="109" spans="1:17" ht="18.75" customHeight="1" x14ac:dyDescent="0.3">
      <c r="A109" s="48"/>
      <c r="B109" s="48"/>
      <c r="C109" s="48"/>
      <c r="D109" s="48"/>
      <c r="E109" s="48"/>
      <c r="F109" s="48"/>
      <c r="G109" s="48"/>
      <c r="H109" s="48"/>
      <c r="I109" s="48"/>
      <c r="J109" s="48"/>
      <c r="K109" s="48"/>
      <c r="M109" s="51"/>
      <c r="N109" s="51"/>
      <c r="O109" s="48"/>
      <c r="Q109" s="48"/>
    </row>
    <row r="110" spans="1:17" ht="18.75" customHeight="1" x14ac:dyDescent="0.3">
      <c r="A110" s="48"/>
      <c r="B110" s="48"/>
      <c r="C110" s="48"/>
      <c r="D110" s="48"/>
      <c r="E110" s="48"/>
      <c r="F110" s="48"/>
      <c r="G110" s="48"/>
      <c r="H110" s="48"/>
      <c r="I110" s="48"/>
      <c r="J110" s="48"/>
      <c r="K110" s="48"/>
      <c r="M110" s="51"/>
      <c r="N110" s="51"/>
      <c r="O110" s="48"/>
      <c r="Q110" s="48"/>
    </row>
    <row r="111" spans="1:17" ht="18.75" customHeight="1" x14ac:dyDescent="0.3">
      <c r="A111" s="48"/>
      <c r="B111" s="48"/>
      <c r="C111" s="48"/>
      <c r="D111" s="48"/>
      <c r="E111" s="48"/>
      <c r="F111" s="48"/>
      <c r="G111" s="48"/>
      <c r="H111" s="48"/>
      <c r="I111" s="48"/>
      <c r="J111" s="48"/>
      <c r="K111" s="48"/>
      <c r="M111" s="51"/>
      <c r="N111" s="51"/>
      <c r="O111" s="48"/>
      <c r="Q111" s="48"/>
    </row>
    <row r="112" spans="1:17" ht="18.75" customHeight="1" x14ac:dyDescent="0.3">
      <c r="A112" s="48"/>
      <c r="B112" s="48"/>
      <c r="C112" s="48"/>
      <c r="D112" s="48"/>
      <c r="E112" s="48"/>
      <c r="F112" s="48"/>
      <c r="G112" s="48"/>
      <c r="H112" s="48"/>
      <c r="I112" s="48"/>
      <c r="J112" s="48"/>
      <c r="K112" s="48"/>
      <c r="M112" s="51"/>
      <c r="N112" s="51"/>
      <c r="O112" s="48"/>
      <c r="Q112" s="48"/>
    </row>
    <row r="113" spans="1:17" ht="18.75" customHeight="1" x14ac:dyDescent="0.3">
      <c r="A113" s="48"/>
      <c r="B113" s="48"/>
      <c r="C113" s="48"/>
      <c r="D113" s="48"/>
      <c r="E113" s="48"/>
      <c r="F113" s="48"/>
      <c r="G113" s="48"/>
      <c r="H113" s="48"/>
      <c r="I113" s="48"/>
      <c r="J113" s="48"/>
      <c r="K113" s="48"/>
      <c r="O113" s="48"/>
      <c r="Q113" s="48"/>
    </row>
    <row r="114" spans="1:17" ht="18.75" customHeight="1" x14ac:dyDescent="0.3">
      <c r="A114" s="48"/>
      <c r="B114" s="48"/>
      <c r="C114" s="48"/>
      <c r="D114" s="48"/>
      <c r="E114" s="48"/>
      <c r="F114" s="48"/>
      <c r="G114" s="48"/>
      <c r="H114" s="48"/>
      <c r="I114" s="48"/>
      <c r="J114" s="48"/>
      <c r="K114" s="48"/>
      <c r="O114" s="48"/>
      <c r="Q114" s="48"/>
    </row>
    <row r="115" spans="1:17" ht="18.75" customHeight="1" x14ac:dyDescent="0.3">
      <c r="A115" s="48"/>
      <c r="B115" s="48"/>
      <c r="C115" s="48"/>
      <c r="D115" s="48"/>
      <c r="E115" s="48"/>
      <c r="F115" s="48"/>
      <c r="G115" s="48"/>
      <c r="H115" s="48"/>
      <c r="I115" s="48"/>
      <c r="J115" s="48"/>
      <c r="K115" s="48"/>
      <c r="O115" s="48"/>
      <c r="Q115" s="48"/>
    </row>
    <row r="116" spans="1:17" ht="18.75" customHeight="1" x14ac:dyDescent="0.3">
      <c r="A116" s="48"/>
      <c r="B116" s="48"/>
      <c r="C116" s="48"/>
      <c r="D116" s="48"/>
      <c r="E116" s="48"/>
      <c r="F116" s="48"/>
      <c r="G116" s="48"/>
      <c r="H116" s="48"/>
      <c r="I116" s="48"/>
      <c r="J116" s="48"/>
      <c r="K116" s="48"/>
      <c r="O116" s="48"/>
      <c r="Q116" s="48"/>
    </row>
    <row r="117" spans="1:17" ht="18.75" customHeight="1" x14ac:dyDescent="0.3">
      <c r="A117" s="48"/>
      <c r="B117" s="48"/>
      <c r="C117" s="48"/>
      <c r="D117" s="48"/>
      <c r="E117" s="48"/>
      <c r="F117" s="48"/>
      <c r="G117" s="48"/>
      <c r="H117" s="48"/>
      <c r="I117" s="48"/>
      <c r="J117" s="48"/>
      <c r="K117" s="48"/>
      <c r="O117" s="48"/>
    </row>
    <row r="118" spans="1:17" ht="18.75" customHeight="1" x14ac:dyDescent="0.3">
      <c r="A118" s="48"/>
      <c r="B118" s="48"/>
      <c r="C118" s="48"/>
      <c r="D118" s="48"/>
      <c r="E118" s="48"/>
      <c r="F118" s="48"/>
      <c r="G118" s="48"/>
      <c r="H118" s="48"/>
      <c r="I118" s="48"/>
      <c r="J118" s="48"/>
      <c r="K118" s="48"/>
      <c r="O118" s="48"/>
    </row>
    <row r="119" spans="1:17" ht="18.75" customHeight="1" x14ac:dyDescent="0.3">
      <c r="A119" s="48"/>
      <c r="B119" s="48"/>
      <c r="C119" s="48"/>
      <c r="D119" s="48"/>
      <c r="E119" s="48"/>
      <c r="F119" s="48"/>
      <c r="G119" s="48"/>
      <c r="H119" s="48"/>
      <c r="I119" s="48"/>
      <c r="J119" s="48"/>
      <c r="K119" s="48"/>
      <c r="L119" s="48" t="s">
        <v>71</v>
      </c>
      <c r="O119" s="48"/>
    </row>
    <row r="120" spans="1:17" ht="18.75" customHeight="1" x14ac:dyDescent="0.3">
      <c r="A120" s="48"/>
      <c r="B120" s="48"/>
      <c r="C120" s="48"/>
      <c r="D120" s="48"/>
      <c r="E120" s="48"/>
      <c r="F120" s="48"/>
      <c r="G120" s="48"/>
      <c r="H120" s="48"/>
      <c r="I120" s="48"/>
      <c r="J120" s="48"/>
      <c r="K120" s="48"/>
      <c r="L120" s="48" t="s">
        <v>1</v>
      </c>
      <c r="O120" s="48"/>
    </row>
    <row r="121" spans="1:17" ht="18.75" customHeight="1" x14ac:dyDescent="0.3">
      <c r="A121" s="48"/>
      <c r="B121" s="48"/>
      <c r="C121" s="48"/>
      <c r="D121" s="48"/>
      <c r="E121" s="48"/>
      <c r="F121" s="48"/>
      <c r="G121" s="48"/>
      <c r="H121" s="48"/>
      <c r="I121" s="48"/>
      <c r="J121" s="48"/>
      <c r="K121" s="48"/>
      <c r="M121" s="48">
        <f>M7</f>
        <v>2024</v>
      </c>
      <c r="N121" s="48">
        <f>N7</f>
        <v>2025</v>
      </c>
      <c r="O121" s="48"/>
    </row>
    <row r="122" spans="1:17" ht="18.75" customHeight="1" x14ac:dyDescent="0.3">
      <c r="A122" s="48"/>
      <c r="B122" s="48"/>
      <c r="C122" s="48"/>
      <c r="D122" s="48"/>
      <c r="E122" s="48"/>
      <c r="F122" s="48"/>
      <c r="G122" s="48"/>
      <c r="H122" s="48"/>
      <c r="I122" s="48"/>
      <c r="J122" s="48"/>
      <c r="K122" s="48"/>
      <c r="L122" s="48" t="s">
        <v>54</v>
      </c>
      <c r="M122" s="51">
        <f>'DNB Livsforsikring'!F11-'DNB Livsforsikring'!F12+'DNB Livsforsikring'!F34-'DNB Livsforsikring'!F35+'DNB Livsforsikring'!F38-'DNB Livsforsikring'!F39+'DNB Livsforsikring'!F111-'DNB Livsforsikring'!F119+'DNB Livsforsikring'!F136-'DNB Livsforsikring'!F137</f>
        <v>-900203</v>
      </c>
      <c r="N122" s="51">
        <f>'DNB Livsforsikring'!G11-'DNB Livsforsikring'!G12+'DNB Livsforsikring'!G34-'DNB Livsforsikring'!G35+'DNB Livsforsikring'!G38-'DNB Livsforsikring'!G39+'DNB Livsforsikring'!G111-'DNB Livsforsikring'!G119+'DNB Livsforsikring'!G136-'DNB Livsforsikring'!G137</f>
        <v>191688.12112999987</v>
      </c>
      <c r="O122" s="48"/>
    </row>
    <row r="123" spans="1:17" x14ac:dyDescent="0.3">
      <c r="A123" s="48"/>
      <c r="B123" s="48"/>
      <c r="C123" s="48"/>
      <c r="D123" s="48"/>
      <c r="E123" s="48"/>
      <c r="F123" s="48"/>
      <c r="G123" s="48"/>
      <c r="H123" s="48"/>
      <c r="I123" s="48"/>
      <c r="J123" s="48"/>
      <c r="K123" s="48"/>
      <c r="L123" s="48" t="s">
        <v>59</v>
      </c>
      <c r="M123" s="51">
        <f>'Gjensidige Pensjon'!F11-'Gjensidige Pensjon'!F12+'Gjensidige Pensjon'!F34-'Gjensidige Pensjon'!F35+'Gjensidige Pensjon'!F38-'Gjensidige Pensjon'!F39+'Gjensidige Pensjon'!F111-'Gjensidige Pensjon'!F119+'Gjensidige Pensjon'!F136-'Gjensidige Pensjon'!F137</f>
        <v>432876</v>
      </c>
      <c r="N123" s="51">
        <f>'Gjensidige Pensjon'!G11-'Gjensidige Pensjon'!G12+'Gjensidige Pensjon'!G34-'Gjensidige Pensjon'!G35+'Gjensidige Pensjon'!G38-'Gjensidige Pensjon'!G39+'Gjensidige Pensjon'!G111-'Gjensidige Pensjon'!G119+'Gjensidige Pensjon'!G136-'Gjensidige Pensjon'!G137</f>
        <v>1211447</v>
      </c>
      <c r="O123" s="48"/>
    </row>
    <row r="124" spans="1:17" x14ac:dyDescent="0.3">
      <c r="A124" s="48"/>
      <c r="B124" s="48"/>
      <c r="C124" s="48"/>
      <c r="D124" s="48"/>
      <c r="E124" s="48"/>
      <c r="F124" s="48"/>
      <c r="G124" s="48"/>
      <c r="H124" s="48"/>
      <c r="I124" s="48"/>
      <c r="J124" s="48"/>
      <c r="K124" s="48"/>
      <c r="L124" s="48" t="s">
        <v>61</v>
      </c>
      <c r="M124" s="51">
        <f>KLP!F11-KLP!F12+KLP!F34-KLP!F35+KLP!F38-KLP!F39+KLP!F111-KLP!F119+KLP!F136-KLP!F137</f>
        <v>-182.05500000000001</v>
      </c>
      <c r="N124" s="51">
        <f>KLP!G11-KLP!G12+KLP!G34-KLP!G35+KLP!G38-KLP!G39+KLP!G111-KLP!G119+KLP!G136-KLP!G137</f>
        <v>0</v>
      </c>
      <c r="O124" s="48"/>
    </row>
    <row r="125" spans="1:17" x14ac:dyDescent="0.3">
      <c r="A125" s="48"/>
      <c r="B125" s="48"/>
      <c r="C125" s="48"/>
      <c r="D125" s="48"/>
      <c r="E125" s="48"/>
      <c r="F125" s="48"/>
      <c r="G125" s="48"/>
      <c r="H125" s="48"/>
      <c r="I125" s="48"/>
      <c r="J125" s="48"/>
      <c r="K125" s="48"/>
      <c r="L125" s="48" t="s">
        <v>63</v>
      </c>
      <c r="M125" s="51">
        <f>'Nordea Liv '!F11-'Nordea Liv '!F12+'Nordea Liv '!F34-'Nordea Liv '!F35+'Nordea Liv '!F38-'Nordea Liv '!F39+'Nordea Liv '!F111-'Nordea Liv '!F119+'Nordea Liv '!F136-'Nordea Liv '!F137</f>
        <v>-799067.74282999989</v>
      </c>
      <c r="N125" s="51">
        <f>'Nordea Liv '!G11-'Nordea Liv '!G12+'Nordea Liv '!G34-'Nordea Liv '!G35+'Nordea Liv '!G38-'Nordea Liv '!G39+'Nordea Liv '!G111-'Nordea Liv '!G119+'Nordea Liv '!G136-'Nordea Liv '!G137</f>
        <v>-750691.37333999947</v>
      </c>
      <c r="O125" s="48"/>
    </row>
    <row r="126" spans="1:17" x14ac:dyDescent="0.3">
      <c r="A126" s="48"/>
      <c r="B126" s="48"/>
      <c r="C126" s="48"/>
      <c r="D126" s="48"/>
      <c r="E126" s="48"/>
      <c r="F126" s="48"/>
      <c r="G126" s="48"/>
      <c r="H126" s="48"/>
      <c r="I126" s="48"/>
      <c r="J126" s="48"/>
      <c r="K126" s="48"/>
      <c r="L126" s="48" t="s">
        <v>370</v>
      </c>
      <c r="M126" s="51">
        <f>'Sparebank 1 Fors.'!F11-'Sparebank 1 Fors.'!F12+'Sparebank 1 Fors.'!F34-'Sparebank 1 Fors.'!F35+'Sparebank 1 Fors.'!F38-'Sparebank 1 Fors.'!F39+'Sparebank 1 Fors.'!F111-'Sparebank 1 Fors.'!F119+'Sparebank 1 Fors.'!F136-'Sparebank 1 Fors.'!F137</f>
        <v>-297184.52006999985</v>
      </c>
      <c r="N126" s="51">
        <f>'Sparebank 1 Fors.'!G11-'Sparebank 1 Fors.'!G12+'Sparebank 1 Fors.'!G34-'Sparebank 1 Fors.'!G35+'Sparebank 1 Fors.'!G38-'Sparebank 1 Fors.'!G39+'Sparebank 1 Fors.'!G111-'Sparebank 1 Fors.'!G119+'Sparebank 1 Fors.'!G136-'Sparebank 1 Fors.'!G137</f>
        <v>-242578.44872999983</v>
      </c>
      <c r="O126" s="48"/>
    </row>
    <row r="127" spans="1:17" x14ac:dyDescent="0.3">
      <c r="A127" s="48"/>
      <c r="B127" s="48"/>
      <c r="C127" s="48"/>
      <c r="D127" s="48"/>
      <c r="E127" s="48"/>
      <c r="F127" s="48"/>
      <c r="G127" s="48"/>
      <c r="H127" s="48"/>
      <c r="I127" s="48"/>
      <c r="J127" s="48"/>
      <c r="K127" s="48"/>
      <c r="L127" s="48" t="s">
        <v>381</v>
      </c>
      <c r="M127" s="51">
        <f>'Storebrand Livsforsikring'!F11-'Storebrand Livsforsikring'!F12+'Storebrand Livsforsikring'!F34-'Storebrand Livsforsikring'!F35+'Storebrand Livsforsikring'!F38-'Storebrand Livsforsikring'!F39+'Storebrand Livsforsikring'!F111-'Storebrand Livsforsikring'!F119+'Storebrand Livsforsikring'!F136-'Storebrand Livsforsikring'!F137</f>
        <v>59260.881069999654</v>
      </c>
      <c r="N127" s="51">
        <f>'Storebrand Livsforsikring'!G11-'Storebrand Livsforsikring'!G12+'Storebrand Livsforsikring'!G34-'Storebrand Livsforsikring'!G35+'Storebrand Livsforsikring'!G38-'Storebrand Livsforsikring'!G39+'Storebrand Livsforsikring'!G111-'Storebrand Livsforsikring'!G119+'Storebrand Livsforsikring'!G136-'Storebrand Livsforsikring'!G137</f>
        <v>-1684310.4050499997</v>
      </c>
      <c r="O127" s="48"/>
    </row>
    <row r="128" spans="1:17" x14ac:dyDescent="0.3">
      <c r="A128" s="48"/>
      <c r="B128" s="48"/>
      <c r="C128" s="48"/>
      <c r="D128" s="48"/>
      <c r="E128" s="48"/>
      <c r="F128" s="48"/>
      <c r="G128" s="48"/>
      <c r="H128" s="48"/>
      <c r="I128" s="48"/>
      <c r="J128" s="48"/>
      <c r="K128" s="48"/>
      <c r="O128" s="48"/>
    </row>
    <row r="129" spans="1:15" x14ac:dyDescent="0.3">
      <c r="A129" s="48"/>
      <c r="B129" s="48"/>
      <c r="C129" s="48"/>
      <c r="D129" s="48"/>
      <c r="E129" s="48"/>
      <c r="F129" s="48"/>
      <c r="G129" s="48"/>
      <c r="H129" s="48"/>
      <c r="I129" s="48"/>
      <c r="J129" s="48"/>
      <c r="K129" s="48"/>
      <c r="O129" s="48"/>
    </row>
    <row r="130" spans="1:15" x14ac:dyDescent="0.3">
      <c r="A130" s="49" t="s">
        <v>416</v>
      </c>
      <c r="B130" s="48"/>
      <c r="C130" s="48"/>
      <c r="D130" s="48"/>
      <c r="E130" s="48"/>
      <c r="F130" s="48"/>
      <c r="G130" s="48"/>
      <c r="H130" s="48"/>
      <c r="I130" s="48"/>
      <c r="J130" s="48"/>
      <c r="K130" s="48"/>
      <c r="O130" s="48"/>
    </row>
    <row r="131" spans="1:15" x14ac:dyDescent="0.3">
      <c r="B131" s="48"/>
      <c r="C131" s="48"/>
      <c r="D131" s="48"/>
      <c r="E131" s="48"/>
      <c r="F131" s="48"/>
      <c r="G131" s="48"/>
      <c r="H131" s="48"/>
      <c r="I131" s="48"/>
      <c r="J131" s="48"/>
      <c r="K131" s="48"/>
      <c r="O131" s="48"/>
    </row>
    <row r="132" spans="1:15" x14ac:dyDescent="0.3">
      <c r="A132" s="48"/>
      <c r="B132" s="48"/>
      <c r="C132" s="48"/>
      <c r="D132" s="48"/>
      <c r="E132" s="48"/>
      <c r="F132" s="48"/>
      <c r="G132" s="48"/>
      <c r="H132" s="48"/>
      <c r="I132" s="48"/>
      <c r="J132" s="48"/>
      <c r="K132" s="48"/>
      <c r="O132" s="48"/>
    </row>
    <row r="133" spans="1:15" x14ac:dyDescent="0.3">
      <c r="A133" s="48"/>
      <c r="B133" s="48"/>
      <c r="C133" s="48"/>
      <c r="D133" s="48"/>
      <c r="E133" s="48"/>
      <c r="F133" s="48"/>
      <c r="G133" s="48"/>
      <c r="H133" s="48"/>
      <c r="I133" s="48"/>
      <c r="J133" s="48"/>
      <c r="K133" s="48"/>
      <c r="O133" s="48"/>
    </row>
    <row r="134" spans="1:15" x14ac:dyDescent="0.3">
      <c r="A134" s="48"/>
      <c r="B134" s="48"/>
      <c r="C134" s="48"/>
      <c r="D134" s="48"/>
      <c r="E134" s="48"/>
      <c r="F134" s="48"/>
      <c r="G134" s="48"/>
      <c r="H134" s="48"/>
      <c r="I134" s="48"/>
      <c r="J134" s="48"/>
      <c r="K134" s="48"/>
      <c r="O134" s="48"/>
    </row>
    <row r="135" spans="1:15" x14ac:dyDescent="0.3">
      <c r="A135" s="48"/>
      <c r="B135" s="48"/>
      <c r="C135" s="48"/>
      <c r="D135" s="48"/>
      <c r="E135" s="48"/>
      <c r="F135" s="48"/>
      <c r="G135" s="48"/>
      <c r="H135" s="48"/>
      <c r="I135" s="48"/>
      <c r="J135" s="48"/>
      <c r="K135" s="48"/>
      <c r="O135" s="48"/>
    </row>
    <row r="136" spans="1:15" x14ac:dyDescent="0.3">
      <c r="A136" s="48"/>
      <c r="B136" s="48"/>
      <c r="C136" s="48"/>
      <c r="D136" s="48"/>
      <c r="E136" s="48"/>
      <c r="F136" s="48"/>
      <c r="G136" s="48"/>
      <c r="H136" s="48"/>
      <c r="I136" s="48"/>
      <c r="J136" s="48"/>
      <c r="K136" s="48"/>
      <c r="O136" s="48"/>
    </row>
    <row r="137" spans="1:15" x14ac:dyDescent="0.3">
      <c r="A137" s="48"/>
      <c r="B137" s="48"/>
      <c r="C137" s="48"/>
      <c r="D137" s="48"/>
      <c r="E137" s="48"/>
      <c r="F137" s="48"/>
      <c r="G137" s="48"/>
      <c r="H137" s="48"/>
      <c r="I137" s="48"/>
      <c r="J137" s="48"/>
      <c r="K137" s="48"/>
      <c r="O137" s="48"/>
    </row>
    <row r="138" spans="1:15" x14ac:dyDescent="0.3">
      <c r="A138" s="48"/>
      <c r="B138" s="48"/>
      <c r="C138" s="48"/>
      <c r="D138" s="48"/>
      <c r="E138" s="48"/>
      <c r="F138" s="48"/>
      <c r="G138" s="48"/>
      <c r="H138" s="48"/>
      <c r="I138" s="48"/>
      <c r="J138" s="48"/>
      <c r="K138" s="48"/>
      <c r="O138" s="48"/>
    </row>
    <row r="139" spans="1:15" x14ac:dyDescent="0.3">
      <c r="A139" s="48"/>
      <c r="B139" s="48"/>
      <c r="C139" s="48"/>
      <c r="D139" s="48"/>
      <c r="E139" s="48"/>
      <c r="F139" s="48"/>
      <c r="G139" s="48"/>
      <c r="H139" s="48"/>
      <c r="I139" s="48"/>
      <c r="J139" s="48"/>
      <c r="K139" s="48"/>
      <c r="O139" s="48"/>
    </row>
    <row r="140" spans="1:15" x14ac:dyDescent="0.3">
      <c r="A140" s="48"/>
      <c r="B140" s="48"/>
      <c r="C140" s="48"/>
      <c r="D140" s="48"/>
      <c r="E140" s="48"/>
      <c r="F140" s="48"/>
      <c r="G140" s="48"/>
      <c r="H140" s="48"/>
      <c r="I140" s="48"/>
      <c r="J140" s="48"/>
      <c r="K140" s="48"/>
      <c r="O140" s="48"/>
    </row>
    <row r="141" spans="1:15" x14ac:dyDescent="0.3">
      <c r="A141" s="48"/>
      <c r="B141" s="48"/>
      <c r="C141" s="48"/>
      <c r="D141" s="48"/>
      <c r="E141" s="48"/>
      <c r="F141" s="48"/>
      <c r="G141" s="48"/>
      <c r="H141" s="48"/>
      <c r="I141" s="48"/>
      <c r="J141" s="48"/>
      <c r="K141" s="48"/>
      <c r="O141" s="48"/>
    </row>
    <row r="142" spans="1:15" x14ac:dyDescent="0.3">
      <c r="A142" s="48"/>
      <c r="B142" s="48"/>
      <c r="C142" s="48"/>
      <c r="D142" s="48"/>
      <c r="E142" s="48"/>
      <c r="F142" s="48"/>
      <c r="G142" s="48"/>
      <c r="H142" s="48"/>
      <c r="I142" s="48"/>
      <c r="J142" s="48"/>
      <c r="K142" s="48"/>
      <c r="O142" s="48"/>
    </row>
    <row r="143" spans="1:15" x14ac:dyDescent="0.3">
      <c r="A143" s="48"/>
      <c r="B143" s="48"/>
      <c r="C143" s="48"/>
      <c r="D143" s="48"/>
      <c r="E143" s="48"/>
      <c r="F143" s="48"/>
      <c r="G143" s="48"/>
      <c r="H143" s="48"/>
      <c r="I143" s="48"/>
      <c r="J143" s="48"/>
      <c r="K143" s="48"/>
      <c r="O143" s="48"/>
    </row>
    <row r="144" spans="1:15" x14ac:dyDescent="0.3">
      <c r="A144" s="48"/>
      <c r="B144" s="48"/>
      <c r="C144" s="48"/>
      <c r="D144" s="48"/>
      <c r="E144" s="48"/>
      <c r="F144" s="48"/>
      <c r="G144" s="48"/>
      <c r="H144" s="48"/>
      <c r="I144" s="48"/>
      <c r="J144" s="48"/>
      <c r="K144" s="48"/>
      <c r="O144" s="48"/>
    </row>
    <row r="145" spans="1:15" x14ac:dyDescent="0.3">
      <c r="A145" s="48"/>
      <c r="B145" s="48"/>
      <c r="C145" s="48"/>
      <c r="D145" s="48"/>
      <c r="E145" s="48"/>
      <c r="F145" s="48"/>
      <c r="G145" s="48"/>
      <c r="H145" s="48"/>
      <c r="I145" s="48"/>
      <c r="J145" s="48"/>
      <c r="K145" s="48"/>
      <c r="O145" s="48"/>
    </row>
    <row r="146" spans="1:15" x14ac:dyDescent="0.3">
      <c r="A146" s="48"/>
      <c r="B146" s="48"/>
      <c r="C146" s="48"/>
      <c r="D146" s="48"/>
      <c r="E146" s="48"/>
      <c r="F146" s="48"/>
      <c r="G146" s="48"/>
      <c r="H146" s="48"/>
      <c r="I146" s="48"/>
      <c r="J146" s="48"/>
      <c r="K146" s="48"/>
      <c r="O146" s="48"/>
    </row>
    <row r="147" spans="1:15" x14ac:dyDescent="0.3">
      <c r="A147" s="48"/>
      <c r="B147" s="48"/>
      <c r="C147" s="48"/>
      <c r="D147" s="48"/>
      <c r="E147" s="48"/>
      <c r="F147" s="48"/>
      <c r="G147" s="48"/>
      <c r="H147" s="48"/>
      <c r="I147" s="48"/>
      <c r="J147" s="48"/>
      <c r="K147" s="48"/>
      <c r="O147" s="48"/>
    </row>
    <row r="148" spans="1:15" x14ac:dyDescent="0.3">
      <c r="A148" s="48"/>
      <c r="B148" s="48"/>
      <c r="C148" s="48"/>
      <c r="D148" s="48"/>
      <c r="E148" s="48"/>
      <c r="F148" s="48"/>
      <c r="G148" s="48"/>
      <c r="H148" s="48"/>
      <c r="I148" s="48"/>
      <c r="J148" s="48"/>
      <c r="K148" s="48"/>
      <c r="O148" s="48"/>
    </row>
    <row r="149" spans="1:15" x14ac:dyDescent="0.3">
      <c r="A149" s="48"/>
      <c r="B149" s="48"/>
      <c r="C149" s="48"/>
      <c r="D149" s="48"/>
      <c r="E149" s="48"/>
      <c r="F149" s="48"/>
      <c r="G149" s="48"/>
      <c r="H149" s="48"/>
      <c r="I149" s="48"/>
      <c r="J149" s="48"/>
      <c r="K149" s="48"/>
      <c r="O149" s="48"/>
    </row>
    <row r="150" spans="1:15" x14ac:dyDescent="0.3">
      <c r="A150" s="48"/>
      <c r="B150" s="48"/>
      <c r="C150" s="48"/>
      <c r="D150" s="48"/>
      <c r="E150" s="48"/>
      <c r="F150" s="48"/>
      <c r="G150" s="48"/>
      <c r="H150" s="48"/>
      <c r="I150" s="48"/>
      <c r="J150" s="48"/>
      <c r="K150" s="48"/>
      <c r="O150" s="48"/>
    </row>
    <row r="151" spans="1:15" x14ac:dyDescent="0.3">
      <c r="A151" s="48"/>
      <c r="B151" s="48"/>
      <c r="C151" s="48"/>
      <c r="D151" s="48"/>
      <c r="E151" s="48"/>
      <c r="F151" s="48"/>
      <c r="G151" s="48"/>
      <c r="H151" s="48"/>
      <c r="I151" s="48"/>
      <c r="J151" s="48"/>
      <c r="K151" s="48"/>
      <c r="O151" s="48"/>
    </row>
    <row r="152" spans="1:15" x14ac:dyDescent="0.3">
      <c r="A152" s="48"/>
      <c r="B152" s="48"/>
      <c r="C152" s="48"/>
      <c r="D152" s="48"/>
      <c r="E152" s="48"/>
      <c r="F152" s="48"/>
      <c r="G152" s="48"/>
      <c r="H152" s="48"/>
      <c r="I152" s="48"/>
      <c r="J152" s="48"/>
      <c r="K152" s="48"/>
      <c r="O152" s="48"/>
    </row>
    <row r="153" spans="1:15" x14ac:dyDescent="0.3">
      <c r="A153" s="48"/>
      <c r="B153" s="48"/>
      <c r="C153" s="48"/>
      <c r="D153" s="48"/>
      <c r="E153" s="48"/>
      <c r="F153" s="48"/>
      <c r="G153" s="48"/>
      <c r="H153" s="48"/>
      <c r="I153" s="48"/>
      <c r="J153" s="48"/>
      <c r="K153" s="48"/>
      <c r="O153" s="48"/>
    </row>
    <row r="154" spans="1:15" x14ac:dyDescent="0.3">
      <c r="O154" s="48"/>
    </row>
    <row r="155" spans="1:15" x14ac:dyDescent="0.3">
      <c r="O155" s="48"/>
    </row>
    <row r="156" spans="1:15" x14ac:dyDescent="0.3">
      <c r="O156" s="48"/>
    </row>
    <row r="157" spans="1:15" x14ac:dyDescent="0.3">
      <c r="O157" s="48"/>
    </row>
    <row r="158" spans="1:15" x14ac:dyDescent="0.3">
      <c r="O158" s="48"/>
    </row>
    <row r="159" spans="1:15" x14ac:dyDescent="0.3">
      <c r="O159" s="48"/>
    </row>
    <row r="160" spans="1:15" x14ac:dyDescent="0.3">
      <c r="O160" s="48"/>
    </row>
    <row r="161" spans="1:15" x14ac:dyDescent="0.3">
      <c r="O161" s="48"/>
    </row>
    <row r="162" spans="1:15" x14ac:dyDescent="0.3">
      <c r="O162" s="48"/>
    </row>
    <row r="163" spans="1:15" x14ac:dyDescent="0.3">
      <c r="O163" s="48"/>
    </row>
    <row r="164" spans="1:15" x14ac:dyDescent="0.3">
      <c r="O164" s="48"/>
    </row>
    <row r="165" spans="1:15" x14ac:dyDescent="0.3">
      <c r="O165" s="48"/>
    </row>
    <row r="166" spans="1:15" x14ac:dyDescent="0.3">
      <c r="O166" s="48"/>
    </row>
    <row r="167" spans="1:15" x14ac:dyDescent="0.3">
      <c r="O167" s="48"/>
    </row>
    <row r="168" spans="1:15" x14ac:dyDescent="0.3">
      <c r="O168" s="48"/>
    </row>
    <row r="169" spans="1:15" x14ac:dyDescent="0.3">
      <c r="O169" s="48"/>
    </row>
    <row r="170" spans="1:15" x14ac:dyDescent="0.3">
      <c r="A170" s="48"/>
      <c r="B170" s="48"/>
      <c r="C170" s="48"/>
      <c r="D170" s="48"/>
      <c r="E170" s="48"/>
      <c r="F170" s="48"/>
      <c r="G170" s="48"/>
      <c r="H170" s="48"/>
      <c r="I170" s="48"/>
      <c r="J170" s="48"/>
      <c r="K170" s="48"/>
      <c r="O170" s="48"/>
    </row>
    <row r="171" spans="1:15" x14ac:dyDescent="0.3">
      <c r="A171" s="48"/>
      <c r="B171" s="48"/>
      <c r="C171" s="48"/>
      <c r="D171" s="48"/>
      <c r="E171" s="48"/>
      <c r="F171" s="48"/>
      <c r="G171" s="48"/>
      <c r="H171" s="48"/>
      <c r="I171" s="48"/>
      <c r="J171" s="48"/>
      <c r="K171" s="48"/>
      <c r="O171" s="48"/>
    </row>
    <row r="172" spans="1:15" x14ac:dyDescent="0.3">
      <c r="A172" s="48"/>
      <c r="B172" s="48"/>
      <c r="C172" s="48"/>
      <c r="D172" s="48"/>
      <c r="E172" s="48"/>
      <c r="F172" s="48"/>
      <c r="G172" s="48"/>
      <c r="H172" s="48"/>
      <c r="I172" s="48"/>
      <c r="J172" s="48"/>
      <c r="K172" s="48"/>
      <c r="O172" s="48"/>
    </row>
    <row r="173" spans="1:15" x14ac:dyDescent="0.3">
      <c r="A173" s="48"/>
      <c r="B173" s="48"/>
      <c r="C173" s="48"/>
      <c r="D173" s="48"/>
      <c r="E173" s="48"/>
      <c r="F173" s="48"/>
      <c r="G173" s="48"/>
      <c r="H173" s="48"/>
      <c r="I173" s="48"/>
      <c r="J173" s="48"/>
      <c r="K173" s="48"/>
      <c r="O173" s="48"/>
    </row>
    <row r="174" spans="1:15" x14ac:dyDescent="0.3">
      <c r="A174" s="48"/>
      <c r="B174" s="48"/>
      <c r="C174" s="48"/>
      <c r="D174" s="48"/>
      <c r="E174" s="48"/>
      <c r="F174" s="48"/>
      <c r="G174" s="48"/>
      <c r="H174" s="48"/>
      <c r="I174" s="48"/>
      <c r="J174" s="48"/>
      <c r="K174" s="48"/>
      <c r="O174" s="48"/>
    </row>
    <row r="175" spans="1:15" x14ac:dyDescent="0.3">
      <c r="A175" s="48"/>
      <c r="B175" s="48"/>
      <c r="C175" s="48"/>
      <c r="D175" s="48"/>
      <c r="E175" s="48"/>
      <c r="F175" s="48"/>
      <c r="G175" s="48"/>
      <c r="H175" s="48"/>
      <c r="I175" s="48"/>
      <c r="J175" s="48"/>
      <c r="K175" s="48"/>
      <c r="O175" s="48"/>
    </row>
    <row r="176" spans="1:15" x14ac:dyDescent="0.3">
      <c r="A176" s="48"/>
      <c r="B176" s="48"/>
      <c r="C176" s="48"/>
      <c r="D176" s="48"/>
      <c r="E176" s="48"/>
      <c r="F176" s="48"/>
      <c r="G176" s="48"/>
      <c r="H176" s="48"/>
      <c r="I176" s="48"/>
      <c r="J176" s="48"/>
      <c r="K176" s="48"/>
      <c r="O176" s="48"/>
    </row>
  </sheetData>
  <hyperlinks>
    <hyperlink ref="A1" location="Innhold!A1" display="Tilbake" xr:uid="{00000000-0004-0000-0200-000000000000}"/>
  </hyperlinks>
  <pageMargins left="0.7" right="0.7" top="0.78740157499999996" bottom="0.78740157499999996"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37C7-9E35-491E-AA5D-FD2A7954B218}">
  <sheetPr codeName="Ark33"/>
  <dimension ref="A1:N144"/>
  <sheetViews>
    <sheetView showGridLines="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372</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2764</v>
      </c>
      <c r="C7" s="247">
        <v>3837</v>
      </c>
      <c r="D7" s="283">
        <f>IF(B7=0, "    ---- ", IF(ABS(ROUND(100/B7*C7-100,1))&lt;999,ROUND(100/B7*C7-100,1),IF(ROUND(100/B7*C7-100,1)&gt;999,999,-999)))</f>
        <v>38.799999999999997</v>
      </c>
      <c r="E7" s="8">
        <f>IFERROR(100/'Skjema total MA'!C7*C7,0)</f>
        <v>0.19111479546240534</v>
      </c>
      <c r="F7" s="246"/>
      <c r="G7" s="247"/>
      <c r="H7" s="283"/>
      <c r="I7" s="119"/>
      <c r="J7" s="248">
        <f t="shared" ref="J7:K10" si="0">SUM(B7,F7)</f>
        <v>2764</v>
      </c>
      <c r="K7" s="249">
        <f t="shared" si="0"/>
        <v>3837</v>
      </c>
      <c r="L7" s="340">
        <f>IF(J7=0, "    ---- ", IF(ABS(ROUND(100/J7*K7-100,1))&lt;999,ROUND(100/J7*K7-100,1),IF(ROUND(100/J7*K7-100,1)&gt;999,999,-999)))</f>
        <v>38.799999999999997</v>
      </c>
      <c r="M7" s="8">
        <f>IFERROR(100/'Skjema total MA'!I7*K7,0)</f>
        <v>7.679868635178845E-2</v>
      </c>
    </row>
    <row r="8" spans="1:14" ht="15.75" x14ac:dyDescent="0.2">
      <c r="A8" s="18" t="s">
        <v>25</v>
      </c>
      <c r="B8" s="226">
        <v>1499</v>
      </c>
      <c r="C8" s="227">
        <v>2109</v>
      </c>
      <c r="D8" s="123">
        <f t="shared" ref="D8:D10" si="1">IF(B8=0, "    ---- ", IF(ABS(ROUND(100/B8*C8-100,1))&lt;999,ROUND(100/B8*C8-100,1),IF(ROUND(100/B8*C8-100,1)&gt;999,999,-999)))</f>
        <v>40.700000000000003</v>
      </c>
      <c r="E8" s="23">
        <f>IFERROR(100/'Skjema total MA'!C8*C8,0)</f>
        <v>0.15364782592344878</v>
      </c>
      <c r="F8" s="230"/>
      <c r="G8" s="231"/>
      <c r="H8" s="123"/>
      <c r="I8" s="132"/>
      <c r="J8" s="181">
        <f t="shared" si="0"/>
        <v>1499</v>
      </c>
      <c r="K8" s="232">
        <f t="shared" si="0"/>
        <v>2109</v>
      </c>
      <c r="L8" s="123">
        <f t="shared" ref="L8:L10" si="2">IF(J8=0, "    ---- ", IF(ABS(ROUND(100/J8*K8-100,1))&lt;999,ROUND(100/J8*K8-100,1),IF(ROUND(100/J8*K8-100,1)&gt;999,999,-999)))</f>
        <v>40.700000000000003</v>
      </c>
      <c r="M8" s="23">
        <f>IFERROR(100/'Skjema total MA'!I8*K8,0)</f>
        <v>0.15364782592344878</v>
      </c>
    </row>
    <row r="9" spans="1:14" ht="15.75" x14ac:dyDescent="0.2">
      <c r="A9" s="18" t="s">
        <v>24</v>
      </c>
      <c r="B9" s="226">
        <v>562</v>
      </c>
      <c r="C9" s="227">
        <v>764</v>
      </c>
      <c r="D9" s="123">
        <f t="shared" si="1"/>
        <v>35.9</v>
      </c>
      <c r="E9" s="23">
        <f>IFERROR(100/'Skjema total MA'!C9*C9,0)</f>
        <v>0.17933764232707095</v>
      </c>
      <c r="F9" s="230"/>
      <c r="G9" s="231"/>
      <c r="H9" s="123"/>
      <c r="I9" s="132"/>
      <c r="J9" s="181">
        <f t="shared" si="0"/>
        <v>562</v>
      </c>
      <c r="K9" s="232">
        <f t="shared" si="0"/>
        <v>764</v>
      </c>
      <c r="L9" s="123">
        <f t="shared" si="2"/>
        <v>35.9</v>
      </c>
      <c r="M9" s="23">
        <f>IFERROR(100/'Skjema total MA'!I9*K9,0)</f>
        <v>0.17933764232707095</v>
      </c>
    </row>
    <row r="10" spans="1:14" ht="15.75" x14ac:dyDescent="0.2">
      <c r="A10" s="10" t="s">
        <v>323</v>
      </c>
      <c r="B10" s="250">
        <v>3568</v>
      </c>
      <c r="C10" s="251">
        <v>3524</v>
      </c>
      <c r="D10" s="127">
        <f t="shared" si="1"/>
        <v>-1.2</v>
      </c>
      <c r="E10" s="8">
        <f>IFERROR(100/'Skjema total MA'!C10*C10,0)</f>
        <v>2.785068166878588E-2</v>
      </c>
      <c r="F10" s="250"/>
      <c r="G10" s="251"/>
      <c r="H10" s="127"/>
      <c r="I10" s="119"/>
      <c r="J10" s="248">
        <f t="shared" si="0"/>
        <v>3568</v>
      </c>
      <c r="K10" s="249">
        <f t="shared" si="0"/>
        <v>3524</v>
      </c>
      <c r="L10" s="341">
        <f t="shared" si="2"/>
        <v>-1.2</v>
      </c>
      <c r="M10" s="8">
        <f>IFERROR(100/'Skjema total MA'!I10*K10,0)</f>
        <v>3.288436739506833E-3</v>
      </c>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589</v>
      </c>
      <c r="C22" s="250">
        <v>9172</v>
      </c>
      <c r="D22" s="283">
        <f t="shared" ref="D22:D30" si="3">IF(B22=0, "    ---- ", IF(ABS(ROUND(100/B22*C22-100,1))&lt;999,ROUND(100/B22*C22-100,1),IF(ROUND(100/B22*C22-100,1)&gt;999,999,-999)))</f>
        <v>999</v>
      </c>
      <c r="E22" s="8">
        <f>IFERROR(100/'Skjema total MA'!C22*C22,0)</f>
        <v>0.92396537033767934</v>
      </c>
      <c r="F22" s="258"/>
      <c r="G22" s="258"/>
      <c r="H22" s="283"/>
      <c r="I22" s="8"/>
      <c r="J22" s="256">
        <f t="shared" ref="J22:K30" si="4">SUM(B22,F22)</f>
        <v>589</v>
      </c>
      <c r="K22" s="256">
        <f t="shared" si="4"/>
        <v>9172</v>
      </c>
      <c r="L22" s="340">
        <f t="shared" ref="L22:L30" si="5">IF(J22=0, "    ---- ", IF(ABS(ROUND(100/J22*K22-100,1))&lt;999,ROUND(100/J22*K22-100,1),IF(ROUND(100/J22*K22-100,1)&gt;999,999,-999)))</f>
        <v>999</v>
      </c>
      <c r="M22" s="21">
        <f>IFERROR(100/'Skjema total MA'!I22*K22,0)</f>
        <v>0.71644760099636706</v>
      </c>
    </row>
    <row r="23" spans="1:13" ht="15.75" x14ac:dyDescent="0.2">
      <c r="A23" s="381" t="s">
        <v>326</v>
      </c>
      <c r="B23" s="226"/>
      <c r="C23" s="226">
        <v>9172</v>
      </c>
      <c r="D23" s="123" t="str">
        <f t="shared" si="3"/>
        <v xml:space="preserve">    ---- </v>
      </c>
      <c r="E23" s="8">
        <f>IFERROR(100/'Skjema total MA'!C23*C23,0)</f>
        <v>1.256686282532159</v>
      </c>
      <c r="F23" s="235"/>
      <c r="G23" s="235"/>
      <c r="H23" s="123"/>
      <c r="I23" s="333"/>
      <c r="J23" s="235">
        <f t="shared" si="4"/>
        <v>0</v>
      </c>
      <c r="K23" s="235">
        <f t="shared" si="4"/>
        <v>9172</v>
      </c>
      <c r="L23" s="123" t="str">
        <f t="shared" si="5"/>
        <v xml:space="preserve">    ---- </v>
      </c>
      <c r="M23" s="20">
        <f>IFERROR(100/'Skjema total MA'!I23*K23,0)</f>
        <v>1.2386360001015879</v>
      </c>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589</v>
      </c>
      <c r="C28" s="232">
        <v>7625</v>
      </c>
      <c r="D28" s="123">
        <f t="shared" si="3"/>
        <v>999</v>
      </c>
      <c r="E28" s="8">
        <f>IFERROR(100/'Skjema total MA'!C28*C28,0)</f>
        <v>0.64013188108583274</v>
      </c>
      <c r="F28" s="181"/>
      <c r="G28" s="232"/>
      <c r="H28" s="123"/>
      <c r="I28" s="23"/>
      <c r="J28" s="36">
        <f t="shared" si="4"/>
        <v>589</v>
      </c>
      <c r="K28" s="36">
        <f t="shared" si="4"/>
        <v>7625</v>
      </c>
      <c r="L28" s="204">
        <f t="shared" si="5"/>
        <v>999</v>
      </c>
      <c r="M28" s="20">
        <f>IFERROR(100/'Skjema total MA'!I28*K28,0)</f>
        <v>0.64013188108583274</v>
      </c>
    </row>
    <row r="29" spans="1:13" ht="15.75" x14ac:dyDescent="0.2">
      <c r="A29" s="10" t="s">
        <v>323</v>
      </c>
      <c r="B29" s="183">
        <v>2112</v>
      </c>
      <c r="C29" s="183">
        <v>19388</v>
      </c>
      <c r="D29" s="127">
        <f t="shared" si="3"/>
        <v>818</v>
      </c>
      <c r="E29" s="8">
        <f>IFERROR(100/'Skjema total MA'!C29*C29,0)</f>
        <v>4.4057552281936543E-2</v>
      </c>
      <c r="F29" s="248"/>
      <c r="G29" s="248"/>
      <c r="H29" s="127"/>
      <c r="I29" s="8"/>
      <c r="J29" s="183">
        <f t="shared" si="4"/>
        <v>2112</v>
      </c>
      <c r="K29" s="183">
        <f t="shared" si="4"/>
        <v>19388</v>
      </c>
      <c r="L29" s="341">
        <f t="shared" si="5"/>
        <v>818</v>
      </c>
      <c r="M29" s="21">
        <f>IFERROR(100/'Skjema total MA'!I29*K29,0)</f>
        <v>2.6700939151993654E-2</v>
      </c>
    </row>
    <row r="30" spans="1:13" ht="15.75" x14ac:dyDescent="0.2">
      <c r="A30" s="381" t="s">
        <v>326</v>
      </c>
      <c r="B30" s="226">
        <v>2112</v>
      </c>
      <c r="C30" s="226">
        <v>19388</v>
      </c>
      <c r="D30" s="123">
        <f t="shared" si="3"/>
        <v>818</v>
      </c>
      <c r="E30" s="8">
        <f>IFERROR(100/'Skjema total MA'!C30*C30,0)</f>
        <v>0.10336381383937217</v>
      </c>
      <c r="F30" s="235"/>
      <c r="G30" s="235"/>
      <c r="H30" s="123"/>
      <c r="I30" s="333"/>
      <c r="J30" s="235">
        <f t="shared" si="4"/>
        <v>2112</v>
      </c>
      <c r="K30" s="235">
        <f t="shared" si="4"/>
        <v>19388</v>
      </c>
      <c r="L30" s="123">
        <f t="shared" si="5"/>
        <v>818</v>
      </c>
      <c r="M30" s="20">
        <f>IFERROR(100/'Skjema total MA'!I30*K30,0)</f>
        <v>8.6855785913278971E-2</v>
      </c>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345"/>
      <c r="E38" s="21"/>
      <c r="F38" s="259"/>
      <c r="G38" s="260"/>
      <c r="H38" s="127"/>
      <c r="I38" s="347"/>
      <c r="J38" s="183"/>
      <c r="K38" s="183"/>
      <c r="L38" s="341"/>
      <c r="M38" s="21"/>
    </row>
    <row r="39" spans="1:13" ht="15.75" x14ac:dyDescent="0.2">
      <c r="A39" s="15" t="s">
        <v>333</v>
      </c>
      <c r="B39" s="221"/>
      <c r="C39" s="255"/>
      <c r="D39" s="346"/>
      <c r="E39" s="30"/>
      <c r="F39" s="262"/>
      <c r="G39" s="263"/>
      <c r="H39" s="125"/>
      <c r="I39" s="30"/>
      <c r="J39" s="183"/>
      <c r="K39" s="183"/>
      <c r="L39" s="342"/>
      <c r="M39" s="30"/>
    </row>
    <row r="40" spans="1:13" ht="15.75" x14ac:dyDescent="0.25">
      <c r="A40" s="35"/>
      <c r="B40" s="203"/>
      <c r="C40" s="203"/>
      <c r="D40" s="578"/>
      <c r="E40" s="577"/>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7940</v>
      </c>
      <c r="C47" s="251">
        <v>24204</v>
      </c>
      <c r="D47" s="340">
        <f t="shared" ref="D47:D48" si="6">IF(B47=0, "    ---- ", IF(ABS(ROUND(100/B47*C47-100,1))&lt;999,ROUND(100/B47*C47-100,1),IF(ROUND(100/B47*C47-100,1)&gt;999,999,-999)))</f>
        <v>204.8</v>
      </c>
      <c r="E47" s="8">
        <f>IFERROR(100/'Skjema total MA'!C47*C47,0)</f>
        <v>0.54621571786760459</v>
      </c>
      <c r="F47" s="109"/>
      <c r="G47" s="27"/>
      <c r="H47" s="118"/>
      <c r="I47" s="118"/>
      <c r="J47" s="31"/>
      <c r="K47" s="31"/>
      <c r="L47" s="118"/>
      <c r="M47" s="118"/>
    </row>
    <row r="48" spans="1:13" ht="15.75" x14ac:dyDescent="0.2">
      <c r="A48" s="18" t="s">
        <v>334</v>
      </c>
      <c r="B48" s="226">
        <v>7940</v>
      </c>
      <c r="C48" s="227">
        <v>24204</v>
      </c>
      <c r="D48" s="204">
        <f t="shared" si="6"/>
        <v>204.8</v>
      </c>
      <c r="E48" s="23">
        <f>IFERROR(100/'Skjema total MA'!C48*C48,0)</f>
        <v>1.0061438921630803</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v>5135</v>
      </c>
      <c r="C66" s="286">
        <v>6665</v>
      </c>
      <c r="D66" s="283">
        <f t="shared" ref="D66:D122" si="7">IF(B66=0, "    ---- ", IF(ABS(ROUND(100/B66*C66-100,1))&lt;999,ROUND(100/B66*C66-100,1),IF(ROUND(100/B66*C66-100,1)&gt;999,999,-999)))</f>
        <v>29.8</v>
      </c>
      <c r="E66" s="8">
        <f>IFERROR(100/'Skjema total MA'!C66*C66,0)</f>
        <v>0.22629643896815488</v>
      </c>
      <c r="F66" s="285"/>
      <c r="G66" s="285"/>
      <c r="H66" s="283"/>
      <c r="I66" s="8"/>
      <c r="J66" s="249">
        <f t="shared" ref="J66:K76" si="8">SUM(B66,F66)</f>
        <v>5135</v>
      </c>
      <c r="K66" s="256">
        <f t="shared" si="8"/>
        <v>6665</v>
      </c>
      <c r="L66" s="341">
        <f t="shared" ref="L66:L122" si="9">IF(J66=0, "    ---- ", IF(ABS(ROUND(100/J66*K66-100,1))&lt;999,ROUND(100/J66*K66-100,1),IF(ROUND(100/J66*K66-100,1)&gt;999,999,-999)))</f>
        <v>29.8</v>
      </c>
      <c r="M66" s="8">
        <f>IFERROR(100/'Skjema total MA'!I66*K66,0)</f>
        <v>3.8042342284642941E-2</v>
      </c>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v>5135</v>
      </c>
      <c r="C76" s="109">
        <v>6665</v>
      </c>
      <c r="D76" s="123">
        <f t="shared" si="7"/>
        <v>29.8</v>
      </c>
      <c r="E76" s="23">
        <f>IFERROR(100/'Skjema total MA'!C77*C76,0)</f>
        <v>0.37768412967031018</v>
      </c>
      <c r="F76" s="181"/>
      <c r="G76" s="109"/>
      <c r="H76" s="123"/>
      <c r="I76" s="23"/>
      <c r="J76" s="232">
        <f t="shared" si="8"/>
        <v>5135</v>
      </c>
      <c r="K76" s="36">
        <f t="shared" si="8"/>
        <v>6665</v>
      </c>
      <c r="L76" s="204">
        <f t="shared" si="9"/>
        <v>29.8</v>
      </c>
      <c r="M76" s="23">
        <f>IFERROR(100/'Skjema total MA'!I77*K76,0)</f>
        <v>4.2178566129391047E-2</v>
      </c>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v>28528</v>
      </c>
      <c r="C87" s="286">
        <v>46466</v>
      </c>
      <c r="D87" s="127">
        <f t="shared" si="7"/>
        <v>62.9</v>
      </c>
      <c r="E87" s="8">
        <f>IFERROR(100/'Skjema total MA'!C87*C87,0)</f>
        <v>1.1428295566695753E-2</v>
      </c>
      <c r="F87" s="285"/>
      <c r="G87" s="285"/>
      <c r="H87" s="127"/>
      <c r="I87" s="8"/>
      <c r="J87" s="249">
        <f t="shared" ref="J87:K111" si="10">SUM(B87,F87)</f>
        <v>28528</v>
      </c>
      <c r="K87" s="183">
        <f t="shared" si="10"/>
        <v>46466</v>
      </c>
      <c r="L87" s="341">
        <f t="shared" si="9"/>
        <v>62.9</v>
      </c>
      <c r="M87" s="8">
        <f>IFERROR(100/'Skjema total MA'!I87*K87,0)</f>
        <v>4.3348065539588563E-3</v>
      </c>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v>28528</v>
      </c>
      <c r="C97" s="109">
        <v>46466</v>
      </c>
      <c r="D97" s="123">
        <f t="shared" si="7"/>
        <v>62.9</v>
      </c>
      <c r="E97" s="23">
        <f>IFERROR(100/'Skjema total MA'!C98*C97,0)</f>
        <v>1.2149500903912694E-2</v>
      </c>
      <c r="F97" s="181"/>
      <c r="G97" s="109"/>
      <c r="H97" s="123"/>
      <c r="I97" s="23"/>
      <c r="J97" s="232">
        <f t="shared" si="10"/>
        <v>28528</v>
      </c>
      <c r="K97" s="36">
        <f t="shared" si="10"/>
        <v>46466</v>
      </c>
      <c r="L97" s="204">
        <f t="shared" si="9"/>
        <v>62.9</v>
      </c>
      <c r="M97" s="23">
        <f>IFERROR(100/'Skjema total MA'!I98*K97,0)</f>
        <v>4.4800965553198364E-3</v>
      </c>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v>0</v>
      </c>
      <c r="C111" s="118">
        <v>1353</v>
      </c>
      <c r="D111" s="127" t="str">
        <f t="shared" si="7"/>
        <v xml:space="preserve">    ---- </v>
      </c>
      <c r="E111" s="8">
        <f>IFERROR(100/'Skjema total MA'!C111*C111,0)</f>
        <v>0.11915522651266137</v>
      </c>
      <c r="F111" s="248"/>
      <c r="G111" s="118"/>
      <c r="H111" s="127"/>
      <c r="I111" s="8"/>
      <c r="J111" s="249">
        <f t="shared" si="10"/>
        <v>0</v>
      </c>
      <c r="K111" s="183">
        <f t="shared" si="10"/>
        <v>1353</v>
      </c>
      <c r="L111" s="341" t="str">
        <f t="shared" si="9"/>
        <v xml:space="preserve">    ---- </v>
      </c>
      <c r="M111" s="8">
        <f>IFERROR(100/'Skjema total MA'!I111*K111,0)</f>
        <v>6.4082410984019058E-3</v>
      </c>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v>0</v>
      </c>
      <c r="C114" s="109">
        <v>1353</v>
      </c>
      <c r="D114" s="123" t="str">
        <f t="shared" si="7"/>
        <v xml:space="preserve">    ---- </v>
      </c>
      <c r="E114" s="23">
        <f>IFERROR(100/'Skjema total MA'!C114*C114,0)</f>
        <v>1.7423782488910891</v>
      </c>
      <c r="F114" s="181"/>
      <c r="G114" s="109"/>
      <c r="H114" s="123"/>
      <c r="I114" s="23"/>
      <c r="J114" s="232">
        <f t="shared" ref="J114:K122" si="11">SUM(B114,F114)</f>
        <v>0</v>
      </c>
      <c r="K114" s="36">
        <f t="shared" si="11"/>
        <v>1353</v>
      </c>
      <c r="L114" s="204" t="str">
        <f t="shared" si="9"/>
        <v xml:space="preserve">    ---- </v>
      </c>
      <c r="M114" s="23">
        <f>IFERROR(100/'Skjema total MA'!I114*K114,0)</f>
        <v>1.7423782488910891</v>
      </c>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v>2288</v>
      </c>
      <c r="C119" s="118">
        <v>337</v>
      </c>
      <c r="D119" s="127">
        <f t="shared" si="7"/>
        <v>-85.3</v>
      </c>
      <c r="E119" s="8">
        <f>IFERROR(100/'Skjema total MA'!C119*C119,0)</f>
        <v>0.156514498719242</v>
      </c>
      <c r="F119" s="248"/>
      <c r="G119" s="118"/>
      <c r="H119" s="127"/>
      <c r="I119" s="8"/>
      <c r="J119" s="249">
        <f t="shared" si="11"/>
        <v>2288</v>
      </c>
      <c r="K119" s="183">
        <f t="shared" si="11"/>
        <v>337</v>
      </c>
      <c r="L119" s="341">
        <f t="shared" si="9"/>
        <v>-85.3</v>
      </c>
      <c r="M119" s="8">
        <f>IFERROR(100/'Skjema total MA'!I119*K119,0)</f>
        <v>1.5866954812004592E-3</v>
      </c>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v>2288</v>
      </c>
      <c r="C122" s="109">
        <v>337</v>
      </c>
      <c r="D122" s="123">
        <f t="shared" si="7"/>
        <v>-85.3</v>
      </c>
      <c r="E122" s="23">
        <f>IFERROR(100/'Skjema total MA'!C122*C122,0)</f>
        <v>0.21990359370595114</v>
      </c>
      <c r="F122" s="181"/>
      <c r="G122" s="109"/>
      <c r="H122" s="123"/>
      <c r="I122" s="23"/>
      <c r="J122" s="232">
        <f t="shared" si="11"/>
        <v>2288</v>
      </c>
      <c r="K122" s="36">
        <f t="shared" si="11"/>
        <v>337</v>
      </c>
      <c r="L122" s="204">
        <f t="shared" si="9"/>
        <v>-85.3</v>
      </c>
      <c r="M122" s="23">
        <f>IFERROR(100/'Skjema total MA'!I122*K122,0)</f>
        <v>0.21990359370595114</v>
      </c>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30:D130"/>
    <mergeCell ref="F130:H130"/>
    <mergeCell ref="J130:L130"/>
    <mergeCell ref="B131:D131"/>
    <mergeCell ref="F131:H131"/>
    <mergeCell ref="J131:L131"/>
    <mergeCell ref="B44:D44"/>
    <mergeCell ref="B62:D62"/>
    <mergeCell ref="F62:H62"/>
    <mergeCell ref="J62:L62"/>
    <mergeCell ref="B63:D63"/>
    <mergeCell ref="F63:H63"/>
    <mergeCell ref="J63:L63"/>
    <mergeCell ref="D40:F40"/>
    <mergeCell ref="G40:I40"/>
    <mergeCell ref="J40:L40"/>
    <mergeCell ref="B42:D42"/>
    <mergeCell ref="F42:H42"/>
    <mergeCell ref="J42:L42"/>
    <mergeCell ref="B18:D18"/>
    <mergeCell ref="F18:H18"/>
    <mergeCell ref="J18:L18"/>
    <mergeCell ref="B19:D19"/>
    <mergeCell ref="F19:H19"/>
    <mergeCell ref="J19:L19"/>
    <mergeCell ref="B2:D2"/>
    <mergeCell ref="F2:H2"/>
    <mergeCell ref="J2:L2"/>
    <mergeCell ref="B4:D4"/>
    <mergeCell ref="F4:H4"/>
    <mergeCell ref="J4:L4"/>
  </mergeCells>
  <conditionalFormatting sqref="A50:A52">
    <cfRule type="expression" dxfId="201" priority="7">
      <formula>kvartal &lt; 4</formula>
    </cfRule>
  </conditionalFormatting>
  <conditionalFormatting sqref="A69:A74">
    <cfRule type="expression" dxfId="200" priority="6">
      <formula>kvartal &lt; 4</formula>
    </cfRule>
  </conditionalFormatting>
  <conditionalFormatting sqref="A80:A85">
    <cfRule type="expression" dxfId="199" priority="5">
      <formula>kvartal &lt; 4</formula>
    </cfRule>
  </conditionalFormatting>
  <conditionalFormatting sqref="A90:A95">
    <cfRule type="expression" dxfId="198" priority="4">
      <formula>kvartal &lt; 4</formula>
    </cfRule>
  </conditionalFormatting>
  <conditionalFormatting sqref="A101:A106">
    <cfRule type="expression" dxfId="197" priority="3">
      <formula>kvartal &lt; 4</formula>
    </cfRule>
  </conditionalFormatting>
  <conditionalFormatting sqref="A115:C115">
    <cfRule type="expression" dxfId="196" priority="2">
      <formula>kvartal &lt; 4</formula>
    </cfRule>
  </conditionalFormatting>
  <conditionalFormatting sqref="A123:C123">
    <cfRule type="expression" dxfId="195" priority="1">
      <formula>kvartal &lt; 4</formula>
    </cfRule>
  </conditionalFormatting>
  <conditionalFormatting sqref="F115:G115">
    <cfRule type="expression" dxfId="194" priority="27">
      <formula>kvartal &lt; 4</formula>
    </cfRule>
  </conditionalFormatting>
  <conditionalFormatting sqref="F123:G123">
    <cfRule type="expression" dxfId="193" priority="26">
      <formula>kvartal &lt; 4</formula>
    </cfRule>
  </conditionalFormatting>
  <conditionalFormatting sqref="J115:K115">
    <cfRule type="expression" dxfId="192" priority="9">
      <formula>kvartal &lt; 4</formula>
    </cfRule>
  </conditionalFormatting>
  <conditionalFormatting sqref="J123:K123">
    <cfRule type="expression" dxfId="191" priority="8">
      <formula>kvartal &lt; 4</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6044-2CB6-449D-AC95-3178BBB2285A}">
  <sheetPr codeName="Ark34"/>
  <dimension ref="A1:AK62"/>
  <sheetViews>
    <sheetView showGridLines="0" zoomScale="70" zoomScaleNormal="70" workbookViewId="0">
      <pane xSplit="1" ySplit="8" topLeftCell="B9" activePane="bottomRight" state="frozen"/>
      <selection activeCell="A42" sqref="A42"/>
      <selection pane="topRight" activeCell="A42" sqref="A42"/>
      <selection pane="bottomLeft" activeCell="A42" sqref="A42"/>
      <selection pane="bottomRight" activeCell="A4" sqref="A4"/>
    </sheetView>
  </sheetViews>
  <sheetFormatPr baseColWidth="10" defaultColWidth="11.42578125" defaultRowHeight="12.75" x14ac:dyDescent="0.2"/>
  <cols>
    <col min="1" max="1" width="123.5703125" style="363" customWidth="1"/>
    <col min="2" max="37" width="11.7109375" style="363" customWidth="1"/>
    <col min="38" max="16384" width="11.42578125" style="363"/>
  </cols>
  <sheetData>
    <row r="1" spans="1:37" ht="20.25" x14ac:dyDescent="0.3">
      <c r="A1" s="366" t="s">
        <v>256</v>
      </c>
      <c r="B1" s="367"/>
      <c r="C1" s="367"/>
      <c r="D1" s="367"/>
      <c r="E1" s="367"/>
      <c r="F1" s="367"/>
      <c r="G1" s="367"/>
      <c r="H1" s="367"/>
      <c r="I1" s="367"/>
      <c r="J1" s="367"/>
    </row>
    <row r="2" spans="1:37" ht="20.25" x14ac:dyDescent="0.3">
      <c r="A2" s="366" t="s">
        <v>227</v>
      </c>
      <c r="B2" s="484"/>
      <c r="C2" s="484"/>
      <c r="D2" s="485"/>
      <c r="E2" s="485"/>
      <c r="F2" s="486"/>
      <c r="G2" s="364"/>
      <c r="H2" s="364"/>
      <c r="I2" s="364"/>
      <c r="J2" s="364"/>
      <c r="K2" s="364"/>
      <c r="L2" s="364"/>
      <c r="M2" s="364"/>
      <c r="N2" s="364"/>
      <c r="O2" s="364"/>
      <c r="P2" s="364"/>
      <c r="Q2" s="364"/>
      <c r="R2" s="364"/>
      <c r="S2" s="364"/>
      <c r="T2" s="364"/>
      <c r="U2" s="364"/>
      <c r="V2" s="364"/>
      <c r="W2" s="364"/>
      <c r="X2" s="364"/>
      <c r="Y2" s="364"/>
      <c r="Z2" s="364"/>
      <c r="AA2" s="487"/>
      <c r="AB2" s="364"/>
      <c r="AC2" s="364"/>
      <c r="AD2" s="487"/>
      <c r="AE2" s="364"/>
      <c r="AF2" s="364"/>
      <c r="AG2" s="364"/>
      <c r="AH2" s="364"/>
      <c r="AI2" s="364"/>
      <c r="AJ2" s="364"/>
      <c r="AK2" s="364"/>
    </row>
    <row r="3" spans="1:37" ht="18.75" x14ac:dyDescent="0.3">
      <c r="A3" s="488" t="s">
        <v>257</v>
      </c>
      <c r="B3" s="489"/>
      <c r="C3" s="489"/>
      <c r="D3" s="489"/>
      <c r="E3" s="485"/>
      <c r="F3" s="539"/>
      <c r="G3" s="53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row>
    <row r="4" spans="1:37" ht="18.75" customHeight="1" x14ac:dyDescent="0.25">
      <c r="A4" s="490" t="s">
        <v>393</v>
      </c>
      <c r="B4" s="491"/>
      <c r="C4" s="492"/>
      <c r="D4" s="493"/>
      <c r="E4" s="491"/>
      <c r="F4" s="492"/>
      <c r="G4" s="493"/>
      <c r="H4" s="491"/>
      <c r="I4" s="492"/>
      <c r="J4" s="493"/>
      <c r="K4" s="369"/>
      <c r="L4" s="369"/>
      <c r="M4" s="369"/>
      <c r="N4" s="370"/>
      <c r="O4" s="369"/>
      <c r="P4" s="371"/>
      <c r="Q4" s="370"/>
      <c r="R4" s="369"/>
      <c r="S4" s="371"/>
      <c r="T4" s="370"/>
      <c r="U4" s="369"/>
      <c r="V4" s="371"/>
      <c r="W4" s="370"/>
      <c r="X4" s="369"/>
      <c r="Y4" s="371"/>
      <c r="Z4" s="370"/>
      <c r="AA4" s="369"/>
      <c r="AB4" s="371"/>
      <c r="AC4" s="370"/>
      <c r="AD4" s="369"/>
      <c r="AE4" s="371"/>
      <c r="AF4" s="494"/>
      <c r="AG4" s="495"/>
      <c r="AH4" s="496"/>
      <c r="AI4" s="370"/>
      <c r="AJ4" s="369"/>
      <c r="AK4" s="497"/>
    </row>
    <row r="5" spans="1:37" ht="18.75" customHeight="1" x14ac:dyDescent="0.3">
      <c r="A5" s="428" t="s">
        <v>94</v>
      </c>
      <c r="B5" s="580" t="s">
        <v>156</v>
      </c>
      <c r="C5" s="581"/>
      <c r="D5" s="582"/>
      <c r="E5" s="580"/>
      <c r="F5" s="581"/>
      <c r="G5" s="582"/>
      <c r="H5" s="580" t="s">
        <v>157</v>
      </c>
      <c r="I5" s="581"/>
      <c r="J5" s="582"/>
      <c r="K5" s="580" t="s">
        <v>158</v>
      </c>
      <c r="L5" s="581"/>
      <c r="M5" s="582"/>
      <c r="N5" s="580"/>
      <c r="O5" s="581"/>
      <c r="P5" s="582"/>
      <c r="Q5" s="522"/>
      <c r="R5" s="523"/>
      <c r="S5" s="524"/>
      <c r="T5" s="580" t="s">
        <v>160</v>
      </c>
      <c r="U5" s="581"/>
      <c r="V5" s="582"/>
      <c r="W5" s="580" t="s">
        <v>65</v>
      </c>
      <c r="X5" s="581"/>
      <c r="Y5" s="582"/>
      <c r="Z5" s="580" t="s">
        <v>68</v>
      </c>
      <c r="AA5" s="581"/>
      <c r="AB5" s="582"/>
      <c r="AC5" s="580" t="s">
        <v>373</v>
      </c>
      <c r="AD5" s="581"/>
      <c r="AE5" s="582"/>
      <c r="AF5" s="580" t="s">
        <v>2</v>
      </c>
      <c r="AG5" s="581"/>
      <c r="AH5" s="582"/>
      <c r="AI5" s="580" t="s">
        <v>258</v>
      </c>
      <c r="AJ5" s="581"/>
      <c r="AK5" s="582"/>
    </row>
    <row r="6" spans="1:37" ht="21" customHeight="1" x14ac:dyDescent="0.3">
      <c r="A6" s="429"/>
      <c r="B6" s="583" t="s">
        <v>162</v>
      </c>
      <c r="C6" s="584"/>
      <c r="D6" s="585"/>
      <c r="E6" s="583" t="s">
        <v>358</v>
      </c>
      <c r="F6" s="584"/>
      <c r="G6" s="585"/>
      <c r="H6" s="583" t="s">
        <v>162</v>
      </c>
      <c r="I6" s="584"/>
      <c r="J6" s="585"/>
      <c r="K6" s="583" t="s">
        <v>163</v>
      </c>
      <c r="L6" s="584"/>
      <c r="M6" s="585"/>
      <c r="N6" s="583" t="s">
        <v>61</v>
      </c>
      <c r="O6" s="584"/>
      <c r="P6" s="585"/>
      <c r="Q6" s="583" t="s">
        <v>63</v>
      </c>
      <c r="R6" s="584"/>
      <c r="S6" s="585"/>
      <c r="T6" s="583" t="s">
        <v>161</v>
      </c>
      <c r="U6" s="584"/>
      <c r="V6" s="585"/>
      <c r="W6" s="583" t="s">
        <v>369</v>
      </c>
      <c r="X6" s="584"/>
      <c r="Y6" s="585"/>
      <c r="Z6" s="583" t="s">
        <v>162</v>
      </c>
      <c r="AA6" s="584"/>
      <c r="AB6" s="585"/>
      <c r="AC6" s="583" t="s">
        <v>162</v>
      </c>
      <c r="AD6" s="584"/>
      <c r="AE6" s="585"/>
      <c r="AF6" s="583" t="s">
        <v>259</v>
      </c>
      <c r="AG6" s="584"/>
      <c r="AH6" s="585"/>
      <c r="AI6" s="583" t="s">
        <v>260</v>
      </c>
      <c r="AJ6" s="584"/>
      <c r="AK6" s="585"/>
    </row>
    <row r="7" spans="1:37" ht="18.75" customHeight="1" x14ac:dyDescent="0.3">
      <c r="A7" s="429"/>
      <c r="B7" s="429"/>
      <c r="C7" s="429"/>
      <c r="D7" s="430" t="s">
        <v>76</v>
      </c>
      <c r="E7" s="429"/>
      <c r="F7" s="429"/>
      <c r="G7" s="430" t="s">
        <v>76</v>
      </c>
      <c r="H7" s="429"/>
      <c r="I7" s="429"/>
      <c r="J7" s="430" t="s">
        <v>76</v>
      </c>
      <c r="K7" s="429"/>
      <c r="L7" s="429"/>
      <c r="M7" s="430" t="s">
        <v>76</v>
      </c>
      <c r="N7" s="429"/>
      <c r="O7" s="429"/>
      <c r="P7" s="430" t="s">
        <v>76</v>
      </c>
      <c r="Q7" s="429"/>
      <c r="R7" s="429"/>
      <c r="S7" s="430" t="s">
        <v>76</v>
      </c>
      <c r="T7" s="429"/>
      <c r="U7" s="429"/>
      <c r="V7" s="430" t="s">
        <v>76</v>
      </c>
      <c r="W7" s="429"/>
      <c r="X7" s="429"/>
      <c r="Y7" s="430" t="s">
        <v>76</v>
      </c>
      <c r="Z7" s="429"/>
      <c r="AA7" s="429"/>
      <c r="AB7" s="430" t="s">
        <v>76</v>
      </c>
      <c r="AC7" s="429"/>
      <c r="AD7" s="429"/>
      <c r="AE7" s="430" t="s">
        <v>76</v>
      </c>
      <c r="AF7" s="429"/>
      <c r="AG7" s="429"/>
      <c r="AH7" s="430" t="s">
        <v>76</v>
      </c>
      <c r="AI7" s="429"/>
      <c r="AJ7" s="429"/>
      <c r="AK7" s="430" t="s">
        <v>76</v>
      </c>
    </row>
    <row r="8" spans="1:37" ht="18.75" customHeight="1" x14ac:dyDescent="0.25">
      <c r="A8" s="431" t="s">
        <v>261</v>
      </c>
      <c r="B8" s="418">
        <v>2024</v>
      </c>
      <c r="C8" s="418">
        <v>2025</v>
      </c>
      <c r="D8" s="432" t="s">
        <v>78</v>
      </c>
      <c r="E8" s="418">
        <f>$B$8</f>
        <v>2024</v>
      </c>
      <c r="F8" s="418">
        <f>$C$8</f>
        <v>2025</v>
      </c>
      <c r="G8" s="432" t="s">
        <v>78</v>
      </c>
      <c r="H8" s="418">
        <f>$B$8</f>
        <v>2024</v>
      </c>
      <c r="I8" s="418">
        <f>$C$8</f>
        <v>2025</v>
      </c>
      <c r="J8" s="432" t="s">
        <v>78</v>
      </c>
      <c r="K8" s="418">
        <f>$B$8</f>
        <v>2024</v>
      </c>
      <c r="L8" s="418">
        <f>$C$8</f>
        <v>2025</v>
      </c>
      <c r="M8" s="432" t="s">
        <v>78</v>
      </c>
      <c r="N8" s="418">
        <f>$B$8</f>
        <v>2024</v>
      </c>
      <c r="O8" s="418">
        <f>$C$8</f>
        <v>2025</v>
      </c>
      <c r="P8" s="432" t="s">
        <v>78</v>
      </c>
      <c r="Q8" s="418">
        <f>$B$8</f>
        <v>2024</v>
      </c>
      <c r="R8" s="418">
        <f>$C$8</f>
        <v>2025</v>
      </c>
      <c r="S8" s="432" t="s">
        <v>78</v>
      </c>
      <c r="T8" s="418">
        <f>$B$8</f>
        <v>2024</v>
      </c>
      <c r="U8" s="418">
        <f>$C$8</f>
        <v>2025</v>
      </c>
      <c r="V8" s="432" t="s">
        <v>78</v>
      </c>
      <c r="W8" s="418">
        <f>$B$8</f>
        <v>2024</v>
      </c>
      <c r="X8" s="418">
        <f>$C$8</f>
        <v>2025</v>
      </c>
      <c r="Y8" s="432" t="s">
        <v>78</v>
      </c>
      <c r="Z8" s="418">
        <f>$B$8</f>
        <v>2024</v>
      </c>
      <c r="AA8" s="418">
        <f>$C$8</f>
        <v>2025</v>
      </c>
      <c r="AB8" s="432" t="s">
        <v>78</v>
      </c>
      <c r="AC8" s="418">
        <f>$B$8</f>
        <v>2024</v>
      </c>
      <c r="AD8" s="418">
        <f>$C$8</f>
        <v>2025</v>
      </c>
      <c r="AE8" s="432" t="s">
        <v>78</v>
      </c>
      <c r="AF8" s="418">
        <f>$B$8</f>
        <v>2024</v>
      </c>
      <c r="AG8" s="418">
        <f>$C$8</f>
        <v>2025</v>
      </c>
      <c r="AH8" s="432" t="s">
        <v>78</v>
      </c>
      <c r="AI8" s="418">
        <f>$B$8</f>
        <v>2024</v>
      </c>
      <c r="AJ8" s="418">
        <f>$C$8</f>
        <v>2025</v>
      </c>
      <c r="AK8" s="432" t="s">
        <v>78</v>
      </c>
    </row>
    <row r="9" spans="1:37" ht="18.75" customHeight="1" x14ac:dyDescent="0.3">
      <c r="A9" s="429" t="s">
        <v>262</v>
      </c>
      <c r="B9" s="525"/>
      <c r="C9" s="385"/>
      <c r="D9" s="387"/>
      <c r="E9" s="525"/>
      <c r="F9" s="385"/>
      <c r="G9" s="387"/>
      <c r="H9" s="525"/>
      <c r="I9" s="385"/>
      <c r="J9" s="387"/>
      <c r="K9" s="525"/>
      <c r="L9" s="385"/>
      <c r="M9" s="385"/>
      <c r="N9" s="545"/>
      <c r="O9" s="387"/>
      <c r="P9" s="387"/>
      <c r="Q9" s="525"/>
      <c r="R9" s="385"/>
      <c r="S9" s="387"/>
      <c r="T9" s="387"/>
      <c r="U9" s="387"/>
      <c r="V9" s="387"/>
      <c r="W9" s="525"/>
      <c r="X9" s="385"/>
      <c r="Y9" s="387"/>
      <c r="Z9" s="525"/>
      <c r="AA9" s="385"/>
      <c r="AB9" s="387"/>
      <c r="AC9" s="525"/>
      <c r="AD9" s="385"/>
      <c r="AE9" s="387"/>
      <c r="AF9" s="387"/>
      <c r="AG9" s="387"/>
      <c r="AH9" s="387"/>
      <c r="AI9" s="433"/>
      <c r="AJ9" s="433"/>
      <c r="AK9" s="433"/>
    </row>
    <row r="10" spans="1:37" s="364" customFormat="1" ht="18.75" customHeight="1" x14ac:dyDescent="0.3">
      <c r="A10" s="427" t="s">
        <v>382</v>
      </c>
      <c r="B10" s="76"/>
      <c r="C10" s="349"/>
      <c r="D10" s="275"/>
      <c r="E10" s="434"/>
      <c r="F10" s="349"/>
      <c r="G10" s="275"/>
      <c r="H10" s="434"/>
      <c r="I10" s="349"/>
      <c r="J10" s="275"/>
      <c r="K10" s="434"/>
      <c r="L10" s="349"/>
      <c r="M10" s="349"/>
      <c r="N10" s="435"/>
      <c r="O10" s="275"/>
      <c r="P10" s="275"/>
      <c r="Q10" s="434"/>
      <c r="R10" s="349"/>
      <c r="S10" s="275"/>
      <c r="T10" s="275"/>
      <c r="U10" s="275"/>
      <c r="V10" s="275"/>
      <c r="W10" s="434"/>
      <c r="X10" s="349"/>
      <c r="Y10" s="275"/>
      <c r="Z10" s="434"/>
      <c r="AA10" s="349"/>
      <c r="AB10" s="275"/>
      <c r="AC10" s="434"/>
      <c r="AD10" s="349"/>
      <c r="AE10" s="275"/>
      <c r="AF10" s="275"/>
      <c r="AG10" s="275"/>
      <c r="AH10" s="275"/>
      <c r="AI10" s="436"/>
      <c r="AJ10" s="436"/>
      <c r="AK10" s="436"/>
    </row>
    <row r="11" spans="1:37" s="364" customFormat="1" ht="18.75" customHeight="1" x14ac:dyDescent="0.3">
      <c r="A11" s="427" t="s">
        <v>263</v>
      </c>
      <c r="B11" s="435">
        <v>5413.7453947900003</v>
      </c>
      <c r="C11" s="275">
        <v>6390.7669999999998</v>
      </c>
      <c r="D11" s="275">
        <f t="shared" ref="D11:D17" si="0">IF(B11=0, "    ---- ", IF(ABS(ROUND(100/B11*C11-100,1))&lt;999,ROUND(100/B11*C11-100,1),IF(ROUND(100/B11*C11-100,1)&gt;999,999,-999)))</f>
        <v>18</v>
      </c>
      <c r="E11" s="435">
        <v>1150.1115065399999</v>
      </c>
      <c r="F11" s="275">
        <v>1228.1454335399999</v>
      </c>
      <c r="G11" s="275">
        <f t="shared" ref="G11:G17" si="1">IF(E11=0, "    ---- ", IF(ABS(ROUND(100/E11*F11-100,1))&lt;999,ROUND(100/E11*F11-100,1),IF(ROUND(100/E11*F11-100,1)&gt;999,999,-999)))</f>
        <v>6.8</v>
      </c>
      <c r="H11" s="435">
        <v>758.34500000000003</v>
      </c>
      <c r="I11" s="275">
        <v>849.21600000000001</v>
      </c>
      <c r="J11" s="275">
        <f t="shared" ref="J11:J15" si="2">IF(H11=0, "    ---- ", IF(ABS(ROUND(100/H11*I11-100,1))&lt;999,ROUND(100/H11*I11-100,1),IF(ROUND(100/H11*I11-100,1)&gt;999,999,-999)))</f>
        <v>12</v>
      </c>
      <c r="K11" s="435">
        <v>1956</v>
      </c>
      <c r="L11" s="275">
        <v>2103</v>
      </c>
      <c r="M11" s="275">
        <f t="shared" ref="M11:M16" si="3">IF(K11=0, "    ---- ", IF(ABS(ROUND(100/K11*L11-100,1))&lt;999,ROUND(100/K11*L11-100,1),IF(ROUND(100/K11*L11-100,1)&gt;999,999,-999)))</f>
        <v>7.5</v>
      </c>
      <c r="N11" s="435">
        <v>7841.8137909099996</v>
      </c>
      <c r="O11" s="275">
        <v>8070.3090714099999</v>
      </c>
      <c r="P11" s="275">
        <f t="shared" ref="P11:P17" si="4">IF(N11=0, "    ---- ", IF(ABS(ROUND(100/N11*O11-100,1))&lt;999,ROUND(100/N11*O11-100,1),IF(ROUND(100/N11*O11-100,1)&gt;999,999,-999)))</f>
        <v>2.9</v>
      </c>
      <c r="Q11" s="435">
        <v>6125.6567999999997</v>
      </c>
      <c r="R11" s="275">
        <v>5666.5</v>
      </c>
      <c r="S11" s="275">
        <f t="shared" ref="S11:S17" si="5">IF(Q11=0, "    ---- ", IF(ABS(ROUND(100/Q11*R11-100,1))&lt;999,ROUND(100/Q11*R11-100,1),IF(ROUND(100/Q11*R11-100,1)&gt;999,999,-999)))</f>
        <v>-7.5</v>
      </c>
      <c r="T11" s="275">
        <v>908</v>
      </c>
      <c r="U11" s="275">
        <v>908</v>
      </c>
      <c r="V11" s="275">
        <f t="shared" ref="V11:V17" si="6">IF(T11=0, "    ---- ", IF(ABS(ROUND(100/T11*U11-100,1))&lt;999,ROUND(100/T11*U11-100,1),IF(ROUND(100/T11*U11-100,1)&gt;999,999,-999)))</f>
        <v>0</v>
      </c>
      <c r="W11" s="435">
        <v>2122.3642050999997</v>
      </c>
      <c r="X11" s="275">
        <v>2383.9098133300004</v>
      </c>
      <c r="Y11" s="275">
        <f t="shared" ref="Y11:Y17" si="7">IF(W11=0, "    ---- ", IF(ABS(ROUND(100/W11*X11-100,1))&lt;999,ROUND(100/W11*X11-100,1),IF(ROUND(100/W11*X11-100,1)&gt;999,999,-999)))</f>
        <v>12.3</v>
      </c>
      <c r="Z11" s="435">
        <v>7282.7130262300016</v>
      </c>
      <c r="AA11" s="352">
        <v>7742.6626696400008</v>
      </c>
      <c r="AB11" s="275">
        <f t="shared" ref="AB11:AB17" si="8">IF(Z11=0, "    ---- ", IF(ABS(ROUND(100/Z11*AA11-100,1))&lt;999,ROUND(100/Z11*AA11-100,1),IF(ROUND(100/Z11*AA11-100,1)&gt;999,999,-999)))</f>
        <v>6.3</v>
      </c>
      <c r="AC11" s="435">
        <v>56</v>
      </c>
      <c r="AD11" s="275">
        <v>95</v>
      </c>
      <c r="AE11" s="275">
        <f t="shared" ref="AE11:AE14" si="9">IF(AC11=0, "    ---- ", IF(ABS(ROUND(100/AC11*AD11-100,1))&lt;999,ROUND(100/AC11*AD11-100,1),IF(ROUND(100/AC11*AD11-100,1)&gt;999,999,-999)))</f>
        <v>69.599999999999994</v>
      </c>
      <c r="AF11" s="275">
        <f t="shared" ref="AF11:AG26" si="10">B11+E11+H11+K11+N11+Q11+T11+W11+Z11</f>
        <v>33558.749723569999</v>
      </c>
      <c r="AG11" s="275">
        <f t="shared" si="10"/>
        <v>35342.509987919999</v>
      </c>
      <c r="AH11" s="275">
        <f t="shared" ref="AH11:AH46" si="11">IF(AF11=0, "    ---- ", IF(ABS(ROUND(100/AF11*AG11-100,1))&lt;999,ROUND(100/AF11*AG11-100,1),IF(ROUND(100/AF11*AG11-100,1)&gt;999,999,-999)))</f>
        <v>5.3</v>
      </c>
      <c r="AI11" s="352">
        <f t="shared" ref="AI11:AJ21" si="12">B11+E11+H11+K11+N11+Q11+T11+W11+Z11+AC11</f>
        <v>33614.749723569999</v>
      </c>
      <c r="AJ11" s="352">
        <f t="shared" si="12"/>
        <v>35437.509987919999</v>
      </c>
      <c r="AK11" s="275">
        <f t="shared" ref="AK11:AK17" si="13">IF(AI11=0, "    ---- ", IF(ABS(ROUND(100/AI11*AJ11-100,1))&lt;999,ROUND(100/AI11*AJ11-100,1),IF(ROUND(100/AI11*AJ11-100,1)&gt;999,999,-999)))</f>
        <v>5.4</v>
      </c>
    </row>
    <row r="12" spans="1:37" s="364" customFormat="1" ht="18.75" customHeight="1" x14ac:dyDescent="0.3">
      <c r="A12" s="427" t="s">
        <v>264</v>
      </c>
      <c r="B12" s="435">
        <v>-115.2985956</v>
      </c>
      <c r="C12" s="275">
        <v>-119.99299999999999</v>
      </c>
      <c r="D12" s="275">
        <f t="shared" si="0"/>
        <v>4.0999999999999996</v>
      </c>
      <c r="E12" s="435">
        <v>-6.9905409700000005</v>
      </c>
      <c r="F12" s="275">
        <v>-6.6702466600000001</v>
      </c>
      <c r="G12" s="275">
        <f t="shared" si="1"/>
        <v>-4.5999999999999996</v>
      </c>
      <c r="H12" s="435">
        <v>-5.7720000000000002</v>
      </c>
      <c r="I12" s="275">
        <v>1.5309999999999999</v>
      </c>
      <c r="J12" s="275">
        <f t="shared" si="2"/>
        <v>-126.5</v>
      </c>
      <c r="K12" s="435">
        <v>-33</v>
      </c>
      <c r="L12" s="275">
        <v>-14</v>
      </c>
      <c r="M12" s="275">
        <f t="shared" si="3"/>
        <v>-57.6</v>
      </c>
      <c r="N12" s="435"/>
      <c r="O12" s="275"/>
      <c r="P12" s="275"/>
      <c r="Q12" s="435">
        <v>-27.98</v>
      </c>
      <c r="R12" s="275">
        <v>-31.269199999999998</v>
      </c>
      <c r="S12" s="275">
        <f t="shared" si="5"/>
        <v>11.8</v>
      </c>
      <c r="T12" s="275"/>
      <c r="U12" s="275"/>
      <c r="V12" s="275"/>
      <c r="W12" s="435">
        <v>-2.2170000000000001</v>
      </c>
      <c r="X12" s="275">
        <v>-2.8580000000000001</v>
      </c>
      <c r="Y12" s="275">
        <f t="shared" si="7"/>
        <v>28.9</v>
      </c>
      <c r="Z12" s="435">
        <v>-11.100668399999998</v>
      </c>
      <c r="AA12" s="275">
        <v>-11.553695400000004</v>
      </c>
      <c r="AB12" s="275">
        <f t="shared" si="8"/>
        <v>4.0999999999999996</v>
      </c>
      <c r="AC12" s="435">
        <v>-7</v>
      </c>
      <c r="AD12" s="275">
        <v>-34</v>
      </c>
      <c r="AE12" s="275">
        <f t="shared" si="9"/>
        <v>385.7</v>
      </c>
      <c r="AF12" s="275">
        <f t="shared" si="10"/>
        <v>-202.35880496999999</v>
      </c>
      <c r="AG12" s="275">
        <f t="shared" si="10"/>
        <v>-184.81314205999999</v>
      </c>
      <c r="AH12" s="275">
        <f t="shared" si="11"/>
        <v>-8.6999999999999993</v>
      </c>
      <c r="AI12" s="352">
        <f t="shared" si="12"/>
        <v>-209.35880496999999</v>
      </c>
      <c r="AJ12" s="352">
        <f t="shared" si="12"/>
        <v>-218.81314205999999</v>
      </c>
      <c r="AK12" s="275">
        <f t="shared" si="13"/>
        <v>4.5</v>
      </c>
    </row>
    <row r="13" spans="1:37" s="364" customFormat="1" ht="18.75" customHeight="1" x14ac:dyDescent="0.3">
      <c r="A13" s="427" t="s">
        <v>383</v>
      </c>
      <c r="B13" s="435">
        <v>3860.8843554099999</v>
      </c>
      <c r="C13" s="275">
        <v>5905.7659999999996</v>
      </c>
      <c r="D13" s="275">
        <f t="shared" si="0"/>
        <v>53</v>
      </c>
      <c r="E13" s="435"/>
      <c r="F13" s="275"/>
      <c r="G13" s="275"/>
      <c r="H13" s="435"/>
      <c r="I13" s="275"/>
      <c r="J13" s="275"/>
      <c r="K13" s="435">
        <v>2267</v>
      </c>
      <c r="L13" s="275">
        <v>4149</v>
      </c>
      <c r="M13" s="275">
        <f t="shared" si="3"/>
        <v>83</v>
      </c>
      <c r="N13" s="435"/>
      <c r="O13" s="275">
        <v>39.561441000000002</v>
      </c>
      <c r="P13" s="275" t="str">
        <f t="shared" si="4"/>
        <v xml:space="preserve">    ---- </v>
      </c>
      <c r="Q13" s="435">
        <v>2882.6</v>
      </c>
      <c r="R13" s="275">
        <v>3603.69</v>
      </c>
      <c r="S13" s="275">
        <f t="shared" si="5"/>
        <v>25</v>
      </c>
      <c r="T13" s="275"/>
      <c r="U13" s="275"/>
      <c r="V13" s="275"/>
      <c r="W13" s="435">
        <v>1452.4735717600001</v>
      </c>
      <c r="X13" s="275">
        <v>3075.8528301400002</v>
      </c>
      <c r="Y13" s="275">
        <f t="shared" si="7"/>
        <v>111.8</v>
      </c>
      <c r="Z13" s="435">
        <v>6115.1251916000001</v>
      </c>
      <c r="AA13" s="275">
        <v>7631.5189918200003</v>
      </c>
      <c r="AB13" s="275">
        <f t="shared" si="8"/>
        <v>24.8</v>
      </c>
      <c r="AC13" s="435">
        <v>2</v>
      </c>
      <c r="AD13" s="275">
        <v>1</v>
      </c>
      <c r="AE13" s="275">
        <f t="shared" si="9"/>
        <v>-50</v>
      </c>
      <c r="AF13" s="275">
        <f t="shared" si="10"/>
        <v>16578.083118770002</v>
      </c>
      <c r="AG13" s="275">
        <f t="shared" si="10"/>
        <v>24405.389262960001</v>
      </c>
      <c r="AH13" s="275">
        <f t="shared" si="11"/>
        <v>47.2</v>
      </c>
      <c r="AI13" s="352">
        <f t="shared" si="12"/>
        <v>16580.083118770002</v>
      </c>
      <c r="AJ13" s="352">
        <f t="shared" si="12"/>
        <v>24406.389262960001</v>
      </c>
      <c r="AK13" s="275">
        <f t="shared" si="13"/>
        <v>47.2</v>
      </c>
    </row>
    <row r="14" spans="1:37" s="364" customFormat="1" ht="18.75" customHeight="1" x14ac:dyDescent="0.3">
      <c r="A14" s="427" t="s">
        <v>265</v>
      </c>
      <c r="B14" s="434">
        <f>SUM(B11:B13)</f>
        <v>9159.3311546000004</v>
      </c>
      <c r="C14" s="349">
        <f>SUM(C11:C13)</f>
        <v>12176.539999999999</v>
      </c>
      <c r="D14" s="275">
        <f t="shared" si="0"/>
        <v>32.9</v>
      </c>
      <c r="E14" s="434">
        <f>SUM(E11:E13)</f>
        <v>1143.12096557</v>
      </c>
      <c r="F14" s="349">
        <f>SUM(F11:F13)</f>
        <v>1221.4751868799999</v>
      </c>
      <c r="G14" s="275">
        <f t="shared" si="1"/>
        <v>6.9</v>
      </c>
      <c r="H14" s="434">
        <f>SUM(H11:H13)</f>
        <v>752.57299999999998</v>
      </c>
      <c r="I14" s="349">
        <f>SUM(I11:I13)</f>
        <v>850.74699999999996</v>
      </c>
      <c r="J14" s="275">
        <f t="shared" si="2"/>
        <v>13</v>
      </c>
      <c r="K14" s="434">
        <f>SUM(K11:K13)</f>
        <v>4190</v>
      </c>
      <c r="L14" s="349">
        <f>SUM(L11:L13)</f>
        <v>6238</v>
      </c>
      <c r="M14" s="275">
        <f t="shared" si="3"/>
        <v>48.9</v>
      </c>
      <c r="N14" s="434">
        <f>SUM(N11:N13)</f>
        <v>7841.8137909099996</v>
      </c>
      <c r="O14" s="349">
        <v>8109.8705124099997</v>
      </c>
      <c r="P14" s="275">
        <f t="shared" si="4"/>
        <v>3.4</v>
      </c>
      <c r="Q14" s="434">
        <f>SUM(Q11:Q13)</f>
        <v>8980.2767999999996</v>
      </c>
      <c r="R14" s="349">
        <f>SUM(R11:R13)</f>
        <v>9238.9207999999999</v>
      </c>
      <c r="S14" s="275">
        <f t="shared" si="5"/>
        <v>2.9</v>
      </c>
      <c r="T14" s="349">
        <v>908</v>
      </c>
      <c r="U14" s="349">
        <v>908</v>
      </c>
      <c r="V14" s="275">
        <f t="shared" si="6"/>
        <v>0</v>
      </c>
      <c r="W14" s="434">
        <f>SUM(W11:W13)</f>
        <v>3572.6207768599998</v>
      </c>
      <c r="X14" s="349">
        <f>SUM(X11:X13)</f>
        <v>5456.9046434700003</v>
      </c>
      <c r="Y14" s="275">
        <f t="shared" si="7"/>
        <v>52.7</v>
      </c>
      <c r="Z14" s="434">
        <f>SUM(Z11:Z13)</f>
        <v>13386.737549430001</v>
      </c>
      <c r="AA14" s="349">
        <f>SUM(AA11:AA13)</f>
        <v>15362.627966060001</v>
      </c>
      <c r="AB14" s="275">
        <f t="shared" si="8"/>
        <v>14.8</v>
      </c>
      <c r="AC14" s="434">
        <f>SUM(AC11:AC13)</f>
        <v>51</v>
      </c>
      <c r="AD14" s="349">
        <f>SUM(AD11:AD13)</f>
        <v>62</v>
      </c>
      <c r="AE14" s="275">
        <f t="shared" si="9"/>
        <v>21.6</v>
      </c>
      <c r="AF14" s="275">
        <f t="shared" si="10"/>
        <v>49934.474037369997</v>
      </c>
      <c r="AG14" s="275">
        <f t="shared" si="10"/>
        <v>59563.086108820004</v>
      </c>
      <c r="AH14" s="275">
        <f t="shared" si="11"/>
        <v>19.3</v>
      </c>
      <c r="AI14" s="352">
        <f t="shared" si="12"/>
        <v>49985.474037369997</v>
      </c>
      <c r="AJ14" s="352">
        <f t="shared" si="12"/>
        <v>59625.086108820004</v>
      </c>
      <c r="AK14" s="275">
        <f t="shared" si="13"/>
        <v>19.3</v>
      </c>
    </row>
    <row r="15" spans="1:37" s="364" customFormat="1" ht="18.75" customHeight="1" x14ac:dyDescent="0.3">
      <c r="A15" s="427" t="s">
        <v>266</v>
      </c>
      <c r="B15" s="147">
        <v>2099.0109061199996</v>
      </c>
      <c r="C15" s="352">
        <v>1888.0840000000001</v>
      </c>
      <c r="D15" s="275">
        <f t="shared" si="0"/>
        <v>-10</v>
      </c>
      <c r="E15" s="538">
        <v>131.40442156</v>
      </c>
      <c r="F15" s="388">
        <v>67.475971680000001</v>
      </c>
      <c r="G15" s="275">
        <f t="shared" si="1"/>
        <v>-48.7</v>
      </c>
      <c r="H15" s="538">
        <v>29.306000000000001</v>
      </c>
      <c r="I15" s="388">
        <v>26.890999999999998</v>
      </c>
      <c r="J15" s="275">
        <f t="shared" si="2"/>
        <v>-8.1999999999999993</v>
      </c>
      <c r="K15" s="147">
        <v>90</v>
      </c>
      <c r="L15" s="352">
        <v>97</v>
      </c>
      <c r="M15" s="275">
        <f t="shared" si="3"/>
        <v>7.8</v>
      </c>
      <c r="N15" s="147">
        <v>22085.828653230001</v>
      </c>
      <c r="O15" s="352">
        <v>-368.27238075999998</v>
      </c>
      <c r="P15" s="275">
        <f t="shared" si="4"/>
        <v>-101.7</v>
      </c>
      <c r="Q15" s="147">
        <v>744.80399999999997</v>
      </c>
      <c r="R15" s="352">
        <v>349.87220000000002</v>
      </c>
      <c r="S15" s="275">
        <f t="shared" si="5"/>
        <v>-53</v>
      </c>
      <c r="T15" s="352">
        <v>3102</v>
      </c>
      <c r="U15" s="352">
        <v>356</v>
      </c>
      <c r="V15" s="275">
        <f t="shared" si="6"/>
        <v>-88.5</v>
      </c>
      <c r="W15" s="533">
        <v>417.0062622100001</v>
      </c>
      <c r="X15" s="375">
        <v>200.93966926999997</v>
      </c>
      <c r="Y15" s="275">
        <f t="shared" si="7"/>
        <v>-51.8</v>
      </c>
      <c r="Z15" s="147">
        <v>2853.1622271200013</v>
      </c>
      <c r="AA15" s="352">
        <v>1135.4690246699972</v>
      </c>
      <c r="AB15" s="275">
        <f t="shared" si="8"/>
        <v>-60.2</v>
      </c>
      <c r="AC15" s="147"/>
      <c r="AD15" s="352"/>
      <c r="AE15" s="275"/>
      <c r="AF15" s="275">
        <f t="shared" si="10"/>
        <v>31552.522470240001</v>
      </c>
      <c r="AG15" s="275">
        <f t="shared" si="10"/>
        <v>3753.4594848599982</v>
      </c>
      <c r="AH15" s="275">
        <f t="shared" si="11"/>
        <v>-88.1</v>
      </c>
      <c r="AI15" s="352">
        <f t="shared" si="12"/>
        <v>31552.522470240001</v>
      </c>
      <c r="AJ15" s="352">
        <f t="shared" si="12"/>
        <v>3753.4594848599982</v>
      </c>
      <c r="AK15" s="275">
        <f t="shared" si="13"/>
        <v>-88.1</v>
      </c>
    </row>
    <row r="16" spans="1:37" s="364" customFormat="1" ht="18.75" customHeight="1" x14ac:dyDescent="0.3">
      <c r="A16" s="427" t="s">
        <v>267</v>
      </c>
      <c r="B16" s="147">
        <v>10683.403642310002</v>
      </c>
      <c r="C16" s="352">
        <v>-2116.194</v>
      </c>
      <c r="D16" s="275">
        <f t="shared" si="0"/>
        <v>-119.8</v>
      </c>
      <c r="E16" s="538"/>
      <c r="F16" s="388"/>
      <c r="G16" s="275"/>
      <c r="H16" s="538"/>
      <c r="I16" s="388"/>
      <c r="J16" s="275"/>
      <c r="K16" s="147">
        <v>4147</v>
      </c>
      <c r="L16" s="352">
        <v>-2551</v>
      </c>
      <c r="M16" s="349">
        <f t="shared" si="3"/>
        <v>-161.5</v>
      </c>
      <c r="N16" s="147">
        <v>113.19240462</v>
      </c>
      <c r="O16" s="352">
        <v>-24.5751013</v>
      </c>
      <c r="P16" s="437">
        <f t="shared" si="4"/>
        <v>-121.7</v>
      </c>
      <c r="Q16" s="147">
        <v>9490.1679000000004</v>
      </c>
      <c r="R16" s="352">
        <v>-3431.2730999999999</v>
      </c>
      <c r="S16" s="275">
        <f t="shared" si="5"/>
        <v>-136.19999999999999</v>
      </c>
      <c r="T16" s="352"/>
      <c r="U16" s="352"/>
      <c r="V16" s="275"/>
      <c r="W16" s="533">
        <v>4545.2488839000007</v>
      </c>
      <c r="X16" s="375">
        <v>-1081.8478755599965</v>
      </c>
      <c r="Y16" s="275">
        <f t="shared" si="7"/>
        <v>-123.8</v>
      </c>
      <c r="Z16" s="147">
        <v>13788.031872229993</v>
      </c>
      <c r="AA16" s="352">
        <v>-4944.7851522200135</v>
      </c>
      <c r="AB16" s="275">
        <f t="shared" si="8"/>
        <v>-135.9</v>
      </c>
      <c r="AC16" s="147"/>
      <c r="AD16" s="352"/>
      <c r="AE16" s="275"/>
      <c r="AF16" s="275">
        <f t="shared" si="10"/>
        <v>42767.044703059997</v>
      </c>
      <c r="AG16" s="275">
        <f t="shared" si="10"/>
        <v>-14149.67522908001</v>
      </c>
      <c r="AH16" s="275">
        <f t="shared" si="11"/>
        <v>-133.1</v>
      </c>
      <c r="AI16" s="352">
        <f t="shared" si="12"/>
        <v>42767.044703059997</v>
      </c>
      <c r="AJ16" s="352">
        <f t="shared" si="12"/>
        <v>-14149.67522908001</v>
      </c>
      <c r="AK16" s="275">
        <f t="shared" si="13"/>
        <v>-133.1</v>
      </c>
    </row>
    <row r="17" spans="1:37" s="364" customFormat="1" ht="18.75" customHeight="1" x14ac:dyDescent="0.3">
      <c r="A17" s="427" t="s">
        <v>268</v>
      </c>
      <c r="B17" s="147">
        <v>15.385647859999999</v>
      </c>
      <c r="C17" s="352">
        <v>15.714</v>
      </c>
      <c r="D17" s="275">
        <f t="shared" si="0"/>
        <v>2.1</v>
      </c>
      <c r="E17" s="538">
        <v>3.2182637400000003</v>
      </c>
      <c r="F17" s="388">
        <v>3.5490036199999997</v>
      </c>
      <c r="G17" s="275">
        <f t="shared" si="1"/>
        <v>10.3</v>
      </c>
      <c r="H17" s="538"/>
      <c r="I17" s="388"/>
      <c r="J17" s="275"/>
      <c r="K17" s="147">
        <v>74</v>
      </c>
      <c r="L17" s="352">
        <v>88</v>
      </c>
      <c r="M17" s="275"/>
      <c r="N17" s="147">
        <v>355.63786099999999</v>
      </c>
      <c r="O17" s="352">
        <v>374.27320900000001</v>
      </c>
      <c r="P17" s="275">
        <f t="shared" si="4"/>
        <v>5.2</v>
      </c>
      <c r="Q17" s="147">
        <v>82.096999999999994</v>
      </c>
      <c r="R17" s="352">
        <v>113.9119</v>
      </c>
      <c r="S17" s="275">
        <f t="shared" si="5"/>
        <v>38.799999999999997</v>
      </c>
      <c r="T17" s="352">
        <v>33</v>
      </c>
      <c r="U17" s="352">
        <v>0</v>
      </c>
      <c r="V17" s="275">
        <f t="shared" si="6"/>
        <v>-100</v>
      </c>
      <c r="W17" s="533">
        <v>88.530777510000007</v>
      </c>
      <c r="X17" s="375">
        <v>133.09494417999997</v>
      </c>
      <c r="Y17" s="275">
        <f t="shared" si="7"/>
        <v>50.3</v>
      </c>
      <c r="Z17" s="147">
        <v>235.28708249999994</v>
      </c>
      <c r="AA17" s="352">
        <v>255.20319761999997</v>
      </c>
      <c r="AB17" s="275">
        <f t="shared" si="8"/>
        <v>8.5</v>
      </c>
      <c r="AC17" s="147"/>
      <c r="AD17" s="352"/>
      <c r="AE17" s="275"/>
      <c r="AF17" s="275">
        <f t="shared" si="10"/>
        <v>887.15663260999986</v>
      </c>
      <c r="AG17" s="275">
        <f t="shared" si="10"/>
        <v>983.74625442000001</v>
      </c>
      <c r="AH17" s="275">
        <f t="shared" si="11"/>
        <v>10.9</v>
      </c>
      <c r="AI17" s="352">
        <f t="shared" si="12"/>
        <v>887.15663260999986</v>
      </c>
      <c r="AJ17" s="352">
        <f t="shared" si="12"/>
        <v>983.74625442000001</v>
      </c>
      <c r="AK17" s="275">
        <f t="shared" si="13"/>
        <v>10.9</v>
      </c>
    </row>
    <row r="18" spans="1:37" s="364" customFormat="1" ht="18.75" customHeight="1" x14ac:dyDescent="0.3">
      <c r="A18" s="427" t="s">
        <v>269</v>
      </c>
      <c r="B18" s="147"/>
      <c r="C18" s="352"/>
      <c r="D18" s="275"/>
      <c r="E18" s="538"/>
      <c r="F18" s="388"/>
      <c r="G18" s="275"/>
      <c r="H18" s="538"/>
      <c r="I18" s="388"/>
      <c r="J18" s="275"/>
      <c r="K18" s="147"/>
      <c r="L18" s="352"/>
      <c r="M18" s="349"/>
      <c r="N18" s="147"/>
      <c r="O18" s="352"/>
      <c r="P18" s="275"/>
      <c r="Q18" s="526"/>
      <c r="R18" s="376"/>
      <c r="S18" s="275"/>
      <c r="T18" s="352"/>
      <c r="U18" s="352"/>
      <c r="V18" s="275"/>
      <c r="W18" s="533"/>
      <c r="X18" s="375"/>
      <c r="Y18" s="275"/>
      <c r="Z18" s="147"/>
      <c r="AA18" s="352"/>
      <c r="AB18" s="275"/>
      <c r="AC18" s="147"/>
      <c r="AD18" s="352"/>
      <c r="AE18" s="275"/>
      <c r="AF18" s="275">
        <f t="shared" si="10"/>
        <v>0</v>
      </c>
      <c r="AG18" s="275">
        <f t="shared" si="10"/>
        <v>0</v>
      </c>
      <c r="AH18" s="275" t="str">
        <f t="shared" si="11"/>
        <v xml:space="preserve">    ---- </v>
      </c>
      <c r="AI18" s="352">
        <f t="shared" si="12"/>
        <v>0</v>
      </c>
      <c r="AJ18" s="352">
        <f t="shared" si="12"/>
        <v>0</v>
      </c>
      <c r="AK18" s="436"/>
    </row>
    <row r="19" spans="1:37" s="364" customFormat="1" ht="18.75" customHeight="1" x14ac:dyDescent="0.3">
      <c r="A19" s="427" t="s">
        <v>270</v>
      </c>
      <c r="B19" s="434">
        <v>-4068.7069141800002</v>
      </c>
      <c r="C19" s="349">
        <v>-4440.6719999999996</v>
      </c>
      <c r="D19" s="275">
        <f>IF(B19=0, "    ---- ", IF(ABS(ROUND(100/B19*C19-100,1))&lt;999,ROUND(100/B19*C19-100,1),IF(ROUND(100/B19*C19-100,1)&gt;999,999,-999)))</f>
        <v>9.1</v>
      </c>
      <c r="E19" s="434">
        <v>-468.75172418999995</v>
      </c>
      <c r="F19" s="349">
        <v>-540.32107165999992</v>
      </c>
      <c r="G19" s="275">
        <f>IF(E19=0, "    ---- ", IF(ABS(ROUND(100/E19*F19-100,1))&lt;999,ROUND(100/E19*F19-100,1),IF(ROUND(100/E19*F19-100,1)&gt;999,999,-999)))</f>
        <v>15.3</v>
      </c>
      <c r="H19" s="434">
        <v>-40.069000000000003</v>
      </c>
      <c r="I19" s="349">
        <v>-52.926000000000002</v>
      </c>
      <c r="J19" s="275">
        <f>IF(H19=0, "    ---- ", IF(ABS(ROUND(100/H19*I19-100,1))&lt;999,ROUND(100/H19*I19-100,1),IF(ROUND(100/H19*I19-100,1)&gt;999,999,-999)))</f>
        <v>32.1</v>
      </c>
      <c r="K19" s="434">
        <v>-309</v>
      </c>
      <c r="L19" s="349">
        <v>-388</v>
      </c>
      <c r="M19" s="275">
        <f>IF(K19=0, "    ---- ", IF(ABS(ROUND(100/K19*L19-100,1))&lt;999,ROUND(100/K19*L19-100,1),IF(ROUND(100/K19*L19-100,1)&gt;999,999,-999)))</f>
        <v>25.6</v>
      </c>
      <c r="N19" s="434">
        <v>-6809.4731871000004</v>
      </c>
      <c r="O19" s="349">
        <v>-6943.8296426800007</v>
      </c>
      <c r="P19" s="275">
        <f>IF(N19=0, "    ---- ", IF(ABS(ROUND(100/N19*O19-100,1))&lt;999,ROUND(100/N19*O19-100,1),IF(ROUND(100/N19*O19-100,1)&gt;999,999,-999)))</f>
        <v>2</v>
      </c>
      <c r="Q19" s="434">
        <v>-2384.5938000000001</v>
      </c>
      <c r="R19" s="349">
        <v>-7720.4643999999998</v>
      </c>
      <c r="S19" s="275">
        <f>IF(Q19=0, "    ---- ", IF(ABS(ROUND(100/Q19*R19-100,1))&lt;999,ROUND(100/Q19*R19-100,1),IF(ROUND(100/Q19*R19-100,1)&gt;999,999,-999)))</f>
        <v>223.8</v>
      </c>
      <c r="T19" s="349">
        <v>-913</v>
      </c>
      <c r="U19" s="349">
        <v>-961</v>
      </c>
      <c r="V19" s="275">
        <f>IF(T19=0, "    ---- ", IF(ABS(ROUND(100/T19*U19-100,1))&lt;999,ROUND(100/T19*U19-100,1),IF(ROUND(100/T19*U19-100,1)&gt;999,999,-999)))</f>
        <v>5.3</v>
      </c>
      <c r="W19" s="534">
        <v>-515.37711950999994</v>
      </c>
      <c r="X19" s="377">
        <v>-592.81531613999994</v>
      </c>
      <c r="Y19" s="275">
        <f>IF(W19=0, "    ---- ", IF(ABS(ROUND(100/W19*X19-100,1))&lt;999,ROUND(100/W19*X19-100,1),IF(ROUND(100/W19*X19-100,1)&gt;999,999,-999)))</f>
        <v>15</v>
      </c>
      <c r="Z19" s="434">
        <f>-3936.90614467+1.98229727</f>
        <v>-3934.9238473999999</v>
      </c>
      <c r="AA19" s="349">
        <v>-4352.6336827100013</v>
      </c>
      <c r="AB19" s="275">
        <f>IF(Z19=0, "    ---- ", IF(ABS(ROUND(100/Z19*AA19-100,1))&lt;999,ROUND(100/Z19*AA19-100,1),IF(ROUND(100/Z19*AA19-100,1)&gt;999,999,-999)))</f>
        <v>10.6</v>
      </c>
      <c r="AC19" s="434">
        <v>-1</v>
      </c>
      <c r="AD19" s="349">
        <v>-2</v>
      </c>
      <c r="AE19" s="275">
        <f>IF(AC19=0, "    ---- ", IF(ABS(ROUND(100/AC19*AD19-100,1))&lt;999,ROUND(100/AC19*AD19-100,1),IF(ROUND(100/AC19*AD19-100,1)&gt;999,999,-999)))</f>
        <v>100</v>
      </c>
      <c r="AF19" s="275">
        <f t="shared" si="10"/>
        <v>-19443.895592380002</v>
      </c>
      <c r="AG19" s="275">
        <f t="shared" si="10"/>
        <v>-25992.662113190003</v>
      </c>
      <c r="AH19" s="275">
        <f t="shared" si="11"/>
        <v>33.700000000000003</v>
      </c>
      <c r="AI19" s="352">
        <f t="shared" si="12"/>
        <v>-19444.895592380002</v>
      </c>
      <c r="AJ19" s="352">
        <f t="shared" si="12"/>
        <v>-25994.662113190003</v>
      </c>
      <c r="AK19" s="275">
        <f>IF(AI19=0, "    ---- ", IF(ABS(ROUND(100/AI19*AJ19-100,1))&lt;999,ROUND(100/AI19*AJ19-100,1),IF(ROUND(100/AI19*AJ19-100,1)&gt;999,999,-999)))</f>
        <v>33.700000000000003</v>
      </c>
    </row>
    <row r="20" spans="1:37" s="364" customFormat="1" ht="18.75" x14ac:dyDescent="0.3">
      <c r="A20" s="551" t="s">
        <v>403</v>
      </c>
      <c r="B20" s="435">
        <v>-4649.5248187799998</v>
      </c>
      <c r="C20" s="275">
        <v>-5570.3130000000001</v>
      </c>
      <c r="D20" s="275">
        <f>IF(B20=0, "    ---- ", IF(ABS(ROUND(100/B20*C20-100,1))&lt;999,ROUND(100/B20*C20-100,1),IF(ROUND(100/B20*C20-100,1)&gt;999,999,-999)))</f>
        <v>19.8</v>
      </c>
      <c r="E20" s="435">
        <v>26.86250076</v>
      </c>
      <c r="F20" s="275">
        <v>28.833831730000004</v>
      </c>
      <c r="G20" s="275">
        <f>IF(E20=0, "    ---- ", IF(ABS(ROUND(100/E20*F20-100,1))&lt;999,ROUND(100/E20*F20-100,1),IF(ROUND(100/E20*F20-100,1)&gt;999,999,-999)))</f>
        <v>7.3</v>
      </c>
      <c r="H20" s="435"/>
      <c r="I20" s="275"/>
      <c r="J20" s="275"/>
      <c r="K20" s="435">
        <v>-1812</v>
      </c>
      <c r="L20" s="275">
        <v>-2837</v>
      </c>
      <c r="M20" s="275">
        <f>IF(K20=0, "    ---- ", IF(ABS(ROUND(100/K20*L20-100,1))&lt;999,ROUND(100/K20*L20-100,1),IF(ROUND(100/K20*L20-100,1)&gt;999,999,-999)))</f>
        <v>56.6</v>
      </c>
      <c r="N20" s="435">
        <v>-2455.5312260000001</v>
      </c>
      <c r="O20" s="275">
        <v>-4289.0735640000003</v>
      </c>
      <c r="P20" s="275">
        <f>IF(N20=0, "    ---- ", IF(ABS(ROUND(100/N20*O20-100,1))&lt;999,ROUND(100/N20*O20-100,1),IF(ROUND(100/N20*O20-100,1)&gt;999,999,-999)))</f>
        <v>74.7</v>
      </c>
      <c r="Q20" s="527">
        <v>-3683</v>
      </c>
      <c r="R20" s="378">
        <v>-4356</v>
      </c>
      <c r="S20" s="275">
        <f>IF(Q20=0, "    ---- ", IF(ABS(ROUND(100/Q20*R20-100,1))&lt;999,ROUND(100/Q20*R20-100,1),IF(ROUND(100/Q20*R20-100,1)&gt;999,999,-999)))</f>
        <v>18.3</v>
      </c>
      <c r="T20" s="378">
        <v>-121</v>
      </c>
      <c r="U20" s="378">
        <v>0</v>
      </c>
      <c r="V20" s="275"/>
      <c r="W20" s="527">
        <v>-1756.7995381400003</v>
      </c>
      <c r="X20" s="378">
        <v>-2435.3999567700012</v>
      </c>
      <c r="Y20" s="275">
        <f>IF(W20=0, "    ---- ", IF(ABS(ROUND(100/W20*X20-100,1))&lt;999,ROUND(100/W20*X20-100,1),IF(ROUND(100/W20*X20-100,1)&gt;999,999,-999)))</f>
        <v>38.6</v>
      </c>
      <c r="Z20" s="435">
        <v>-3638.4533758100001</v>
      </c>
      <c r="AA20" s="275">
        <v>-6313.9057551000005</v>
      </c>
      <c r="AB20" s="275">
        <f>IF(Z20=0, "    ---- ", IF(ABS(ROUND(100/Z20*AA20-100,1))&lt;999,ROUND(100/Z20*AA20-100,1),IF(ROUND(100/Z20*AA20-100,1)&gt;999,999,-999)))</f>
        <v>73.5</v>
      </c>
      <c r="AC20" s="435">
        <v>-2</v>
      </c>
      <c r="AD20" s="275"/>
      <c r="AE20" s="275">
        <f>IF(AC20=0, "    ---- ", IF(ABS(ROUND(100/AC20*AD20-100,1))&lt;999,ROUND(100/AC20*AD20-100,1),IF(ROUND(100/AC20*AD20-100,1)&gt;999,999,-999)))</f>
        <v>-100</v>
      </c>
      <c r="AF20" s="275">
        <f t="shared" si="10"/>
        <v>-18089.44645797</v>
      </c>
      <c r="AG20" s="275">
        <f t="shared" si="10"/>
        <v>-25772.858444140002</v>
      </c>
      <c r="AH20" s="275">
        <f>IF(AF20=0, "    ---- ", IF(ABS(ROUND(100/AF20*AG20-100,1))&lt;999,ROUND(100/AF20*AG20-100,1),IF(ROUND(100/AF20*AG20-100,1)&gt;999,999,-999)))</f>
        <v>42.5</v>
      </c>
      <c r="AI20" s="352">
        <f t="shared" si="12"/>
        <v>-18091.44645797</v>
      </c>
      <c r="AJ20" s="352">
        <f t="shared" si="12"/>
        <v>-25772.858444140002</v>
      </c>
      <c r="AK20" s="275">
        <f>IF(AI20=0, "    ---- ", IF(ABS(ROUND(100/AI20*AJ20-100,1))&lt;999,ROUND(100/AI20*AJ20-100,1),IF(ROUND(100/AI20*AJ20-100,1)&gt;999,999,-999)))</f>
        <v>42.5</v>
      </c>
    </row>
    <row r="21" spans="1:37" s="364" customFormat="1" ht="18.75" customHeight="1" x14ac:dyDescent="0.3">
      <c r="A21" s="427" t="s">
        <v>271</v>
      </c>
      <c r="B21" s="434">
        <f>SUM(B19:B20)</f>
        <v>-8718.231732960001</v>
      </c>
      <c r="C21" s="349">
        <f>SUM(C19:C20)</f>
        <v>-10010.985000000001</v>
      </c>
      <c r="D21" s="275">
        <f>IF(B21=0, "    ---- ", IF(ABS(ROUND(100/B21*C21-100,1))&lt;999,ROUND(100/B21*C21-100,1),IF(ROUND(100/B21*C21-100,1)&gt;999,999,-999)))</f>
        <v>14.8</v>
      </c>
      <c r="E21" s="434">
        <f>SUM(E19:E20)</f>
        <v>-441.88922342999996</v>
      </c>
      <c r="F21" s="349">
        <f>SUM(F19:F20)</f>
        <v>-511.48723992999993</v>
      </c>
      <c r="G21" s="275">
        <f>IF(E21=0, "    ---- ", IF(ABS(ROUND(100/E21*F21-100,1))&lt;999,ROUND(100/E21*F21-100,1),IF(ROUND(100/E21*F21-100,1)&gt;999,999,-999)))</f>
        <v>15.8</v>
      </c>
      <c r="H21" s="434">
        <f>SUM(H19:H20)</f>
        <v>-40.069000000000003</v>
      </c>
      <c r="I21" s="349">
        <f>SUM(I19:I20)</f>
        <v>-52.926000000000002</v>
      </c>
      <c r="J21" s="275">
        <f>IF(H21=0, "    ---- ", IF(ABS(ROUND(100/H21*I21-100,1))&lt;999,ROUND(100/H21*I21-100,1),IF(ROUND(100/H21*I21-100,1)&gt;999,999,-999)))</f>
        <v>32.1</v>
      </c>
      <c r="K21" s="434">
        <f>SUM(K19:K20)</f>
        <v>-2121</v>
      </c>
      <c r="L21" s="349">
        <f>SUM(L19:L20)</f>
        <v>-3225</v>
      </c>
      <c r="M21" s="275">
        <f>IF(K21=0, "    ---- ", IF(ABS(ROUND(100/K21*L21-100,1))&lt;999,ROUND(100/K21*L21-100,1),IF(ROUND(100/K21*L21-100,1)&gt;999,999,-999)))</f>
        <v>52.1</v>
      </c>
      <c r="N21" s="434">
        <f>SUM(N19:N20)</f>
        <v>-9265.0044130999995</v>
      </c>
      <c r="O21" s="349">
        <v>-11232.903206680001</v>
      </c>
      <c r="P21" s="275">
        <f>IF(N21=0, "    ---- ", IF(ABS(ROUND(100/N21*O21-100,1))&lt;999,ROUND(100/N21*O21-100,1),IF(ROUND(100/N21*O21-100,1)&gt;999,999,-999)))</f>
        <v>21.2</v>
      </c>
      <c r="Q21" s="434">
        <f>SUM(Q19:Q20)</f>
        <v>-6067.5938000000006</v>
      </c>
      <c r="R21" s="349">
        <f>SUM(R19:R20)</f>
        <v>-12076.464400000001</v>
      </c>
      <c r="S21" s="275">
        <f>IF(Q21=0, "    ---- ", IF(ABS(ROUND(100/Q21*R21-100,1))&lt;999,ROUND(100/Q21*R21-100,1),IF(ROUND(100/Q21*R21-100,1)&gt;999,999,-999)))</f>
        <v>99</v>
      </c>
      <c r="T21" s="349">
        <v>-1034</v>
      </c>
      <c r="U21" s="349">
        <v>-961</v>
      </c>
      <c r="V21" s="275">
        <f>IF(T21=0, "    ---- ", IF(ABS(ROUND(100/T21*U21-100,1))&lt;999,ROUND(100/T21*U21-100,1),IF(ROUND(100/T21*U21-100,1)&gt;999,999,-999)))</f>
        <v>-7.1</v>
      </c>
      <c r="W21" s="434">
        <f>SUM(W19:W20)</f>
        <v>-2272.1766576500004</v>
      </c>
      <c r="X21" s="349">
        <f>SUM(X19:X20)</f>
        <v>-3028.2152729100012</v>
      </c>
      <c r="Y21" s="275">
        <f>IF(W21=0, "    ---- ", IF(ABS(ROUND(100/W21*X21-100,1))&lt;999,ROUND(100/W21*X21-100,1),IF(ROUND(100/W21*X21-100,1)&gt;999,999,-999)))</f>
        <v>33.299999999999997</v>
      </c>
      <c r="Z21" s="434">
        <f>SUM(Z19:Z20)</f>
        <v>-7573.37722321</v>
      </c>
      <c r="AA21" s="349">
        <f>SUM(AA19:AA20)</f>
        <v>-10666.539437810003</v>
      </c>
      <c r="AB21" s="275">
        <f>IF(Z21=0, "    ---- ", IF(ABS(ROUND(100/Z21*AA21-100,1))&lt;999,ROUND(100/Z21*AA21-100,1),IF(ROUND(100/Z21*AA21-100,1)&gt;999,999,-999)))</f>
        <v>40.799999999999997</v>
      </c>
      <c r="AC21" s="434">
        <f>SUM(AC19:AC20)</f>
        <v>-3</v>
      </c>
      <c r="AD21" s="349">
        <f>SUM(AD19:AD20)</f>
        <v>-2</v>
      </c>
      <c r="AE21" s="275">
        <f>IF(AC21=0, "    ---- ", IF(ABS(ROUND(100/AC21*AD21-100,1))&lt;999,ROUND(100/AC21*AD21-100,1),IF(ROUND(100/AC21*AD21-100,1)&gt;999,999,-999)))</f>
        <v>-33.299999999999997</v>
      </c>
      <c r="AF21" s="275">
        <f t="shared" si="10"/>
        <v>-37533.342050350002</v>
      </c>
      <c r="AG21" s="275">
        <f t="shared" si="10"/>
        <v>-51765.520557329997</v>
      </c>
      <c r="AH21" s="275">
        <f t="shared" si="11"/>
        <v>37.9</v>
      </c>
      <c r="AI21" s="352">
        <f t="shared" si="12"/>
        <v>-37536.342050350002</v>
      </c>
      <c r="AJ21" s="352">
        <f t="shared" si="12"/>
        <v>-51767.520557329997</v>
      </c>
      <c r="AK21" s="275">
        <f>IF(AI21=0, "    ---- ", IF(ABS(ROUND(100/AI21*AJ21-100,1))&lt;999,ROUND(100/AI21*AJ21-100,1),IF(ROUND(100/AI21*AJ21-100,1)&gt;999,999,-999)))</f>
        <v>37.9</v>
      </c>
    </row>
    <row r="22" spans="1:37" s="364" customFormat="1" ht="18.75" customHeight="1" x14ac:dyDescent="0.3">
      <c r="A22" s="427" t="s">
        <v>272</v>
      </c>
      <c r="B22" s="147"/>
      <c r="C22" s="352"/>
      <c r="D22" s="275"/>
      <c r="E22" s="528"/>
      <c r="F22" s="386"/>
      <c r="G22" s="275"/>
      <c r="H22" s="528"/>
      <c r="I22" s="386"/>
      <c r="J22" s="275"/>
      <c r="K22" s="147"/>
      <c r="L22" s="352"/>
      <c r="M22" s="275"/>
      <c r="N22" s="147"/>
      <c r="O22" s="352"/>
      <c r="P22" s="275"/>
      <c r="Q22" s="528"/>
      <c r="R22" s="386"/>
      <c r="S22" s="275"/>
      <c r="T22" s="386"/>
      <c r="U22" s="386"/>
      <c r="V22" s="275"/>
      <c r="W22" s="528"/>
      <c r="X22" s="386"/>
      <c r="Y22" s="275"/>
      <c r="Z22" s="147"/>
      <c r="AA22" s="352"/>
      <c r="AB22" s="275"/>
      <c r="AC22" s="147"/>
      <c r="AD22" s="352"/>
      <c r="AE22" s="275"/>
      <c r="AF22" s="275"/>
      <c r="AG22" s="275"/>
      <c r="AH22" s="275"/>
      <c r="AI22" s="275"/>
      <c r="AJ22" s="275"/>
      <c r="AK22" s="275"/>
    </row>
    <row r="23" spans="1:37" s="364" customFormat="1" ht="18.75" customHeight="1" x14ac:dyDescent="0.3">
      <c r="A23" s="427" t="s">
        <v>377</v>
      </c>
      <c r="B23" s="435">
        <v>1094.22649598</v>
      </c>
      <c r="C23" s="275">
        <v>1438.441</v>
      </c>
      <c r="D23" s="275">
        <f t="shared" ref="D23:D30" si="14">IF(B23=0, "    ---- ", IF(ABS(ROUND(100/B23*C23-100,1))&lt;999,ROUND(100/B23*C23-100,1),IF(ROUND(100/B23*C23-100,1)&gt;999,999,-999)))</f>
        <v>31.5</v>
      </c>
      <c r="E23" s="435">
        <v>-336.32360914000009</v>
      </c>
      <c r="F23" s="275">
        <v>-260.18772637000001</v>
      </c>
      <c r="G23" s="275">
        <f>IF(E23=0, "    ---- ", IF(ABS(ROUND(100/E23*F23-100,1))&lt;999,ROUND(100/E23*F23-100,1),IF(ROUND(100/E23*F23-100,1)&gt;999,999,-999)))</f>
        <v>-22.6</v>
      </c>
      <c r="H23" s="435">
        <v>-624.91</v>
      </c>
      <c r="I23" s="275">
        <v>-725.84500000000003</v>
      </c>
      <c r="J23" s="275">
        <f>IF(H23=0, "    ---- ", IF(ABS(ROUND(100/H23*I23-100,1))&lt;999,ROUND(100/H23*I23-100,1),IF(ROUND(100/H23*I23-100,1)&gt;999,999,-999)))</f>
        <v>16.2</v>
      </c>
      <c r="K23" s="435">
        <v>-252</v>
      </c>
      <c r="L23" s="275">
        <v>-380</v>
      </c>
      <c r="M23" s="275">
        <f t="shared" ref="M23:M32" si="15">IF(K23=0, "    ---- ", IF(ABS(ROUND(100/K23*L23-100,1))&lt;999,ROUND(100/K23*L23-100,1),IF(ROUND(100/K23*L23-100,1)&gt;999,999,-999)))</f>
        <v>50.8</v>
      </c>
      <c r="N23" s="435">
        <v>-1350.3984559600001</v>
      </c>
      <c r="O23" s="275">
        <v>359.36625456000002</v>
      </c>
      <c r="P23" s="275">
        <f t="shared" ref="P23:P31" si="16">IF(N23=0, "    ---- ", IF(ABS(ROUND(100/N23*O23-100,1))&lt;999,ROUND(100/N23*O23-100,1),IF(ROUND(100/N23*O23-100,1)&gt;999,999,-999)))</f>
        <v>-126.6</v>
      </c>
      <c r="Q23" s="435">
        <v>-202.4956</v>
      </c>
      <c r="R23" s="275">
        <v>-296.49639999999999</v>
      </c>
      <c r="S23" s="275">
        <f t="shared" ref="S23:S30" si="17">IF(Q23=0, "    ---- ", IF(ABS(ROUND(100/Q23*R23-100,1))&lt;999,ROUND(100/Q23*R23-100,1),IF(ROUND(100/Q23*R23-100,1)&gt;999,999,-999)))</f>
        <v>46.4</v>
      </c>
      <c r="T23" s="275">
        <v>-242</v>
      </c>
      <c r="U23" s="275">
        <v>-238</v>
      </c>
      <c r="V23" s="275">
        <f>IF(T23=0, "    ---- ", IF(ABS(ROUND(100/T23*U23-100,1))&lt;999,ROUND(100/T23*U23-100,1),IF(ROUND(100/T23*U23-100,1)&gt;999,999,-999)))</f>
        <v>-1.7</v>
      </c>
      <c r="W23" s="435">
        <v>-99.121653649999999</v>
      </c>
      <c r="X23" s="275">
        <v>-977.70298674000014</v>
      </c>
      <c r="Y23" s="275">
        <f t="shared" ref="Y23:Y30" si="18">IF(W23=0, "    ---- ", IF(ABS(ROUND(100/W23*X23-100,1))&lt;999,ROUND(100/W23*X23-100,1),IF(ROUND(100/W23*X23-100,1)&gt;999,999,-999)))</f>
        <v>886.4</v>
      </c>
      <c r="Z23" s="435">
        <v>-3119.9143209199988</v>
      </c>
      <c r="AA23" s="275">
        <v>-3824.0277751400026</v>
      </c>
      <c r="AB23" s="275">
        <f t="shared" ref="AB23:AB30" si="19">IF(Z23=0, "    ---- ", IF(ABS(ROUND(100/Z23*AA23-100,1))&lt;999,ROUND(100/Z23*AA23-100,1),IF(ROUND(100/Z23*AA23-100,1)&gt;999,999,-999)))</f>
        <v>22.6</v>
      </c>
      <c r="AC23" s="435">
        <v>-39</v>
      </c>
      <c r="AD23" s="275">
        <v>-42</v>
      </c>
      <c r="AE23" s="275">
        <f t="shared" ref="AE23:AE30" si="20">IF(AC23=0, "    ---- ", IF(ABS(ROUND(100/AC23*AD23-100,1))&lt;999,ROUND(100/AC23*AD23-100,1),IF(ROUND(100/AC23*AD23-100,1)&gt;999,999,-999)))</f>
        <v>7.7</v>
      </c>
      <c r="AF23" s="275">
        <f t="shared" si="10"/>
        <v>-5132.9371436899992</v>
      </c>
      <c r="AG23" s="275">
        <f t="shared" si="10"/>
        <v>-4904.4526336900026</v>
      </c>
      <c r="AH23" s="275">
        <f t="shared" si="11"/>
        <v>-4.5</v>
      </c>
      <c r="AI23" s="275"/>
      <c r="AJ23" s="275"/>
      <c r="AK23" s="275"/>
    </row>
    <row r="24" spans="1:37" s="364" customFormat="1" ht="18.75" customHeight="1" x14ac:dyDescent="0.3">
      <c r="A24" s="427" t="s">
        <v>384</v>
      </c>
      <c r="B24" s="435">
        <v>-34.302953000000002</v>
      </c>
      <c r="C24" s="275">
        <v>-287.93299999999999</v>
      </c>
      <c r="D24" s="275">
        <f>IF(B24=0, "    ---- ", IF(ABS(ROUND(100/B24*C24-100,1))&lt;999,ROUND(100/B24*C24-100,1),IF(ROUND(100/B24*C24-100,1)&gt;999,999,-999)))</f>
        <v>739.4</v>
      </c>
      <c r="E24" s="435"/>
      <c r="F24" s="275"/>
      <c r="G24" s="275"/>
      <c r="H24" s="435"/>
      <c r="I24" s="275">
        <v>-3</v>
      </c>
      <c r="J24" s="275" t="str">
        <f>IF(H24=0, "    ---- ", IF(ABS(ROUND(100/H24*I24-100,1))&lt;999,ROUND(100/H24*I24-100,1),IF(ROUND(100/H24*I24-100,1)&gt;999,999,-999)))</f>
        <v xml:space="preserve">    ---- </v>
      </c>
      <c r="K24" s="435">
        <v>-5</v>
      </c>
      <c r="L24" s="275">
        <v>-5</v>
      </c>
      <c r="M24" s="275">
        <f>IF(K24=0, "    ---- ", IF(ABS(ROUND(100/K24*L24-100,1))&lt;999,ROUND(100/K24*L24-100,1),IF(ROUND(100/K24*L24-100,1)&gt;999,999,-999)))</f>
        <v>0</v>
      </c>
      <c r="N24" s="435">
        <v>-209.64133100000001</v>
      </c>
      <c r="O24" s="275">
        <v>0</v>
      </c>
      <c r="P24" s="275">
        <f>IF(N24=0, "    ---- ", IF(ABS(ROUND(100/N24*O24-100,1))&lt;999,ROUND(100/N24*O24-100,1),IF(ROUND(100/N24*O24-100,1)&gt;999,999,-999)))</f>
        <v>-100</v>
      </c>
      <c r="Q24" s="435">
        <v>-212</v>
      </c>
      <c r="R24" s="275">
        <v>110</v>
      </c>
      <c r="S24" s="275">
        <f>IF(Q24=0, "    ---- ", IF(ABS(ROUND(100/Q24*R24-100,1))&lt;999,ROUND(100/Q24*R24-100,1),IF(ROUND(100/Q24*R24-100,1)&gt;999,999,-999)))</f>
        <v>-151.9</v>
      </c>
      <c r="T24" s="275"/>
      <c r="U24" s="275">
        <v>187</v>
      </c>
      <c r="V24" s="275" t="str">
        <f>IF(T24=0, "    ---- ", IF(ABS(ROUND(100/T24*U24-100,1))&lt;999,ROUND(100/T24*U24-100,1),IF(ROUND(100/T24*U24-100,1)&gt;999,999,-999)))</f>
        <v xml:space="preserve">    ---- </v>
      </c>
      <c r="W24" s="435">
        <v>29.286595139999971</v>
      </c>
      <c r="X24" s="275">
        <v>13.242593169999994</v>
      </c>
      <c r="Y24" s="275">
        <f>IF(W24=0, "    ---- ", IF(ABS(ROUND(100/W24*X24-100,1))&lt;999,ROUND(100/W24*X24-100,1),IF(ROUND(100/W24*X24-100,1)&gt;999,999,-999)))</f>
        <v>-54.8</v>
      </c>
      <c r="Z24" s="435">
        <v>-414.03473196000004</v>
      </c>
      <c r="AA24" s="275">
        <v>-110.91931099999999</v>
      </c>
      <c r="AB24" s="275">
        <f>IF(Z24=0, "    ---- ", IF(ABS(ROUND(100/Z24*AA24-100,1))&lt;999,ROUND(100/Z24*AA24-100,1),IF(ROUND(100/Z24*AA24-100,1)&gt;999,999,-999)))</f>
        <v>-73.2</v>
      </c>
      <c r="AC24" s="435"/>
      <c r="AD24" s="275"/>
      <c r="AE24" s="275"/>
      <c r="AF24" s="275">
        <f t="shared" si="10"/>
        <v>-845.69242082000005</v>
      </c>
      <c r="AG24" s="275">
        <f t="shared" si="10"/>
        <v>-96.609717829999994</v>
      </c>
      <c r="AH24" s="275">
        <f>IF(AF24=0, "    ---- ", IF(ABS(ROUND(100/AF24*AG24-100,1))&lt;999,ROUND(100/AF24*AG24-100,1),IF(ROUND(100/AF24*AG24-100,1)&gt;999,999,-999)))</f>
        <v>-88.6</v>
      </c>
      <c r="AI24" s="275"/>
      <c r="AJ24" s="275"/>
      <c r="AK24" s="275"/>
    </row>
    <row r="25" spans="1:37" s="364" customFormat="1" ht="18.75" customHeight="1" x14ac:dyDescent="0.3">
      <c r="A25" s="552" t="s">
        <v>419</v>
      </c>
      <c r="B25" s="435"/>
      <c r="C25" s="275"/>
      <c r="D25" s="275"/>
      <c r="E25" s="435"/>
      <c r="F25" s="275"/>
      <c r="G25" s="275"/>
      <c r="H25" s="435"/>
      <c r="I25" s="275"/>
      <c r="J25" s="275"/>
      <c r="K25" s="434"/>
      <c r="L25" s="275"/>
      <c r="M25" s="275"/>
      <c r="N25" s="435"/>
      <c r="O25" s="275"/>
      <c r="P25" s="275"/>
      <c r="Q25" s="528"/>
      <c r="R25" s="275"/>
      <c r="S25" s="275"/>
      <c r="T25" s="275"/>
      <c r="U25" s="76"/>
      <c r="V25" s="275"/>
      <c r="W25" s="528"/>
      <c r="X25" s="275"/>
      <c r="Y25" s="275"/>
      <c r="Z25" s="147"/>
      <c r="AA25" s="275"/>
      <c r="AB25" s="275"/>
      <c r="AC25" s="435"/>
      <c r="AD25" s="275"/>
      <c r="AE25" s="275"/>
      <c r="AF25" s="275"/>
      <c r="AG25" s="275"/>
      <c r="AH25" s="275"/>
      <c r="AI25" s="275"/>
      <c r="AJ25" s="275"/>
      <c r="AK25" s="275"/>
    </row>
    <row r="26" spans="1:37" s="364" customFormat="1" ht="18.75" customHeight="1" x14ac:dyDescent="0.3">
      <c r="A26" s="427" t="s">
        <v>385</v>
      </c>
      <c r="B26" s="147">
        <v>-2.4380065600000003</v>
      </c>
      <c r="C26" s="275">
        <v>-2.069</v>
      </c>
      <c r="D26" s="275">
        <f>IF(B26=0, "    ---- ", IF(ABS(ROUND(100/B26*C26-100,1))&lt;999,ROUND(100/B26*C26-100,1),IF(ROUND(100/B26*C26-100,1)&gt;999,999,-999)))</f>
        <v>-15.1</v>
      </c>
      <c r="E26" s="435"/>
      <c r="F26" s="275"/>
      <c r="G26" s="275"/>
      <c r="H26" s="435"/>
      <c r="I26" s="275"/>
      <c r="J26" s="275"/>
      <c r="K26" s="435">
        <v>17</v>
      </c>
      <c r="L26" s="275">
        <v>36</v>
      </c>
      <c r="M26" s="275">
        <f t="shared" si="15"/>
        <v>111.8</v>
      </c>
      <c r="N26" s="435"/>
      <c r="O26" s="275">
        <v>-313.94869799999998</v>
      </c>
      <c r="P26" s="275" t="str">
        <f>IF(N26=0, "    ---- ", IF(ABS(ROUND(100/N26*O26-100,1))&lt;999,ROUND(100/N26*O26-100,1),IF(ROUND(100/N26*O26-100,1)&gt;999,999,-999)))</f>
        <v xml:space="preserve">    ---- </v>
      </c>
      <c r="Q26" s="435">
        <v>-1</v>
      </c>
      <c r="R26" s="275">
        <v>-1</v>
      </c>
      <c r="S26" s="275">
        <f>IF(Q26=0, "    ---- ", IF(ABS(ROUND(100/Q26*R26-100,1))&lt;999,ROUND(100/Q26*R26-100,1),IF(ROUND(100/Q26*R26-100,1)&gt;999,999,-999)))</f>
        <v>0</v>
      </c>
      <c r="T26" s="275">
        <v>-21</v>
      </c>
      <c r="U26" s="275">
        <v>-32</v>
      </c>
      <c r="V26" s="275">
        <f>IF(T26=0, "    ---- ", IF(ABS(ROUND(100/T26*U26-100,1))&lt;999,ROUND(100/T26*U26-100,1),IF(ROUND(100/T26*U26-100,1)&gt;999,999,-999)))</f>
        <v>52.4</v>
      </c>
      <c r="W26" s="435">
        <v>0.635598</v>
      </c>
      <c r="X26" s="275">
        <v>0.317998</v>
      </c>
      <c r="Y26" s="275">
        <f>IF(W26=0, "    ---- ", IF(ABS(ROUND(100/W26*X26-100,1))&lt;999,ROUND(100/W26*X26-100,1),IF(ROUND(100/W26*X26-100,1)&gt;999,999,-999)))</f>
        <v>-50</v>
      </c>
      <c r="Z26" s="435">
        <v>-29.436980050000013</v>
      </c>
      <c r="AA26" s="275">
        <v>-33.371235600000006</v>
      </c>
      <c r="AB26" s="275">
        <f>IF(Z26=0, "    ---- ", IF(ABS(ROUND(100/Z26*AA26-100,1))&lt;999,ROUND(100/Z26*AA26-100,1),IF(ROUND(100/Z26*AA26-100,1)&gt;999,999,-999)))</f>
        <v>13.4</v>
      </c>
      <c r="AC26" s="435"/>
      <c r="AD26" s="275"/>
      <c r="AE26" s="275"/>
      <c r="AF26" s="275">
        <f t="shared" si="10"/>
        <v>-36.239388610000013</v>
      </c>
      <c r="AG26" s="275">
        <f>C26+F26+I26+L26+O26+R26+U26+X26+AA26</f>
        <v>-346.07093559999998</v>
      </c>
      <c r="AH26" s="275">
        <f>IF(AF26=0, "    ---- ", IF(ABS(ROUND(100/AF26*AG26-100,1))&lt;999,ROUND(100/AF26*AG26-100,1),IF(ROUND(100/AF26*AG26-100,1)&gt;999,999,-999)))</f>
        <v>855</v>
      </c>
      <c r="AI26" s="275"/>
      <c r="AJ26" s="275"/>
      <c r="AK26" s="275"/>
    </row>
    <row r="27" spans="1:37" s="364" customFormat="1" ht="18.75" customHeight="1" x14ac:dyDescent="0.3">
      <c r="A27" s="552" t="s">
        <v>407</v>
      </c>
      <c r="B27" s="147"/>
      <c r="C27" s="352"/>
      <c r="D27" s="275"/>
      <c r="E27" s="435"/>
      <c r="F27" s="352"/>
      <c r="G27" s="275"/>
      <c r="H27" s="435"/>
      <c r="I27" s="352"/>
      <c r="J27" s="275"/>
      <c r="K27" s="434"/>
      <c r="L27" s="352"/>
      <c r="M27" s="275"/>
      <c r="N27" s="435"/>
      <c r="O27" s="352"/>
      <c r="P27" s="275"/>
      <c r="Q27" s="528"/>
      <c r="R27" s="352"/>
      <c r="S27" s="275"/>
      <c r="T27" s="275"/>
      <c r="U27" s="76"/>
      <c r="V27" s="275"/>
      <c r="W27" s="528"/>
      <c r="X27" s="352"/>
      <c r="Y27" s="275"/>
      <c r="Z27" s="147"/>
      <c r="AA27" s="352"/>
      <c r="AB27" s="275"/>
      <c r="AC27" s="435"/>
      <c r="AD27" s="352"/>
      <c r="AE27" s="275"/>
      <c r="AF27" s="275">
        <f t="shared" ref="AF27:AG35" si="21">B27+E27+H27+K27+N27+Q27+T27+W27+Z27</f>
        <v>0</v>
      </c>
      <c r="AG27" s="76"/>
      <c r="AH27" s="275"/>
      <c r="AI27" s="275"/>
      <c r="AJ27" s="275"/>
      <c r="AK27" s="275"/>
    </row>
    <row r="28" spans="1:37" s="364" customFormat="1" ht="18.75" customHeight="1" x14ac:dyDescent="0.3">
      <c r="A28" s="427" t="s">
        <v>386</v>
      </c>
      <c r="B28" s="435">
        <v>-454.83149802999998</v>
      </c>
      <c r="C28" s="275">
        <v>-518.34199999999998</v>
      </c>
      <c r="D28" s="275">
        <f t="shared" si="14"/>
        <v>14</v>
      </c>
      <c r="E28" s="435"/>
      <c r="F28" s="275"/>
      <c r="G28" s="275"/>
      <c r="H28" s="435">
        <v>-2.286</v>
      </c>
      <c r="I28" s="275">
        <v>-3.621</v>
      </c>
      <c r="J28" s="275">
        <f>IF(H28=0, "    ---- ", IF(ABS(ROUND(100/H28*I28-100,1))&lt;999,ROUND(100/H28*I28-100,1),IF(ROUND(100/H28*I28-100,1)&gt;999,999,-999)))</f>
        <v>58.4</v>
      </c>
      <c r="K28" s="435"/>
      <c r="L28" s="275"/>
      <c r="M28" s="275"/>
      <c r="N28" s="435"/>
      <c r="O28" s="275">
        <v>4050.9078979999999</v>
      </c>
      <c r="P28" s="275" t="str">
        <f t="shared" si="16"/>
        <v xml:space="preserve">    ---- </v>
      </c>
      <c r="Q28" s="435"/>
      <c r="R28" s="275"/>
      <c r="S28" s="275"/>
      <c r="T28" s="275">
        <v>0</v>
      </c>
      <c r="U28" s="275"/>
      <c r="V28" s="275"/>
      <c r="W28" s="435"/>
      <c r="X28" s="275"/>
      <c r="Y28" s="275"/>
      <c r="Z28" s="435">
        <v>-55.404047920000025</v>
      </c>
      <c r="AA28" s="275">
        <v>-106.94053309999994</v>
      </c>
      <c r="AB28" s="275">
        <f t="shared" si="19"/>
        <v>93</v>
      </c>
      <c r="AC28" s="435"/>
      <c r="AD28" s="275"/>
      <c r="AE28" s="275"/>
      <c r="AF28" s="275">
        <f t="shared" si="21"/>
        <v>-512.52154595000002</v>
      </c>
      <c r="AG28" s="275">
        <f t="shared" si="21"/>
        <v>3422.0043648999999</v>
      </c>
      <c r="AH28" s="275">
        <f t="shared" si="11"/>
        <v>-767.7</v>
      </c>
      <c r="AI28" s="275"/>
      <c r="AJ28" s="275"/>
      <c r="AK28" s="275"/>
    </row>
    <row r="29" spans="1:37" s="364" customFormat="1" ht="18.75" x14ac:dyDescent="0.3">
      <c r="A29" s="551" t="s">
        <v>402</v>
      </c>
      <c r="B29" s="435">
        <v>35.246519450000001</v>
      </c>
      <c r="C29" s="275">
        <v>3.3109999999999999</v>
      </c>
      <c r="D29" s="275">
        <f t="shared" si="14"/>
        <v>-90.6</v>
      </c>
      <c r="E29" s="435"/>
      <c r="F29" s="275"/>
      <c r="G29" s="275"/>
      <c r="H29" s="435"/>
      <c r="I29" s="275"/>
      <c r="J29" s="275"/>
      <c r="K29" s="435"/>
      <c r="L29" s="275"/>
      <c r="M29" s="275"/>
      <c r="N29" s="435"/>
      <c r="O29" s="275"/>
      <c r="P29" s="275"/>
      <c r="Q29" s="435">
        <v>0</v>
      </c>
      <c r="R29" s="275">
        <v>1</v>
      </c>
      <c r="S29" s="275" t="str">
        <f t="shared" si="17"/>
        <v xml:space="preserve">    ---- </v>
      </c>
      <c r="T29" s="275"/>
      <c r="U29" s="275"/>
      <c r="V29" s="275"/>
      <c r="W29" s="435"/>
      <c r="X29" s="275"/>
      <c r="Y29" s="275"/>
      <c r="Z29" s="435">
        <v>434.12071100000003</v>
      </c>
      <c r="AA29" s="275">
        <v>592.21955700000001</v>
      </c>
      <c r="AB29" s="275">
        <f t="shared" si="19"/>
        <v>36.4</v>
      </c>
      <c r="AC29" s="435"/>
      <c r="AD29" s="275"/>
      <c r="AE29" s="275"/>
      <c r="AF29" s="275">
        <f t="shared" si="21"/>
        <v>469.36723045000002</v>
      </c>
      <c r="AG29" s="275">
        <f t="shared" si="21"/>
        <v>596.53055700000004</v>
      </c>
      <c r="AH29" s="275">
        <f t="shared" si="11"/>
        <v>27.1</v>
      </c>
      <c r="AI29" s="275"/>
      <c r="AJ29" s="275"/>
      <c r="AK29" s="275"/>
    </row>
    <row r="30" spans="1:37" s="364" customFormat="1" ht="18.75" customHeight="1" x14ac:dyDescent="0.3">
      <c r="A30" s="427" t="s">
        <v>273</v>
      </c>
      <c r="B30" s="435">
        <f>SUM(B23:B29)</f>
        <v>637.90055784000015</v>
      </c>
      <c r="C30" s="275">
        <f>SUM(C23:C29)</f>
        <v>633.40800000000013</v>
      </c>
      <c r="D30" s="275">
        <f t="shared" si="14"/>
        <v>-0.7</v>
      </c>
      <c r="E30" s="435">
        <f>SUM(E23:E29)</f>
        <v>-336.32360914000009</v>
      </c>
      <c r="F30" s="275">
        <f>SUM(F23:F29)</f>
        <v>-260.18772637000001</v>
      </c>
      <c r="G30" s="275">
        <f>IF(E30=0, "    ---- ", IF(ABS(ROUND(100/E30*F30-100,1))&lt;999,ROUND(100/E30*F30-100,1),IF(ROUND(100/E30*F30-100,1)&gt;999,999,-999)))</f>
        <v>-22.6</v>
      </c>
      <c r="H30" s="435">
        <f>SUM(H23:H29)</f>
        <v>-627.19599999999991</v>
      </c>
      <c r="I30" s="275">
        <f>SUM(I23:I29)</f>
        <v>-732.46600000000001</v>
      </c>
      <c r="J30" s="275">
        <f>IF(H30=0, "    ---- ", IF(ABS(ROUND(100/H30*I30-100,1))&lt;999,ROUND(100/H30*I30-100,1),IF(ROUND(100/H30*I30-100,1)&gt;999,999,-999)))</f>
        <v>16.8</v>
      </c>
      <c r="K30" s="435">
        <f>SUM(K23:K29)</f>
        <v>-240</v>
      </c>
      <c r="L30" s="275">
        <f>SUM(L23:L29)</f>
        <v>-349</v>
      </c>
      <c r="M30" s="275">
        <f t="shared" si="15"/>
        <v>45.4</v>
      </c>
      <c r="N30" s="435">
        <f>SUM(N23:N29)</f>
        <v>-1560.0397869600001</v>
      </c>
      <c r="O30" s="275">
        <v>4096.3254545600003</v>
      </c>
      <c r="P30" s="275">
        <f t="shared" si="16"/>
        <v>-362.6</v>
      </c>
      <c r="Q30" s="435">
        <f>SUM(Q23:Q29)</f>
        <v>-415.49559999999997</v>
      </c>
      <c r="R30" s="275">
        <f>SUM(R23:R29)</f>
        <v>-186.49639999999999</v>
      </c>
      <c r="S30" s="275">
        <f t="shared" si="17"/>
        <v>-55.1</v>
      </c>
      <c r="T30" s="275">
        <v>-263</v>
      </c>
      <c r="U30" s="275">
        <v>-83</v>
      </c>
      <c r="V30" s="275">
        <f>IF(T30=0, "    ---- ", IF(ABS(ROUND(100/T30*U30-100,1))&lt;999,ROUND(100/T30*U30-100,1),IF(ROUND(100/T30*U30-100,1)&gt;999,999,-999)))</f>
        <v>-68.400000000000006</v>
      </c>
      <c r="W30" s="435">
        <f>SUM(W23:W29)</f>
        <v>-69.199460510000023</v>
      </c>
      <c r="X30" s="275">
        <f>SUM(X23:X29)</f>
        <v>-964.14239557000019</v>
      </c>
      <c r="Y30" s="275">
        <f t="shared" si="18"/>
        <v>999</v>
      </c>
      <c r="Z30" s="435">
        <f>SUM(Z23:Z29)</f>
        <v>-3184.6693698499985</v>
      </c>
      <c r="AA30" s="275">
        <f>SUM(AA23:AA29)</f>
        <v>-3483.0392978400027</v>
      </c>
      <c r="AB30" s="275">
        <f t="shared" si="19"/>
        <v>9.4</v>
      </c>
      <c r="AC30" s="435">
        <f>SUM(AC23:AC29)</f>
        <v>-39</v>
      </c>
      <c r="AD30" s="275">
        <f>SUM(AD23:AD29)</f>
        <v>-42</v>
      </c>
      <c r="AE30" s="275">
        <f t="shared" si="20"/>
        <v>7.7</v>
      </c>
      <c r="AF30" s="275">
        <f t="shared" si="21"/>
        <v>-6058.0232686199988</v>
      </c>
      <c r="AG30" s="275">
        <f t="shared" si="21"/>
        <v>-1328.5983652200025</v>
      </c>
      <c r="AH30" s="275">
        <f t="shared" si="11"/>
        <v>-78.099999999999994</v>
      </c>
      <c r="AI30" s="275"/>
      <c r="AJ30" s="275"/>
      <c r="AK30" s="275"/>
    </row>
    <row r="31" spans="1:37" s="364" customFormat="1" ht="18.75" customHeight="1" x14ac:dyDescent="0.3">
      <c r="A31" s="427" t="s">
        <v>274</v>
      </c>
      <c r="B31" s="435">
        <v>-12604.6122134</v>
      </c>
      <c r="C31" s="275">
        <v>-1672.1030000000001</v>
      </c>
      <c r="D31" s="275">
        <f>IF(B31=0, "    ---- ", IF(ABS(ROUND(100/B31*C31-100,1))&lt;999,ROUND(100/B31*C31-100,1),IF(ROUND(100/B31*C31-100,1)&gt;999,999,-999)))</f>
        <v>-86.7</v>
      </c>
      <c r="E31" s="435"/>
      <c r="F31" s="275"/>
      <c r="G31" s="275"/>
      <c r="H31" s="435"/>
      <c r="I31" s="275"/>
      <c r="J31" s="275"/>
      <c r="K31" s="435">
        <v>-5957</v>
      </c>
      <c r="L31" s="275">
        <v>-81</v>
      </c>
      <c r="M31" s="275">
        <f t="shared" si="15"/>
        <v>-98.6</v>
      </c>
      <c r="N31" s="435">
        <v>-2.8848790000000002</v>
      </c>
      <c r="O31" s="275">
        <v>39.490929999999999</v>
      </c>
      <c r="P31" s="275">
        <f t="shared" si="16"/>
        <v>-999</v>
      </c>
      <c r="Q31" s="435">
        <v>-12127.6533</v>
      </c>
      <c r="R31" s="275">
        <v>6595.7578999999996</v>
      </c>
      <c r="S31" s="275">
        <f>IF(Q31=0, "    ---- ", IF(ABS(ROUND(100/Q31*R31-100,1))&lt;999,ROUND(100/Q31*R31-100,1),IF(ROUND(100/Q31*R31-100,1)&gt;999,999,-999)))</f>
        <v>-154.4</v>
      </c>
      <c r="T31" s="275"/>
      <c r="U31" s="275"/>
      <c r="V31" s="275"/>
      <c r="W31" s="435">
        <v>-5726.409755040002</v>
      </c>
      <c r="X31" s="275">
        <v>-357.78361531000076</v>
      </c>
      <c r="Y31" s="275">
        <f>IF(W31=0, "    ---- ", IF(ABS(ROUND(100/W31*X31-100,1))&lt;999,ROUND(100/W31*X31-100,1),IF(ROUND(100/W31*X31-100,1)&gt;999,999,-999)))</f>
        <v>-93.8</v>
      </c>
      <c r="Z31" s="435">
        <v>-17158.728359929992</v>
      </c>
      <c r="AA31" s="275">
        <v>3421.3380090014998</v>
      </c>
      <c r="AB31" s="275">
        <f>IF(Z31=0, "    ---- ", IF(ABS(ROUND(100/Z31*AA31-100,1))&lt;999,ROUND(100/Z31*AA31-100,1),IF(ROUND(100/Z31*AA31-100,1)&gt;999,999,-999)))</f>
        <v>-119.9</v>
      </c>
      <c r="AC31" s="435"/>
      <c r="AD31" s="275"/>
      <c r="AE31" s="275"/>
      <c r="AF31" s="275">
        <f t="shared" si="21"/>
        <v>-53577.288507369994</v>
      </c>
      <c r="AG31" s="275">
        <f t="shared" si="21"/>
        <v>7945.7002236914986</v>
      </c>
      <c r="AH31" s="275">
        <f t="shared" si="11"/>
        <v>-114.8</v>
      </c>
      <c r="AI31" s="275"/>
      <c r="AJ31" s="275"/>
      <c r="AK31" s="275"/>
    </row>
    <row r="32" spans="1:37" s="364" customFormat="1" ht="18.75" customHeight="1" x14ac:dyDescent="0.3">
      <c r="A32" s="427" t="s">
        <v>275</v>
      </c>
      <c r="B32" s="435">
        <v>-754.44655663999993</v>
      </c>
      <c r="C32" s="275">
        <v>-216.5</v>
      </c>
      <c r="D32" s="275">
        <f>IF(B32=0, "    ---- ", IF(ABS(ROUND(100/B32*C32-100,1))&lt;999,ROUND(100/B32*C32-100,1),IF(ROUND(100/B32*C32-100,1)&gt;999,999,-999)))</f>
        <v>-71.3</v>
      </c>
      <c r="E32" s="435">
        <v>-1.8913979999999999</v>
      </c>
      <c r="F32" s="275">
        <v>-0.48796587999999991</v>
      </c>
      <c r="G32" s="275">
        <f>IF(E32=0, "    ---- ", IF(ABS(ROUND(100/E32*F32-100,1))&lt;999,ROUND(100/E32*F32-100,1),IF(ROUND(100/E32*F32-100,1)&gt;999,999,-999)))</f>
        <v>-74.2</v>
      </c>
      <c r="H32" s="435"/>
      <c r="I32" s="275"/>
      <c r="J32" s="275"/>
      <c r="K32" s="435">
        <v>-19</v>
      </c>
      <c r="L32" s="275">
        <v>-24</v>
      </c>
      <c r="M32" s="275">
        <f t="shared" si="15"/>
        <v>26.3</v>
      </c>
      <c r="N32" s="435">
        <v>-18676.435654000001</v>
      </c>
      <c r="O32" s="275">
        <v>-168</v>
      </c>
      <c r="P32" s="275">
        <f>IF(N32=0, "    ---- ", IF(ABS(ROUND(100/N32*O32-100,1))&lt;999,ROUND(100/N32*O32-100,1),IF(ROUND(100/N32*O32-100,1)&gt;999,999,-999)))</f>
        <v>-99.1</v>
      </c>
      <c r="Q32" s="435">
        <v>-132.30279999999999</v>
      </c>
      <c r="R32" s="275">
        <v>-78.577600000000004</v>
      </c>
      <c r="S32" s="275">
        <f>IF(Q32=0, "    ---- ", IF(ABS(ROUND(100/Q32*R32-100,1))&lt;999,ROUND(100/Q32*R32-100,1),IF(ROUND(100/Q32*R32-100,1)&gt;999,999,-999)))</f>
        <v>-40.6</v>
      </c>
      <c r="T32" s="275">
        <v>-2551</v>
      </c>
      <c r="U32" s="275">
        <v>-31</v>
      </c>
      <c r="V32" s="275">
        <f>IF(T32=0, "    ---- ", IF(ABS(ROUND(100/T32*U32-100,1))&lt;999,ROUND(100/T32*U32-100,1),IF(ROUND(100/T32*U32-100,1)&gt;999,999,-999)))</f>
        <v>-98.8</v>
      </c>
      <c r="W32" s="435">
        <v>-295.20140500999997</v>
      </c>
      <c r="X32" s="275">
        <v>-97.83027988000002</v>
      </c>
      <c r="Y32" s="275">
        <f>IF(W32=0, "    ---- ", IF(ABS(ROUND(100/W32*X32-100,1))&lt;999,ROUND(100/W32*X32-100,1),IF(ROUND(100/W32*X32-100,1)&gt;999,999,-999)))</f>
        <v>-66.900000000000006</v>
      </c>
      <c r="Z32" s="435">
        <v>-1461.9278340000001</v>
      </c>
      <c r="AA32" s="275">
        <v>-218.40467000000001</v>
      </c>
      <c r="AB32" s="275">
        <f>IF(Z32=0, "    ---- ", IF(ABS(ROUND(100/Z32*AA32-100,1))&lt;999,ROUND(100/Z32*AA32-100,1),IF(ROUND(100/Z32*AA32-100,1)&gt;999,999,-999)))</f>
        <v>-85.1</v>
      </c>
      <c r="AC32" s="435"/>
      <c r="AD32" s="275"/>
      <c r="AE32" s="275"/>
      <c r="AF32" s="275">
        <f t="shared" si="21"/>
        <v>-23892.20564765</v>
      </c>
      <c r="AG32" s="275">
        <f t="shared" si="21"/>
        <v>-834.80051576000005</v>
      </c>
      <c r="AH32" s="275">
        <f t="shared" si="11"/>
        <v>-96.5</v>
      </c>
      <c r="AI32" s="275"/>
      <c r="AJ32" s="275"/>
      <c r="AK32" s="275"/>
    </row>
    <row r="33" spans="1:37" s="364" customFormat="1" ht="18.75" customHeight="1" x14ac:dyDescent="0.3">
      <c r="A33" s="427" t="s">
        <v>276</v>
      </c>
      <c r="B33" s="435">
        <v>-314.00940700000001</v>
      </c>
      <c r="C33" s="275">
        <v>-315.53800000000001</v>
      </c>
      <c r="D33" s="275">
        <f>IF(B33=0, "    ---- ", IF(ABS(ROUND(100/B33*C33-100,1))&lt;999,ROUND(100/B33*C33-100,1),IF(ROUND(100/B33*C33-100,1)&gt;999,999,-999)))</f>
        <v>0.5</v>
      </c>
      <c r="E33" s="435">
        <v>-242.85249782</v>
      </c>
      <c r="F33" s="275">
        <v>-256.65190959999995</v>
      </c>
      <c r="G33" s="275">
        <f>IF(E33=0, "    ---- ", IF(ABS(ROUND(100/E33*F33-100,1))&lt;999,ROUND(100/E33*F33-100,1),IF(ROUND(100/E33*F33-100,1)&gt;999,999,-999)))</f>
        <v>5.7</v>
      </c>
      <c r="H33" s="435">
        <v>-73.786000000000001</v>
      </c>
      <c r="I33" s="275">
        <v>-78.709000000000003</v>
      </c>
      <c r="J33" s="275">
        <f>IF(H33=0, "    ---- ", IF(ABS(ROUND(100/H33*I33-100,1))&lt;999,ROUND(100/H33*I33-100,1),IF(ROUND(100/H33*I33-100,1)&gt;999,999,-999)))</f>
        <v>6.7</v>
      </c>
      <c r="K33" s="435">
        <v>-111</v>
      </c>
      <c r="L33" s="275">
        <v>-136</v>
      </c>
      <c r="M33" s="275">
        <f>IF(K33=0, "    ---- ", IF(ABS(ROUND(100/K33*L33-100,1))&lt;999,ROUND(100/K33*L33-100,1),IF(ROUND(100/K33*L33-100,1)&gt;999,999,-999)))</f>
        <v>22.5</v>
      </c>
      <c r="N33" s="435">
        <v>-431.84198207999998</v>
      </c>
      <c r="O33" s="275">
        <v>-479.47274302999995</v>
      </c>
      <c r="P33" s="275">
        <f>IF(N33=0, "    ---- ", IF(ABS(ROUND(100/N33*O33-100,1))&lt;999,ROUND(100/N33*O33-100,1),IF(ROUND(100/N33*O33-100,1)&gt;999,999,-999)))</f>
        <v>11</v>
      </c>
      <c r="Q33" s="435">
        <v>-214.58930000000001</v>
      </c>
      <c r="R33" s="275">
        <v>-242.2227</v>
      </c>
      <c r="S33" s="275">
        <f>IF(Q33=0, "    ---- ", IF(ABS(ROUND(100/Q33*R33-100,1))&lt;999,ROUND(100/Q33*R33-100,1),IF(ROUND(100/Q33*R33-100,1)&gt;999,999,-999)))</f>
        <v>12.9</v>
      </c>
      <c r="T33" s="275"/>
      <c r="U33" s="275"/>
      <c r="V33" s="275"/>
      <c r="W33" s="435">
        <v>-218.37308411610002</v>
      </c>
      <c r="X33" s="275">
        <v>-246.40517062115947</v>
      </c>
      <c r="Y33" s="275">
        <f>IF(W33=0, "    ---- ", IF(ABS(ROUND(100/W33*X33-100,1))&lt;999,ROUND(100/W33*X33-100,1),IF(ROUND(100/W33*X33-100,1)&gt;999,999,-999)))</f>
        <v>12.8</v>
      </c>
      <c r="Z33" s="435">
        <v>-426.99523696</v>
      </c>
      <c r="AA33" s="275">
        <v>-476.76687379999998</v>
      </c>
      <c r="AB33" s="275">
        <f>IF(Z33=0, "    ---- ", IF(ABS(ROUND(100/Z33*AA33-100,1))&lt;999,ROUND(100/Z33*AA33-100,1),IF(ROUND(100/Z33*AA33-100,1)&gt;999,999,-999)))</f>
        <v>11.7</v>
      </c>
      <c r="AC33" s="435">
        <v>-22</v>
      </c>
      <c r="AD33" s="275">
        <v>-20</v>
      </c>
      <c r="AE33" s="275">
        <f>IF(AC33=0, "    ---- ", IF(ABS(ROUND(100/AC33*AD33-100,1))&lt;999,ROUND(100/AC33*AD33-100,1),IF(ROUND(100/AC33*AD33-100,1)&gt;999,999,-999)))</f>
        <v>-9.1</v>
      </c>
      <c r="AF33" s="275">
        <f t="shared" si="21"/>
        <v>-2033.4475079761003</v>
      </c>
      <c r="AG33" s="275">
        <f t="shared" si="21"/>
        <v>-2231.7663970511594</v>
      </c>
      <c r="AH33" s="275">
        <f t="shared" si="11"/>
        <v>9.8000000000000007</v>
      </c>
      <c r="AI33" s="275"/>
      <c r="AJ33" s="275"/>
      <c r="AK33" s="275"/>
    </row>
    <row r="34" spans="1:37" s="364" customFormat="1" ht="18.75" customHeight="1" x14ac:dyDescent="0.3">
      <c r="A34" s="427" t="s">
        <v>277</v>
      </c>
      <c r="B34" s="147">
        <v>-0.7157779700000001</v>
      </c>
      <c r="C34" s="352">
        <v>3.19</v>
      </c>
      <c r="D34" s="352">
        <f>IF(B34=0, "    ---- ", IF(ABS(ROUND(100/B34*C34-100,1))&lt;999,ROUND(100/B34*C34-100,1),IF(ROUND(100/B34*C34-100,1)&gt;999,999,-999)))</f>
        <v>-545.70000000000005</v>
      </c>
      <c r="E34" s="147">
        <v>-4.2534963299999999</v>
      </c>
      <c r="F34" s="352">
        <v>-2.1313138999999999</v>
      </c>
      <c r="G34" s="275">
        <f>IF(E34=0, "    ---- ", IF(ABS(ROUND(100/E34*F34-100,1))&lt;999,ROUND(100/E34*F34-100,1),IF(ROUND(100/E34*F34-100,1)&gt;999,999,-999)))</f>
        <v>-49.9</v>
      </c>
      <c r="H34" s="147"/>
      <c r="I34" s="352"/>
      <c r="J34" s="352"/>
      <c r="K34" s="147"/>
      <c r="L34" s="352"/>
      <c r="M34" s="352"/>
      <c r="N34" s="147">
        <v>-353.59179799999998</v>
      </c>
      <c r="O34" s="352">
        <v>-373.75486599999999</v>
      </c>
      <c r="P34" s="352">
        <f>IF(N34=0, "    ---- ", IF(ABS(ROUND(100/N34*O34-100,1))&lt;999,ROUND(100/N34*O34-100,1),IF(ROUND(100/N34*O34-100,1)&gt;999,999,-999)))</f>
        <v>5.7</v>
      </c>
      <c r="Q34" s="147">
        <v>-5.6560694199999997</v>
      </c>
      <c r="R34" s="352">
        <v>-5.0232928499999998</v>
      </c>
      <c r="S34" s="352">
        <f>IF(Q34=0, "    ---- ", IF(ABS(ROUND(100/Q34*R34-100,1))&lt;999,ROUND(100/Q34*R34-100,1),IF(ROUND(100/Q34*R34-100,1)&gt;999,999,-999)))</f>
        <v>-11.2</v>
      </c>
      <c r="T34" s="352">
        <v>-70</v>
      </c>
      <c r="U34" s="352">
        <v>-70</v>
      </c>
      <c r="V34" s="275">
        <f>IF(T34=0, "    ---- ", IF(ABS(ROUND(100/T34*U34-100,1))&lt;999,ROUND(100/T34*U34-100,1),IF(ROUND(100/T34*U34-100,1)&gt;999,999,-999)))</f>
        <v>0</v>
      </c>
      <c r="W34" s="147">
        <v>-0.24926010999999998</v>
      </c>
      <c r="X34" s="352">
        <v>-0.5030213899999999</v>
      </c>
      <c r="Y34" s="352">
        <f>IF(W34=0, "    ---- ", IF(ABS(ROUND(100/W34*X34-100,1))&lt;999,ROUND(100/W34*X34-100,1),IF(ROUND(100/W34*X34-100,1)&gt;999,999,-999)))</f>
        <v>101.8</v>
      </c>
      <c r="Z34" s="147">
        <v>-11.951217390000728</v>
      </c>
      <c r="AA34" s="352">
        <v>-10.081334919999811</v>
      </c>
      <c r="AB34" s="352">
        <f>IF(Z34=0, "    ---- ", IF(ABS(ROUND(100/Z34*AA34-100,1))&lt;999,ROUND(100/Z34*AA34-100,1),IF(ROUND(100/Z34*AA34-100,1)&gt;999,999,-999)))</f>
        <v>-15.6</v>
      </c>
      <c r="AC34" s="147"/>
      <c r="AD34" s="352"/>
      <c r="AE34" s="352"/>
      <c r="AF34" s="275">
        <f t="shared" si="21"/>
        <v>-446.41761922000074</v>
      </c>
      <c r="AG34" s="275">
        <f t="shared" si="21"/>
        <v>-458.30382905999983</v>
      </c>
      <c r="AH34" s="352">
        <f t="shared" si="11"/>
        <v>2.7</v>
      </c>
      <c r="AI34" s="352"/>
      <c r="AJ34" s="352"/>
      <c r="AK34" s="352"/>
    </row>
    <row r="35" spans="1:37" s="372" customFormat="1" ht="18.75" customHeight="1" x14ac:dyDescent="0.3">
      <c r="A35" s="438" t="s">
        <v>278</v>
      </c>
      <c r="B35" s="150">
        <f>SUM(B14+B15+B16+B17+B21+B30+B31+B32+B33+B34)</f>
        <v>203.01622076000066</v>
      </c>
      <c r="C35" s="356">
        <f>SUM(C14+C15+C16+C17+C21+C30+C31+C32+C33+C34)</f>
        <v>385.61599999999993</v>
      </c>
      <c r="D35" s="357">
        <f>IF(B35=0, "    ---- ", IF(ABS(ROUND(100/B35*C35-100,1))&lt;999,ROUND(100/B35*C35-100,1),IF(ROUND(100/B35*C35-100,1)&gt;999,999,-999)))</f>
        <v>89.9</v>
      </c>
      <c r="E35" s="150">
        <f>SUM(E14+E15+E16+E17+E21+E30+E31+E32+E33+E34)</f>
        <v>250.53342615000005</v>
      </c>
      <c r="F35" s="356">
        <f>SUM(F14+F15+F16+F17+F21+F30+F31+F32+F33+F34)</f>
        <v>261.55400649999967</v>
      </c>
      <c r="G35" s="357">
        <f>IF(E35=0, "    ---- ", IF(ABS(ROUND(100/E35*F35-100,1))&lt;999,ROUND(100/E35*F35-100,1),IF(ROUND(100/E35*F35-100,1)&gt;999,999,-999)))</f>
        <v>4.4000000000000004</v>
      </c>
      <c r="H35" s="150">
        <f>SUM(H14+H15+H16+H17+H21+H30+H31+H32+H33+H34)</f>
        <v>40.828000000000145</v>
      </c>
      <c r="I35" s="356">
        <f>SUM(I14+I15+I16+I17+I21+I30+I31+I32+I33+I34)</f>
        <v>13.536999999999864</v>
      </c>
      <c r="J35" s="357">
        <f>IF(H35=0, "    ---- ", IF(ABS(ROUND(100/H35*I35-100,1))&lt;999,ROUND(100/H35*I35-100,1),IF(ROUND(100/H35*I35-100,1)&gt;999,999,-999)))</f>
        <v>-66.8</v>
      </c>
      <c r="K35" s="150">
        <f>SUM(K14+K15+K16+K17+K21+K30+K31+K32+K33+K34)</f>
        <v>53</v>
      </c>
      <c r="L35" s="356">
        <f>SUM(L14+L15+L16+L17+L21+L30+L31+L32+L33+L34)</f>
        <v>57</v>
      </c>
      <c r="M35" s="357">
        <f>IF(K35=0, "    ---- ", IF(ABS(ROUND(100/K35*L35-100,1))&lt;999,ROUND(100/K35*L35-100,1),IF(ROUND(100/K35*L35-100,1)&gt;999,999,-999)))</f>
        <v>7.5</v>
      </c>
      <c r="N35" s="150">
        <f>SUM(N14+N15+N16+N17+N21+N30+N31+N32+N33+N34)</f>
        <v>106.67419662000106</v>
      </c>
      <c r="O35" s="356">
        <v>-27.018191800000409</v>
      </c>
      <c r="P35" s="357">
        <f>IF(N35=0, "    ---- ", IF(ABS(ROUND(100/N35*O35-100,1))&lt;999,ROUND(100/N35*O35-100,1),IF(ROUND(100/N35*O35-100,1)&gt;999,999,-999)))</f>
        <v>-125.3</v>
      </c>
      <c r="Q35" s="150">
        <f>SUM(Q14+Q15+Q16+Q17+Q21+Q30+Q31+Q32+Q33+Q34)</f>
        <v>334.05483058000107</v>
      </c>
      <c r="R35" s="356">
        <f>SUM(R14+R15+R16+R17+R21+R30+R31+R32+R33+R34)</f>
        <v>278.40530714999824</v>
      </c>
      <c r="S35" s="357">
        <f>IF(Q35=0, "    ---- ", IF(ABS(ROUND(100/Q35*R35-100,1))&lt;999,ROUND(100/Q35*R35-100,1),IF(ROUND(100/Q35*R35-100,1)&gt;999,999,-999)))</f>
        <v>-16.7</v>
      </c>
      <c r="T35" s="356">
        <v>125</v>
      </c>
      <c r="U35" s="356">
        <v>119</v>
      </c>
      <c r="V35" s="357">
        <f>IF(T35=0, "    ---- ", IF(ABS(ROUND(100/T35*U35-100,1))&lt;999,ROUND(100/T35*U35-100,1),IF(ROUND(100/T35*U35-100,1)&gt;999,999,-999)))</f>
        <v>-4.8</v>
      </c>
      <c r="W35" s="150">
        <f>SUM(W14+W15+W16+W17+W21+W30+W31+W32+W33+W34)</f>
        <v>41.797078043899511</v>
      </c>
      <c r="X35" s="356">
        <f>SUM(X14+X15+X16+X17+X21+X30+X31+X32+X33+X34)</f>
        <v>14.211625678842907</v>
      </c>
      <c r="Y35" s="357">
        <f>IF(W35=0, "    ---- ", IF(ABS(ROUND(100/W35*X35-100,1))&lt;999,ROUND(100/W35*X35-100,1),IF(ROUND(100/W35*X35-100,1)&gt;999,999,-999)))</f>
        <v>-66</v>
      </c>
      <c r="Z35" s="150">
        <f>SUM(Z14+Z15+Z16+Z17+Z21+Z30+Z31+Z32+Z33+Z34)</f>
        <v>445.5694899400014</v>
      </c>
      <c r="AA35" s="356">
        <f>SUM(AA14+AA15+AA16+AA17+AA21+AA30+AA31+AA32+AA33+AA34)</f>
        <v>375.02143076147843</v>
      </c>
      <c r="AB35" s="357">
        <f>IF(Z35=0, "    ---- ", IF(ABS(ROUND(100/Z35*AA35-100,1))&lt;999,ROUND(100/Z35*AA35-100,1),IF(ROUND(100/Z35*AA35-100,1)&gt;999,999,-999)))</f>
        <v>-15.8</v>
      </c>
      <c r="AC35" s="150">
        <f>SUM(AC14+AC15+AC16+AC17+AC21+AC30+AC31+AC32+AC33+AC34)</f>
        <v>-13</v>
      </c>
      <c r="AD35" s="356">
        <f>SUM(AD14+AD15+AD16+AD17+AD21+AD30+AD31+AD32+AD33+AD34)</f>
        <v>-2</v>
      </c>
      <c r="AE35" s="357">
        <f>IF(AC35=0, "    ---- ", IF(ABS(ROUND(100/AC35*AD35-100,1))&lt;999,ROUND(100/AC35*AD35-100,1),IF(ROUND(100/AC35*AD35-100,1)&gt;999,999,-999)))</f>
        <v>-84.6</v>
      </c>
      <c r="AF35" s="357">
        <f t="shared" si="21"/>
        <v>1600.473242093904</v>
      </c>
      <c r="AG35" s="357">
        <f t="shared" si="21"/>
        <v>1477.3271782903184</v>
      </c>
      <c r="AH35" s="357">
        <f t="shared" si="11"/>
        <v>-7.7</v>
      </c>
      <c r="AI35" s="357"/>
      <c r="AJ35" s="357"/>
      <c r="AK35" s="357"/>
    </row>
    <row r="36" spans="1:37" s="372" customFormat="1" ht="18.75" customHeight="1" x14ac:dyDescent="0.3">
      <c r="A36" s="439"/>
      <c r="B36" s="529"/>
      <c r="C36" s="379"/>
      <c r="D36" s="350"/>
      <c r="E36" s="529"/>
      <c r="F36" s="379"/>
      <c r="G36" s="350"/>
      <c r="H36" s="529"/>
      <c r="I36" s="379"/>
      <c r="J36" s="350"/>
      <c r="K36" s="529"/>
      <c r="L36" s="379"/>
      <c r="M36" s="350"/>
      <c r="N36" s="529"/>
      <c r="O36" s="379"/>
      <c r="P36" s="350"/>
      <c r="Q36" s="529"/>
      <c r="R36" s="379"/>
      <c r="S36" s="350"/>
      <c r="T36" s="379"/>
      <c r="U36" s="379"/>
      <c r="V36" s="350"/>
      <c r="W36" s="529"/>
      <c r="X36" s="379"/>
      <c r="Y36" s="440"/>
      <c r="Z36" s="529"/>
      <c r="AA36" s="379"/>
      <c r="AB36" s="440"/>
      <c r="AC36" s="529"/>
      <c r="AD36" s="379"/>
      <c r="AE36" s="440"/>
      <c r="AF36" s="440"/>
      <c r="AG36" s="440"/>
      <c r="AH36" s="440"/>
      <c r="AI36" s="441"/>
      <c r="AJ36" s="442"/>
      <c r="AK36" s="443"/>
    </row>
    <row r="37" spans="1:37" s="372" customFormat="1" ht="18.75" customHeight="1" x14ac:dyDescent="0.3">
      <c r="A37" s="429" t="s">
        <v>279</v>
      </c>
      <c r="B37" s="529"/>
      <c r="C37" s="379"/>
      <c r="D37" s="350"/>
      <c r="E37" s="529"/>
      <c r="F37" s="379"/>
      <c r="G37" s="350"/>
      <c r="H37" s="529"/>
      <c r="I37" s="379"/>
      <c r="J37" s="350"/>
      <c r="K37" s="529"/>
      <c r="L37" s="379"/>
      <c r="M37" s="350"/>
      <c r="N37" s="529"/>
      <c r="O37" s="379"/>
      <c r="P37" s="350"/>
      <c r="Q37" s="529"/>
      <c r="R37" s="379"/>
      <c r="S37" s="350"/>
      <c r="T37" s="379"/>
      <c r="U37" s="379"/>
      <c r="V37" s="350"/>
      <c r="W37" s="529"/>
      <c r="X37" s="379"/>
      <c r="Y37" s="350"/>
      <c r="Z37" s="529"/>
      <c r="AA37" s="379"/>
      <c r="AB37" s="350"/>
      <c r="AC37" s="529"/>
      <c r="AD37" s="379"/>
      <c r="AE37" s="350"/>
      <c r="AF37" s="350"/>
      <c r="AG37" s="350"/>
      <c r="AH37" s="350"/>
      <c r="AI37" s="444"/>
      <c r="AJ37" s="445"/>
      <c r="AK37" s="446"/>
    </row>
    <row r="38" spans="1:37" s="362" customFormat="1" ht="18.75" customHeight="1" x14ac:dyDescent="0.3">
      <c r="A38" s="427" t="s">
        <v>280</v>
      </c>
      <c r="B38" s="530">
        <v>385.91728004999999</v>
      </c>
      <c r="C38" s="374">
        <v>313.089</v>
      </c>
      <c r="D38" s="275">
        <f t="shared" ref="D38:D44" si="22">IF(B38=0, "    ---- ", IF(ABS(ROUND(100/B38*C38-100,1))&lt;999,ROUND(100/B38*C38-100,1),IF(ROUND(100/B38*C38-100,1)&gt;999,999,-999)))</f>
        <v>-18.899999999999999</v>
      </c>
      <c r="E38" s="530">
        <v>30.874597970000003</v>
      </c>
      <c r="F38" s="374">
        <v>41.08743157</v>
      </c>
      <c r="G38" s="275">
        <f t="shared" ref="G38:G44" si="23">IF(E38=0, "    ---- ", IF(ABS(ROUND(100/E38*F38-100,1))&lt;999,ROUND(100/E38*F38-100,1),IF(ROUND(100/E38*F38-100,1)&gt;999,999,-999)))</f>
        <v>33.1</v>
      </c>
      <c r="H38" s="530">
        <v>7.27</v>
      </c>
      <c r="I38" s="374">
        <v>5.9290000000000003</v>
      </c>
      <c r="J38" s="275">
        <f t="shared" ref="J38:J44" si="24">IF(H38=0, "    ---- ", IF(ABS(ROUND(100/H38*I38-100,1))&lt;999,ROUND(100/H38*I38-100,1),IF(ROUND(100/H38*I38-100,1)&gt;999,999,-999)))</f>
        <v>-18.399999999999999</v>
      </c>
      <c r="K38" s="530">
        <v>13</v>
      </c>
      <c r="L38" s="374">
        <v>15</v>
      </c>
      <c r="M38" s="275">
        <f t="shared" ref="M38:M44" si="25">IF(K38=0, "    ---- ", IF(ABS(ROUND(100/K38*L38-100,1))&lt;999,ROUND(100/K38*L38-100,1),IF(ROUND(100/K38*L38-100,1)&gt;999,999,-999)))</f>
        <v>15.4</v>
      </c>
      <c r="N38" s="530">
        <v>146.34920609</v>
      </c>
      <c r="O38" s="374">
        <v>280.92283916000002</v>
      </c>
      <c r="P38" s="275">
        <f t="shared" ref="P38:P45" si="26">IF(N38=0, "    ---- ", IF(ABS(ROUND(100/N38*O38-100,1))&lt;999,ROUND(100/N38*O38-100,1),IF(ROUND(100/N38*O38-100,1)&gt;999,999,-999)))</f>
        <v>92</v>
      </c>
      <c r="Q38" s="530">
        <v>148.52000000000001</v>
      </c>
      <c r="R38" s="374">
        <v>127.29</v>
      </c>
      <c r="S38" s="275">
        <f t="shared" ref="S38:S45" si="27">IF(Q38=0, "    ---- ", IF(ABS(ROUND(100/Q38*R38-100,1))&lt;999,ROUND(100/Q38*R38-100,1),IF(ROUND(100/Q38*R38-100,1)&gt;999,999,-999)))</f>
        <v>-14.3</v>
      </c>
      <c r="T38" s="374">
        <v>212</v>
      </c>
      <c r="U38" s="374">
        <v>77</v>
      </c>
      <c r="V38" s="275">
        <f t="shared" ref="V38:V44" si="28">IF(T38=0, "    ---- ", IF(ABS(ROUND(100/T38*U38-100,1))&lt;999,ROUND(100/T38*U38-100,1),IF(ROUND(100/T38*U38-100,1)&gt;999,999,-999)))</f>
        <v>-63.7</v>
      </c>
      <c r="W38" s="530">
        <v>55.015957809999314</v>
      </c>
      <c r="X38" s="374">
        <v>66.765888909987979</v>
      </c>
      <c r="Y38" s="275">
        <f t="shared" ref="Y38:Y44" si="29">IF(W38=0, "    ---- ", IF(ABS(ROUND(100/W38*X38-100,1))&lt;999,ROUND(100/W38*X38-100,1),IF(ROUND(100/W38*X38-100,1)&gt;999,999,-999)))</f>
        <v>21.4</v>
      </c>
      <c r="Z38" s="530">
        <v>1301.0966150400002</v>
      </c>
      <c r="AA38" s="374">
        <v>1480.5390086699999</v>
      </c>
      <c r="AB38" s="275">
        <f t="shared" ref="AB38:AB45" si="30">IF(Z38=0, "    ---- ", IF(ABS(ROUND(100/Z38*AA38-100,1))&lt;999,ROUND(100/Z38*AA38-100,1),IF(ROUND(100/Z38*AA38-100,1)&gt;999,999,-999)))</f>
        <v>13.8</v>
      </c>
      <c r="AC38" s="530"/>
      <c r="AD38" s="374">
        <v>1</v>
      </c>
      <c r="AE38" s="275" t="str">
        <f t="shared" ref="AE38:AE44" si="31">IF(AC38=0, "    ---- ", IF(ABS(ROUND(100/AC38*AD38-100,1))&lt;999,ROUND(100/AC38*AD38-100,1),IF(ROUND(100/AC38*AD38-100,1)&gt;999,999,-999)))</f>
        <v xml:space="preserve">    ---- </v>
      </c>
      <c r="AF38" s="275">
        <f t="shared" ref="AF38:AG46" si="32">B38+E38+H38+K38+N38+Q38+T38+W38+Z38</f>
        <v>2300.0436569599997</v>
      </c>
      <c r="AG38" s="275">
        <f t="shared" si="32"/>
        <v>2407.6231683099877</v>
      </c>
      <c r="AH38" s="275">
        <f t="shared" si="11"/>
        <v>4.7</v>
      </c>
      <c r="AI38" s="436"/>
      <c r="AJ38" s="447"/>
      <c r="AK38" s="386"/>
    </row>
    <row r="39" spans="1:37" s="362" customFormat="1" ht="18.75" customHeight="1" x14ac:dyDescent="0.3">
      <c r="A39" s="427" t="s">
        <v>281</v>
      </c>
      <c r="B39" s="530">
        <v>2.4251109999999998</v>
      </c>
      <c r="C39" s="374">
        <v>2.4809999999999999</v>
      </c>
      <c r="D39" s="275">
        <f t="shared" si="22"/>
        <v>2.2999999999999998</v>
      </c>
      <c r="E39" s="530"/>
      <c r="F39" s="374"/>
      <c r="G39" s="275"/>
      <c r="H39" s="530"/>
      <c r="I39" s="374"/>
      <c r="J39" s="275"/>
      <c r="K39" s="530"/>
      <c r="L39" s="374"/>
      <c r="M39" s="275"/>
      <c r="N39" s="530">
        <v>13.335651840000001</v>
      </c>
      <c r="O39" s="374">
        <v>17.371972739999997</v>
      </c>
      <c r="P39" s="275">
        <f t="shared" si="26"/>
        <v>30.3</v>
      </c>
      <c r="Q39" s="530">
        <v>0.15</v>
      </c>
      <c r="R39" s="374">
        <v>0.27</v>
      </c>
      <c r="S39" s="275">
        <f t="shared" si="27"/>
        <v>80</v>
      </c>
      <c r="T39" s="374">
        <v>11</v>
      </c>
      <c r="U39" s="374">
        <v>0</v>
      </c>
      <c r="V39" s="275">
        <f t="shared" si="28"/>
        <v>-100</v>
      </c>
      <c r="W39" s="530">
        <v>6.6608285199999999</v>
      </c>
      <c r="X39" s="374">
        <v>8.7281759999999995</v>
      </c>
      <c r="Y39" s="275">
        <f t="shared" si="29"/>
        <v>31</v>
      </c>
      <c r="Z39" s="530">
        <v>24.466638220000004</v>
      </c>
      <c r="AA39" s="374">
        <v>14.597076270000002</v>
      </c>
      <c r="AB39" s="275">
        <f t="shared" si="30"/>
        <v>-40.299999999999997</v>
      </c>
      <c r="AC39" s="530"/>
      <c r="AD39" s="374"/>
      <c r="AE39" s="275"/>
      <c r="AF39" s="275">
        <f t="shared" si="32"/>
        <v>58.038229580000007</v>
      </c>
      <c r="AG39" s="275">
        <f t="shared" si="32"/>
        <v>43.448225010000002</v>
      </c>
      <c r="AH39" s="275">
        <f t="shared" si="11"/>
        <v>-25.1</v>
      </c>
      <c r="AI39" s="275"/>
      <c r="AJ39" s="448"/>
      <c r="AK39" s="275"/>
    </row>
    <row r="40" spans="1:37" s="362" customFormat="1" ht="18.75" customHeight="1" x14ac:dyDescent="0.3">
      <c r="A40" s="427" t="s">
        <v>282</v>
      </c>
      <c r="B40" s="530">
        <v>-133.13993366999998</v>
      </c>
      <c r="C40" s="374">
        <v>-127.57</v>
      </c>
      <c r="D40" s="275">
        <f t="shared" si="22"/>
        <v>-4.2</v>
      </c>
      <c r="E40" s="530">
        <v>-9.9952983999999994</v>
      </c>
      <c r="F40" s="374">
        <v>-9.5727980400000003</v>
      </c>
      <c r="G40" s="275">
        <f t="shared" si="23"/>
        <v>-4.2</v>
      </c>
      <c r="H40" s="530"/>
      <c r="I40" s="374"/>
      <c r="J40" s="275"/>
      <c r="K40" s="530">
        <v>-5</v>
      </c>
      <c r="L40" s="374">
        <v>-5</v>
      </c>
      <c r="M40" s="275">
        <f t="shared" si="25"/>
        <v>0</v>
      </c>
      <c r="N40" s="530">
        <v>-83.789467510000009</v>
      </c>
      <c r="O40" s="374">
        <v>-66.621284340000003</v>
      </c>
      <c r="P40" s="275">
        <f t="shared" si="26"/>
        <v>-20.5</v>
      </c>
      <c r="Q40" s="530">
        <v>-51.27</v>
      </c>
      <c r="R40" s="374">
        <v>-50.25</v>
      </c>
      <c r="S40" s="275">
        <f t="shared" si="27"/>
        <v>-2</v>
      </c>
      <c r="T40" s="374">
        <v>-7</v>
      </c>
      <c r="U40" s="374">
        <v>-8</v>
      </c>
      <c r="V40" s="275">
        <f t="shared" si="28"/>
        <v>14.3</v>
      </c>
      <c r="W40" s="530">
        <v>-3.1362876139000013</v>
      </c>
      <c r="X40" s="374">
        <v>-2.5235741488404884</v>
      </c>
      <c r="Y40" s="275">
        <f t="shared" si="29"/>
        <v>-19.5</v>
      </c>
      <c r="Z40" s="530">
        <v>-246.16708273000003</v>
      </c>
      <c r="AA40" s="374">
        <v>-234.42313262999997</v>
      </c>
      <c r="AB40" s="275">
        <f t="shared" si="30"/>
        <v>-4.8</v>
      </c>
      <c r="AC40" s="530"/>
      <c r="AD40" s="374"/>
      <c r="AE40" s="275"/>
      <c r="AF40" s="275">
        <f t="shared" si="32"/>
        <v>-539.49806992389995</v>
      </c>
      <c r="AG40" s="275">
        <f t="shared" si="32"/>
        <v>-503.9607891588405</v>
      </c>
      <c r="AH40" s="275">
        <f t="shared" si="11"/>
        <v>-6.6</v>
      </c>
      <c r="AI40" s="275"/>
      <c r="AJ40" s="448"/>
      <c r="AK40" s="275"/>
    </row>
    <row r="41" spans="1:37" s="450" customFormat="1" ht="18.75" customHeight="1" x14ac:dyDescent="0.3">
      <c r="A41" s="439" t="s">
        <v>283</v>
      </c>
      <c r="B41" s="529">
        <f>SUM(B38:B40)</f>
        <v>255.20245738000003</v>
      </c>
      <c r="C41" s="379">
        <f>SUM(C38:C40)</f>
        <v>188</v>
      </c>
      <c r="D41" s="350">
        <f t="shared" si="22"/>
        <v>-26.3</v>
      </c>
      <c r="E41" s="529">
        <f>SUM(E38:E40)</f>
        <v>20.879299570000004</v>
      </c>
      <c r="F41" s="379">
        <f>SUM(F38:F40)</f>
        <v>31.514633529999998</v>
      </c>
      <c r="G41" s="350">
        <f t="shared" si="23"/>
        <v>50.9</v>
      </c>
      <c r="H41" s="529">
        <f>SUM(H38:H40)</f>
        <v>7.27</v>
      </c>
      <c r="I41" s="379">
        <f>SUM(I38:I40)</f>
        <v>5.9290000000000003</v>
      </c>
      <c r="J41" s="350">
        <f t="shared" si="24"/>
        <v>-18.399999999999999</v>
      </c>
      <c r="K41" s="529">
        <f>SUM(K38:K40)</f>
        <v>8</v>
      </c>
      <c r="L41" s="379">
        <f>SUM(L38:L40)</f>
        <v>10</v>
      </c>
      <c r="M41" s="350">
        <f t="shared" si="25"/>
        <v>25</v>
      </c>
      <c r="N41" s="529">
        <f>SUM(N38:N40)</f>
        <v>75.895390419999984</v>
      </c>
      <c r="O41" s="379">
        <v>231.67352756000003</v>
      </c>
      <c r="P41" s="350">
        <f t="shared" si="26"/>
        <v>205.3</v>
      </c>
      <c r="Q41" s="529">
        <f>SUM(Q38:Q40)</f>
        <v>97.4</v>
      </c>
      <c r="R41" s="379">
        <f>SUM(R38:R40)</f>
        <v>77.31</v>
      </c>
      <c r="S41" s="350">
        <f t="shared" si="27"/>
        <v>-20.6</v>
      </c>
      <c r="T41" s="379">
        <v>216</v>
      </c>
      <c r="U41" s="379">
        <v>69</v>
      </c>
      <c r="V41" s="350">
        <f t="shared" si="28"/>
        <v>-68.099999999999994</v>
      </c>
      <c r="W41" s="529">
        <f>SUM(W38:W40)</f>
        <v>58.540498716099314</v>
      </c>
      <c r="X41" s="379">
        <f>SUM(X38:X40)</f>
        <v>72.970490761147488</v>
      </c>
      <c r="Y41" s="350">
        <f t="shared" si="29"/>
        <v>24.6</v>
      </c>
      <c r="Z41" s="529">
        <f>SUM(Z38:Z40)</f>
        <v>1079.3961705300003</v>
      </c>
      <c r="AA41" s="379">
        <f>SUM(AA38:AA40)</f>
        <v>1260.7129523099998</v>
      </c>
      <c r="AB41" s="350">
        <f t="shared" si="30"/>
        <v>16.8</v>
      </c>
      <c r="AC41" s="529"/>
      <c r="AD41" s="379">
        <f>SUM(AD38:AD40)</f>
        <v>1</v>
      </c>
      <c r="AE41" s="350" t="str">
        <f t="shared" si="31"/>
        <v xml:space="preserve">    ---- </v>
      </c>
      <c r="AF41" s="350">
        <f t="shared" si="32"/>
        <v>1818.5838166160997</v>
      </c>
      <c r="AG41" s="350">
        <f t="shared" si="32"/>
        <v>1947.1106041611474</v>
      </c>
      <c r="AH41" s="350">
        <f t="shared" si="11"/>
        <v>7.1</v>
      </c>
      <c r="AI41" s="350"/>
      <c r="AJ41" s="449"/>
      <c r="AK41" s="350"/>
    </row>
    <row r="42" spans="1:37" s="450" customFormat="1" ht="18.75" customHeight="1" x14ac:dyDescent="0.3">
      <c r="A42" s="439" t="s">
        <v>284</v>
      </c>
      <c r="B42" s="529">
        <f>B35+B41</f>
        <v>458.21867814000069</v>
      </c>
      <c r="C42" s="379">
        <f>C35+C41</f>
        <v>573.61599999999999</v>
      </c>
      <c r="D42" s="350">
        <f t="shared" si="22"/>
        <v>25.2</v>
      </c>
      <c r="E42" s="529">
        <f>E35+E41</f>
        <v>271.41272572000008</v>
      </c>
      <c r="F42" s="379">
        <f>F35+F41</f>
        <v>293.06864002999964</v>
      </c>
      <c r="G42" s="350">
        <f t="shared" si="23"/>
        <v>8</v>
      </c>
      <c r="H42" s="529">
        <f>H35+H41</f>
        <v>48.098000000000141</v>
      </c>
      <c r="I42" s="379">
        <f>I35+I41</f>
        <v>19.465999999999866</v>
      </c>
      <c r="J42" s="350">
        <f t="shared" si="24"/>
        <v>-59.5</v>
      </c>
      <c r="K42" s="529">
        <f>K35+K41</f>
        <v>61</v>
      </c>
      <c r="L42" s="379">
        <f>L35+L41</f>
        <v>67</v>
      </c>
      <c r="M42" s="350">
        <f t="shared" si="25"/>
        <v>9.8000000000000007</v>
      </c>
      <c r="N42" s="529">
        <f>N35+N41</f>
        <v>182.56958704000104</v>
      </c>
      <c r="O42" s="379">
        <v>204.65533575999962</v>
      </c>
      <c r="P42" s="350">
        <f t="shared" si="26"/>
        <v>12.1</v>
      </c>
      <c r="Q42" s="529">
        <f>Q35+Q41</f>
        <v>431.45483058000104</v>
      </c>
      <c r="R42" s="379">
        <f>R35+R41</f>
        <v>355.71530714999824</v>
      </c>
      <c r="S42" s="350">
        <f t="shared" si="27"/>
        <v>-17.600000000000001</v>
      </c>
      <c r="T42" s="379">
        <v>341</v>
      </c>
      <c r="U42" s="379">
        <v>188</v>
      </c>
      <c r="V42" s="350">
        <f t="shared" si="28"/>
        <v>-44.9</v>
      </c>
      <c r="W42" s="529">
        <f>W35+W41</f>
        <v>100.33757675999883</v>
      </c>
      <c r="X42" s="379">
        <f>X35+X41</f>
        <v>87.182116439990395</v>
      </c>
      <c r="Y42" s="350">
        <f t="shared" si="29"/>
        <v>-13.1</v>
      </c>
      <c r="Z42" s="529">
        <f>Z35+Z41</f>
        <v>1524.9656604700017</v>
      </c>
      <c r="AA42" s="379">
        <f>AA35+AA41</f>
        <v>1635.7343830714781</v>
      </c>
      <c r="AB42" s="350">
        <f t="shared" si="30"/>
        <v>7.3</v>
      </c>
      <c r="AC42" s="529">
        <f>AC35+AC41</f>
        <v>-13</v>
      </c>
      <c r="AD42" s="379">
        <f>AD35+AD41</f>
        <v>-1</v>
      </c>
      <c r="AE42" s="350">
        <f t="shared" si="31"/>
        <v>-92.3</v>
      </c>
      <c r="AF42" s="350">
        <f t="shared" si="32"/>
        <v>3419.0570587100037</v>
      </c>
      <c r="AG42" s="350">
        <f t="shared" si="32"/>
        <v>3424.4377824514659</v>
      </c>
      <c r="AH42" s="350">
        <f t="shared" si="11"/>
        <v>0.2</v>
      </c>
      <c r="AI42" s="350"/>
      <c r="AJ42" s="449"/>
      <c r="AK42" s="350"/>
    </row>
    <row r="43" spans="1:37" s="362" customFormat="1" ht="18.75" customHeight="1" x14ac:dyDescent="0.3">
      <c r="A43" s="427" t="s">
        <v>285</v>
      </c>
      <c r="B43" s="530">
        <v>-91.715577999999994</v>
      </c>
      <c r="C43" s="374">
        <v>-145.96700000000001</v>
      </c>
      <c r="D43" s="275">
        <f t="shared" si="22"/>
        <v>59.2</v>
      </c>
      <c r="E43" s="530">
        <v>-71.802947549999999</v>
      </c>
      <c r="F43" s="374">
        <v>-75.672979639999994</v>
      </c>
      <c r="G43" s="275">
        <f t="shared" si="23"/>
        <v>5.4</v>
      </c>
      <c r="H43" s="530">
        <v>-11.887</v>
      </c>
      <c r="I43" s="374">
        <v>-4.8170000000000002</v>
      </c>
      <c r="J43" s="275">
        <f t="shared" si="24"/>
        <v>-59.5</v>
      </c>
      <c r="K43" s="530">
        <v>-15</v>
      </c>
      <c r="L43" s="374">
        <v>-17</v>
      </c>
      <c r="M43" s="275">
        <f t="shared" si="25"/>
        <v>13.3</v>
      </c>
      <c r="N43" s="530">
        <v>-93.139680474999992</v>
      </c>
      <c r="O43" s="374">
        <v>-54.847311474999998</v>
      </c>
      <c r="P43" s="275">
        <f t="shared" si="26"/>
        <v>-41.1</v>
      </c>
      <c r="Q43" s="530">
        <v>-107.41</v>
      </c>
      <c r="R43" s="374">
        <v>-88.81</v>
      </c>
      <c r="S43" s="275">
        <f t="shared" si="27"/>
        <v>-17.3</v>
      </c>
      <c r="T43" s="374">
        <v>-92</v>
      </c>
      <c r="U43" s="374">
        <v>-51</v>
      </c>
      <c r="V43" s="275">
        <f t="shared" si="28"/>
        <v>-44.6</v>
      </c>
      <c r="W43" s="530">
        <v>-21.03317706</v>
      </c>
      <c r="X43" s="374">
        <v>-20.375167879999999</v>
      </c>
      <c r="Y43" s="275">
        <f t="shared" si="29"/>
        <v>-3.1</v>
      </c>
      <c r="Z43" s="530">
        <v>-104</v>
      </c>
      <c r="AA43" s="374">
        <v>-43</v>
      </c>
      <c r="AB43" s="275">
        <f t="shared" si="30"/>
        <v>-58.7</v>
      </c>
      <c r="AC43" s="530"/>
      <c r="AD43" s="374"/>
      <c r="AE43" s="275"/>
      <c r="AF43" s="275">
        <f t="shared" si="32"/>
        <v>-607.9883830849999</v>
      </c>
      <c r="AG43" s="275">
        <f t="shared" si="32"/>
        <v>-501.48945899500001</v>
      </c>
      <c r="AH43" s="275">
        <f t="shared" si="11"/>
        <v>-17.5</v>
      </c>
      <c r="AI43" s="275"/>
      <c r="AJ43" s="448"/>
      <c r="AK43" s="275"/>
    </row>
    <row r="44" spans="1:37" s="450" customFormat="1" ht="18.75" customHeight="1" x14ac:dyDescent="0.3">
      <c r="A44" s="439" t="s">
        <v>378</v>
      </c>
      <c r="B44" s="529">
        <f>B42+B43</f>
        <v>366.5031001400007</v>
      </c>
      <c r="C44" s="379">
        <f>C42+C43</f>
        <v>427.649</v>
      </c>
      <c r="D44" s="350">
        <f t="shared" si="22"/>
        <v>16.7</v>
      </c>
      <c r="E44" s="529">
        <f>E42+E43</f>
        <v>199.60977817000008</v>
      </c>
      <c r="F44" s="379">
        <f>F42+F43</f>
        <v>217.39566038999965</v>
      </c>
      <c r="G44" s="350">
        <f t="shared" si="23"/>
        <v>8.9</v>
      </c>
      <c r="H44" s="529">
        <f>H42+H43</f>
        <v>36.211000000000141</v>
      </c>
      <c r="I44" s="379">
        <f>I42+I43</f>
        <v>14.648999999999866</v>
      </c>
      <c r="J44" s="350">
        <f t="shared" si="24"/>
        <v>-59.5</v>
      </c>
      <c r="K44" s="529">
        <f>K42+K43</f>
        <v>46</v>
      </c>
      <c r="L44" s="379">
        <f>L42+L43</f>
        <v>50</v>
      </c>
      <c r="M44" s="350">
        <f t="shared" si="25"/>
        <v>8.6999999999999993</v>
      </c>
      <c r="N44" s="529">
        <f>N42+N43</f>
        <v>89.429906565001048</v>
      </c>
      <c r="O44" s="379">
        <v>149.80802428499962</v>
      </c>
      <c r="P44" s="350">
        <f t="shared" si="26"/>
        <v>67.5</v>
      </c>
      <c r="Q44" s="529">
        <f>Q42+Q43</f>
        <v>324.04483058000108</v>
      </c>
      <c r="R44" s="379">
        <f>R42+R43</f>
        <v>266.90530714999824</v>
      </c>
      <c r="S44" s="350">
        <f t="shared" si="27"/>
        <v>-17.600000000000001</v>
      </c>
      <c r="T44" s="379">
        <v>249</v>
      </c>
      <c r="U44" s="379">
        <v>137</v>
      </c>
      <c r="V44" s="350">
        <f t="shared" si="28"/>
        <v>-45</v>
      </c>
      <c r="W44" s="529">
        <f>W42+W43</f>
        <v>79.304399699998825</v>
      </c>
      <c r="X44" s="379">
        <f>X42+X43</f>
        <v>66.806948559990389</v>
      </c>
      <c r="Y44" s="350">
        <f t="shared" si="29"/>
        <v>-15.8</v>
      </c>
      <c r="Z44" s="529">
        <f>Z42+Z43</f>
        <v>1420.9656604700017</v>
      </c>
      <c r="AA44" s="379">
        <f>AA42+AA43</f>
        <v>1592.7343830714781</v>
      </c>
      <c r="AB44" s="350">
        <f t="shared" si="30"/>
        <v>12.1</v>
      </c>
      <c r="AC44" s="529">
        <f>AC42+AC43</f>
        <v>-13</v>
      </c>
      <c r="AD44" s="379">
        <f>AD42+AD43</f>
        <v>-1</v>
      </c>
      <c r="AE44" s="350">
        <f t="shared" si="31"/>
        <v>-92.3</v>
      </c>
      <c r="AF44" s="350">
        <f t="shared" si="32"/>
        <v>2811.0686756250034</v>
      </c>
      <c r="AG44" s="350">
        <f t="shared" si="32"/>
        <v>2922.9483234564659</v>
      </c>
      <c r="AH44" s="350">
        <f t="shared" si="11"/>
        <v>4</v>
      </c>
      <c r="AI44" s="350"/>
      <c r="AJ44" s="449"/>
      <c r="AK44" s="350"/>
    </row>
    <row r="45" spans="1:37" s="362" customFormat="1" ht="18.75" customHeight="1" x14ac:dyDescent="0.3">
      <c r="A45" s="427" t="s">
        <v>379</v>
      </c>
      <c r="B45" s="530"/>
      <c r="C45" s="374"/>
      <c r="D45" s="275"/>
      <c r="E45" s="530"/>
      <c r="F45" s="374"/>
      <c r="G45" s="275"/>
      <c r="H45" s="530"/>
      <c r="I45" s="374"/>
      <c r="J45" s="275"/>
      <c r="K45" s="530"/>
      <c r="L45" s="374"/>
      <c r="M45" s="275"/>
      <c r="N45" s="530">
        <v>159.08984438500002</v>
      </c>
      <c r="O45" s="374">
        <v>9.8931004749999989</v>
      </c>
      <c r="P45" s="275">
        <f t="shared" si="26"/>
        <v>-93.8</v>
      </c>
      <c r="Q45" s="530">
        <v>11.63</v>
      </c>
      <c r="R45" s="374">
        <v>-6.08</v>
      </c>
      <c r="S45" s="275">
        <f t="shared" si="27"/>
        <v>-152.30000000000001</v>
      </c>
      <c r="T45" s="374"/>
      <c r="U45" s="374"/>
      <c r="V45" s="275"/>
      <c r="W45" s="530"/>
      <c r="X45" s="374"/>
      <c r="Y45" s="275"/>
      <c r="Z45" s="530">
        <v>-5.5107688531279566E-9</v>
      </c>
      <c r="AA45" s="374">
        <v>0</v>
      </c>
      <c r="AB45" s="275">
        <f t="shared" si="30"/>
        <v>-100</v>
      </c>
      <c r="AC45" s="530"/>
      <c r="AD45" s="374"/>
      <c r="AE45" s="275"/>
      <c r="AF45" s="275">
        <f t="shared" si="32"/>
        <v>170.71984437948925</v>
      </c>
      <c r="AG45" s="275">
        <f t="shared" si="32"/>
        <v>3.8131004749999988</v>
      </c>
      <c r="AH45" s="275">
        <f t="shared" si="11"/>
        <v>-97.8</v>
      </c>
      <c r="AI45" s="275"/>
      <c r="AJ45" s="448"/>
      <c r="AK45" s="275"/>
    </row>
    <row r="46" spans="1:37" s="450" customFormat="1" ht="18.75" customHeight="1" x14ac:dyDescent="0.3">
      <c r="A46" s="438" t="s">
        <v>286</v>
      </c>
      <c r="B46" s="531">
        <f>B44+B45</f>
        <v>366.5031001400007</v>
      </c>
      <c r="C46" s="380">
        <f>C44+C45</f>
        <v>427.649</v>
      </c>
      <c r="D46" s="357">
        <f>IF(B46=0, "    ---- ", IF(ABS(ROUND(100/B46*C46-100,1))&lt;999,ROUND(100/B46*C46-100,1),IF(ROUND(100/B46*C46-100,1)&gt;999,999,-999)))</f>
        <v>16.7</v>
      </c>
      <c r="E46" s="531">
        <f>E44+E45</f>
        <v>199.60977817000008</v>
      </c>
      <c r="F46" s="380">
        <f>F44+F45</f>
        <v>217.39566038999965</v>
      </c>
      <c r="G46" s="357">
        <f>IF(E46=0, "    ---- ", IF(ABS(ROUND(100/E46*F46-100,1))&lt;999,ROUND(100/E46*F46-100,1),IF(ROUND(100/E46*F46-100,1)&gt;999,999,-999)))</f>
        <v>8.9</v>
      </c>
      <c r="H46" s="531">
        <f>H44+H45</f>
        <v>36.211000000000141</v>
      </c>
      <c r="I46" s="380">
        <f>I44+I45</f>
        <v>14.648999999999866</v>
      </c>
      <c r="J46" s="357">
        <f>IF(H46=0, "    ---- ", IF(ABS(ROUND(100/H46*I46-100,1))&lt;999,ROUND(100/H46*I46-100,1),IF(ROUND(100/H46*I46-100,1)&gt;999,999,-999)))</f>
        <v>-59.5</v>
      </c>
      <c r="K46" s="531">
        <f>K44+K45</f>
        <v>46</v>
      </c>
      <c r="L46" s="380">
        <f>L44+L45</f>
        <v>50</v>
      </c>
      <c r="M46" s="357">
        <f>IF(K46=0, "    ---- ", IF(ABS(ROUND(100/K46*L46-100,1))&lt;999,ROUND(100/K46*L46-100,1),IF(ROUND(100/K46*L46-100,1)&gt;999,999,-999)))</f>
        <v>8.6999999999999993</v>
      </c>
      <c r="N46" s="531">
        <f>N44+N45</f>
        <v>248.51975095000108</v>
      </c>
      <c r="O46" s="380">
        <v>159.70112475999963</v>
      </c>
      <c r="P46" s="357">
        <f>IF(N46=0, "    ---- ", IF(ABS(ROUND(100/N46*O46-100,1))&lt;999,ROUND(100/N46*O46-100,1),IF(ROUND(100/N46*O46-100,1)&gt;999,999,-999)))</f>
        <v>-35.700000000000003</v>
      </c>
      <c r="Q46" s="531">
        <f>Q44+Q45</f>
        <v>335.67483058000107</v>
      </c>
      <c r="R46" s="380">
        <f>R44+R45</f>
        <v>260.82530714999825</v>
      </c>
      <c r="S46" s="357">
        <f>IF(Q46=0, "    ---- ", IF(ABS(ROUND(100/Q46*R46-100,1))&lt;999,ROUND(100/Q46*R46-100,1),IF(ROUND(100/Q46*R46-100,1)&gt;999,999,-999)))</f>
        <v>-22.3</v>
      </c>
      <c r="T46" s="380">
        <v>249</v>
      </c>
      <c r="U46" s="380">
        <v>137</v>
      </c>
      <c r="V46" s="357">
        <f>IF(T46=0, "    ---- ", IF(ABS(ROUND(100/T46*U46-100,1))&lt;999,ROUND(100/T46*U46-100,1),IF(ROUND(100/T46*U46-100,1)&gt;999,999,-999)))</f>
        <v>-45</v>
      </c>
      <c r="W46" s="531">
        <f>W44+W45</f>
        <v>79.304399699998825</v>
      </c>
      <c r="X46" s="380">
        <f>X44+X45</f>
        <v>66.806948559990389</v>
      </c>
      <c r="Y46" s="357">
        <f>IF(W46=0, "    ---- ", IF(ABS(ROUND(100/W46*X46-100,1))&lt;999,ROUND(100/W46*X46-100,1),IF(ROUND(100/W46*X46-100,1)&gt;999,999,-999)))</f>
        <v>-15.8</v>
      </c>
      <c r="Z46" s="531">
        <f>Z44+Z45</f>
        <v>1420.9656604644908</v>
      </c>
      <c r="AA46" s="380">
        <f>AA44+AA45</f>
        <v>1592.7343830714781</v>
      </c>
      <c r="AB46" s="357">
        <f>IF(Z46=0, "    ---- ", IF(ABS(ROUND(100/Z46*AA46-100,1))&lt;999,ROUND(100/Z46*AA46-100,1),IF(ROUND(100/Z46*AA46-100,1)&gt;999,999,-999)))</f>
        <v>12.1</v>
      </c>
      <c r="AC46" s="531">
        <f>AC44+AC45</f>
        <v>-13</v>
      </c>
      <c r="AD46" s="380">
        <f>AD44+AD45</f>
        <v>-1</v>
      </c>
      <c r="AE46" s="357">
        <f>IF(AC46=0, "    ---- ", IF(ABS(ROUND(100/AC46*AD46-100,1))&lt;999,ROUND(100/AC46*AD46-100,1),IF(ROUND(100/AC46*AD46-100,1)&gt;999,999,-999)))</f>
        <v>-92.3</v>
      </c>
      <c r="AF46" s="350">
        <f t="shared" si="32"/>
        <v>2981.788520004493</v>
      </c>
      <c r="AG46" s="350">
        <f t="shared" si="32"/>
        <v>2926.7614239314657</v>
      </c>
      <c r="AH46" s="357">
        <f t="shared" si="11"/>
        <v>-1.8</v>
      </c>
      <c r="AI46" s="451"/>
      <c r="AJ46" s="452"/>
      <c r="AK46" s="453"/>
    </row>
    <row r="47" spans="1:37" s="450" customFormat="1" ht="18.75" customHeight="1" x14ac:dyDescent="0.3">
      <c r="A47" s="454"/>
      <c r="B47" s="455"/>
      <c r="C47" s="455"/>
      <c r="D47" s="440"/>
      <c r="E47" s="455"/>
      <c r="F47" s="455"/>
      <c r="G47" s="440"/>
      <c r="H47" s="455"/>
      <c r="I47" s="455"/>
      <c r="J47" s="440"/>
      <c r="K47" s="455"/>
      <c r="L47" s="455"/>
      <c r="M47" s="456"/>
      <c r="N47" s="455"/>
      <c r="O47" s="455"/>
      <c r="P47" s="440"/>
      <c r="Q47" s="455"/>
      <c r="R47" s="455"/>
      <c r="S47" s="440"/>
      <c r="T47" s="455"/>
      <c r="U47" s="455"/>
      <c r="V47" s="440"/>
      <c r="W47" s="455"/>
      <c r="X47" s="455"/>
      <c r="Y47" s="440"/>
      <c r="Z47" s="455"/>
      <c r="AA47" s="455"/>
      <c r="AB47" s="440"/>
      <c r="AC47" s="455"/>
      <c r="AD47" s="455"/>
      <c r="AE47" s="440"/>
      <c r="AF47" s="456"/>
      <c r="AG47" s="456"/>
      <c r="AH47" s="440"/>
      <c r="AI47" s="457"/>
      <c r="AJ47" s="457"/>
      <c r="AK47" s="458"/>
    </row>
    <row r="48" spans="1:37" s="450" customFormat="1" ht="18.75" customHeight="1" x14ac:dyDescent="0.3">
      <c r="A48" s="383" t="s">
        <v>287</v>
      </c>
      <c r="B48" s="459"/>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row>
    <row r="49" spans="1:37" s="362" customFormat="1" ht="18.75" customHeight="1" x14ac:dyDescent="0.3">
      <c r="A49" s="459" t="s">
        <v>288</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row>
    <row r="50" spans="1:37" s="362" customFormat="1" ht="18.75" customHeight="1" x14ac:dyDescent="0.3">
      <c r="A50" s="459" t="s">
        <v>289</v>
      </c>
      <c r="B50" s="459"/>
      <c r="C50" s="459"/>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row>
    <row r="51" spans="1:37" s="362" customFormat="1" ht="18.75" customHeight="1" x14ac:dyDescent="0.3">
      <c r="A51" s="459" t="s">
        <v>290</v>
      </c>
      <c r="B51" s="459"/>
      <c r="C51" s="459"/>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row>
    <row r="52" spans="1:37" s="362" customFormat="1" ht="18.75" customHeight="1" x14ac:dyDescent="0.3">
      <c r="A52" s="459" t="s">
        <v>291</v>
      </c>
      <c r="B52" s="459"/>
      <c r="C52" s="459"/>
      <c r="D52" s="459"/>
      <c r="E52" s="459"/>
      <c r="F52" s="459"/>
      <c r="G52" s="459"/>
      <c r="H52" s="459"/>
      <c r="I52" s="459"/>
      <c r="J52" s="459"/>
      <c r="K52" s="459"/>
      <c r="L52" s="459"/>
      <c r="M52" s="459"/>
      <c r="N52" s="459"/>
      <c r="O52" s="459"/>
      <c r="P52" s="459"/>
      <c r="Q52" s="459"/>
      <c r="R52" s="459"/>
      <c r="S52" s="459"/>
      <c r="T52" s="459"/>
      <c r="U52" s="459"/>
      <c r="V52" s="459"/>
      <c r="W52" s="459"/>
      <c r="X52" s="459"/>
      <c r="Y52" s="459"/>
      <c r="Z52" s="459"/>
      <c r="AA52" s="459"/>
      <c r="AB52" s="459"/>
      <c r="AC52" s="459"/>
      <c r="AD52" s="459"/>
      <c r="AE52" s="459"/>
      <c r="AF52" s="459"/>
      <c r="AG52" s="459"/>
      <c r="AH52" s="459"/>
      <c r="AI52" s="459"/>
      <c r="AJ52" s="459"/>
      <c r="AK52" s="459"/>
    </row>
    <row r="53" spans="1:37" s="362" customFormat="1" ht="18.75" customHeight="1" x14ac:dyDescent="0.3">
      <c r="A53" s="459" t="s">
        <v>292</v>
      </c>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row>
    <row r="54" spans="1:37" s="362" customFormat="1" ht="18.75" customHeight="1" x14ac:dyDescent="0.3">
      <c r="A54" s="459" t="s">
        <v>293</v>
      </c>
      <c r="B54" s="459"/>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row>
    <row r="55" spans="1:37" s="362" customFormat="1" ht="18.75" customHeight="1" x14ac:dyDescent="0.3">
      <c r="A55" s="459" t="s">
        <v>294</v>
      </c>
      <c r="B55" s="459"/>
      <c r="C55" s="459"/>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row>
    <row r="56" spans="1:37" s="362" customFormat="1" ht="18.75" customHeight="1" x14ac:dyDescent="0.3">
      <c r="A56" s="459" t="s">
        <v>295</v>
      </c>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row>
    <row r="57" spans="1:37" s="362" customFormat="1" ht="18.75" customHeight="1" x14ac:dyDescent="0.3">
      <c r="A57" s="459" t="s">
        <v>296</v>
      </c>
      <c r="B57" s="459"/>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row>
    <row r="58" spans="1:37" s="450" customFormat="1" ht="18.75" customHeight="1" x14ac:dyDescent="0.3">
      <c r="A58" s="384" t="s">
        <v>297</v>
      </c>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row>
    <row r="59" spans="1:37" s="365" customFormat="1" ht="18.75" customHeight="1" x14ac:dyDescent="0.3">
      <c r="A59" s="362" t="s">
        <v>223</v>
      </c>
    </row>
    <row r="60" spans="1:37" s="365" customFormat="1" ht="18.75" customHeight="1" x14ac:dyDescent="0.3">
      <c r="A60" s="362" t="s">
        <v>224</v>
      </c>
    </row>
    <row r="61" spans="1:37" s="365" customFormat="1" ht="18.75" customHeight="1" x14ac:dyDescent="0.3">
      <c r="A61" s="362" t="s">
        <v>225</v>
      </c>
    </row>
    <row r="62" spans="1:37" s="365" customFormat="1" ht="18.75" x14ac:dyDescent="0.3"/>
  </sheetData>
  <mergeCells count="23">
    <mergeCell ref="AI6:AK6"/>
    <mergeCell ref="Q6:S6"/>
    <mergeCell ref="T6:V6"/>
    <mergeCell ref="W6:Y6"/>
    <mergeCell ref="Z6:AB6"/>
    <mergeCell ref="AC6:AE6"/>
    <mergeCell ref="AF6:AH6"/>
    <mergeCell ref="W5:Y5"/>
    <mergeCell ref="Z5:AB5"/>
    <mergeCell ref="AC5:AE5"/>
    <mergeCell ref="AF5:AH5"/>
    <mergeCell ref="AI5:AK5"/>
    <mergeCell ref="B6:D6"/>
    <mergeCell ref="E6:G6"/>
    <mergeCell ref="H6:J6"/>
    <mergeCell ref="K6:M6"/>
    <mergeCell ref="N6:P6"/>
    <mergeCell ref="T5:V5"/>
    <mergeCell ref="B5:D5"/>
    <mergeCell ref="E5:G5"/>
    <mergeCell ref="H5:J5"/>
    <mergeCell ref="K5:M5"/>
    <mergeCell ref="N5:P5"/>
  </mergeCells>
  <conditionalFormatting sqref="B14:C14">
    <cfRule type="expression" dxfId="190" priority="45">
      <formula>#REF! ="14≠11+12+13"</formula>
    </cfRule>
  </conditionalFormatting>
  <conditionalFormatting sqref="B21:C21">
    <cfRule type="expression" dxfId="189" priority="46">
      <formula>#REF! ="22≠19+20+21"</formula>
    </cfRule>
  </conditionalFormatting>
  <conditionalFormatting sqref="B30:C30">
    <cfRule type="expression" dxfId="188" priority="44">
      <formula>#REF! ="30≠24+25+26+27+28+29"</formula>
    </cfRule>
  </conditionalFormatting>
  <conditionalFormatting sqref="B35:C35">
    <cfRule type="expression" dxfId="187" priority="47">
      <formula>#REF! ="35≠14+15+16+17+22+30+31+32+33+34"</formula>
    </cfRule>
  </conditionalFormatting>
  <conditionalFormatting sqref="B46:C46">
    <cfRule type="expression" dxfId="186" priority="43">
      <formula>#REF! ="46≠35+38+39+40+43+45"</formula>
    </cfRule>
  </conditionalFormatting>
  <conditionalFormatting sqref="E14:F14">
    <cfRule type="expression" dxfId="185" priority="33">
      <formula>#REF! ="14≠11+12+13"</formula>
    </cfRule>
  </conditionalFormatting>
  <conditionalFormatting sqref="E21:F21">
    <cfRule type="expression" dxfId="184" priority="34">
      <formula>#REF! ="22≠19+20+21"</formula>
    </cfRule>
  </conditionalFormatting>
  <conditionalFormatting sqref="E30:F30">
    <cfRule type="expression" dxfId="183" priority="35">
      <formula>#REF! ="30≠24+25+26+27+28+29"</formula>
    </cfRule>
  </conditionalFormatting>
  <conditionalFormatting sqref="E35:F35">
    <cfRule type="expression" dxfId="182" priority="37">
      <formula>#REF! ="35≠14+15+16+17+22+30+31+32+33+34"</formula>
    </cfRule>
  </conditionalFormatting>
  <conditionalFormatting sqref="E46:F46">
    <cfRule type="expression" dxfId="181" priority="36">
      <formula>#REF! ="46≠35+38+39+40+43+45"</formula>
    </cfRule>
  </conditionalFormatting>
  <conditionalFormatting sqref="H14:I14">
    <cfRule type="expression" dxfId="180" priority="54">
      <formula>#REF! ="14≠11+12+13"</formula>
    </cfRule>
  </conditionalFormatting>
  <conditionalFormatting sqref="H21:I21">
    <cfRule type="expression" dxfId="179" priority="55">
      <formula>#REF! ="22≠19+20+21"</formula>
    </cfRule>
  </conditionalFormatting>
  <conditionalFormatting sqref="H30:I30">
    <cfRule type="expression" dxfId="178" priority="53">
      <formula>#REF! ="30≠24+25+26+27+28+29"</formula>
    </cfRule>
  </conditionalFormatting>
  <conditionalFormatting sqref="H35:I35">
    <cfRule type="expression" dxfId="177" priority="56">
      <formula>#REF! ="35≠14+15+16+17+22+30+31+32+33+34"</formula>
    </cfRule>
  </conditionalFormatting>
  <conditionalFormatting sqref="H46:I46">
    <cfRule type="expression" dxfId="176" priority="57">
      <formula>#REF! ="46≠35+38+39+40+43+45"</formula>
    </cfRule>
  </conditionalFormatting>
  <conditionalFormatting sqref="K14:L14">
    <cfRule type="expression" dxfId="175" priority="74">
      <formula>#REF! ="14≠11+12+13"</formula>
    </cfRule>
  </conditionalFormatting>
  <conditionalFormatting sqref="K21:L21">
    <cfRule type="expression" dxfId="174" priority="75">
      <formula>#REF! ="22≠19+20+21"</formula>
    </cfRule>
  </conditionalFormatting>
  <conditionalFormatting sqref="K30:L30">
    <cfRule type="expression" dxfId="173" priority="73">
      <formula>#REF! ="30≠24+25+26+27+28+29"</formula>
    </cfRule>
  </conditionalFormatting>
  <conditionalFormatting sqref="K35:L35">
    <cfRule type="expression" dxfId="172" priority="76">
      <formula>#REF! ="35≠14+15+16+17+22+30+31+32+33+34"</formula>
    </cfRule>
  </conditionalFormatting>
  <conditionalFormatting sqref="K46:L46">
    <cfRule type="expression" dxfId="171" priority="77">
      <formula>#REF! ="46≠35+38+39+40+43+45"</formula>
    </cfRule>
  </conditionalFormatting>
  <conditionalFormatting sqref="N14:O14">
    <cfRule type="expression" dxfId="170" priority="4">
      <formula>#REF! ="14≠11+12+13"</formula>
    </cfRule>
  </conditionalFormatting>
  <conditionalFormatting sqref="N21:O21">
    <cfRule type="expression" dxfId="169" priority="5">
      <formula>#REF! ="22≠19+20+21"</formula>
    </cfRule>
  </conditionalFormatting>
  <conditionalFormatting sqref="N30:O30">
    <cfRule type="expression" dxfId="168" priority="3">
      <formula>#REF! ="30≠24+25+26+27+28+29"</formula>
    </cfRule>
  </conditionalFormatting>
  <conditionalFormatting sqref="N35:O35">
    <cfRule type="expression" dxfId="167" priority="6">
      <formula>#REF! ="35≠14+15+16+17+22+30+31+32+33+34"</formula>
    </cfRule>
  </conditionalFormatting>
  <conditionalFormatting sqref="N46:O46">
    <cfRule type="expression" dxfId="166" priority="7">
      <formula>#REF! ="46≠35+38+39+40+43+45"</formula>
    </cfRule>
  </conditionalFormatting>
  <conditionalFormatting sqref="Q14:R14">
    <cfRule type="expression" dxfId="165" priority="84">
      <formula>#REF! ="14≠11+12+13"</formula>
    </cfRule>
  </conditionalFormatting>
  <conditionalFormatting sqref="Q21:R21">
    <cfRule type="expression" dxfId="164" priority="85">
      <formula>#REF! ="22≠19+20+21"</formula>
    </cfRule>
  </conditionalFormatting>
  <conditionalFormatting sqref="Q30:R30">
    <cfRule type="expression" dxfId="163" priority="83">
      <formula>#REF! ="30≠24+25+26+27+28+29"</formula>
    </cfRule>
  </conditionalFormatting>
  <conditionalFormatting sqref="Q35:R35">
    <cfRule type="expression" dxfId="162" priority="86">
      <formula>#REF! ="35≠14+15+16+17+22+30+31+32+33+34"</formula>
    </cfRule>
  </conditionalFormatting>
  <conditionalFormatting sqref="Q46:R46">
    <cfRule type="expression" dxfId="161" priority="87">
      <formula>#REF! ="46≠35+38+39+40+43+45"</formula>
    </cfRule>
  </conditionalFormatting>
  <conditionalFormatting sqref="T14:U14">
    <cfRule type="expression" dxfId="160" priority="127">
      <formula>#REF! ="14≠11+12+13"</formula>
    </cfRule>
  </conditionalFormatting>
  <conditionalFormatting sqref="T21:U21">
    <cfRule type="expression" dxfId="159" priority="128">
      <formula>#REF! ="22≠19+20+21"</formula>
    </cfRule>
  </conditionalFormatting>
  <conditionalFormatting sqref="T30:U30">
    <cfRule type="expression" dxfId="158" priority="124">
      <formula>#REF! ="30≠24+25+26+27+28+29"</formula>
    </cfRule>
  </conditionalFormatting>
  <conditionalFormatting sqref="T35:U35">
    <cfRule type="expression" dxfId="157" priority="125">
      <formula>#REF! ="35≠14+15+16+17+22+30+31+32+33+34"</formula>
    </cfRule>
  </conditionalFormatting>
  <conditionalFormatting sqref="T46:U46">
    <cfRule type="expression" dxfId="156" priority="126">
      <formula>#REF! ="46≠35+38+39+40+43+45"</formula>
    </cfRule>
  </conditionalFormatting>
  <conditionalFormatting sqref="U25 U27">
    <cfRule type="expression" dxfId="155" priority="97">
      <formula>kvartal &lt; 4</formula>
    </cfRule>
  </conditionalFormatting>
  <conditionalFormatting sqref="W14:X14">
    <cfRule type="expression" dxfId="154" priority="64">
      <formula>#REF! ="14≠11+12+13"</formula>
    </cfRule>
  </conditionalFormatting>
  <conditionalFormatting sqref="W21:X21">
    <cfRule type="expression" dxfId="153" priority="65">
      <formula>#REF! ="22≠19+20+21"</formula>
    </cfRule>
  </conditionalFormatting>
  <conditionalFormatting sqref="W30:X30">
    <cfRule type="expression" dxfId="152" priority="63">
      <formula>#REF! ="30≠24+25+26+27+28+29"</formula>
    </cfRule>
  </conditionalFormatting>
  <conditionalFormatting sqref="W35:X35">
    <cfRule type="expression" dxfId="151" priority="66">
      <formula>#REF! ="35≠14+15+16+17+22+30+31+32+33+34"</formula>
    </cfRule>
  </conditionalFormatting>
  <conditionalFormatting sqref="W46:X46">
    <cfRule type="expression" dxfId="150" priority="67">
      <formula>#REF! ="46≠35+38+39+40+43+45"</formula>
    </cfRule>
  </conditionalFormatting>
  <conditionalFormatting sqref="Z14:AA14">
    <cfRule type="expression" dxfId="149" priority="24">
      <formula>#REF! ="14≠11+12+13"</formula>
    </cfRule>
  </conditionalFormatting>
  <conditionalFormatting sqref="Z21:AA21">
    <cfRule type="expression" dxfId="148" priority="25">
      <formula>#REF! ="22≠19+20+21"</formula>
    </cfRule>
  </conditionalFormatting>
  <conditionalFormatting sqref="Z30:AA30">
    <cfRule type="expression" dxfId="147" priority="23">
      <formula>#REF! ="30≠24+25+26+27+28+29"</formula>
    </cfRule>
  </conditionalFormatting>
  <conditionalFormatting sqref="Z35:AA35">
    <cfRule type="expression" dxfId="146" priority="26">
      <formula>#REF! ="35≠14+15+16+17+22+30+31+32+33+34"</formula>
    </cfRule>
  </conditionalFormatting>
  <conditionalFormatting sqref="Z46:AA46">
    <cfRule type="expression" dxfId="145" priority="27">
      <formula>#REF! ="46≠35+38+39+40+43+45"</formula>
    </cfRule>
  </conditionalFormatting>
  <conditionalFormatting sqref="AC14:AD14">
    <cfRule type="expression" dxfId="144" priority="14">
      <formula>#REF! ="14≠11+12+13"</formula>
    </cfRule>
  </conditionalFormatting>
  <conditionalFormatting sqref="AC21:AD21">
    <cfRule type="expression" dxfId="143" priority="15">
      <formula>#REF! ="22≠19+20+21"</formula>
    </cfRule>
  </conditionalFormatting>
  <conditionalFormatting sqref="AC30:AD30">
    <cfRule type="expression" dxfId="142" priority="13">
      <formula>#REF! ="30≠24+25+26+27+28+29"</formula>
    </cfRule>
  </conditionalFormatting>
  <conditionalFormatting sqref="AC35:AD35">
    <cfRule type="expression" dxfId="141" priority="16">
      <formula>#REF! ="35≠14+15+16+17+22+30+31+32+33+34"</formula>
    </cfRule>
  </conditionalFormatting>
  <conditionalFormatting sqref="AC46:AD46">
    <cfRule type="expression" dxfId="140" priority="17">
      <formula>#REF! ="46≠35+38+39+40+43+45"</formula>
    </cfRule>
  </conditionalFormatting>
  <conditionalFormatting sqref="AF35:AG35 AI35:AJ35">
    <cfRule type="expression" dxfId="139" priority="400">
      <formula>#REF! ="35≠14+15+16+17+22+30+31+32+33+34"</formula>
    </cfRule>
  </conditionalFormatting>
  <conditionalFormatting sqref="AG27">
    <cfRule type="expression" dxfId="138" priority="93">
      <formula>kvartal &lt; 4</formula>
    </cfRule>
  </conditionalFormatting>
  <conditionalFormatting sqref="AI30:AJ30">
    <cfRule type="expression" dxfId="137" priority="398">
      <formula>#REF! ="30≠24+25+26+27+28+29"</formula>
    </cfRule>
  </conditionalFormatting>
  <conditionalFormatting sqref="AI46:AJ46">
    <cfRule type="expression" dxfId="136" priority="403">
      <formula>#REF! ="46≠35+38+39+40+43+45"</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A444-C37C-499D-8F4D-6A034CA46052}">
  <sheetPr codeName="Ark39"/>
  <dimension ref="A1:AY113"/>
  <sheetViews>
    <sheetView showGridLines="0" zoomScale="70" zoomScaleNormal="70" workbookViewId="0">
      <pane xSplit="1" ySplit="8" topLeftCell="B9" activePane="bottomRight" state="frozen"/>
      <selection activeCell="A42" sqref="A42"/>
      <selection pane="topRight" activeCell="A42" sqref="A42"/>
      <selection pane="bottomLeft" activeCell="A42" sqref="A42"/>
      <selection pane="bottomRight" activeCell="A4" sqref="A4"/>
    </sheetView>
  </sheetViews>
  <sheetFormatPr baseColWidth="10" defaultColWidth="11.42578125" defaultRowHeight="12.75" x14ac:dyDescent="0.2"/>
  <cols>
    <col min="1" max="1" width="111.28515625" style="363" customWidth="1"/>
    <col min="2" max="31" width="11.7109375" style="363" customWidth="1"/>
    <col min="32" max="32" width="15.140625" style="363" customWidth="1"/>
    <col min="33" max="33" width="13" style="363" customWidth="1"/>
    <col min="34" max="34" width="11.7109375" style="363" customWidth="1"/>
    <col min="35" max="36" width="13" style="363" customWidth="1"/>
    <col min="37" max="37" width="11.7109375" style="363" customWidth="1"/>
    <col min="38" max="16384" width="11.42578125" style="363"/>
  </cols>
  <sheetData>
    <row r="1" spans="1:51" ht="20.25" customHeight="1" x14ac:dyDescent="0.3">
      <c r="A1" s="366" t="s">
        <v>153</v>
      </c>
      <c r="B1" s="367"/>
      <c r="C1" s="367"/>
      <c r="D1" s="367"/>
      <c r="E1" s="367"/>
      <c r="F1" s="367"/>
      <c r="G1" s="367"/>
      <c r="H1" s="367"/>
      <c r="I1" s="367"/>
      <c r="J1" s="367"/>
    </row>
    <row r="2" spans="1:51" ht="20.100000000000001" customHeight="1" x14ac:dyDescent="0.3">
      <c r="A2" s="366" t="s">
        <v>154</v>
      </c>
      <c r="C2" s="485"/>
      <c r="D2" s="486"/>
      <c r="E2" s="486"/>
    </row>
    <row r="3" spans="1:51" ht="20.100000000000001" customHeight="1" x14ac:dyDescent="0.3">
      <c r="A3" s="368" t="s">
        <v>155</v>
      </c>
      <c r="B3" s="498"/>
      <c r="C3" s="498"/>
      <c r="D3" s="498"/>
      <c r="E3" s="498"/>
      <c r="F3" s="498"/>
      <c r="G3" s="498"/>
      <c r="H3" s="498"/>
      <c r="I3" s="498"/>
      <c r="J3" s="498"/>
    </row>
    <row r="4" spans="1:51" ht="18.75" customHeight="1" x14ac:dyDescent="0.25">
      <c r="A4" s="490" t="s">
        <v>393</v>
      </c>
      <c r="B4" s="499"/>
      <c r="C4" s="499"/>
      <c r="D4" s="500"/>
      <c r="E4" s="501"/>
      <c r="F4" s="499"/>
      <c r="G4" s="500"/>
      <c r="H4" s="501"/>
      <c r="I4" s="499"/>
      <c r="J4" s="500"/>
      <c r="K4" s="369"/>
      <c r="L4" s="369"/>
      <c r="M4" s="369"/>
      <c r="N4" s="370"/>
      <c r="O4" s="369"/>
      <c r="P4" s="371"/>
      <c r="Q4" s="370"/>
      <c r="R4" s="369"/>
      <c r="S4" s="371"/>
      <c r="T4" s="370"/>
      <c r="U4" s="369"/>
      <c r="V4" s="371"/>
      <c r="W4" s="370"/>
      <c r="X4" s="369"/>
      <c r="Y4" s="371"/>
      <c r="Z4" s="370"/>
      <c r="AA4" s="369"/>
      <c r="AB4" s="371"/>
      <c r="AC4" s="370"/>
      <c r="AD4" s="369"/>
      <c r="AE4" s="371"/>
      <c r="AF4" s="370"/>
      <c r="AG4" s="369"/>
      <c r="AH4" s="371"/>
      <c r="AI4" s="370"/>
      <c r="AJ4" s="369"/>
      <c r="AK4" s="371"/>
      <c r="AL4" s="502"/>
      <c r="AM4" s="502"/>
      <c r="AN4" s="502"/>
      <c r="AO4" s="502"/>
      <c r="AP4" s="502"/>
      <c r="AQ4" s="502"/>
      <c r="AR4" s="502"/>
      <c r="AS4" s="502"/>
      <c r="AT4" s="502"/>
      <c r="AU4" s="502"/>
      <c r="AV4" s="502"/>
      <c r="AW4" s="502"/>
      <c r="AX4" s="502"/>
      <c r="AY4" s="502"/>
    </row>
    <row r="5" spans="1:51" ht="18.75" customHeight="1" x14ac:dyDescent="0.3">
      <c r="A5" s="428" t="s">
        <v>94</v>
      </c>
      <c r="B5" s="580" t="s">
        <v>156</v>
      </c>
      <c r="C5" s="581"/>
      <c r="D5" s="582"/>
      <c r="E5" s="580"/>
      <c r="F5" s="581"/>
      <c r="G5" s="582"/>
      <c r="H5" s="580" t="s">
        <v>157</v>
      </c>
      <c r="I5" s="581"/>
      <c r="J5" s="582"/>
      <c r="K5" s="580" t="s">
        <v>158</v>
      </c>
      <c r="L5" s="581"/>
      <c r="M5" s="582"/>
      <c r="N5" s="522" t="s">
        <v>159</v>
      </c>
      <c r="O5" s="523"/>
      <c r="P5" s="524"/>
      <c r="Q5" s="522"/>
      <c r="R5" s="523"/>
      <c r="S5" s="524"/>
      <c r="T5" s="580" t="s">
        <v>160</v>
      </c>
      <c r="U5" s="581"/>
      <c r="V5" s="582"/>
      <c r="W5" s="580" t="s">
        <v>65</v>
      </c>
      <c r="X5" s="581"/>
      <c r="Y5" s="582"/>
      <c r="Z5" s="580" t="s">
        <v>68</v>
      </c>
      <c r="AA5" s="581"/>
      <c r="AB5" s="582"/>
      <c r="AC5" s="580" t="s">
        <v>373</v>
      </c>
      <c r="AD5" s="581"/>
      <c r="AE5" s="582"/>
      <c r="AF5" s="580" t="s">
        <v>2</v>
      </c>
      <c r="AG5" s="581"/>
      <c r="AH5" s="582"/>
      <c r="AI5" s="580" t="s">
        <v>2</v>
      </c>
      <c r="AJ5" s="581"/>
      <c r="AK5" s="582"/>
      <c r="AL5" s="513"/>
      <c r="AM5" s="513"/>
      <c r="AN5" s="586"/>
      <c r="AO5" s="586"/>
      <c r="AP5" s="586"/>
      <c r="AQ5" s="586"/>
      <c r="AR5" s="586"/>
      <c r="AS5" s="586"/>
      <c r="AT5" s="586"/>
      <c r="AU5" s="586"/>
      <c r="AV5" s="586"/>
      <c r="AW5" s="586"/>
      <c r="AX5" s="586"/>
      <c r="AY5" s="586"/>
    </row>
    <row r="6" spans="1:51" ht="21" customHeight="1" x14ac:dyDescent="0.3">
      <c r="A6" s="429"/>
      <c r="B6" s="583" t="s">
        <v>162</v>
      </c>
      <c r="C6" s="584"/>
      <c r="D6" s="585"/>
      <c r="E6" s="583" t="s">
        <v>358</v>
      </c>
      <c r="F6" s="584"/>
      <c r="G6" s="585"/>
      <c r="H6" s="583" t="s">
        <v>162</v>
      </c>
      <c r="I6" s="584"/>
      <c r="J6" s="585"/>
      <c r="K6" s="583" t="s">
        <v>163</v>
      </c>
      <c r="L6" s="584"/>
      <c r="M6" s="585"/>
      <c r="N6" s="583" t="s">
        <v>61</v>
      </c>
      <c r="O6" s="584"/>
      <c r="P6" s="585"/>
      <c r="Q6" s="583" t="s">
        <v>63</v>
      </c>
      <c r="R6" s="584"/>
      <c r="S6" s="585"/>
      <c r="T6" s="583" t="s">
        <v>161</v>
      </c>
      <c r="U6" s="584"/>
      <c r="V6" s="585"/>
      <c r="W6" s="583" t="s">
        <v>369</v>
      </c>
      <c r="X6" s="584"/>
      <c r="Y6" s="585"/>
      <c r="Z6" s="583" t="s">
        <v>162</v>
      </c>
      <c r="AA6" s="584"/>
      <c r="AB6" s="585"/>
      <c r="AC6" s="583" t="s">
        <v>162</v>
      </c>
      <c r="AD6" s="584"/>
      <c r="AE6" s="585"/>
      <c r="AF6" s="583" t="s">
        <v>387</v>
      </c>
      <c r="AG6" s="584"/>
      <c r="AH6" s="585"/>
      <c r="AI6" s="583" t="s">
        <v>164</v>
      </c>
      <c r="AJ6" s="584"/>
      <c r="AK6" s="585"/>
      <c r="AL6" s="513"/>
      <c r="AM6" s="513"/>
      <c r="AN6" s="586"/>
      <c r="AO6" s="586"/>
      <c r="AP6" s="586"/>
      <c r="AQ6" s="586"/>
      <c r="AR6" s="586"/>
      <c r="AS6" s="586"/>
      <c r="AT6" s="586"/>
      <c r="AU6" s="586"/>
      <c r="AV6" s="586"/>
      <c r="AW6" s="586"/>
      <c r="AX6" s="586"/>
      <c r="AY6" s="586"/>
    </row>
    <row r="7" spans="1:51" ht="18.75" customHeight="1" x14ac:dyDescent="0.3">
      <c r="A7" s="429"/>
      <c r="B7" s="503"/>
      <c r="C7" s="503"/>
      <c r="D7" s="430" t="s">
        <v>76</v>
      </c>
      <c r="E7" s="503"/>
      <c r="F7" s="503"/>
      <c r="G7" s="430" t="s">
        <v>76</v>
      </c>
      <c r="H7" s="503"/>
      <c r="I7" s="503"/>
      <c r="J7" s="430" t="s">
        <v>76</v>
      </c>
      <c r="K7" s="503"/>
      <c r="L7" s="503"/>
      <c r="M7" s="430" t="s">
        <v>76</v>
      </c>
      <c r="N7" s="503"/>
      <c r="O7" s="503"/>
      <c r="P7" s="430" t="s">
        <v>76</v>
      </c>
      <c r="Q7" s="503"/>
      <c r="R7" s="503"/>
      <c r="S7" s="430" t="s">
        <v>76</v>
      </c>
      <c r="T7" s="503"/>
      <c r="U7" s="503"/>
      <c r="V7" s="430" t="s">
        <v>76</v>
      </c>
      <c r="W7" s="503"/>
      <c r="X7" s="503"/>
      <c r="Y7" s="430" t="s">
        <v>76</v>
      </c>
      <c r="Z7" s="503"/>
      <c r="AA7" s="503"/>
      <c r="AB7" s="430" t="s">
        <v>76</v>
      </c>
      <c r="AC7" s="503"/>
      <c r="AD7" s="503"/>
      <c r="AE7" s="430" t="s">
        <v>76</v>
      </c>
      <c r="AF7" s="503"/>
      <c r="AG7" s="503"/>
      <c r="AH7" s="430" t="s">
        <v>76</v>
      </c>
      <c r="AI7" s="503"/>
      <c r="AJ7" s="503"/>
      <c r="AK7" s="430" t="s">
        <v>76</v>
      </c>
      <c r="AL7" s="513"/>
      <c r="AM7" s="513"/>
      <c r="AN7" s="513"/>
      <c r="AO7" s="513"/>
      <c r="AP7" s="513"/>
      <c r="AQ7" s="513"/>
      <c r="AR7" s="513"/>
      <c r="AS7" s="513"/>
      <c r="AT7" s="513"/>
      <c r="AU7" s="513"/>
      <c r="AV7" s="513"/>
      <c r="AW7" s="513"/>
      <c r="AX7" s="513"/>
      <c r="AY7" s="513"/>
    </row>
    <row r="8" spans="1:51" ht="18.75" customHeight="1" x14ac:dyDescent="0.25">
      <c r="A8" s="359" t="s">
        <v>165</v>
      </c>
      <c r="B8" s="417">
        <v>2024</v>
      </c>
      <c r="C8" s="417">
        <v>2025</v>
      </c>
      <c r="D8" s="432" t="s">
        <v>78</v>
      </c>
      <c r="E8" s="417">
        <f>B8</f>
        <v>2024</v>
      </c>
      <c r="F8" s="417">
        <f>C8</f>
        <v>2025</v>
      </c>
      <c r="G8" s="432" t="s">
        <v>78</v>
      </c>
      <c r="H8" s="417">
        <f>E8</f>
        <v>2024</v>
      </c>
      <c r="I8" s="417">
        <f>F8</f>
        <v>2025</v>
      </c>
      <c r="J8" s="432" t="s">
        <v>78</v>
      </c>
      <c r="K8" s="417">
        <f>H8</f>
        <v>2024</v>
      </c>
      <c r="L8" s="417">
        <f>I8</f>
        <v>2025</v>
      </c>
      <c r="M8" s="432" t="s">
        <v>78</v>
      </c>
      <c r="N8" s="417">
        <f>K8</f>
        <v>2024</v>
      </c>
      <c r="O8" s="417">
        <f>L8</f>
        <v>2025</v>
      </c>
      <c r="P8" s="432" t="s">
        <v>78</v>
      </c>
      <c r="Q8" s="417">
        <f>N8</f>
        <v>2024</v>
      </c>
      <c r="R8" s="417">
        <f>O8</f>
        <v>2025</v>
      </c>
      <c r="S8" s="432" t="s">
        <v>78</v>
      </c>
      <c r="T8" s="417">
        <f>Q8</f>
        <v>2024</v>
      </c>
      <c r="U8" s="417">
        <f>R8</f>
        <v>2025</v>
      </c>
      <c r="V8" s="432" t="s">
        <v>78</v>
      </c>
      <c r="W8" s="417">
        <f>T8</f>
        <v>2024</v>
      </c>
      <c r="X8" s="417">
        <f>U8</f>
        <v>2025</v>
      </c>
      <c r="Y8" s="432" t="s">
        <v>78</v>
      </c>
      <c r="Z8" s="417">
        <f>W8</f>
        <v>2024</v>
      </c>
      <c r="AA8" s="417">
        <f>X8</f>
        <v>2025</v>
      </c>
      <c r="AB8" s="432" t="s">
        <v>78</v>
      </c>
      <c r="AC8" s="417">
        <f>Z8</f>
        <v>2024</v>
      </c>
      <c r="AD8" s="417">
        <f>AA8</f>
        <v>2025</v>
      </c>
      <c r="AE8" s="432" t="s">
        <v>78</v>
      </c>
      <c r="AF8" s="417">
        <f>AC8</f>
        <v>2024</v>
      </c>
      <c r="AG8" s="417">
        <f>AD8</f>
        <v>2025</v>
      </c>
      <c r="AH8" s="432" t="s">
        <v>78</v>
      </c>
      <c r="AI8" s="417">
        <f>AF8</f>
        <v>2024</v>
      </c>
      <c r="AJ8" s="417">
        <f>AG8</f>
        <v>2025</v>
      </c>
      <c r="AK8" s="432" t="s">
        <v>78</v>
      </c>
      <c r="AL8" s="504"/>
      <c r="AM8" s="505"/>
      <c r="AN8" s="504"/>
      <c r="AO8" s="504"/>
      <c r="AP8" s="505"/>
      <c r="AQ8" s="504"/>
      <c r="AR8" s="504"/>
      <c r="AS8" s="505"/>
      <c r="AT8" s="504"/>
      <c r="AU8" s="504"/>
      <c r="AV8" s="505"/>
      <c r="AW8" s="504"/>
      <c r="AX8" s="504"/>
      <c r="AY8" s="505"/>
    </row>
    <row r="9" spans="1:51" ht="18.75" customHeight="1" x14ac:dyDescent="0.3">
      <c r="A9" s="360"/>
      <c r="B9" s="461"/>
      <c r="C9" s="348"/>
      <c r="D9" s="348"/>
      <c r="E9" s="461"/>
      <c r="F9" s="348"/>
      <c r="G9" s="348"/>
      <c r="H9" s="461"/>
      <c r="I9" s="348"/>
      <c r="J9" s="348"/>
      <c r="K9" s="434"/>
      <c r="L9" s="349"/>
      <c r="M9" s="349"/>
      <c r="N9" s="434"/>
      <c r="O9" s="349"/>
      <c r="P9" s="275"/>
      <c r="Q9" s="434"/>
      <c r="R9" s="349"/>
      <c r="S9" s="275"/>
      <c r="T9" s="349"/>
      <c r="U9" s="349"/>
      <c r="V9" s="275"/>
      <c r="W9" s="434"/>
      <c r="X9" s="349"/>
      <c r="Y9" s="275"/>
      <c r="Z9" s="434"/>
      <c r="AA9" s="349"/>
      <c r="AB9" s="275"/>
      <c r="AC9" s="434"/>
      <c r="AD9" s="349"/>
      <c r="AE9" s="275"/>
      <c r="AF9" s="349"/>
      <c r="AG9" s="349"/>
      <c r="AH9" s="275"/>
      <c r="AI9" s="349"/>
      <c r="AJ9" s="349"/>
      <c r="AK9" s="275"/>
    </row>
    <row r="10" spans="1:51" s="364" customFormat="1" ht="18.75" customHeight="1" x14ac:dyDescent="0.3">
      <c r="A10" s="439" t="s">
        <v>166</v>
      </c>
      <c r="B10" s="462"/>
      <c r="C10" s="350"/>
      <c r="D10" s="350"/>
      <c r="E10" s="462"/>
      <c r="F10" s="350"/>
      <c r="G10" s="350"/>
      <c r="H10" s="462"/>
      <c r="I10" s="350"/>
      <c r="J10" s="350"/>
      <c r="K10" s="434"/>
      <c r="L10" s="349"/>
      <c r="M10" s="349"/>
      <c r="N10" s="434"/>
      <c r="O10" s="349"/>
      <c r="P10" s="275"/>
      <c r="Q10" s="434"/>
      <c r="R10" s="349"/>
      <c r="S10" s="275"/>
      <c r="T10" s="349"/>
      <c r="U10" s="349"/>
      <c r="V10" s="275"/>
      <c r="W10" s="434"/>
      <c r="X10" s="349"/>
      <c r="Y10" s="275"/>
      <c r="Z10" s="434"/>
      <c r="AA10" s="349"/>
      <c r="AB10" s="275"/>
      <c r="AC10" s="434"/>
      <c r="AD10" s="349"/>
      <c r="AE10" s="275"/>
      <c r="AF10" s="349"/>
      <c r="AG10" s="349"/>
      <c r="AH10" s="275"/>
      <c r="AI10" s="349"/>
      <c r="AJ10" s="349"/>
      <c r="AK10" s="275"/>
    </row>
    <row r="11" spans="1:51" s="364" customFormat="1" ht="18.75" customHeight="1" x14ac:dyDescent="0.3">
      <c r="A11" s="361"/>
      <c r="B11" s="462"/>
      <c r="C11" s="350"/>
      <c r="D11" s="350"/>
      <c r="E11" s="462"/>
      <c r="F11" s="350"/>
      <c r="G11" s="350"/>
      <c r="H11" s="462"/>
      <c r="I11" s="350"/>
      <c r="J11" s="350"/>
      <c r="K11" s="434"/>
      <c r="L11" s="349"/>
      <c r="M11" s="349"/>
      <c r="N11" s="434"/>
      <c r="O11" s="349"/>
      <c r="P11" s="275"/>
      <c r="Q11" s="434"/>
      <c r="R11" s="349"/>
      <c r="S11" s="275"/>
      <c r="T11" s="349"/>
      <c r="U11" s="349"/>
      <c r="V11" s="275"/>
      <c r="W11" s="434"/>
      <c r="X11" s="349"/>
      <c r="Y11" s="275"/>
      <c r="Z11" s="434"/>
      <c r="AA11" s="349"/>
      <c r="AB11" s="275"/>
      <c r="AC11" s="434"/>
      <c r="AD11" s="349"/>
      <c r="AE11" s="275"/>
      <c r="AF11" s="349"/>
      <c r="AG11" s="349"/>
      <c r="AH11" s="275"/>
      <c r="AI11" s="349"/>
      <c r="AJ11" s="349"/>
      <c r="AK11" s="275"/>
    </row>
    <row r="12" spans="1:51" s="364" customFormat="1" ht="20.100000000000001" customHeight="1" x14ac:dyDescent="0.3">
      <c r="A12" s="439" t="s">
        <v>167</v>
      </c>
      <c r="B12" s="149"/>
      <c r="C12" s="351"/>
      <c r="D12" s="351"/>
      <c r="E12" s="149"/>
      <c r="F12" s="351"/>
      <c r="G12" s="351"/>
      <c r="H12" s="149"/>
      <c r="I12" s="351"/>
      <c r="J12" s="351"/>
      <c r="K12" s="434"/>
      <c r="L12" s="349"/>
      <c r="M12" s="349"/>
      <c r="N12" s="434"/>
      <c r="O12" s="349"/>
      <c r="P12" s="275"/>
      <c r="Q12" s="434"/>
      <c r="R12" s="349"/>
      <c r="S12" s="275"/>
      <c r="T12" s="349"/>
      <c r="U12" s="349"/>
      <c r="V12" s="275"/>
      <c r="W12" s="434"/>
      <c r="X12" s="349"/>
      <c r="Y12" s="275"/>
      <c r="Z12" s="434"/>
      <c r="AA12" s="349"/>
      <c r="AB12" s="275"/>
      <c r="AC12" s="434"/>
      <c r="AD12" s="349"/>
      <c r="AE12" s="275"/>
      <c r="AF12" s="349"/>
      <c r="AG12" s="349"/>
      <c r="AH12" s="275"/>
      <c r="AI12" s="349"/>
      <c r="AJ12" s="349"/>
      <c r="AK12" s="275"/>
    </row>
    <row r="13" spans="1:51" s="364" customFormat="1" ht="20.100000000000001" customHeight="1" x14ac:dyDescent="0.3">
      <c r="A13" s="439" t="s">
        <v>168</v>
      </c>
      <c r="B13" s="149"/>
      <c r="C13" s="351"/>
      <c r="D13" s="351"/>
      <c r="E13" s="149"/>
      <c r="F13" s="351"/>
      <c r="G13" s="351"/>
      <c r="H13" s="149"/>
      <c r="I13" s="351"/>
      <c r="J13" s="351"/>
      <c r="K13" s="76"/>
      <c r="L13" s="394"/>
      <c r="M13" s="394"/>
      <c r="N13" s="76"/>
      <c r="O13" s="394"/>
      <c r="P13" s="352"/>
      <c r="Q13" s="76"/>
      <c r="R13" s="394"/>
      <c r="S13" s="352"/>
      <c r="T13" s="394"/>
      <c r="U13" s="394"/>
      <c r="V13" s="352"/>
      <c r="W13" s="76"/>
      <c r="X13" s="394"/>
      <c r="Y13" s="352"/>
      <c r="Z13" s="76"/>
      <c r="AA13" s="394"/>
      <c r="AB13" s="352"/>
      <c r="AC13" s="76"/>
      <c r="AD13" s="394"/>
      <c r="AE13" s="352"/>
      <c r="AF13" s="394"/>
      <c r="AG13" s="394"/>
      <c r="AH13" s="352"/>
      <c r="AI13" s="394"/>
      <c r="AJ13" s="394"/>
      <c r="AK13" s="352"/>
    </row>
    <row r="14" spans="1:51" s="364" customFormat="1" ht="20.100000000000001" customHeight="1" x14ac:dyDescent="0.3">
      <c r="A14" s="427" t="s">
        <v>169</v>
      </c>
      <c r="B14" s="147"/>
      <c r="C14" s="352"/>
      <c r="D14" s="352"/>
      <c r="E14" s="147"/>
      <c r="F14" s="352"/>
      <c r="G14" s="352"/>
      <c r="H14" s="147"/>
      <c r="I14" s="352"/>
      <c r="J14" s="352"/>
      <c r="K14" s="76">
        <v>18</v>
      </c>
      <c r="L14" s="394">
        <v>25</v>
      </c>
      <c r="M14" s="394">
        <f t="shared" ref="M14" si="0">IF(K14=0, "    ---- ", IF(ABS(ROUND(100/K14*L14-100,1))&lt;999,ROUND(100/K14*L14-100,1),IF(ROUND(100/K14*L14-100,1)&gt;999,999,-999)))</f>
        <v>38.9</v>
      </c>
      <c r="N14" s="76">
        <v>1301.08072975</v>
      </c>
      <c r="O14" s="394">
        <v>1322.1865066300002</v>
      </c>
      <c r="P14" s="352">
        <f t="shared" ref="P14:P28" si="1">IF(N14=0, "    ---- ", IF(ABS(ROUND(100/N14*O14-100,1))&lt;999,ROUND(100/N14*O14-100,1),IF(ROUND(100/N14*O14-100,1)&gt;999,999,-999)))</f>
        <v>1.6</v>
      </c>
      <c r="Q14" s="76"/>
      <c r="R14" s="394"/>
      <c r="S14" s="352"/>
      <c r="T14" s="394"/>
      <c r="U14" s="394"/>
      <c r="V14" s="352"/>
      <c r="W14" s="76"/>
      <c r="X14" s="394"/>
      <c r="Y14" s="352"/>
      <c r="Z14" s="76"/>
      <c r="AA14" s="394"/>
      <c r="AB14" s="352"/>
      <c r="AC14" s="76"/>
      <c r="AD14" s="394"/>
      <c r="AE14" s="352"/>
      <c r="AF14" s="394">
        <f t="shared" ref="AF14:AG22" si="2">B14+E14+H14+K14+N14+Q14+T14+W14+Z14</f>
        <v>1319.08072975</v>
      </c>
      <c r="AG14" s="394">
        <f t="shared" si="2"/>
        <v>1347.1865066300002</v>
      </c>
      <c r="AH14" s="352">
        <f t="shared" ref="AH14:AH28" si="3">IF(AF14=0, "    ---- ", IF(ABS(ROUND(100/AF14*AG14-100,1))&lt;999,ROUND(100/AF14*AG14-100,1),IF(ROUND(100/AF14*AG14-100,1)&gt;999,999,-999)))</f>
        <v>2.1</v>
      </c>
      <c r="AI14" s="394">
        <f t="shared" ref="AI14:AJ22" si="4">B14+E14+H14+K14+N14+Q14+T14+W14+Z14+AC14</f>
        <v>1319.08072975</v>
      </c>
      <c r="AJ14" s="394">
        <f t="shared" si="4"/>
        <v>1347.1865066300002</v>
      </c>
      <c r="AK14" s="352">
        <f t="shared" ref="AK14:AK29" si="5">IF(AI14=0, "    ---- ", IF(ABS(ROUND(100/AI14*AJ14-100,1))&lt;999,ROUND(100/AI14*AJ14-100,1),IF(ROUND(100/AI14*AJ14-100,1)&gt;999,999,-999)))</f>
        <v>2.1</v>
      </c>
    </row>
    <row r="15" spans="1:51" s="364" customFormat="1" ht="20.100000000000001" customHeight="1" x14ac:dyDescent="0.3">
      <c r="A15" s="427" t="s">
        <v>170</v>
      </c>
      <c r="B15" s="147">
        <v>1329.338</v>
      </c>
      <c r="C15" s="352">
        <v>1232.5510312799997</v>
      </c>
      <c r="D15" s="352">
        <f t="shared" ref="D15:D28" si="6">IF(B15=0, "    ---- ", IF(ABS(ROUND(100/B15*C15-100,1))&lt;999,ROUND(100/B15*C15-100,1),IF(ROUND(100/B15*C15-100,1)&gt;999,999,-999)))</f>
        <v>-7.3</v>
      </c>
      <c r="E15" s="147"/>
      <c r="F15" s="352"/>
      <c r="G15" s="352"/>
      <c r="H15" s="147"/>
      <c r="I15" s="352"/>
      <c r="J15" s="352"/>
      <c r="K15" s="76"/>
      <c r="L15" s="394"/>
      <c r="M15" s="394"/>
      <c r="N15" s="76">
        <v>9158.205079110001</v>
      </c>
      <c r="O15" s="394">
        <v>9956.8825838600005</v>
      </c>
      <c r="P15" s="352">
        <f t="shared" si="1"/>
        <v>8.6999999999999993</v>
      </c>
      <c r="Q15" s="76">
        <v>4</v>
      </c>
      <c r="R15" s="394">
        <v>4</v>
      </c>
      <c r="S15" s="352">
        <f t="shared" ref="S15:S18" si="7">IF(Q15=0, "    ---- ", IF(ABS(ROUND(100/Q15*R15-100,1))&lt;999,ROUND(100/Q15*R15-100,1),IF(ROUND(100/Q15*R15-100,1)&gt;999,999,-999)))</f>
        <v>0</v>
      </c>
      <c r="T15" s="394">
        <v>1324</v>
      </c>
      <c r="U15" s="394">
        <v>1384</v>
      </c>
      <c r="V15" s="352">
        <f t="shared" ref="V15:V28" si="8">IF(T15=0, "    ---- ", IF(ABS(ROUND(100/T15*U15-100,1))&lt;999,ROUND(100/T15*U15-100,1),IF(ROUND(100/T15*U15-100,1)&gt;999,999,-999)))</f>
        <v>4.5</v>
      </c>
      <c r="W15" s="76">
        <v>1387.779</v>
      </c>
      <c r="X15" s="394">
        <v>1401.992</v>
      </c>
      <c r="Y15" s="352">
        <f t="shared" ref="Y15:Y28" si="9">IF(W15=0, "    ---- ", IF(ABS(ROUND(100/W15*X15-100,1))&lt;999,ROUND(100/W15*X15-100,1),IF(ROUND(100/W15*X15-100,1)&gt;999,999,-999)))</f>
        <v>1</v>
      </c>
      <c r="Z15" s="76">
        <v>13133.237119469995</v>
      </c>
      <c r="AA15" s="394">
        <v>13573.2936778</v>
      </c>
      <c r="AB15" s="352">
        <f t="shared" ref="AB15:AB28" si="10">IF(Z15=0, "    ---- ", IF(ABS(ROUND(100/Z15*AA15-100,1))&lt;999,ROUND(100/Z15*AA15-100,1),IF(ROUND(100/Z15*AA15-100,1)&gt;999,999,-999)))</f>
        <v>3.4</v>
      </c>
      <c r="AC15" s="76"/>
      <c r="AD15" s="394"/>
      <c r="AE15" s="352"/>
      <c r="AF15" s="394">
        <f t="shared" si="2"/>
        <v>26336.559198579998</v>
      </c>
      <c r="AG15" s="394">
        <f t="shared" si="2"/>
        <v>27552.719292940001</v>
      </c>
      <c r="AH15" s="352">
        <f t="shared" si="3"/>
        <v>4.5999999999999996</v>
      </c>
      <c r="AI15" s="394">
        <f t="shared" si="4"/>
        <v>26336.559198579998</v>
      </c>
      <c r="AJ15" s="394">
        <f t="shared" si="4"/>
        <v>27552.719292940001</v>
      </c>
      <c r="AK15" s="352">
        <f t="shared" si="5"/>
        <v>4.5999999999999996</v>
      </c>
    </row>
    <row r="16" spans="1:51" s="364" customFormat="1" ht="20.100000000000001" customHeight="1" x14ac:dyDescent="0.3">
      <c r="A16" s="427" t="s">
        <v>171</v>
      </c>
      <c r="B16" s="147">
        <v>18162.73708617</v>
      </c>
      <c r="C16" s="352">
        <v>16822.52686432</v>
      </c>
      <c r="D16" s="352">
        <f t="shared" si="6"/>
        <v>-7.4</v>
      </c>
      <c r="E16" s="147">
        <v>724.26977105000003</v>
      </c>
      <c r="F16" s="352">
        <f>SUM(F17+F19)</f>
        <v>753.24641009000004</v>
      </c>
      <c r="G16" s="352">
        <f t="shared" ref="G16:G18" si="11">IF(E16=0, "    ---- ", IF(ABS(ROUND(100/E16*F16-100,1))&lt;999,ROUND(100/E16*F16-100,1),IF(ROUND(100/E16*F16-100,1)&gt;999,999,-999)))</f>
        <v>4</v>
      </c>
      <c r="H16" s="147">
        <v>135.76499999999999</v>
      </c>
      <c r="I16" s="352">
        <f>SUM(I17+I19)</f>
        <v>0</v>
      </c>
      <c r="J16" s="352">
        <f t="shared" ref="J16:J17" si="12">IF(H16=0, "    ---- ", IF(ABS(ROUND(100/H16*I16-100,1))&lt;999,ROUND(100/H16*I16-100,1),IF(ROUND(100/H16*I16-100,1)&gt;999,999,-999)))</f>
        <v>-100</v>
      </c>
      <c r="K16" s="76">
        <v>171</v>
      </c>
      <c r="L16" s="394">
        <f>SUM(L17+L19)</f>
        <v>139</v>
      </c>
      <c r="M16" s="394">
        <f t="shared" ref="M16" si="13">IF(K16=0, "    ---- ", IF(ABS(ROUND(100/K16*L16-100,1))&lt;999,ROUND(100/K16*L16-100,1),IF(ROUND(100/K16*L16-100,1)&gt;999,999,-999)))</f>
        <v>-18.7</v>
      </c>
      <c r="N16" s="76">
        <v>21598.921184260002</v>
      </c>
      <c r="O16" s="394">
        <v>19875.926415040001</v>
      </c>
      <c r="P16" s="352">
        <f t="shared" si="1"/>
        <v>-8</v>
      </c>
      <c r="Q16" s="76">
        <v>8723.31</v>
      </c>
      <c r="R16" s="394">
        <f>SUM(R17+R19)</f>
        <v>8835.39</v>
      </c>
      <c r="S16" s="352">
        <f t="shared" si="7"/>
        <v>1.3</v>
      </c>
      <c r="T16" s="394">
        <v>4661</v>
      </c>
      <c r="U16" s="394">
        <v>5458</v>
      </c>
      <c r="V16" s="352">
        <f t="shared" si="8"/>
        <v>17.100000000000001</v>
      </c>
      <c r="W16" s="76">
        <v>1361.1659999999999</v>
      </c>
      <c r="X16" s="394">
        <f>SUM(X17+X19)</f>
        <v>1342.347</v>
      </c>
      <c r="Y16" s="352">
        <f t="shared" si="9"/>
        <v>-1.4</v>
      </c>
      <c r="Z16" s="76">
        <v>15769.08007014</v>
      </c>
      <c r="AA16" s="394">
        <f>SUM(AA17+AA19)</f>
        <v>15185.346501960001</v>
      </c>
      <c r="AB16" s="352">
        <f t="shared" si="10"/>
        <v>-3.7</v>
      </c>
      <c r="AC16" s="76"/>
      <c r="AD16" s="394"/>
      <c r="AE16" s="352"/>
      <c r="AF16" s="394">
        <f t="shared" si="2"/>
        <v>71307.249111619996</v>
      </c>
      <c r="AG16" s="394">
        <f t="shared" si="2"/>
        <v>68411.78319141001</v>
      </c>
      <c r="AH16" s="352">
        <f t="shared" si="3"/>
        <v>-4.0999999999999996</v>
      </c>
      <c r="AI16" s="394">
        <f t="shared" si="4"/>
        <v>71307.249111619996</v>
      </c>
      <c r="AJ16" s="394">
        <f t="shared" si="4"/>
        <v>68411.78319141001</v>
      </c>
      <c r="AK16" s="352">
        <f t="shared" si="5"/>
        <v>-4.0999999999999996</v>
      </c>
    </row>
    <row r="17" spans="1:37" s="364" customFormat="1" ht="20.100000000000001" customHeight="1" x14ac:dyDescent="0.3">
      <c r="A17" s="427" t="s">
        <v>394</v>
      </c>
      <c r="B17" s="147">
        <v>15597.434215679999</v>
      </c>
      <c r="C17" s="352">
        <v>16218.156999999999</v>
      </c>
      <c r="D17" s="352">
        <f t="shared" si="6"/>
        <v>4</v>
      </c>
      <c r="E17" s="147">
        <v>724.26977105000003</v>
      </c>
      <c r="F17" s="352">
        <v>753.24641009000004</v>
      </c>
      <c r="G17" s="352">
        <f t="shared" si="11"/>
        <v>4</v>
      </c>
      <c r="H17" s="147">
        <v>135.76499999999999</v>
      </c>
      <c r="I17" s="352">
        <v>0</v>
      </c>
      <c r="J17" s="352">
        <f t="shared" si="12"/>
        <v>-100</v>
      </c>
      <c r="K17" s="76"/>
      <c r="L17" s="394"/>
      <c r="M17" s="394"/>
      <c r="N17" s="76">
        <v>7748.9469829799991</v>
      </c>
      <c r="O17" s="394">
        <v>5439.4116815899997</v>
      </c>
      <c r="P17" s="352">
        <f t="shared" si="1"/>
        <v>-29.8</v>
      </c>
      <c r="Q17" s="76">
        <v>8723.31</v>
      </c>
      <c r="R17" s="394">
        <v>8835.39</v>
      </c>
      <c r="S17" s="352">
        <f t="shared" si="7"/>
        <v>1.3</v>
      </c>
      <c r="T17" s="394"/>
      <c r="U17" s="394"/>
      <c r="V17" s="352"/>
      <c r="W17" s="76">
        <v>1361.1659999999999</v>
      </c>
      <c r="X17" s="394">
        <v>1342.347</v>
      </c>
      <c r="Y17" s="352">
        <f t="shared" si="9"/>
        <v>-1.4</v>
      </c>
      <c r="Z17" s="76"/>
      <c r="AA17" s="394"/>
      <c r="AB17" s="352"/>
      <c r="AC17" s="76"/>
      <c r="AD17" s="394"/>
      <c r="AE17" s="352"/>
      <c r="AF17" s="394">
        <f t="shared" si="2"/>
        <v>34290.891969709999</v>
      </c>
      <c r="AG17" s="394">
        <f t="shared" si="2"/>
        <v>32588.552091680001</v>
      </c>
      <c r="AH17" s="352">
        <f t="shared" si="3"/>
        <v>-5</v>
      </c>
      <c r="AI17" s="394">
        <f t="shared" si="4"/>
        <v>34290.891969709999</v>
      </c>
      <c r="AJ17" s="394">
        <f t="shared" si="4"/>
        <v>32588.552091680001</v>
      </c>
      <c r="AK17" s="352">
        <f t="shared" si="5"/>
        <v>-5</v>
      </c>
    </row>
    <row r="18" spans="1:37" s="364" customFormat="1" ht="20.100000000000001" customHeight="1" x14ac:dyDescent="0.3">
      <c r="A18" s="427" t="s">
        <v>172</v>
      </c>
      <c r="B18" s="147">
        <v>15597.434215679999</v>
      </c>
      <c r="C18" s="352">
        <v>16218.156999999999</v>
      </c>
      <c r="D18" s="352">
        <f t="shared" si="6"/>
        <v>4</v>
      </c>
      <c r="E18" s="147">
        <v>724.26977105000003</v>
      </c>
      <c r="F18" s="352">
        <v>753.24641009000004</v>
      </c>
      <c r="G18" s="352">
        <f t="shared" si="11"/>
        <v>4</v>
      </c>
      <c r="H18" s="147"/>
      <c r="I18" s="352"/>
      <c r="J18" s="352"/>
      <c r="K18" s="76"/>
      <c r="L18" s="394"/>
      <c r="M18" s="394"/>
      <c r="N18" s="76">
        <v>7748.9469829799991</v>
      </c>
      <c r="O18" s="394">
        <v>5439.4116815899997</v>
      </c>
      <c r="P18" s="352">
        <f t="shared" si="1"/>
        <v>-29.8</v>
      </c>
      <c r="Q18" s="76">
        <v>8723.31</v>
      </c>
      <c r="R18" s="394">
        <v>8835.39</v>
      </c>
      <c r="S18" s="352">
        <f t="shared" si="7"/>
        <v>1.3</v>
      </c>
      <c r="T18" s="394"/>
      <c r="U18" s="394"/>
      <c r="V18" s="352"/>
      <c r="W18" s="76">
        <v>9.8756207499996709</v>
      </c>
      <c r="X18" s="394">
        <v>9.8894178599996696</v>
      </c>
      <c r="Y18" s="352">
        <f t="shared" si="9"/>
        <v>0.1</v>
      </c>
      <c r="Z18" s="76"/>
      <c r="AA18" s="394"/>
      <c r="AB18" s="352"/>
      <c r="AC18" s="76"/>
      <c r="AD18" s="394"/>
      <c r="AE18" s="352"/>
      <c r="AF18" s="394">
        <f t="shared" si="2"/>
        <v>32803.836590459992</v>
      </c>
      <c r="AG18" s="394">
        <f t="shared" si="2"/>
        <v>31256.094509539998</v>
      </c>
      <c r="AH18" s="352">
        <f t="shared" si="3"/>
        <v>-4.7</v>
      </c>
      <c r="AI18" s="394">
        <f t="shared" si="4"/>
        <v>32803.836590459992</v>
      </c>
      <c r="AJ18" s="394">
        <f t="shared" si="4"/>
        <v>31256.094509539998</v>
      </c>
      <c r="AK18" s="352">
        <f t="shared" si="5"/>
        <v>-4.7</v>
      </c>
    </row>
    <row r="19" spans="1:37" s="364" customFormat="1" ht="20.100000000000001" customHeight="1" x14ac:dyDescent="0.3">
      <c r="A19" s="427" t="s">
        <v>173</v>
      </c>
      <c r="B19" s="147">
        <v>2565.3028704899998</v>
      </c>
      <c r="C19" s="352">
        <v>604.37</v>
      </c>
      <c r="D19" s="352">
        <f t="shared" si="6"/>
        <v>-76.400000000000006</v>
      </c>
      <c r="E19" s="147"/>
      <c r="F19" s="352"/>
      <c r="G19" s="352"/>
      <c r="H19" s="147"/>
      <c r="I19" s="352"/>
      <c r="J19" s="352"/>
      <c r="K19" s="76">
        <v>171</v>
      </c>
      <c r="L19" s="394">
        <v>139</v>
      </c>
      <c r="M19" s="394">
        <f t="shared" ref="M19:M28" si="14">IF(K19=0, "    ---- ", IF(ABS(ROUND(100/K19*L19-100,1))&lt;999,ROUND(100/K19*L19-100,1),IF(ROUND(100/K19*L19-100,1)&gt;999,999,-999)))</f>
        <v>-18.7</v>
      </c>
      <c r="N19" s="76">
        <v>13849.974201280002</v>
      </c>
      <c r="O19" s="394">
        <v>14436.514733450002</v>
      </c>
      <c r="P19" s="352">
        <f t="shared" si="1"/>
        <v>4.2</v>
      </c>
      <c r="Q19" s="76"/>
      <c r="R19" s="394"/>
      <c r="S19" s="352"/>
      <c r="T19" s="394">
        <v>4661</v>
      </c>
      <c r="U19" s="394">
        <v>5458</v>
      </c>
      <c r="V19" s="352">
        <f t="shared" si="8"/>
        <v>17.100000000000001</v>
      </c>
      <c r="W19" s="76"/>
      <c r="X19" s="394"/>
      <c r="Y19" s="352"/>
      <c r="Z19" s="76">
        <v>15769.08007014</v>
      </c>
      <c r="AA19" s="394">
        <v>15185.346501960001</v>
      </c>
      <c r="AB19" s="352">
        <f t="shared" si="10"/>
        <v>-3.7</v>
      </c>
      <c r="AC19" s="76"/>
      <c r="AD19" s="394"/>
      <c r="AE19" s="352"/>
      <c r="AF19" s="394">
        <f t="shared" si="2"/>
        <v>37016.357141910004</v>
      </c>
      <c r="AG19" s="394">
        <f t="shared" si="2"/>
        <v>35823.231235409999</v>
      </c>
      <c r="AH19" s="352">
        <f t="shared" si="3"/>
        <v>-3.2</v>
      </c>
      <c r="AI19" s="394">
        <f t="shared" si="4"/>
        <v>37016.357141910004</v>
      </c>
      <c r="AJ19" s="394">
        <f t="shared" si="4"/>
        <v>35823.231235409999</v>
      </c>
      <c r="AK19" s="352">
        <f t="shared" si="5"/>
        <v>-3.2</v>
      </c>
    </row>
    <row r="20" spans="1:37" s="364" customFormat="1" ht="20.100000000000001" customHeight="1" x14ac:dyDescent="0.3">
      <c r="A20" s="427" t="s">
        <v>174</v>
      </c>
      <c r="B20" s="147">
        <v>12085.707525284874</v>
      </c>
      <c r="C20" s="352">
        <f>C21+C22+C23+C24+C25</f>
        <v>11516.511999999999</v>
      </c>
      <c r="D20" s="352">
        <f t="shared" si="6"/>
        <v>-4.7</v>
      </c>
      <c r="E20" s="147">
        <v>2767.77134105</v>
      </c>
      <c r="F20" s="352">
        <v>2855.3140137400001</v>
      </c>
      <c r="G20" s="352">
        <f>IF(E20=0, "    ---- ", IF(ABS(ROUND(100/E20*F20-100,1))&lt;999,ROUND(100/E20*F20-100,1),IF(ROUND(100/E20*F20-100,1)&gt;999,999,-999)))</f>
        <v>3.2</v>
      </c>
      <c r="H20" s="147">
        <v>313.21499999999997</v>
      </c>
      <c r="I20" s="352">
        <f>I21+I22+I23+I24+I25</f>
        <v>404.14499999999998</v>
      </c>
      <c r="J20" s="352">
        <f t="shared" ref="J20:J28" si="15">IF(H20=0, "    ---- ", IF(ABS(ROUND(100/H20*I20-100,1))&lt;999,ROUND(100/H20*I20-100,1),IF(ROUND(100/H20*I20-100,1)&gt;999,999,-999)))</f>
        <v>29</v>
      </c>
      <c r="K20" s="76">
        <v>819</v>
      </c>
      <c r="L20" s="352">
        <f>L21+L22+L23+L24+L25</f>
        <v>1183</v>
      </c>
      <c r="M20" s="394">
        <f t="shared" si="14"/>
        <v>44.4</v>
      </c>
      <c r="N20" s="76">
        <v>13450.847817580001</v>
      </c>
      <c r="O20" s="352">
        <v>17214.598285830001</v>
      </c>
      <c r="P20" s="352">
        <f t="shared" si="1"/>
        <v>28</v>
      </c>
      <c r="Q20" s="76">
        <v>2314.29</v>
      </c>
      <c r="R20" s="352">
        <f>R21+R22+R23+R24+R25</f>
        <v>1184.55</v>
      </c>
      <c r="S20" s="352">
        <f t="shared" ref="S20:S28" si="16">IF(Q20=0, "    ---- ", IF(ABS(ROUND(100/Q20*R20-100,1))&lt;999,ROUND(100/Q20*R20-100,1),IF(ROUND(100/Q20*R20-100,1)&gt;999,999,-999)))</f>
        <v>-48.8</v>
      </c>
      <c r="T20" s="394">
        <v>4324</v>
      </c>
      <c r="U20" s="352">
        <v>4601</v>
      </c>
      <c r="V20" s="352">
        <f t="shared" si="8"/>
        <v>6.4</v>
      </c>
      <c r="W20" s="76">
        <v>3242.5280000000002</v>
      </c>
      <c r="X20" s="352">
        <f>X21+X22+X23+X24+X25</f>
        <v>3639.6419999999998</v>
      </c>
      <c r="Y20" s="352">
        <f t="shared" si="9"/>
        <v>12.2</v>
      </c>
      <c r="Z20" s="76">
        <v>4137.4951461399996</v>
      </c>
      <c r="AA20" s="352">
        <f>AA21+AA22+AA23+AA24+AA25</f>
        <v>4448.0215789900003</v>
      </c>
      <c r="AB20" s="352">
        <f t="shared" si="10"/>
        <v>7.5</v>
      </c>
      <c r="AC20" s="76">
        <v>44</v>
      </c>
      <c r="AD20" s="352">
        <f>AD21+AD22+AD23+AD24+AD25</f>
        <v>66</v>
      </c>
      <c r="AE20" s="352">
        <f t="shared" ref="AE20:AE25" si="17">IF(AC20=0, "    ---- ", IF(ABS(ROUND(100/AC20*AD20-100,1))&lt;999,ROUND(100/AC20*AD20-100,1),IF(ROUND(100/AC20*AD20-100,1)&gt;999,999,-999)))</f>
        <v>50</v>
      </c>
      <c r="AF20" s="394">
        <f t="shared" si="2"/>
        <v>43454.854830054872</v>
      </c>
      <c r="AG20" s="394">
        <f t="shared" si="2"/>
        <v>47046.782878560007</v>
      </c>
      <c r="AH20" s="352">
        <f t="shared" si="3"/>
        <v>8.3000000000000007</v>
      </c>
      <c r="AI20" s="394">
        <f t="shared" si="4"/>
        <v>43498.854830054872</v>
      </c>
      <c r="AJ20" s="394">
        <f t="shared" si="4"/>
        <v>47112.782878560007</v>
      </c>
      <c r="AK20" s="352">
        <f t="shared" si="5"/>
        <v>8.3000000000000007</v>
      </c>
    </row>
    <row r="21" spans="1:37" s="364" customFormat="1" ht="20.100000000000001" customHeight="1" x14ac:dyDescent="0.3">
      <c r="A21" s="427" t="s">
        <v>175</v>
      </c>
      <c r="B21" s="147">
        <v>1241.4231760474388</v>
      </c>
      <c r="C21" s="352">
        <v>1178.2570000000001</v>
      </c>
      <c r="D21" s="352">
        <f t="shared" si="6"/>
        <v>-5.0999999999999996</v>
      </c>
      <c r="E21" s="147"/>
      <c r="F21" s="352"/>
      <c r="G21" s="352"/>
      <c r="H21" s="147">
        <v>46.732999999999997</v>
      </c>
      <c r="I21" s="352">
        <v>61.305999999999997</v>
      </c>
      <c r="J21" s="352">
        <f t="shared" si="15"/>
        <v>31.2</v>
      </c>
      <c r="K21" s="76">
        <v>6</v>
      </c>
      <c r="L21" s="394">
        <v>18</v>
      </c>
      <c r="M21" s="394">
        <f t="shared" si="14"/>
        <v>200</v>
      </c>
      <c r="N21" s="76">
        <v>3.8961000000000001</v>
      </c>
      <c r="O21" s="394">
        <v>1419.4277886199998</v>
      </c>
      <c r="P21" s="352">
        <f t="shared" si="1"/>
        <v>999</v>
      </c>
      <c r="Q21" s="76">
        <v>2279.37</v>
      </c>
      <c r="R21" s="394">
        <v>9.84</v>
      </c>
      <c r="S21" s="352">
        <f t="shared" si="16"/>
        <v>-99.6</v>
      </c>
      <c r="T21" s="394">
        <v>2021</v>
      </c>
      <c r="U21" s="394">
        <v>2130</v>
      </c>
      <c r="V21" s="352">
        <f t="shared" si="8"/>
        <v>5.4</v>
      </c>
      <c r="W21" s="76">
        <v>1.92</v>
      </c>
      <c r="X21" s="394">
        <v>2.2410000000000001</v>
      </c>
      <c r="Y21" s="352">
        <f t="shared" si="9"/>
        <v>16.7</v>
      </c>
      <c r="Z21" s="76">
        <v>357.20172335000001</v>
      </c>
      <c r="AA21" s="394">
        <v>393.09831654000016</v>
      </c>
      <c r="AB21" s="352">
        <f t="shared" si="10"/>
        <v>10</v>
      </c>
      <c r="AC21" s="76"/>
      <c r="AD21" s="394"/>
      <c r="AE21" s="352"/>
      <c r="AF21" s="394">
        <f t="shared" si="2"/>
        <v>5957.5439993974387</v>
      </c>
      <c r="AG21" s="394">
        <f t="shared" si="2"/>
        <v>5212.1701051600003</v>
      </c>
      <c r="AH21" s="352">
        <f t="shared" si="3"/>
        <v>-12.5</v>
      </c>
      <c r="AI21" s="394">
        <f t="shared" si="4"/>
        <v>5957.5439993974387</v>
      </c>
      <c r="AJ21" s="394">
        <f t="shared" si="4"/>
        <v>5212.1701051600003</v>
      </c>
      <c r="AK21" s="352">
        <f t="shared" si="5"/>
        <v>-12.5</v>
      </c>
    </row>
    <row r="22" spans="1:37" s="364" customFormat="1" ht="20.100000000000001" customHeight="1" x14ac:dyDescent="0.3">
      <c r="A22" s="427" t="s">
        <v>395</v>
      </c>
      <c r="B22" s="147">
        <v>10699.889984897436</v>
      </c>
      <c r="C22" s="352">
        <v>10219.703</v>
      </c>
      <c r="D22" s="352">
        <f t="shared" si="6"/>
        <v>-4.5</v>
      </c>
      <c r="E22" s="147">
        <v>2663.4545685200005</v>
      </c>
      <c r="F22" s="352">
        <v>2753.1519692600004</v>
      </c>
      <c r="G22" s="352">
        <f>IF(E22=0, "    ---- ", IF(ABS(ROUND(100/E22*F22-100,1))&lt;999,ROUND(100/E22*F22-100,1),IF(ROUND(100/E22*F22-100,1)&gt;999,999,-999)))</f>
        <v>3.4</v>
      </c>
      <c r="H22" s="147">
        <v>196.53899999999999</v>
      </c>
      <c r="I22" s="352">
        <v>246.364</v>
      </c>
      <c r="J22" s="352">
        <f t="shared" si="15"/>
        <v>25.4</v>
      </c>
      <c r="K22" s="76">
        <v>813</v>
      </c>
      <c r="L22" s="394">
        <v>1165</v>
      </c>
      <c r="M22" s="394">
        <f t="shared" si="14"/>
        <v>43.3</v>
      </c>
      <c r="N22" s="76">
        <v>11604.02212487</v>
      </c>
      <c r="O22" s="394">
        <v>13523.459092219999</v>
      </c>
      <c r="P22" s="352">
        <f t="shared" si="1"/>
        <v>16.5</v>
      </c>
      <c r="Q22" s="76">
        <v>0</v>
      </c>
      <c r="R22" s="394">
        <v>725.75</v>
      </c>
      <c r="S22" s="352" t="str">
        <f t="shared" si="16"/>
        <v xml:space="preserve">    ---- </v>
      </c>
      <c r="T22" s="394">
        <v>2301</v>
      </c>
      <c r="U22" s="394">
        <v>2426</v>
      </c>
      <c r="V22" s="352">
        <f t="shared" si="8"/>
        <v>5.4</v>
      </c>
      <c r="W22" s="76">
        <v>2787.44</v>
      </c>
      <c r="X22" s="394">
        <v>2800.2269999999999</v>
      </c>
      <c r="Y22" s="352">
        <f t="shared" si="9"/>
        <v>0.5</v>
      </c>
      <c r="Z22" s="76">
        <v>3860.3439857399999</v>
      </c>
      <c r="AA22" s="394">
        <v>3979.8464881900004</v>
      </c>
      <c r="AB22" s="352">
        <f t="shared" si="10"/>
        <v>3.1</v>
      </c>
      <c r="AC22" s="76"/>
      <c r="AD22" s="394"/>
      <c r="AE22" s="352"/>
      <c r="AF22" s="394">
        <f t="shared" si="2"/>
        <v>34925.689664027435</v>
      </c>
      <c r="AG22" s="394">
        <f t="shared" si="2"/>
        <v>37839.50154967</v>
      </c>
      <c r="AH22" s="352">
        <f t="shared" si="3"/>
        <v>8.3000000000000007</v>
      </c>
      <c r="AI22" s="394">
        <f t="shared" si="4"/>
        <v>34925.689664027435</v>
      </c>
      <c r="AJ22" s="394">
        <f t="shared" si="4"/>
        <v>37839.50154967</v>
      </c>
      <c r="AK22" s="352">
        <f t="shared" si="5"/>
        <v>8.3000000000000007</v>
      </c>
    </row>
    <row r="23" spans="1:37" s="364" customFormat="1" ht="20.100000000000001" customHeight="1" x14ac:dyDescent="0.3">
      <c r="A23" s="427" t="s">
        <v>176</v>
      </c>
      <c r="B23" s="147">
        <v>34.914888359999999</v>
      </c>
      <c r="C23" s="352">
        <v>1.9470000000000001</v>
      </c>
      <c r="D23" s="352">
        <f t="shared" si="6"/>
        <v>-94.4</v>
      </c>
      <c r="E23" s="147">
        <v>99.79021173999999</v>
      </c>
      <c r="F23" s="352">
        <v>51.080043020000012</v>
      </c>
      <c r="G23" s="352">
        <f>IF(E23=0, "    ---- ", IF(ABS(ROUND(100/E23*F23-100,1))&lt;999,ROUND(100/E23*F23-100,1),IF(ROUND(100/E23*F23-100,1)&gt;999,999,-999)))</f>
        <v>-48.8</v>
      </c>
      <c r="H23" s="147"/>
      <c r="I23" s="352"/>
      <c r="J23" s="352"/>
      <c r="K23" s="76"/>
      <c r="L23" s="394"/>
      <c r="M23" s="394"/>
      <c r="N23" s="76">
        <v>1341.1013563499998</v>
      </c>
      <c r="O23" s="394">
        <v>1735.19069055</v>
      </c>
      <c r="P23" s="352">
        <f t="shared" si="1"/>
        <v>29.4</v>
      </c>
      <c r="Q23" s="76">
        <v>0.1</v>
      </c>
      <c r="R23" s="394">
        <v>0.1</v>
      </c>
      <c r="S23" s="352">
        <f t="shared" si="16"/>
        <v>0</v>
      </c>
      <c r="T23" s="394"/>
      <c r="U23" s="394"/>
      <c r="V23" s="352"/>
      <c r="W23" s="76">
        <v>298.44900000000001</v>
      </c>
      <c r="X23" s="394">
        <v>50.872</v>
      </c>
      <c r="Y23" s="352">
        <f t="shared" si="9"/>
        <v>-83</v>
      </c>
      <c r="Z23" s="76"/>
      <c r="AA23" s="394"/>
      <c r="AB23" s="352"/>
      <c r="AC23" s="76"/>
      <c r="AD23" s="394">
        <v>66</v>
      </c>
      <c r="AE23" s="352" t="str">
        <f t="shared" si="17"/>
        <v xml:space="preserve">    ---- </v>
      </c>
      <c r="AF23" s="394">
        <f>B23+E23+H23+K23+N23+Q23+T23+W23+Z23</f>
        <v>1774.3554564499998</v>
      </c>
      <c r="AG23" s="394">
        <f>C23+F23+I23+L23+O23+R23+U23+X23+AA23</f>
        <v>1839.18973357</v>
      </c>
      <c r="AH23" s="352">
        <f t="shared" si="3"/>
        <v>3.7</v>
      </c>
      <c r="AI23" s="394">
        <f>B23+E23+H23+K23+N23+Q23+T23+W23+Z23+AC23</f>
        <v>1774.3554564499998</v>
      </c>
      <c r="AJ23" s="394">
        <f>C23+F23+I23+L23+O23+R23+U23+X23+AA23+AD23</f>
        <v>1905.18973357</v>
      </c>
      <c r="AK23" s="352">
        <f t="shared" si="5"/>
        <v>7.4</v>
      </c>
    </row>
    <row r="24" spans="1:37" s="364" customFormat="1" ht="20.100000000000001" customHeight="1" x14ac:dyDescent="0.3">
      <c r="A24" s="427" t="s">
        <v>177</v>
      </c>
      <c r="B24" s="147">
        <v>1.9726188100000002</v>
      </c>
      <c r="C24" s="352">
        <v>45.134</v>
      </c>
      <c r="D24" s="352">
        <f t="shared" si="6"/>
        <v>999</v>
      </c>
      <c r="E24" s="147"/>
      <c r="F24" s="352"/>
      <c r="G24" s="352"/>
      <c r="H24" s="147"/>
      <c r="I24" s="352"/>
      <c r="J24" s="352"/>
      <c r="K24" s="76"/>
      <c r="L24" s="394"/>
      <c r="M24" s="394"/>
      <c r="N24" s="76">
        <v>488.96974083999999</v>
      </c>
      <c r="O24" s="394">
        <v>536.51993252</v>
      </c>
      <c r="P24" s="352">
        <f t="shared" si="1"/>
        <v>9.6999999999999993</v>
      </c>
      <c r="Q24" s="76">
        <v>0</v>
      </c>
      <c r="R24" s="394">
        <v>2.02</v>
      </c>
      <c r="S24" s="352" t="str">
        <f t="shared" si="16"/>
        <v xml:space="preserve">    ---- </v>
      </c>
      <c r="T24" s="394">
        <v>2</v>
      </c>
      <c r="U24" s="394">
        <v>45</v>
      </c>
      <c r="V24" s="352">
        <f t="shared" si="8"/>
        <v>999</v>
      </c>
      <c r="W24" s="76">
        <v>8.0440000000000005</v>
      </c>
      <c r="X24" s="394">
        <v>12.705</v>
      </c>
      <c r="Y24" s="352">
        <f t="shared" si="9"/>
        <v>57.9</v>
      </c>
      <c r="Z24" s="76">
        <v>-80.050562949999986</v>
      </c>
      <c r="AA24" s="394">
        <v>75.076774259999951</v>
      </c>
      <c r="AB24" s="352">
        <f t="shared" si="10"/>
        <v>-193.8</v>
      </c>
      <c r="AC24" s="76"/>
      <c r="AD24" s="394"/>
      <c r="AE24" s="352"/>
      <c r="AF24" s="394">
        <f t="shared" ref="AF24:AG29" si="18">B24+E24+H24+K24+N24+Q24+T24+W24+Z24</f>
        <v>420.93579669999997</v>
      </c>
      <c r="AG24" s="394">
        <f t="shared" si="18"/>
        <v>716.45570678000001</v>
      </c>
      <c r="AH24" s="352">
        <f t="shared" si="3"/>
        <v>70.2</v>
      </c>
      <c r="AI24" s="394">
        <f t="shared" ref="AI24:AJ29" si="19">B24+E24+H24+K24+N24+Q24+T24+W24+Z24+AC24</f>
        <v>420.93579669999997</v>
      </c>
      <c r="AJ24" s="394">
        <f t="shared" si="19"/>
        <v>716.45570678000001</v>
      </c>
      <c r="AK24" s="352">
        <f t="shared" si="5"/>
        <v>70.2</v>
      </c>
    </row>
    <row r="25" spans="1:37" s="364" customFormat="1" ht="20.100000000000001" customHeight="1" x14ac:dyDescent="0.3">
      <c r="A25" s="427" t="s">
        <v>178</v>
      </c>
      <c r="B25" s="147">
        <v>107.50685716999999</v>
      </c>
      <c r="C25" s="352">
        <v>71.471000000000004</v>
      </c>
      <c r="D25" s="352">
        <f t="shared" si="6"/>
        <v>-33.5</v>
      </c>
      <c r="E25" s="147">
        <v>4.5270000000000001</v>
      </c>
      <c r="F25" s="352">
        <v>51.082001459999994</v>
      </c>
      <c r="G25" s="352">
        <f>IF(E25=0, "    ---- ", IF(ABS(ROUND(100/E25*F25-100,1))&lt;999,ROUND(100/E25*F25-100,1),IF(ROUND(100/E25*F25-100,1)&gt;999,999,-999)))</f>
        <v>999</v>
      </c>
      <c r="H25" s="147">
        <v>69.942999999999998</v>
      </c>
      <c r="I25" s="352">
        <v>96.474999999999994</v>
      </c>
      <c r="J25" s="352">
        <f t="shared" si="15"/>
        <v>37.9</v>
      </c>
      <c r="K25" s="76"/>
      <c r="L25" s="394"/>
      <c r="M25" s="394"/>
      <c r="N25" s="76">
        <v>12.85849552</v>
      </c>
      <c r="O25" s="394">
        <v>7.8191999999999997E-4</v>
      </c>
      <c r="P25" s="352">
        <f t="shared" si="1"/>
        <v>-100</v>
      </c>
      <c r="Q25" s="76">
        <v>34.82</v>
      </c>
      <c r="R25" s="394">
        <v>446.84</v>
      </c>
      <c r="S25" s="352">
        <f t="shared" si="16"/>
        <v>999</v>
      </c>
      <c r="T25" s="394"/>
      <c r="U25" s="394"/>
      <c r="V25" s="352"/>
      <c r="W25" s="76">
        <v>146.67500000000001</v>
      </c>
      <c r="X25" s="394">
        <v>773.59699999999998</v>
      </c>
      <c r="Y25" s="352">
        <f t="shared" si="9"/>
        <v>427.4</v>
      </c>
      <c r="Z25" s="76"/>
      <c r="AA25" s="394"/>
      <c r="AB25" s="352"/>
      <c r="AC25" s="76">
        <v>44</v>
      </c>
      <c r="AD25" s="394"/>
      <c r="AE25" s="352">
        <f t="shared" si="17"/>
        <v>-100</v>
      </c>
      <c r="AF25" s="394">
        <f t="shared" si="18"/>
        <v>376.33035268999998</v>
      </c>
      <c r="AG25" s="394">
        <f t="shared" si="18"/>
        <v>1439.4657833799999</v>
      </c>
      <c r="AH25" s="352">
        <f t="shared" si="3"/>
        <v>282.5</v>
      </c>
      <c r="AI25" s="394">
        <f t="shared" si="19"/>
        <v>420.33035268999998</v>
      </c>
      <c r="AJ25" s="394">
        <f t="shared" si="19"/>
        <v>1439.4657833799999</v>
      </c>
      <c r="AK25" s="352">
        <f t="shared" si="5"/>
        <v>242.5</v>
      </c>
    </row>
    <row r="26" spans="1:37" s="364" customFormat="1" ht="20.100000000000001" customHeight="1" x14ac:dyDescent="0.3">
      <c r="A26" s="427" t="s">
        <v>179</v>
      </c>
      <c r="B26" s="147"/>
      <c r="C26" s="352"/>
      <c r="D26" s="352"/>
      <c r="E26" s="147"/>
      <c r="F26" s="352"/>
      <c r="G26" s="352"/>
      <c r="H26" s="147"/>
      <c r="I26" s="352"/>
      <c r="J26" s="352"/>
      <c r="K26" s="76"/>
      <c r="L26" s="394"/>
      <c r="M26" s="394"/>
      <c r="N26" s="76"/>
      <c r="O26" s="394"/>
      <c r="P26" s="352"/>
      <c r="Q26" s="76"/>
      <c r="R26" s="394"/>
      <c r="S26" s="352"/>
      <c r="T26" s="394"/>
      <c r="U26" s="394"/>
      <c r="V26" s="352"/>
      <c r="W26" s="76"/>
      <c r="X26" s="394"/>
      <c r="Y26" s="352"/>
      <c r="Z26" s="76"/>
      <c r="AA26" s="394"/>
      <c r="AB26" s="352"/>
      <c r="AC26" s="76"/>
      <c r="AD26" s="394"/>
      <c r="AE26" s="352"/>
      <c r="AF26" s="394">
        <f t="shared" si="18"/>
        <v>0</v>
      </c>
      <c r="AG26" s="394">
        <f t="shared" si="18"/>
        <v>0</v>
      </c>
      <c r="AH26" s="352" t="str">
        <f t="shared" si="3"/>
        <v xml:space="preserve">    ---- </v>
      </c>
      <c r="AI26" s="394">
        <f t="shared" si="19"/>
        <v>0</v>
      </c>
      <c r="AJ26" s="394">
        <f t="shared" si="19"/>
        <v>0</v>
      </c>
      <c r="AK26" s="352" t="str">
        <f t="shared" si="5"/>
        <v xml:space="preserve">    ---- </v>
      </c>
    </row>
    <row r="27" spans="1:37" s="364" customFormat="1" ht="20.100000000000001" customHeight="1" x14ac:dyDescent="0.3">
      <c r="A27" s="463" t="s">
        <v>180</v>
      </c>
      <c r="B27" s="147">
        <v>31577.782611454873</v>
      </c>
      <c r="C27" s="352">
        <f>SUM(C14+C15+C16+C20+C26)</f>
        <v>29571.589895599998</v>
      </c>
      <c r="D27" s="352">
        <f t="shared" si="6"/>
        <v>-6.4</v>
      </c>
      <c r="E27" s="147">
        <v>3492.0411121000002</v>
      </c>
      <c r="F27" s="352">
        <f>SUM(F14+F15+F16+F20+F26)</f>
        <v>3608.5604238300002</v>
      </c>
      <c r="G27" s="352">
        <f>IF(E27=0, "    ---- ", IF(ABS(ROUND(100/E27*F27-100,1))&lt;999,ROUND(100/E27*F27-100,1),IF(ROUND(100/E27*F27-100,1)&gt;999,999,-999)))</f>
        <v>3.3</v>
      </c>
      <c r="H27" s="147">
        <v>448.97999999999996</v>
      </c>
      <c r="I27" s="352">
        <f>SUM(I14+I15+I16+I20+I26)</f>
        <v>404.14499999999998</v>
      </c>
      <c r="J27" s="352">
        <f t="shared" si="15"/>
        <v>-10</v>
      </c>
      <c r="K27" s="76">
        <v>1008</v>
      </c>
      <c r="L27" s="394">
        <f>SUM(L14+L15+L16+L20+L26)</f>
        <v>1347</v>
      </c>
      <c r="M27" s="394">
        <f t="shared" si="14"/>
        <v>33.6</v>
      </c>
      <c r="N27" s="76">
        <v>45509.054810700007</v>
      </c>
      <c r="O27" s="394">
        <v>48369.593791360006</v>
      </c>
      <c r="P27" s="352">
        <f t="shared" si="1"/>
        <v>6.3</v>
      </c>
      <c r="Q27" s="76">
        <v>11041.599999999999</v>
      </c>
      <c r="R27" s="394">
        <f>SUM(R14+R15+R16+R20+R26)</f>
        <v>10023.939999999999</v>
      </c>
      <c r="S27" s="352">
        <f t="shared" si="16"/>
        <v>-9.1999999999999993</v>
      </c>
      <c r="T27" s="394">
        <v>10309</v>
      </c>
      <c r="U27" s="394">
        <v>11443</v>
      </c>
      <c r="V27" s="352">
        <f t="shared" si="8"/>
        <v>11</v>
      </c>
      <c r="W27" s="76">
        <v>5991.473</v>
      </c>
      <c r="X27" s="394">
        <f>SUM(X14+X15+X16+X20+X26)</f>
        <v>6383.9809999999998</v>
      </c>
      <c r="Y27" s="352">
        <f t="shared" si="9"/>
        <v>6.6</v>
      </c>
      <c r="Z27" s="76">
        <v>33039.812335749994</v>
      </c>
      <c r="AA27" s="394">
        <f>SUM(AA14+AA15+AA16+AA20+AA26)</f>
        <v>33206.66175875</v>
      </c>
      <c r="AB27" s="352">
        <f t="shared" si="10"/>
        <v>0.5</v>
      </c>
      <c r="AC27" s="76">
        <v>44</v>
      </c>
      <c r="AD27" s="394">
        <f>SUM(AD14+AD15+AD16+AD20+AD26)</f>
        <v>66</v>
      </c>
      <c r="AE27" s="352">
        <f>IF(AC27=0, "    ---- ", IF(ABS(ROUND(100/AC27*AD27-100,1))&lt;999,ROUND(100/AC27*AD27-100,1),IF(ROUND(100/AC27*AD27-100,1)&gt;999,999,-999)))</f>
        <v>50</v>
      </c>
      <c r="AF27" s="394">
        <f t="shared" si="18"/>
        <v>142417.7438700049</v>
      </c>
      <c r="AG27" s="394">
        <f t="shared" si="18"/>
        <v>144358.47186954002</v>
      </c>
      <c r="AH27" s="352">
        <f t="shared" si="3"/>
        <v>1.4</v>
      </c>
      <c r="AI27" s="394">
        <f t="shared" si="19"/>
        <v>142461.7438700049</v>
      </c>
      <c r="AJ27" s="394">
        <f t="shared" si="19"/>
        <v>144424.47186954002</v>
      </c>
      <c r="AK27" s="352">
        <f t="shared" si="5"/>
        <v>1.4</v>
      </c>
    </row>
    <row r="28" spans="1:37" s="364" customFormat="1" ht="20.100000000000001" customHeight="1" x14ac:dyDescent="0.3">
      <c r="A28" s="427" t="s">
        <v>181</v>
      </c>
      <c r="B28" s="147">
        <v>1080.93</v>
      </c>
      <c r="C28" s="352">
        <v>1451.306241369999</v>
      </c>
      <c r="D28" s="352">
        <f t="shared" si="6"/>
        <v>34.299999999999997</v>
      </c>
      <c r="E28" s="147">
        <v>967.86528658999987</v>
      </c>
      <c r="F28" s="352">
        <v>863.22528557999988</v>
      </c>
      <c r="G28" s="352">
        <f>IF(E28=0, "    ---- ", IF(ABS(ROUND(100/E28*F28-100,1))&lt;999,ROUND(100/E28*F28-100,1),IF(ROUND(100/E28*F28-100,1)&gt;999,999,-999)))</f>
        <v>-10.8</v>
      </c>
      <c r="H28" s="147">
        <v>676.72799999999995</v>
      </c>
      <c r="I28" s="352">
        <v>896.92899999999997</v>
      </c>
      <c r="J28" s="352">
        <f t="shared" si="15"/>
        <v>32.5</v>
      </c>
      <c r="K28" s="76">
        <v>461</v>
      </c>
      <c r="L28" s="394">
        <v>378</v>
      </c>
      <c r="M28" s="394">
        <f t="shared" si="14"/>
        <v>-18</v>
      </c>
      <c r="N28" s="76">
        <v>4670.3969475900003</v>
      </c>
      <c r="O28" s="394">
        <v>9160.2725991900006</v>
      </c>
      <c r="P28" s="352">
        <f t="shared" si="1"/>
        <v>96.1</v>
      </c>
      <c r="Q28" s="76">
        <v>1234.3499999999999</v>
      </c>
      <c r="R28" s="394">
        <v>1513.56</v>
      </c>
      <c r="S28" s="352">
        <f t="shared" si="16"/>
        <v>22.6</v>
      </c>
      <c r="T28" s="394">
        <v>1259</v>
      </c>
      <c r="U28" s="394">
        <v>980</v>
      </c>
      <c r="V28" s="352">
        <f t="shared" si="8"/>
        <v>-22.2</v>
      </c>
      <c r="W28" s="76">
        <v>1029.0039999999999</v>
      </c>
      <c r="X28" s="394">
        <v>1229.723</v>
      </c>
      <c r="Y28" s="352">
        <f t="shared" si="9"/>
        <v>19.5</v>
      </c>
      <c r="Z28" s="76">
        <v>47614.798189614419</v>
      </c>
      <c r="AA28" s="394">
        <v>31321.184307259966</v>
      </c>
      <c r="AB28" s="352">
        <f t="shared" si="10"/>
        <v>-34.200000000000003</v>
      </c>
      <c r="AC28" s="76">
        <v>45</v>
      </c>
      <c r="AD28" s="394">
        <v>151</v>
      </c>
      <c r="AE28" s="352">
        <f>IF(AC28=0, "    ---- ", IF(ABS(ROUND(100/AC28*AD28-100,1))&lt;999,ROUND(100/AC28*AD28-100,1),IF(ROUND(100/AC28*AD28-100,1)&gt;999,999,-999)))</f>
        <v>235.6</v>
      </c>
      <c r="AF28" s="394">
        <f t="shared" si="18"/>
        <v>58994.072423794423</v>
      </c>
      <c r="AG28" s="394">
        <f t="shared" si="18"/>
        <v>47794.200433399965</v>
      </c>
      <c r="AH28" s="352">
        <f t="shared" si="3"/>
        <v>-19</v>
      </c>
      <c r="AI28" s="394">
        <f t="shared" si="19"/>
        <v>59039.072423794423</v>
      </c>
      <c r="AJ28" s="394">
        <f t="shared" si="19"/>
        <v>47945.200433399965</v>
      </c>
      <c r="AK28" s="352">
        <f t="shared" si="5"/>
        <v>-18.8</v>
      </c>
    </row>
    <row r="29" spans="1:37" s="364" customFormat="1" ht="20.100000000000001" customHeight="1" x14ac:dyDescent="0.3">
      <c r="A29" s="427" t="s">
        <v>182</v>
      </c>
      <c r="B29" s="147">
        <v>32658.712611454874</v>
      </c>
      <c r="C29" s="352">
        <f>SUM(C27+C28)</f>
        <v>31022.896136969997</v>
      </c>
      <c r="D29" s="352">
        <f>IF(B29=0, "    ---- ", IF(ABS(ROUND(100/B29*C29-100,1))&lt;999,ROUND(100/B29*C29-100,1),IF(ROUND(100/B29*C29-100,1)&gt;999,999,-999)))</f>
        <v>-5</v>
      </c>
      <c r="E29" s="147">
        <v>4459.9063986900001</v>
      </c>
      <c r="F29" s="352">
        <f>SUM(F27+F28)</f>
        <v>4471.78570941</v>
      </c>
      <c r="G29" s="352">
        <f>IF(E29=0, "    ---- ", IF(ABS(ROUND(100/E29*F29-100,1))&lt;999,ROUND(100/E29*F29-100,1),IF(ROUND(100/E29*F29-100,1)&gt;999,999,-999)))</f>
        <v>0.3</v>
      </c>
      <c r="H29" s="147">
        <v>1125.7079999999999</v>
      </c>
      <c r="I29" s="352">
        <f>SUM(I27+I28)</f>
        <v>1301.0740000000001</v>
      </c>
      <c r="J29" s="352">
        <f>IF(H29=0, "    ---- ", IF(ABS(ROUND(100/H29*I29-100,1))&lt;999,ROUND(100/H29*I29-100,1),IF(ROUND(100/H29*I29-100,1)&gt;999,999,-999)))</f>
        <v>15.6</v>
      </c>
      <c r="K29" s="147">
        <v>1469</v>
      </c>
      <c r="L29" s="352">
        <f>SUM(L27+L28)</f>
        <v>1725</v>
      </c>
      <c r="M29" s="352">
        <f>IF(K29=0, "    ---- ", IF(ABS(ROUND(100/K29*L29-100,1))&lt;999,ROUND(100/K29*L29-100,1),IF(ROUND(100/K29*L29-100,1)&gt;999,999,-999)))</f>
        <v>17.399999999999999</v>
      </c>
      <c r="N29" s="147">
        <v>50179.451758290008</v>
      </c>
      <c r="O29" s="352">
        <v>57529.866390550007</v>
      </c>
      <c r="P29" s="352">
        <f>IF(N29=0, "    ---- ", IF(ABS(ROUND(100/N29*O29-100,1))&lt;999,ROUND(100/N29*O29-100,1),IF(ROUND(100/N29*O29-100,1)&gt;999,999,-999)))</f>
        <v>14.6</v>
      </c>
      <c r="Q29" s="147">
        <v>12275.949999999999</v>
      </c>
      <c r="R29" s="352">
        <f>SUM(R27+R28)</f>
        <v>11537.499999999998</v>
      </c>
      <c r="S29" s="352">
        <f>IF(Q29=0, "    ---- ", IF(ABS(ROUND(100/Q29*R29-100,1))&lt;999,ROUND(100/Q29*R29-100,1),IF(ROUND(100/Q29*R29-100,1)&gt;999,999,-999)))</f>
        <v>-6</v>
      </c>
      <c r="T29" s="352">
        <v>11568</v>
      </c>
      <c r="U29" s="352">
        <v>12423</v>
      </c>
      <c r="V29" s="352">
        <f>IF(T29=0, "    ---- ", IF(ABS(ROUND(100/T29*U29-100,1))&lt;999,ROUND(100/T29*U29-100,1),IF(ROUND(100/T29*U29-100,1)&gt;999,999,-999)))</f>
        <v>7.4</v>
      </c>
      <c r="W29" s="147">
        <v>7020.4769999999999</v>
      </c>
      <c r="X29" s="352">
        <f>SUM(X27+X28)</f>
        <v>7613.7039999999997</v>
      </c>
      <c r="Y29" s="352">
        <f>IF(W29=0, "    ---- ", IF(ABS(ROUND(100/W29*X29-100,1))&lt;999,ROUND(100/W29*X29-100,1),IF(ROUND(100/W29*X29-100,1)&gt;999,999,-999)))</f>
        <v>8.4</v>
      </c>
      <c r="Z29" s="147">
        <v>80654.610525364405</v>
      </c>
      <c r="AA29" s="352">
        <f>SUM(AA27+AA28)</f>
        <v>64527.846066009966</v>
      </c>
      <c r="AB29" s="352">
        <f>IF(Z29=0, "    ---- ", IF(ABS(ROUND(100/Z29*AA29-100,1))&lt;999,ROUND(100/Z29*AA29-100,1),IF(ROUND(100/Z29*AA29-100,1)&gt;999,999,-999)))</f>
        <v>-20</v>
      </c>
      <c r="AC29" s="147">
        <v>89</v>
      </c>
      <c r="AD29" s="352">
        <f>SUM(AD27+AD28)</f>
        <v>217</v>
      </c>
      <c r="AE29" s="352">
        <f>IF(AC29=0, "    ---- ", IF(ABS(ROUND(100/AC29*AD29-100,1))&lt;999,ROUND(100/AC29*AD29-100,1),IF(ROUND(100/AC29*AD29-100,1)&gt;999,999,-999)))</f>
        <v>143.80000000000001</v>
      </c>
      <c r="AF29" s="394">
        <f t="shared" si="18"/>
        <v>201411.81629379929</v>
      </c>
      <c r="AG29" s="394">
        <f t="shared" si="18"/>
        <v>192152.67230293999</v>
      </c>
      <c r="AH29" s="352">
        <f>IF(AF29=0, "    ---- ", IF(ABS(ROUND(100/AF29*AG29-100,1))&lt;999,ROUND(100/AF29*AG29-100,1),IF(ROUND(100/AF29*AG29-100,1)&gt;999,999,-999)))</f>
        <v>-4.5999999999999996</v>
      </c>
      <c r="AI29" s="394">
        <f t="shared" si="19"/>
        <v>201500.81629379929</v>
      </c>
      <c r="AJ29" s="394">
        <f t="shared" si="19"/>
        <v>192369.67230293999</v>
      </c>
      <c r="AK29" s="464">
        <f t="shared" si="5"/>
        <v>-4.5</v>
      </c>
    </row>
    <row r="30" spans="1:37" s="364" customFormat="1" ht="20.100000000000001" customHeight="1" x14ac:dyDescent="0.3">
      <c r="A30" s="427"/>
      <c r="B30" s="434"/>
      <c r="C30" s="349"/>
      <c r="D30" s="352"/>
      <c r="E30" s="434"/>
      <c r="F30" s="349"/>
      <c r="G30" s="352"/>
      <c r="H30" s="434"/>
      <c r="I30" s="349"/>
      <c r="J30" s="352"/>
      <c r="K30" s="147"/>
      <c r="L30" s="352"/>
      <c r="M30" s="349"/>
      <c r="N30" s="434"/>
      <c r="O30" s="349"/>
      <c r="P30" s="275"/>
      <c r="Q30" s="434"/>
      <c r="R30" s="349"/>
      <c r="S30" s="275"/>
      <c r="T30" s="349"/>
      <c r="U30" s="349"/>
      <c r="V30" s="275"/>
      <c r="W30" s="434"/>
      <c r="X30" s="349"/>
      <c r="Y30" s="275"/>
      <c r="Z30" s="434"/>
      <c r="AA30" s="349"/>
      <c r="AB30" s="275"/>
      <c r="AC30" s="434"/>
      <c r="AD30" s="349"/>
      <c r="AE30" s="275"/>
      <c r="AF30" s="349"/>
      <c r="AG30" s="349"/>
      <c r="AH30" s="275"/>
      <c r="AI30" s="349"/>
      <c r="AJ30" s="349"/>
      <c r="AK30" s="353"/>
    </row>
    <row r="31" spans="1:37" s="364" customFormat="1" ht="20.100000000000001" customHeight="1" x14ac:dyDescent="0.3">
      <c r="A31" s="439" t="s">
        <v>183</v>
      </c>
      <c r="B31" s="147"/>
      <c r="C31" s="352"/>
      <c r="D31" s="352"/>
      <c r="E31" s="147"/>
      <c r="F31" s="352"/>
      <c r="G31" s="352"/>
      <c r="H31" s="147"/>
      <c r="I31" s="352"/>
      <c r="J31" s="352"/>
      <c r="K31" s="147"/>
      <c r="L31" s="352"/>
      <c r="M31" s="349"/>
      <c r="N31" s="147"/>
      <c r="O31" s="352"/>
      <c r="P31" s="275"/>
      <c r="Q31" s="147"/>
      <c r="R31" s="352"/>
      <c r="S31" s="275"/>
      <c r="T31" s="352"/>
      <c r="U31" s="352"/>
      <c r="V31" s="275"/>
      <c r="W31" s="147"/>
      <c r="X31" s="352"/>
      <c r="Y31" s="275"/>
      <c r="Z31" s="147"/>
      <c r="AA31" s="352"/>
      <c r="AB31" s="275"/>
      <c r="AC31" s="147"/>
      <c r="AD31" s="352"/>
      <c r="AE31" s="275"/>
      <c r="AF31" s="349"/>
      <c r="AG31" s="349"/>
      <c r="AH31" s="275"/>
      <c r="AI31" s="349"/>
      <c r="AJ31" s="349"/>
      <c r="AK31" s="353"/>
    </row>
    <row r="32" spans="1:37" s="364" customFormat="1" ht="20.100000000000001" customHeight="1" x14ac:dyDescent="0.3">
      <c r="A32" s="439" t="s">
        <v>184</v>
      </c>
      <c r="B32" s="147"/>
      <c r="C32" s="352"/>
      <c r="D32" s="275"/>
      <c r="E32" s="147"/>
      <c r="F32" s="352"/>
      <c r="G32" s="275"/>
      <c r="H32" s="147"/>
      <c r="I32" s="352"/>
      <c r="J32" s="275"/>
      <c r="K32" s="147"/>
      <c r="L32" s="352"/>
      <c r="M32" s="349"/>
      <c r="N32" s="147"/>
      <c r="O32" s="352"/>
      <c r="P32" s="275"/>
      <c r="Q32" s="147"/>
      <c r="R32" s="352"/>
      <c r="S32" s="275"/>
      <c r="T32" s="352"/>
      <c r="U32" s="352"/>
      <c r="V32" s="275"/>
      <c r="W32" s="147"/>
      <c r="X32" s="352"/>
      <c r="Y32" s="275"/>
      <c r="Z32" s="147"/>
      <c r="AA32" s="352"/>
      <c r="AB32" s="275"/>
      <c r="AC32" s="147"/>
      <c r="AD32" s="352"/>
      <c r="AE32" s="275"/>
      <c r="AF32" s="349"/>
      <c r="AG32" s="349"/>
      <c r="AH32" s="275"/>
      <c r="AI32" s="349"/>
      <c r="AJ32" s="349"/>
      <c r="AK32" s="353"/>
    </row>
    <row r="33" spans="1:37" s="364" customFormat="1" ht="20.100000000000001" customHeight="1" x14ac:dyDescent="0.3">
      <c r="A33" s="427" t="s">
        <v>185</v>
      </c>
      <c r="B33" s="147">
        <v>14.22554581</v>
      </c>
      <c r="C33" s="352">
        <v>14.226000000000001</v>
      </c>
      <c r="D33" s="352">
        <f t="shared" ref="D33:D93" si="20">IF(B33=0, "    ---- ", IF(ABS(ROUND(100/B33*C33-100,1))&lt;999,ROUND(100/B33*C33-100,1),IF(ROUND(100/B33*C33-100,1)&gt;999,999,-999)))</f>
        <v>0</v>
      </c>
      <c r="E33" s="147"/>
      <c r="F33" s="352"/>
      <c r="G33" s="352"/>
      <c r="H33" s="147"/>
      <c r="I33" s="352"/>
      <c r="J33" s="352"/>
      <c r="K33" s="147"/>
      <c r="L33" s="352"/>
      <c r="M33" s="349"/>
      <c r="N33" s="147"/>
      <c r="O33" s="352"/>
      <c r="P33" s="275"/>
      <c r="Q33" s="147"/>
      <c r="R33" s="352"/>
      <c r="S33" s="275"/>
      <c r="T33" s="352"/>
      <c r="U33" s="352"/>
      <c r="V33" s="275"/>
      <c r="W33" s="147"/>
      <c r="X33" s="352"/>
      <c r="Y33" s="275"/>
      <c r="Z33" s="147"/>
      <c r="AA33" s="352"/>
      <c r="AB33" s="275"/>
      <c r="AC33" s="147"/>
      <c r="AD33" s="352"/>
      <c r="AE33" s="275"/>
      <c r="AF33" s="394">
        <f t="shared" ref="AF33:AG46" si="21">B33+E33+H33+K33+N33+Q33+T33+W33+Z33</f>
        <v>14.22554581</v>
      </c>
      <c r="AG33" s="394">
        <f t="shared" si="21"/>
        <v>14.226000000000001</v>
      </c>
      <c r="AH33" s="275">
        <f t="shared" ref="AH33:AH93" si="22">IF(AF33=0, "    ---- ", IF(ABS(ROUND(100/AF33*AG33-100,1))&lt;999,ROUND(100/AF33*AG33-100,1),IF(ROUND(100/AF33*AG33-100,1)&gt;999,999,-999)))</f>
        <v>0</v>
      </c>
      <c r="AI33" s="394">
        <f t="shared" ref="AI33:AJ46" si="23">B33+E33+H33+K33+N33+Q33+T33+W33+Z33+AC33</f>
        <v>14.22554581</v>
      </c>
      <c r="AJ33" s="394">
        <f t="shared" si="23"/>
        <v>14.226000000000001</v>
      </c>
      <c r="AK33" s="353">
        <f t="shared" ref="AK33:AK93" si="24">IF(AI33=0, "    ---- ", IF(ABS(ROUND(100/AI33*AJ33-100,1))&lt;999,ROUND(100/AI33*AJ33-100,1),IF(ROUND(100/AI33*AJ33-100,1)&gt;999,999,-999)))</f>
        <v>0</v>
      </c>
    </row>
    <row r="34" spans="1:37" s="364" customFormat="1" ht="20.100000000000001" customHeight="1" x14ac:dyDescent="0.3">
      <c r="A34" s="427" t="s">
        <v>186</v>
      </c>
      <c r="B34" s="147">
        <v>19222.079490310003</v>
      </c>
      <c r="C34" s="352">
        <v>17288.885999999999</v>
      </c>
      <c r="D34" s="352">
        <f t="shared" si="20"/>
        <v>-10.1</v>
      </c>
      <c r="E34" s="147">
        <v>441.19200477999999</v>
      </c>
      <c r="F34" s="352">
        <v>446.18724366999993</v>
      </c>
      <c r="G34" s="352">
        <f t="shared" ref="G34:G37" si="25">IF(E34=0, "    ---- ", IF(ABS(ROUND(100/E34*F34-100,1))&lt;999,ROUND(100/E34*F34-100,1),IF(ROUND(100/E34*F34-100,1)&gt;999,999,-999)))</f>
        <v>1.1000000000000001</v>
      </c>
      <c r="H34" s="147"/>
      <c r="I34" s="352"/>
      <c r="J34" s="352"/>
      <c r="K34" s="147">
        <v>304</v>
      </c>
      <c r="L34" s="352">
        <v>320</v>
      </c>
      <c r="M34" s="349">
        <f>IF(K34=0, "    ---- ", IF(ABS(ROUND(100/K34*L34-100,1))&lt;999,ROUND(100/K34*L34-100,1),IF(ROUND(100/K34*L34-100,1)&gt;999,999,-999)))</f>
        <v>5.3</v>
      </c>
      <c r="N34" s="147">
        <v>94067.651215270002</v>
      </c>
      <c r="O34" s="352">
        <v>99949.936962079999</v>
      </c>
      <c r="P34" s="275">
        <f>IF(N34=0, "    ---- ", IF(ABS(ROUND(100/N34*O34-100,1))&lt;999,ROUND(100/N34*O34-100,1),IF(ROUND(100/N34*O34-100,1)&gt;999,999,-999)))</f>
        <v>6.3</v>
      </c>
      <c r="Q34" s="147">
        <v>5998.1245510300005</v>
      </c>
      <c r="R34" s="352">
        <v>6315.158501240001</v>
      </c>
      <c r="S34" s="275">
        <f t="shared" ref="S34:S93" si="26">IF(Q34=0, "    ---- ", IF(ABS(ROUND(100/Q34*R34-100,1))&lt;999,ROUND(100/Q34*R34-100,1),IF(ROUND(100/Q34*R34-100,1)&gt;999,999,-999)))</f>
        <v>5.3</v>
      </c>
      <c r="T34" s="352">
        <v>20072</v>
      </c>
      <c r="U34" s="352">
        <v>20661</v>
      </c>
      <c r="V34" s="275">
        <f t="shared" ref="V34:V42" si="27">IF(T34=0, "    ---- ", IF(ABS(ROUND(100/T34*U34-100,1))&lt;999,ROUND(100/T34*U34-100,1),IF(ROUND(100/T34*U34-100,1)&gt;999,999,-999)))</f>
        <v>2.9</v>
      </c>
      <c r="W34" s="147">
        <v>4314.2610000000004</v>
      </c>
      <c r="X34" s="352">
        <v>4263.4690000000001</v>
      </c>
      <c r="Y34" s="275">
        <f t="shared" ref="Y34:Y93" si="28">IF(W34=0, "    ---- ", IF(ABS(ROUND(100/W34*X34-100,1))&lt;999,ROUND(100/W34*X34-100,1),IF(ROUND(100/W34*X34-100,1)&gt;999,999,-999)))</f>
        <v>-1.2</v>
      </c>
      <c r="Z34" s="147">
        <v>21979.342164310001</v>
      </c>
      <c r="AA34" s="352">
        <v>21863.984999050001</v>
      </c>
      <c r="AB34" s="275">
        <f t="shared" ref="AB34:AB93" si="29">IF(Z34=0, "    ---- ", IF(ABS(ROUND(100/Z34*AA34-100,1))&lt;999,ROUND(100/Z34*AA34-100,1),IF(ROUND(100/Z34*AA34-100,1)&gt;999,999,-999)))</f>
        <v>-0.5</v>
      </c>
      <c r="AC34" s="147"/>
      <c r="AD34" s="352"/>
      <c r="AE34" s="275"/>
      <c r="AF34" s="394">
        <f t="shared" si="21"/>
        <v>166398.65042570001</v>
      </c>
      <c r="AG34" s="394">
        <f t="shared" si="21"/>
        <v>171108.62270604004</v>
      </c>
      <c r="AH34" s="275">
        <f t="shared" si="22"/>
        <v>2.8</v>
      </c>
      <c r="AI34" s="394">
        <f t="shared" si="23"/>
        <v>166398.65042570001</v>
      </c>
      <c r="AJ34" s="394">
        <f t="shared" si="23"/>
        <v>171108.62270604004</v>
      </c>
      <c r="AK34" s="353">
        <f t="shared" si="24"/>
        <v>2.8</v>
      </c>
    </row>
    <row r="35" spans="1:37" s="364" customFormat="1" ht="20.100000000000001" customHeight="1" x14ac:dyDescent="0.3">
      <c r="A35" s="427" t="s">
        <v>187</v>
      </c>
      <c r="B35" s="147">
        <v>134979.58724488999</v>
      </c>
      <c r="C35" s="352">
        <f>SUM(C36+C38)</f>
        <v>133117.60399999999</v>
      </c>
      <c r="D35" s="352">
        <f t="shared" si="20"/>
        <v>-1.4</v>
      </c>
      <c r="E35" s="147">
        <v>5343.0122965499995</v>
      </c>
      <c r="F35" s="352">
        <v>5679.011071410001</v>
      </c>
      <c r="G35" s="352">
        <f t="shared" si="25"/>
        <v>6.3</v>
      </c>
      <c r="H35" s="147">
        <v>556.65700000000004</v>
      </c>
      <c r="I35" s="352">
        <f>SUM(I36+I38)</f>
        <v>776.70799999999997</v>
      </c>
      <c r="J35" s="352">
        <f t="shared" ref="J35:J36" si="30">IF(H35=0, "    ---- ", IF(ABS(ROUND(100/H35*I35-100,1))&lt;999,ROUND(100/H35*I35-100,1),IF(ROUND(100/H35*I35-100,1)&gt;999,999,-999)))</f>
        <v>39.5</v>
      </c>
      <c r="K35" s="147">
        <v>8136</v>
      </c>
      <c r="L35" s="352">
        <f>SUM(L36+L38)</f>
        <v>9093</v>
      </c>
      <c r="M35" s="349">
        <f>IF(K35=0, "    ---- ", IF(ABS(ROUND(100/K35*L35-100,1))&lt;999,ROUND(100/K35*L35-100,1),IF(ROUND(100/K35*L35-100,1)&gt;999,999,-999)))</f>
        <v>11.8</v>
      </c>
      <c r="N35" s="147">
        <v>292793.53841884003</v>
      </c>
      <c r="O35" s="352">
        <v>296169.89553109999</v>
      </c>
      <c r="P35" s="275">
        <f>IF(N35=0, "    ---- ", IF(ABS(ROUND(100/N35*O35-100,1))&lt;999,ROUND(100/N35*O35-100,1),IF(ROUND(100/N35*O35-100,1)&gt;999,999,-999)))</f>
        <v>1.2</v>
      </c>
      <c r="Q35" s="147">
        <v>40354.574822809896</v>
      </c>
      <c r="R35" s="352">
        <f>SUM(R36+R38)</f>
        <v>38395.3455185899</v>
      </c>
      <c r="S35" s="275">
        <f t="shared" si="26"/>
        <v>-4.9000000000000004</v>
      </c>
      <c r="T35" s="352">
        <v>28309</v>
      </c>
      <c r="U35" s="352">
        <v>31725</v>
      </c>
      <c r="V35" s="275">
        <f t="shared" si="27"/>
        <v>12.1</v>
      </c>
      <c r="W35" s="147">
        <v>10879.406000000001</v>
      </c>
      <c r="X35" s="352">
        <f>SUM(X36+X38)</f>
        <v>12373.178</v>
      </c>
      <c r="Y35" s="275">
        <f t="shared" si="28"/>
        <v>13.7</v>
      </c>
      <c r="Z35" s="147">
        <v>162300.24695257001</v>
      </c>
      <c r="AA35" s="352">
        <f>SUM(AA36+AA38)</f>
        <v>171593.79561246015</v>
      </c>
      <c r="AB35" s="275">
        <f t="shared" si="29"/>
        <v>5.7</v>
      </c>
      <c r="AC35" s="147"/>
      <c r="AD35" s="352"/>
      <c r="AE35" s="275"/>
      <c r="AF35" s="394">
        <f t="shared" si="21"/>
        <v>683652.02273565996</v>
      </c>
      <c r="AG35" s="394">
        <f t="shared" si="21"/>
        <v>698923.53773355996</v>
      </c>
      <c r="AH35" s="275">
        <f t="shared" si="22"/>
        <v>2.2000000000000002</v>
      </c>
      <c r="AI35" s="394">
        <f t="shared" si="23"/>
        <v>683652.02273565996</v>
      </c>
      <c r="AJ35" s="394">
        <f t="shared" si="23"/>
        <v>698923.53773355996</v>
      </c>
      <c r="AK35" s="353">
        <f t="shared" si="24"/>
        <v>2.2000000000000002</v>
      </c>
    </row>
    <row r="36" spans="1:37" s="364" customFormat="1" ht="20.100000000000001" customHeight="1" x14ac:dyDescent="0.3">
      <c r="A36" s="427" t="s">
        <v>396</v>
      </c>
      <c r="B36" s="147">
        <v>120670.69706567</v>
      </c>
      <c r="C36" s="352">
        <v>129135.90700000001</v>
      </c>
      <c r="D36" s="275">
        <f t="shared" si="20"/>
        <v>7</v>
      </c>
      <c r="E36" s="147">
        <v>5343.0122965499995</v>
      </c>
      <c r="F36" s="352">
        <v>5679.011071410001</v>
      </c>
      <c r="G36" s="352">
        <f t="shared" si="25"/>
        <v>6.3</v>
      </c>
      <c r="H36" s="147">
        <v>556.65700000000004</v>
      </c>
      <c r="I36" s="352">
        <v>776.70799999999997</v>
      </c>
      <c r="J36" s="352">
        <f t="shared" si="30"/>
        <v>39.5</v>
      </c>
      <c r="K36" s="147"/>
      <c r="L36" s="352"/>
      <c r="M36" s="349"/>
      <c r="N36" s="147"/>
      <c r="O36" s="352"/>
      <c r="P36" s="275"/>
      <c r="Q36" s="147">
        <v>40354.574822809896</v>
      </c>
      <c r="R36" s="352">
        <v>38395.3455185899</v>
      </c>
      <c r="S36" s="275">
        <f t="shared" si="26"/>
        <v>-4.9000000000000004</v>
      </c>
      <c r="T36" s="352"/>
      <c r="U36" s="352"/>
      <c r="V36" s="275"/>
      <c r="W36" s="147">
        <v>10879.406000000001</v>
      </c>
      <c r="X36" s="352">
        <v>12373.178</v>
      </c>
      <c r="Y36" s="275">
        <f t="shared" si="28"/>
        <v>13.7</v>
      </c>
      <c r="Z36" s="147"/>
      <c r="AA36" s="352"/>
      <c r="AB36" s="275"/>
      <c r="AC36" s="147"/>
      <c r="AD36" s="352"/>
      <c r="AE36" s="275"/>
      <c r="AF36" s="394">
        <f t="shared" si="21"/>
        <v>177804.34718502991</v>
      </c>
      <c r="AG36" s="394">
        <f t="shared" si="21"/>
        <v>186360.14958999993</v>
      </c>
      <c r="AH36" s="275">
        <f t="shared" si="22"/>
        <v>4.8</v>
      </c>
      <c r="AI36" s="394">
        <f t="shared" si="23"/>
        <v>177804.34718502991</v>
      </c>
      <c r="AJ36" s="394">
        <f t="shared" si="23"/>
        <v>186360.14958999993</v>
      </c>
      <c r="AK36" s="353">
        <f t="shared" si="24"/>
        <v>4.8</v>
      </c>
    </row>
    <row r="37" spans="1:37" s="364" customFormat="1" ht="20.100000000000001" customHeight="1" x14ac:dyDescent="0.3">
      <c r="A37" s="427" t="s">
        <v>172</v>
      </c>
      <c r="B37" s="147">
        <v>120670.69706567</v>
      </c>
      <c r="C37" s="352">
        <v>129135.90700000001</v>
      </c>
      <c r="D37" s="352">
        <f t="shared" si="20"/>
        <v>7</v>
      </c>
      <c r="E37" s="147">
        <v>5343.0122965499995</v>
      </c>
      <c r="F37" s="352">
        <v>5679.011071410001</v>
      </c>
      <c r="G37" s="352">
        <f t="shared" si="25"/>
        <v>6.3</v>
      </c>
      <c r="H37" s="147"/>
      <c r="I37" s="352"/>
      <c r="J37" s="352"/>
      <c r="K37" s="147"/>
      <c r="L37" s="352"/>
      <c r="M37" s="349"/>
      <c r="N37" s="147"/>
      <c r="O37" s="352"/>
      <c r="P37" s="275"/>
      <c r="Q37" s="147">
        <v>40354.574822809896</v>
      </c>
      <c r="R37" s="352">
        <v>38395.3455185899</v>
      </c>
      <c r="S37" s="275">
        <f t="shared" si="26"/>
        <v>-4.9000000000000004</v>
      </c>
      <c r="T37" s="352"/>
      <c r="U37" s="352"/>
      <c r="V37" s="275"/>
      <c r="W37" s="147">
        <v>-0.81057864000000002</v>
      </c>
      <c r="X37" s="352">
        <v>33.752145900000102</v>
      </c>
      <c r="Y37" s="275">
        <f t="shared" si="28"/>
        <v>-999</v>
      </c>
      <c r="Z37" s="147"/>
      <c r="AA37" s="352"/>
      <c r="AB37" s="275"/>
      <c r="AC37" s="147"/>
      <c r="AD37" s="352"/>
      <c r="AE37" s="275"/>
      <c r="AF37" s="394">
        <f t="shared" si="21"/>
        <v>166367.47360638992</v>
      </c>
      <c r="AG37" s="394">
        <f t="shared" si="21"/>
        <v>173244.01573589991</v>
      </c>
      <c r="AH37" s="275">
        <f t="shared" si="22"/>
        <v>4.0999999999999996</v>
      </c>
      <c r="AI37" s="394">
        <f t="shared" si="23"/>
        <v>166367.47360638992</v>
      </c>
      <c r="AJ37" s="394">
        <f t="shared" si="23"/>
        <v>173244.01573589991</v>
      </c>
      <c r="AK37" s="353">
        <f t="shared" si="24"/>
        <v>4.0999999999999996</v>
      </c>
    </row>
    <row r="38" spans="1:37" s="364" customFormat="1" ht="20.100000000000001" customHeight="1" x14ac:dyDescent="0.3">
      <c r="A38" s="427" t="s">
        <v>188</v>
      </c>
      <c r="B38" s="147">
        <v>14308.890179219999</v>
      </c>
      <c r="C38" s="352">
        <v>3981.6970000000001</v>
      </c>
      <c r="D38" s="352">
        <f t="shared" si="20"/>
        <v>-72.2</v>
      </c>
      <c r="E38" s="147"/>
      <c r="F38" s="352"/>
      <c r="G38" s="352"/>
      <c r="H38" s="147"/>
      <c r="I38" s="352"/>
      <c r="J38" s="352"/>
      <c r="K38" s="147">
        <v>8136</v>
      </c>
      <c r="L38" s="352">
        <v>9093</v>
      </c>
      <c r="M38" s="349">
        <f>IF(K38=0, "    ---- ", IF(ABS(ROUND(100/K38*L38-100,1))&lt;999,ROUND(100/K38*L38-100,1),IF(ROUND(100/K38*L38-100,1)&gt;999,999,-999)))</f>
        <v>11.8</v>
      </c>
      <c r="N38" s="147">
        <v>292793.53841884003</v>
      </c>
      <c r="O38" s="352">
        <v>296169.89553109999</v>
      </c>
      <c r="P38" s="275">
        <f t="shared" ref="P38:P45" si="31">IF(N38=0, "    ---- ", IF(ABS(ROUND(100/N38*O38-100,1))&lt;999,ROUND(100/N38*O38-100,1),IF(ROUND(100/N38*O38-100,1)&gt;999,999,-999)))</f>
        <v>1.2</v>
      </c>
      <c r="Q38" s="147"/>
      <c r="R38" s="352"/>
      <c r="S38" s="275"/>
      <c r="T38" s="352">
        <v>28309</v>
      </c>
      <c r="U38" s="352">
        <v>31725</v>
      </c>
      <c r="V38" s="275">
        <f t="shared" si="27"/>
        <v>12.1</v>
      </c>
      <c r="W38" s="147"/>
      <c r="X38" s="352"/>
      <c r="Y38" s="275"/>
      <c r="Z38" s="147">
        <v>162300.24695257001</v>
      </c>
      <c r="AA38" s="352">
        <v>171593.79561246015</v>
      </c>
      <c r="AB38" s="275">
        <f t="shared" si="29"/>
        <v>5.7</v>
      </c>
      <c r="AC38" s="147"/>
      <c r="AD38" s="352"/>
      <c r="AE38" s="275"/>
      <c r="AF38" s="394">
        <f t="shared" si="21"/>
        <v>505847.67555063008</v>
      </c>
      <c r="AG38" s="394">
        <f t="shared" si="21"/>
        <v>512563.38814356015</v>
      </c>
      <c r="AH38" s="275">
        <f t="shared" si="22"/>
        <v>1.3</v>
      </c>
      <c r="AI38" s="394">
        <f t="shared" si="23"/>
        <v>505847.67555063008</v>
      </c>
      <c r="AJ38" s="394">
        <f t="shared" si="23"/>
        <v>512563.38814356015</v>
      </c>
      <c r="AK38" s="353">
        <f t="shared" si="24"/>
        <v>1.3</v>
      </c>
    </row>
    <row r="39" spans="1:37" s="364" customFormat="1" ht="20.100000000000001" customHeight="1" x14ac:dyDescent="0.3">
      <c r="A39" s="427" t="s">
        <v>189</v>
      </c>
      <c r="B39" s="147">
        <v>36152.955449449997</v>
      </c>
      <c r="C39" s="352">
        <f>SUM(C40+C41+C42+C43+C44)</f>
        <v>39599.193000000007</v>
      </c>
      <c r="D39" s="352">
        <f t="shared" si="20"/>
        <v>9.5</v>
      </c>
      <c r="E39" s="147">
        <v>3440.1556626500005</v>
      </c>
      <c r="F39" s="352">
        <f>SUM(F40+F41+F42+F43+F44)</f>
        <v>3700.6552430099996</v>
      </c>
      <c r="G39" s="352">
        <f>IF(E39=0, "    ---- ", IF(ABS(ROUND(100/E39*F39-100,1))&lt;999,ROUND(100/E39*F39-100,1),IF(ROUND(100/E39*F39-100,1)&gt;999,999,-999)))</f>
        <v>7.6</v>
      </c>
      <c r="H39" s="147">
        <v>1284.2250000000001</v>
      </c>
      <c r="I39" s="352">
        <f>SUM(I40+I41+I42+I43+I44)</f>
        <v>1385.0989999999999</v>
      </c>
      <c r="J39" s="352">
        <f t="shared" ref="J39:J46" si="32">IF(H39=0, "    ---- ", IF(ABS(ROUND(100/H39*I39-100,1))&lt;999,ROUND(100/H39*I39-100,1),IF(ROUND(100/H39*I39-100,1)&gt;999,999,-999)))</f>
        <v>7.9</v>
      </c>
      <c r="K39" s="147">
        <v>897</v>
      </c>
      <c r="L39" s="352">
        <f>SUM(L40+L41+L42+L43+L44)</f>
        <v>865</v>
      </c>
      <c r="M39" s="394">
        <f>IF(K39=0, "    ---- ", IF(ABS(ROUND(100/K39*L39-100,1))&lt;999,ROUND(100/K39*L39-100,1),IF(ROUND(100/K39*L39-100,1)&gt;999,999,-999)))</f>
        <v>-3.6</v>
      </c>
      <c r="N39" s="147">
        <v>364650.69149440998</v>
      </c>
      <c r="O39" s="352">
        <v>409228.83408526995</v>
      </c>
      <c r="P39" s="352">
        <f t="shared" si="31"/>
        <v>12.2</v>
      </c>
      <c r="Q39" s="147">
        <v>9220.49827362</v>
      </c>
      <c r="R39" s="352">
        <f>SUM(R40+R41+R42+R43+R44)</f>
        <v>10791.754822890001</v>
      </c>
      <c r="S39" s="352">
        <f t="shared" si="26"/>
        <v>17</v>
      </c>
      <c r="T39" s="352">
        <v>78933</v>
      </c>
      <c r="U39" s="352">
        <v>80903</v>
      </c>
      <c r="V39" s="352">
        <f t="shared" si="27"/>
        <v>2.5</v>
      </c>
      <c r="W39" s="147">
        <v>8714.3569999999982</v>
      </c>
      <c r="X39" s="352">
        <f>SUM(X40+X41+X42+X43+X44)</f>
        <v>9126.6010000000006</v>
      </c>
      <c r="Y39" s="352">
        <f t="shared" si="28"/>
        <v>4.7</v>
      </c>
      <c r="Z39" s="147">
        <v>30535.219284319999</v>
      </c>
      <c r="AA39" s="352">
        <f>SUM(AA40+AA41+AA42+AA43+AA44)</f>
        <v>32387.998370570051</v>
      </c>
      <c r="AB39" s="352">
        <f t="shared" si="29"/>
        <v>6.1</v>
      </c>
      <c r="AC39" s="147">
        <v>18</v>
      </c>
      <c r="AD39" s="352">
        <f>SUM(AD40+AD41+AD42+AD43+AD44)</f>
        <v>20</v>
      </c>
      <c r="AE39" s="275">
        <f t="shared" ref="AE39:AE45" si="33">IF(AC39=0, "    ---- ", IF(ABS(ROUND(100/AC39*AD39-100,1))&lt;999,ROUND(100/AC39*AD39-100,1),IF(ROUND(100/AC39*AD39-100,1)&gt;999,999,-999)))</f>
        <v>11.1</v>
      </c>
      <c r="AF39" s="394">
        <f t="shared" si="21"/>
        <v>533828.10216444999</v>
      </c>
      <c r="AG39" s="394">
        <f t="shared" si="21"/>
        <v>587988.13552173995</v>
      </c>
      <c r="AH39" s="275">
        <f t="shared" si="22"/>
        <v>10.1</v>
      </c>
      <c r="AI39" s="394">
        <f t="shared" si="23"/>
        <v>533846.10216444999</v>
      </c>
      <c r="AJ39" s="394">
        <f t="shared" si="23"/>
        <v>588008.13552173995</v>
      </c>
      <c r="AK39" s="353">
        <f t="shared" si="24"/>
        <v>10.1</v>
      </c>
    </row>
    <row r="40" spans="1:37" s="364" customFormat="1" ht="20.100000000000001" customHeight="1" x14ac:dyDescent="0.3">
      <c r="A40" s="427" t="s">
        <v>190</v>
      </c>
      <c r="B40" s="147">
        <v>13534.59696492</v>
      </c>
      <c r="C40" s="352">
        <v>16131.687</v>
      </c>
      <c r="D40" s="275">
        <f t="shared" si="20"/>
        <v>19.2</v>
      </c>
      <c r="E40" s="147">
        <v>668.58877172000007</v>
      </c>
      <c r="F40" s="352">
        <v>1003.238535</v>
      </c>
      <c r="G40" s="275">
        <f>IF(E40=0, "    ---- ", IF(ABS(ROUND(100/E40*F40-100,1))&lt;999,ROUND(100/E40*F40-100,1),IF(ROUND(100/E40*F40-100,1)&gt;999,999,-999)))</f>
        <v>50.1</v>
      </c>
      <c r="H40" s="147">
        <v>191.613</v>
      </c>
      <c r="I40" s="352">
        <v>210.11</v>
      </c>
      <c r="J40" s="275">
        <f t="shared" si="32"/>
        <v>9.6999999999999993</v>
      </c>
      <c r="K40" s="147">
        <v>21</v>
      </c>
      <c r="L40" s="352">
        <v>55</v>
      </c>
      <c r="M40" s="394">
        <f>IF(K40=0, "    ---- ", IF(ABS(ROUND(100/K40*L40-100,1))&lt;999,ROUND(100/K40*L40-100,1),IF(ROUND(100/K40*L40-100,1)&gt;999,999,-999)))</f>
        <v>161.9</v>
      </c>
      <c r="N40" s="147">
        <v>246722.89726843999</v>
      </c>
      <c r="O40" s="352">
        <v>269082.68106982001</v>
      </c>
      <c r="P40" s="275">
        <f t="shared" si="31"/>
        <v>9.1</v>
      </c>
      <c r="Q40" s="147">
        <v>6729.8200752000002</v>
      </c>
      <c r="R40" s="352">
        <v>8515.7063887900003</v>
      </c>
      <c r="S40" s="275">
        <f t="shared" si="26"/>
        <v>26.5</v>
      </c>
      <c r="T40" s="352">
        <v>46823</v>
      </c>
      <c r="U40" s="352">
        <v>45899</v>
      </c>
      <c r="V40" s="275">
        <f t="shared" si="27"/>
        <v>-2</v>
      </c>
      <c r="W40" s="147">
        <v>3503.826</v>
      </c>
      <c r="X40" s="352">
        <v>3090.902</v>
      </c>
      <c r="Y40" s="275">
        <f t="shared" si="28"/>
        <v>-11.8</v>
      </c>
      <c r="Z40" s="147">
        <v>19757.61469382</v>
      </c>
      <c r="AA40" s="352">
        <v>23059.905999070048</v>
      </c>
      <c r="AB40" s="275">
        <f t="shared" si="29"/>
        <v>16.7</v>
      </c>
      <c r="AC40" s="147"/>
      <c r="AD40" s="352"/>
      <c r="AE40" s="275"/>
      <c r="AF40" s="394">
        <f t="shared" si="21"/>
        <v>337952.95677410002</v>
      </c>
      <c r="AG40" s="394">
        <f t="shared" si="21"/>
        <v>367048.23099268001</v>
      </c>
      <c r="AH40" s="275">
        <f t="shared" si="22"/>
        <v>8.6</v>
      </c>
      <c r="AI40" s="394">
        <f t="shared" si="23"/>
        <v>337952.95677410002</v>
      </c>
      <c r="AJ40" s="394">
        <f t="shared" si="23"/>
        <v>367048.23099268001</v>
      </c>
      <c r="AK40" s="353">
        <f t="shared" si="24"/>
        <v>8.6</v>
      </c>
    </row>
    <row r="41" spans="1:37" s="364" customFormat="1" ht="20.100000000000001" customHeight="1" x14ac:dyDescent="0.3">
      <c r="A41" s="427" t="s">
        <v>397</v>
      </c>
      <c r="B41" s="147">
        <v>20324.732494119999</v>
      </c>
      <c r="C41" s="352">
        <v>18254.208999999999</v>
      </c>
      <c r="D41" s="352">
        <f t="shared" si="20"/>
        <v>-10.199999999999999</v>
      </c>
      <c r="E41" s="147">
        <v>2867.6454067400005</v>
      </c>
      <c r="F41" s="352">
        <v>2707.16480065</v>
      </c>
      <c r="G41" s="352">
        <f>IF(E41=0, "    ---- ", IF(ABS(ROUND(100/E41*F41-100,1))&lt;999,ROUND(100/E41*F41-100,1),IF(ROUND(100/E41*F41-100,1)&gt;999,999,-999)))</f>
        <v>-5.6</v>
      </c>
      <c r="H41" s="147">
        <v>805.83600000000001</v>
      </c>
      <c r="I41" s="352">
        <v>844.34699999999998</v>
      </c>
      <c r="J41" s="352">
        <f>IF(H41=0, "    ---- ", IF(ABS(ROUND(100/H41*I41-100,1))&lt;999,ROUND(100/H41*I41-100,1),IF(ROUND(100/H41*I41-100,1)&gt;999,999,-999)))</f>
        <v>4.8</v>
      </c>
      <c r="K41" s="147">
        <v>854</v>
      </c>
      <c r="L41" s="352">
        <v>841</v>
      </c>
      <c r="M41" s="349">
        <f>IF(K41=0, "    ---- ", IF(ABS(ROUND(100/K41*L41-100,1))&lt;999,ROUND(100/K41*L41-100,1),IF(ROUND(100/K41*L41-100,1)&gt;999,999,-999)))</f>
        <v>-1.5</v>
      </c>
      <c r="N41" s="147">
        <v>103865.34830257001</v>
      </c>
      <c r="O41" s="352">
        <v>110724.27841203999</v>
      </c>
      <c r="P41" s="275">
        <f t="shared" si="31"/>
        <v>6.6</v>
      </c>
      <c r="Q41" s="147">
        <v>2205.3040833</v>
      </c>
      <c r="R41" s="352">
        <v>1565.9465416500002</v>
      </c>
      <c r="S41" s="275">
        <f t="shared" si="26"/>
        <v>-29</v>
      </c>
      <c r="T41" s="352">
        <v>27929</v>
      </c>
      <c r="U41" s="352">
        <v>29672</v>
      </c>
      <c r="V41" s="275">
        <f t="shared" si="27"/>
        <v>6.2</v>
      </c>
      <c r="W41" s="147">
        <v>5040.6629999999996</v>
      </c>
      <c r="X41" s="352">
        <v>5838.06</v>
      </c>
      <c r="Y41" s="275">
        <f t="shared" si="28"/>
        <v>15.8</v>
      </c>
      <c r="Z41" s="147">
        <v>9790.9268448399998</v>
      </c>
      <c r="AA41" s="352">
        <v>7568.5906180400025</v>
      </c>
      <c r="AB41" s="275">
        <f t="shared" si="29"/>
        <v>-22.7</v>
      </c>
      <c r="AC41" s="147">
        <v>18</v>
      </c>
      <c r="AD41" s="352">
        <v>20</v>
      </c>
      <c r="AE41" s="275">
        <f t="shared" si="33"/>
        <v>11.1</v>
      </c>
      <c r="AF41" s="394">
        <f t="shared" si="21"/>
        <v>173683.45613157001</v>
      </c>
      <c r="AG41" s="394">
        <f t="shared" si="21"/>
        <v>178015.59637237998</v>
      </c>
      <c r="AH41" s="275">
        <f t="shared" si="22"/>
        <v>2.5</v>
      </c>
      <c r="AI41" s="394">
        <f t="shared" si="23"/>
        <v>173701.45613157001</v>
      </c>
      <c r="AJ41" s="394">
        <f t="shared" si="23"/>
        <v>178035.59637237998</v>
      </c>
      <c r="AK41" s="353">
        <f t="shared" si="24"/>
        <v>2.5</v>
      </c>
    </row>
    <row r="42" spans="1:37" s="364" customFormat="1" ht="20.100000000000001" customHeight="1" x14ac:dyDescent="0.3">
      <c r="A42" s="427" t="s">
        <v>191</v>
      </c>
      <c r="B42" s="147">
        <v>1564.42460274</v>
      </c>
      <c r="C42" s="352">
        <v>3418.7240000000002</v>
      </c>
      <c r="D42" s="352">
        <f t="shared" si="20"/>
        <v>118.5</v>
      </c>
      <c r="E42" s="147">
        <v>-99.79021173999999</v>
      </c>
      <c r="F42" s="352">
        <v>-51.080043020000012</v>
      </c>
      <c r="G42" s="352">
        <f>IF(E42=0, "    ---- ", IF(ABS(ROUND(100/E42*F42-100,1))&lt;999,ROUND(100/E42*F42-100,1),IF(ROUND(100/E42*F42-100,1)&gt;999,999,-999)))</f>
        <v>-48.8</v>
      </c>
      <c r="H42" s="147"/>
      <c r="I42" s="352"/>
      <c r="J42" s="352"/>
      <c r="K42" s="147"/>
      <c r="L42" s="352"/>
      <c r="M42" s="349"/>
      <c r="N42" s="147">
        <v>13254.891761219998</v>
      </c>
      <c r="O42" s="352">
        <v>19384.606781169998</v>
      </c>
      <c r="P42" s="275">
        <f t="shared" si="31"/>
        <v>46.2</v>
      </c>
      <c r="Q42" s="147"/>
      <c r="R42" s="352"/>
      <c r="S42" s="275"/>
      <c r="T42" s="352">
        <v>3933</v>
      </c>
      <c r="U42" s="352">
        <v>3694</v>
      </c>
      <c r="V42" s="275">
        <f t="shared" si="27"/>
        <v>-6.1</v>
      </c>
      <c r="W42" s="147">
        <v>33.445999999999998</v>
      </c>
      <c r="X42" s="352">
        <v>6.298</v>
      </c>
      <c r="Y42" s="275">
        <f t="shared" si="28"/>
        <v>-81.2</v>
      </c>
      <c r="Z42" s="147"/>
      <c r="AA42" s="352"/>
      <c r="AB42" s="275"/>
      <c r="AC42" s="147"/>
      <c r="AD42" s="352"/>
      <c r="AE42" s="275"/>
      <c r="AF42" s="394">
        <f t="shared" si="21"/>
        <v>18685.972152219998</v>
      </c>
      <c r="AG42" s="394">
        <f t="shared" si="21"/>
        <v>26452.548738149995</v>
      </c>
      <c r="AH42" s="275">
        <f t="shared" si="22"/>
        <v>41.6</v>
      </c>
      <c r="AI42" s="394">
        <f t="shared" si="23"/>
        <v>18685.972152219998</v>
      </c>
      <c r="AJ42" s="394">
        <f t="shared" si="23"/>
        <v>26452.548738149995</v>
      </c>
      <c r="AK42" s="353">
        <f t="shared" si="24"/>
        <v>41.6</v>
      </c>
    </row>
    <row r="43" spans="1:37" s="364" customFormat="1" ht="20.100000000000001" customHeight="1" x14ac:dyDescent="0.3">
      <c r="A43" s="427" t="s">
        <v>192</v>
      </c>
      <c r="B43" s="147">
        <v>57.855738960000004</v>
      </c>
      <c r="C43" s="352">
        <v>1101.643</v>
      </c>
      <c r="D43" s="352">
        <f t="shared" si="20"/>
        <v>999</v>
      </c>
      <c r="E43" s="147"/>
      <c r="F43" s="352"/>
      <c r="G43" s="352"/>
      <c r="H43" s="147"/>
      <c r="I43" s="352"/>
      <c r="J43" s="352"/>
      <c r="K43" s="147"/>
      <c r="L43" s="352"/>
      <c r="M43" s="349"/>
      <c r="N43" s="147">
        <v>325.05802575999996</v>
      </c>
      <c r="O43" s="352">
        <v>8000.83152986</v>
      </c>
      <c r="P43" s="275">
        <f t="shared" si="31"/>
        <v>999</v>
      </c>
      <c r="Q43" s="147">
        <v>63.382483000000001</v>
      </c>
      <c r="R43" s="352">
        <v>462.66757285</v>
      </c>
      <c r="S43" s="275">
        <f t="shared" si="26"/>
        <v>630</v>
      </c>
      <c r="T43" s="352">
        <v>248</v>
      </c>
      <c r="U43" s="352">
        <v>1638</v>
      </c>
      <c r="V43" s="275">
        <f>IF(T43=0, "    ---- ", IF(ABS(ROUND(100/T43*U43-100,1))&lt;999,ROUND(100/T43*U43-100,1),IF(ROUND(100/T43*U43-100,1)&gt;999,999,-999)))</f>
        <v>560.5</v>
      </c>
      <c r="W43" s="147">
        <v>5.0599999999999996</v>
      </c>
      <c r="X43" s="352">
        <v>14.923999999999999</v>
      </c>
      <c r="Y43" s="275">
        <f t="shared" si="28"/>
        <v>194.9</v>
      </c>
      <c r="Z43" s="147">
        <v>986.67774566000037</v>
      </c>
      <c r="AA43" s="352">
        <v>1759.5017534599997</v>
      </c>
      <c r="AB43" s="275">
        <f t="shared" si="29"/>
        <v>78.3</v>
      </c>
      <c r="AC43" s="147"/>
      <c r="AD43" s="352"/>
      <c r="AE43" s="275"/>
      <c r="AF43" s="394">
        <f t="shared" si="21"/>
        <v>1686.0339933800001</v>
      </c>
      <c r="AG43" s="394">
        <f t="shared" si="21"/>
        <v>12977.567856169999</v>
      </c>
      <c r="AH43" s="275">
        <f t="shared" si="22"/>
        <v>669.7</v>
      </c>
      <c r="AI43" s="394">
        <f t="shared" si="23"/>
        <v>1686.0339933800001</v>
      </c>
      <c r="AJ43" s="394">
        <f t="shared" si="23"/>
        <v>12977.567856169999</v>
      </c>
      <c r="AK43" s="353">
        <f t="shared" si="24"/>
        <v>669.7</v>
      </c>
    </row>
    <row r="44" spans="1:37" s="364" customFormat="1" ht="20.100000000000001" customHeight="1" x14ac:dyDescent="0.3">
      <c r="A44" s="427" t="s">
        <v>193</v>
      </c>
      <c r="B44" s="147">
        <v>671.34564871000021</v>
      </c>
      <c r="C44" s="352">
        <v>692.93</v>
      </c>
      <c r="D44" s="352">
        <f t="shared" si="20"/>
        <v>3.2</v>
      </c>
      <c r="E44" s="147">
        <v>3.7116959300000016</v>
      </c>
      <c r="F44" s="352">
        <v>41.331950379999995</v>
      </c>
      <c r="G44" s="352">
        <f>IF(E44=0, "    ---- ", IF(ABS(ROUND(100/E44*F44-100,1))&lt;999,ROUND(100/E44*F44-100,1),IF(ROUND(100/E44*F44-100,1)&gt;999,999,-999)))</f>
        <v>999</v>
      </c>
      <c r="H44" s="147">
        <v>286.77600000000001</v>
      </c>
      <c r="I44" s="352">
        <v>330.642</v>
      </c>
      <c r="J44" s="352">
        <f t="shared" si="32"/>
        <v>15.3</v>
      </c>
      <c r="K44" s="147">
        <v>22</v>
      </c>
      <c r="L44" s="352">
        <v>-31</v>
      </c>
      <c r="M44" s="349">
        <f>IF(K44=0, "    ---- ", IF(ABS(ROUND(100/K44*L44-100,1))&lt;999,ROUND(100/K44*L44-100,1),IF(ROUND(100/K44*L44-100,1)&gt;999,999,-999)))</f>
        <v>-240.9</v>
      </c>
      <c r="N44" s="147">
        <v>482.49613642000003</v>
      </c>
      <c r="O44" s="352">
        <v>2036.4362923800002</v>
      </c>
      <c r="P44" s="275">
        <f t="shared" si="31"/>
        <v>322.10000000000002</v>
      </c>
      <c r="Q44" s="147">
        <v>221.99163211999999</v>
      </c>
      <c r="R44" s="352">
        <v>247.43431959999998</v>
      </c>
      <c r="S44" s="275">
        <f t="shared" si="26"/>
        <v>11.5</v>
      </c>
      <c r="T44" s="352"/>
      <c r="U44" s="352"/>
      <c r="V44" s="275"/>
      <c r="W44" s="147">
        <v>131.36199999999999</v>
      </c>
      <c r="X44" s="352">
        <v>176.417</v>
      </c>
      <c r="Y44" s="275">
        <f t="shared" si="28"/>
        <v>34.299999999999997</v>
      </c>
      <c r="Z44" s="147"/>
      <c r="AA44" s="352"/>
      <c r="AB44" s="275"/>
      <c r="AC44" s="147"/>
      <c r="AD44" s="352"/>
      <c r="AE44" s="275"/>
      <c r="AF44" s="394">
        <f t="shared" si="21"/>
        <v>1819.6831131800004</v>
      </c>
      <c r="AG44" s="394">
        <f t="shared" si="21"/>
        <v>3494.1915623600003</v>
      </c>
      <c r="AH44" s="275">
        <f t="shared" si="22"/>
        <v>92</v>
      </c>
      <c r="AI44" s="394">
        <f t="shared" si="23"/>
        <v>1819.6831131800004</v>
      </c>
      <c r="AJ44" s="394">
        <f t="shared" si="23"/>
        <v>3494.1915623600003</v>
      </c>
      <c r="AK44" s="353">
        <f t="shared" si="24"/>
        <v>92</v>
      </c>
    </row>
    <row r="45" spans="1:37" s="364" customFormat="1" ht="20.100000000000001" customHeight="1" x14ac:dyDescent="0.3">
      <c r="A45" s="463" t="s">
        <v>194</v>
      </c>
      <c r="B45" s="147">
        <v>190368.84773045999</v>
      </c>
      <c r="C45" s="352">
        <f>SUM(C33+C34+C35+C39)</f>
        <v>190019.90899999999</v>
      </c>
      <c r="D45" s="275">
        <f t="shared" si="20"/>
        <v>-0.2</v>
      </c>
      <c r="E45" s="147">
        <v>9224.3599639800013</v>
      </c>
      <c r="F45" s="352">
        <f>SUM(F33+F34+F35+F39)</f>
        <v>9825.8535580900007</v>
      </c>
      <c r="G45" s="275">
        <f>IF(E45=0, "    ---- ", IF(ABS(ROUND(100/E45*F45-100,1))&lt;999,ROUND(100/E45*F45-100,1),IF(ROUND(100/E45*F45-100,1)&gt;999,999,-999)))</f>
        <v>6.5</v>
      </c>
      <c r="H45" s="147">
        <v>1840.8820000000001</v>
      </c>
      <c r="I45" s="352">
        <f>SUM(I33+I34+I35+I39)</f>
        <v>2161.8069999999998</v>
      </c>
      <c r="J45" s="275">
        <f t="shared" si="32"/>
        <v>17.399999999999999</v>
      </c>
      <c r="K45" s="147">
        <v>9337</v>
      </c>
      <c r="L45" s="352">
        <f>SUM(L33+L34+L35+L39)</f>
        <v>10278</v>
      </c>
      <c r="M45" s="349">
        <f>IF(K45=0, "    ---- ", IF(ABS(ROUND(100/K45*L45-100,1))&lt;999,ROUND(100/K45*L45-100,1),IF(ROUND(100/K45*L45-100,1)&gt;999,999,-999)))</f>
        <v>10.1</v>
      </c>
      <c r="N45" s="147">
        <v>751511.88112852001</v>
      </c>
      <c r="O45" s="352">
        <v>805348.66657845001</v>
      </c>
      <c r="P45" s="275">
        <f t="shared" si="31"/>
        <v>7.2</v>
      </c>
      <c r="Q45" s="147">
        <v>55573.197647459892</v>
      </c>
      <c r="R45" s="352">
        <f>SUM(R33+R34+R35+R39)</f>
        <v>55502.258842719908</v>
      </c>
      <c r="S45" s="275">
        <f t="shared" si="26"/>
        <v>-0.1</v>
      </c>
      <c r="T45" s="352">
        <v>127314</v>
      </c>
      <c r="U45" s="352">
        <v>133289</v>
      </c>
      <c r="V45" s="275">
        <f>IF(T45=0, "    ---- ", IF(ABS(ROUND(100/T45*U45-100,1))&lt;999,ROUND(100/T45*U45-100,1),IF(ROUND(100/T45*U45-100,1)&gt;999,999,-999)))</f>
        <v>4.7</v>
      </c>
      <c r="W45" s="147">
        <v>23908.023999999998</v>
      </c>
      <c r="X45" s="352">
        <f>SUM(X33+X34+X35+X39)</f>
        <v>25763.248</v>
      </c>
      <c r="Y45" s="275">
        <f t="shared" si="28"/>
        <v>7.8</v>
      </c>
      <c r="Z45" s="147">
        <v>214814.80840120002</v>
      </c>
      <c r="AA45" s="352">
        <f>SUM(AA33+AA34+AA35+AA39)</f>
        <v>225845.7789820802</v>
      </c>
      <c r="AB45" s="275">
        <f t="shared" si="29"/>
        <v>5.0999999999999996</v>
      </c>
      <c r="AC45" s="147">
        <v>18</v>
      </c>
      <c r="AD45" s="352">
        <f>SUM(AD33+AD34+AD35+AD39)</f>
        <v>20</v>
      </c>
      <c r="AE45" s="275">
        <f t="shared" si="33"/>
        <v>11.1</v>
      </c>
      <c r="AF45" s="394">
        <f t="shared" si="21"/>
        <v>1383893.0008716199</v>
      </c>
      <c r="AG45" s="394">
        <f t="shared" si="21"/>
        <v>1458034.52196134</v>
      </c>
      <c r="AH45" s="275">
        <f t="shared" si="22"/>
        <v>5.4</v>
      </c>
      <c r="AI45" s="394">
        <f t="shared" si="23"/>
        <v>1383911.0008716199</v>
      </c>
      <c r="AJ45" s="394">
        <f t="shared" si="23"/>
        <v>1458054.52196134</v>
      </c>
      <c r="AK45" s="353">
        <f t="shared" si="24"/>
        <v>5.4</v>
      </c>
    </row>
    <row r="46" spans="1:37" s="364" customFormat="1" ht="20.100000000000001" customHeight="1" x14ac:dyDescent="0.3">
      <c r="A46" s="439" t="s">
        <v>299</v>
      </c>
      <c r="B46" s="147">
        <v>526.41210591000004</v>
      </c>
      <c r="C46" s="352">
        <v>501.91199999999998</v>
      </c>
      <c r="D46" s="352">
        <f t="shared" si="20"/>
        <v>-4.7</v>
      </c>
      <c r="E46" s="147">
        <v>427.70064819999999</v>
      </c>
      <c r="F46" s="352">
        <v>358.33600675000002</v>
      </c>
      <c r="G46" s="275">
        <f>IF(E46=0, "    ---- ", IF(ABS(ROUND(100/E46*F46-100,1))&lt;999,ROUND(100/E46*F46-100,1),IF(ROUND(100/E46*F46-100,1)&gt;999,999,-999)))</f>
        <v>-16.2</v>
      </c>
      <c r="H46" s="147">
        <v>129.876</v>
      </c>
      <c r="I46" s="352">
        <v>142.46600000000001</v>
      </c>
      <c r="J46" s="275">
        <f t="shared" si="32"/>
        <v>9.6999999999999993</v>
      </c>
      <c r="K46" s="147">
        <v>896</v>
      </c>
      <c r="L46" s="352">
        <v>1084</v>
      </c>
      <c r="M46" s="349">
        <f>IF(K46=0, "    ---- ", IF(ABS(ROUND(100/K46*L46-100,1))&lt;999,ROUND(100/K46*L46-100,1),IF(ROUND(100/K46*L46-100,1)&gt;999,999,-999)))</f>
        <v>21</v>
      </c>
      <c r="N46" s="147"/>
      <c r="O46" s="352"/>
      <c r="P46" s="275"/>
      <c r="Q46" s="147">
        <v>65.55</v>
      </c>
      <c r="R46" s="352">
        <v>68.38</v>
      </c>
      <c r="S46" s="275">
        <f t="shared" si="26"/>
        <v>4.3</v>
      </c>
      <c r="T46" s="352"/>
      <c r="U46" s="352"/>
      <c r="V46" s="275"/>
      <c r="W46" s="147">
        <v>12.064</v>
      </c>
      <c r="X46" s="352">
        <v>15.951000000000001</v>
      </c>
      <c r="Y46" s="275">
        <f t="shared" si="28"/>
        <v>32.200000000000003</v>
      </c>
      <c r="Z46" s="147">
        <v>179.76283232</v>
      </c>
      <c r="AA46" s="352"/>
      <c r="AB46" s="275">
        <f t="shared" si="29"/>
        <v>-100</v>
      </c>
      <c r="AC46" s="147"/>
      <c r="AD46" s="352"/>
      <c r="AE46" s="275"/>
      <c r="AF46" s="394">
        <f t="shared" si="21"/>
        <v>2237.3655864299999</v>
      </c>
      <c r="AG46" s="394">
        <f t="shared" si="21"/>
        <v>2171.0450067500001</v>
      </c>
      <c r="AH46" s="275">
        <f t="shared" si="22"/>
        <v>-3</v>
      </c>
      <c r="AI46" s="394">
        <f t="shared" si="23"/>
        <v>2237.3655864299999</v>
      </c>
      <c r="AJ46" s="394">
        <f t="shared" si="23"/>
        <v>2171.0450067500001</v>
      </c>
      <c r="AK46" s="353">
        <f t="shared" si="24"/>
        <v>-3</v>
      </c>
    </row>
    <row r="47" spans="1:37" s="364" customFormat="1" ht="20.100000000000001" customHeight="1" x14ac:dyDescent="0.3">
      <c r="A47" s="439" t="s">
        <v>195</v>
      </c>
      <c r="B47" s="147"/>
      <c r="C47" s="352"/>
      <c r="D47" s="352"/>
      <c r="E47" s="147"/>
      <c r="F47" s="352"/>
      <c r="G47" s="352"/>
      <c r="H47" s="147"/>
      <c r="I47" s="352"/>
      <c r="J47" s="352"/>
      <c r="K47" s="147"/>
      <c r="L47" s="352"/>
      <c r="M47" s="349"/>
      <c r="N47" s="147"/>
      <c r="O47" s="352"/>
      <c r="P47" s="275"/>
      <c r="Q47" s="147"/>
      <c r="R47" s="352"/>
      <c r="S47" s="275"/>
      <c r="T47" s="352"/>
      <c r="U47" s="352"/>
      <c r="V47" s="275"/>
      <c r="W47" s="147"/>
      <c r="X47" s="352"/>
      <c r="Y47" s="275"/>
      <c r="Z47" s="147"/>
      <c r="AA47" s="352"/>
      <c r="AB47" s="275"/>
      <c r="AC47" s="147"/>
      <c r="AD47" s="352"/>
      <c r="AE47" s="275"/>
      <c r="AF47" s="349"/>
      <c r="AG47" s="349"/>
      <c r="AH47" s="275"/>
      <c r="AI47" s="349"/>
      <c r="AJ47" s="349"/>
      <c r="AK47" s="353"/>
    </row>
    <row r="48" spans="1:37" s="364" customFormat="1" ht="20.100000000000001" customHeight="1" x14ac:dyDescent="0.3">
      <c r="A48" s="427" t="s">
        <v>196</v>
      </c>
      <c r="B48" s="147"/>
      <c r="C48" s="352"/>
      <c r="D48" s="352"/>
      <c r="E48" s="147"/>
      <c r="F48" s="352"/>
      <c r="G48" s="352"/>
      <c r="H48" s="147"/>
      <c r="I48" s="352"/>
      <c r="J48" s="352"/>
      <c r="K48" s="147"/>
      <c r="L48" s="352"/>
      <c r="M48" s="349"/>
      <c r="N48" s="147"/>
      <c r="O48" s="352"/>
      <c r="P48" s="275"/>
      <c r="Q48" s="147"/>
      <c r="R48" s="352"/>
      <c r="S48" s="275"/>
      <c r="T48" s="352"/>
      <c r="U48" s="352"/>
      <c r="V48" s="275"/>
      <c r="W48" s="147"/>
      <c r="X48" s="352"/>
      <c r="Y48" s="275"/>
      <c r="Z48" s="147"/>
      <c r="AA48" s="352"/>
      <c r="AB48" s="275"/>
      <c r="AC48" s="147"/>
      <c r="AD48" s="352"/>
      <c r="AE48" s="275"/>
      <c r="AF48" s="394">
        <f t="shared" ref="AF48:AG62" si="34">B48+E48+H48+K48+N48+Q48+T48+W48+Z48</f>
        <v>0</v>
      </c>
      <c r="AG48" s="394">
        <f t="shared" si="34"/>
        <v>0</v>
      </c>
      <c r="AH48" s="275" t="str">
        <f t="shared" si="22"/>
        <v xml:space="preserve">    ---- </v>
      </c>
      <c r="AI48" s="394">
        <f t="shared" ref="AI48:AJ62" si="35">B48+E48+H48+K48+N48+Q48+T48+W48+Z48+AC48</f>
        <v>0</v>
      </c>
      <c r="AJ48" s="394">
        <f t="shared" si="35"/>
        <v>0</v>
      </c>
      <c r="AK48" s="353" t="str">
        <f t="shared" si="24"/>
        <v xml:space="preserve">    ---- </v>
      </c>
    </row>
    <row r="49" spans="1:37" s="364" customFormat="1" ht="20.100000000000001" customHeight="1" x14ac:dyDescent="0.3">
      <c r="A49" s="427" t="s">
        <v>197</v>
      </c>
      <c r="B49" s="147">
        <v>5511.2375077719998</v>
      </c>
      <c r="C49" s="352">
        <v>6018.4560000000001</v>
      </c>
      <c r="D49" s="352">
        <f t="shared" ref="D49" si="36">IF(B49=0, "    ---- ", IF(ABS(ROUND(100/B49*C49-100,1))&lt;999,ROUND(100/B49*C49-100,1),IF(ROUND(100/B49*C49-100,1)&gt;999,999,-999)))</f>
        <v>9.1999999999999993</v>
      </c>
      <c r="E49" s="147"/>
      <c r="F49" s="352"/>
      <c r="G49" s="352"/>
      <c r="H49" s="147"/>
      <c r="I49" s="352"/>
      <c r="J49" s="352"/>
      <c r="K49" s="147">
        <v>2270</v>
      </c>
      <c r="L49" s="352">
        <v>1927</v>
      </c>
      <c r="M49" s="349">
        <f>IF(K49=0, "    ---- ", IF(ABS(ROUND(100/K49*L49-100,1))&lt;999,ROUND(100/K49*L49-100,1),IF(ROUND(100/K49*L49-100,1)&gt;999,999,-999)))</f>
        <v>-15.1</v>
      </c>
      <c r="N49" s="147">
        <v>367.49546283999996</v>
      </c>
      <c r="O49" s="352">
        <v>387.04596483999995</v>
      </c>
      <c r="P49" s="275">
        <f t="shared" ref="P49:P60" si="37">IF(N49=0, "    ---- ", IF(ABS(ROUND(100/N49*O49-100,1))&lt;999,ROUND(100/N49*O49-100,1),IF(ROUND(100/N49*O49-100,1)&gt;999,999,-999)))</f>
        <v>5.3</v>
      </c>
      <c r="Q49" s="147">
        <v>2751.25</v>
      </c>
      <c r="R49" s="352">
        <v>3537.39</v>
      </c>
      <c r="S49" s="275">
        <f t="shared" si="26"/>
        <v>28.6</v>
      </c>
      <c r="T49" s="352"/>
      <c r="U49" s="352"/>
      <c r="V49" s="275"/>
      <c r="W49" s="147">
        <v>1258.346</v>
      </c>
      <c r="X49" s="352">
        <v>1243.53</v>
      </c>
      <c r="Y49" s="275">
        <f t="shared" si="28"/>
        <v>-1.2</v>
      </c>
      <c r="Z49" s="147">
        <v>7105.2867932400013</v>
      </c>
      <c r="AA49" s="352">
        <v>8014.5518284100017</v>
      </c>
      <c r="AB49" s="275">
        <f t="shared" si="29"/>
        <v>12.8</v>
      </c>
      <c r="AC49" s="147"/>
      <c r="AD49" s="352"/>
      <c r="AE49" s="275"/>
      <c r="AF49" s="394">
        <f t="shared" si="34"/>
        <v>19263.615763852002</v>
      </c>
      <c r="AG49" s="394">
        <f t="shared" si="34"/>
        <v>21127.973793249999</v>
      </c>
      <c r="AH49" s="275">
        <f t="shared" si="22"/>
        <v>9.6999999999999993</v>
      </c>
      <c r="AI49" s="394">
        <f t="shared" si="35"/>
        <v>19263.615763852002</v>
      </c>
      <c r="AJ49" s="394">
        <f t="shared" si="35"/>
        <v>21127.973793249999</v>
      </c>
      <c r="AK49" s="353">
        <f t="shared" si="24"/>
        <v>9.6999999999999993</v>
      </c>
    </row>
    <row r="50" spans="1:37" s="364" customFormat="1" ht="20.100000000000001" customHeight="1" x14ac:dyDescent="0.3">
      <c r="A50" s="427" t="s">
        <v>198</v>
      </c>
      <c r="B50" s="147"/>
      <c r="C50" s="352"/>
      <c r="D50" s="352"/>
      <c r="E50" s="147"/>
      <c r="F50" s="352"/>
      <c r="G50" s="352"/>
      <c r="H50" s="147"/>
      <c r="I50" s="352"/>
      <c r="J50" s="352"/>
      <c r="K50" s="147"/>
      <c r="L50" s="352"/>
      <c r="M50" s="349"/>
      <c r="N50" s="147">
        <v>994.89077509000003</v>
      </c>
      <c r="O50" s="352">
        <v>1024.5902577500001</v>
      </c>
      <c r="P50" s="275">
        <f t="shared" si="37"/>
        <v>3</v>
      </c>
      <c r="Q50" s="147"/>
      <c r="R50" s="352"/>
      <c r="S50" s="275"/>
      <c r="T50" s="352"/>
      <c r="U50" s="352"/>
      <c r="V50" s="275"/>
      <c r="W50" s="147"/>
      <c r="X50" s="352"/>
      <c r="Y50" s="275"/>
      <c r="Z50" s="147">
        <v>1726.6209261999991</v>
      </c>
      <c r="AA50" s="352">
        <f>SUM(AA51+AA53)</f>
        <v>3483.0961189100012</v>
      </c>
      <c r="AB50" s="275">
        <f t="shared" si="29"/>
        <v>101.7</v>
      </c>
      <c r="AC50" s="147"/>
      <c r="AD50" s="352"/>
      <c r="AE50" s="275"/>
      <c r="AF50" s="394">
        <f t="shared" si="34"/>
        <v>2721.5117012899991</v>
      </c>
      <c r="AG50" s="394">
        <f t="shared" si="34"/>
        <v>4507.6863766600018</v>
      </c>
      <c r="AH50" s="275">
        <f t="shared" si="22"/>
        <v>65.599999999999994</v>
      </c>
      <c r="AI50" s="394">
        <f t="shared" si="35"/>
        <v>2721.5117012899991</v>
      </c>
      <c r="AJ50" s="394">
        <f t="shared" si="35"/>
        <v>4507.6863766600018</v>
      </c>
      <c r="AK50" s="353">
        <f t="shared" si="24"/>
        <v>65.599999999999994</v>
      </c>
    </row>
    <row r="51" spans="1:37" s="364" customFormat="1" ht="20.100000000000001" customHeight="1" x14ac:dyDescent="0.3">
      <c r="A51" s="427" t="s">
        <v>398</v>
      </c>
      <c r="B51" s="147"/>
      <c r="C51" s="352"/>
      <c r="D51" s="275"/>
      <c r="E51" s="147"/>
      <c r="F51" s="352"/>
      <c r="G51" s="275"/>
      <c r="H51" s="147"/>
      <c r="I51" s="352"/>
      <c r="J51" s="275"/>
      <c r="K51" s="147"/>
      <c r="L51" s="352"/>
      <c r="M51" s="349"/>
      <c r="N51" s="147">
        <v>994.89077509000003</v>
      </c>
      <c r="O51" s="352">
        <v>1024.5902577500001</v>
      </c>
      <c r="P51" s="275">
        <f t="shared" si="37"/>
        <v>3</v>
      </c>
      <c r="Q51" s="147"/>
      <c r="R51" s="352"/>
      <c r="S51" s="275"/>
      <c r="T51" s="352"/>
      <c r="U51" s="352"/>
      <c r="V51" s="275"/>
      <c r="W51" s="147"/>
      <c r="X51" s="352"/>
      <c r="Y51" s="275"/>
      <c r="Z51" s="147"/>
      <c r="AA51" s="352"/>
      <c r="AB51" s="275"/>
      <c r="AC51" s="147"/>
      <c r="AD51" s="352"/>
      <c r="AE51" s="275"/>
      <c r="AF51" s="394">
        <f t="shared" si="34"/>
        <v>994.89077509000003</v>
      </c>
      <c r="AG51" s="394">
        <f t="shared" si="34"/>
        <v>1024.5902577500001</v>
      </c>
      <c r="AH51" s="275">
        <f t="shared" si="22"/>
        <v>3</v>
      </c>
      <c r="AI51" s="394">
        <f t="shared" si="35"/>
        <v>994.89077509000003</v>
      </c>
      <c r="AJ51" s="394">
        <f t="shared" si="35"/>
        <v>1024.5902577500001</v>
      </c>
      <c r="AK51" s="353">
        <f t="shared" si="24"/>
        <v>3</v>
      </c>
    </row>
    <row r="52" spans="1:37" s="364" customFormat="1" ht="20.100000000000001" customHeight="1" x14ac:dyDescent="0.3">
      <c r="A52" s="427" t="s">
        <v>172</v>
      </c>
      <c r="B52" s="147"/>
      <c r="C52" s="352"/>
      <c r="D52" s="352"/>
      <c r="E52" s="147"/>
      <c r="F52" s="352"/>
      <c r="G52" s="352"/>
      <c r="H52" s="147"/>
      <c r="I52" s="352"/>
      <c r="J52" s="352"/>
      <c r="K52" s="147"/>
      <c r="L52" s="352"/>
      <c r="M52" s="394"/>
      <c r="N52" s="147">
        <v>994.89077509000003</v>
      </c>
      <c r="O52" s="352">
        <v>1024.5902577500001</v>
      </c>
      <c r="P52" s="275">
        <f t="shared" si="37"/>
        <v>3</v>
      </c>
      <c r="Q52" s="147"/>
      <c r="R52" s="352"/>
      <c r="S52" s="352"/>
      <c r="T52" s="352"/>
      <c r="U52" s="352"/>
      <c r="V52" s="352"/>
      <c r="W52" s="147"/>
      <c r="X52" s="352"/>
      <c r="Y52" s="352"/>
      <c r="Z52" s="147"/>
      <c r="AA52" s="352"/>
      <c r="AB52" s="352"/>
      <c r="AC52" s="147"/>
      <c r="AD52" s="352"/>
      <c r="AE52" s="352"/>
      <c r="AF52" s="394">
        <f t="shared" si="34"/>
        <v>994.89077509000003</v>
      </c>
      <c r="AG52" s="394">
        <f t="shared" si="34"/>
        <v>1024.5902577500001</v>
      </c>
      <c r="AH52" s="352">
        <f t="shared" si="22"/>
        <v>3</v>
      </c>
      <c r="AI52" s="394">
        <f t="shared" si="35"/>
        <v>994.89077509000003</v>
      </c>
      <c r="AJ52" s="394">
        <f t="shared" si="35"/>
        <v>1024.5902577500001</v>
      </c>
      <c r="AK52" s="464">
        <f t="shared" si="24"/>
        <v>3</v>
      </c>
    </row>
    <row r="53" spans="1:37" s="364" customFormat="1" ht="20.100000000000001" customHeight="1" x14ac:dyDescent="0.3">
      <c r="A53" s="427" t="s">
        <v>199</v>
      </c>
      <c r="B53" s="147"/>
      <c r="C53" s="352"/>
      <c r="D53" s="352"/>
      <c r="E53" s="147"/>
      <c r="F53" s="352"/>
      <c r="G53" s="352"/>
      <c r="H53" s="147"/>
      <c r="I53" s="352"/>
      <c r="J53" s="352"/>
      <c r="K53" s="147"/>
      <c r="L53" s="352"/>
      <c r="M53" s="349"/>
      <c r="N53" s="147"/>
      <c r="O53" s="352"/>
      <c r="P53" s="275"/>
      <c r="Q53" s="147"/>
      <c r="R53" s="352"/>
      <c r="S53" s="275"/>
      <c r="T53" s="352"/>
      <c r="U53" s="352"/>
      <c r="V53" s="275"/>
      <c r="W53" s="147"/>
      <c r="X53" s="352"/>
      <c r="Y53" s="275"/>
      <c r="Z53" s="147">
        <v>1726.6209261999991</v>
      </c>
      <c r="AA53" s="352">
        <v>3483.0961189100012</v>
      </c>
      <c r="AB53" s="275">
        <f t="shared" si="29"/>
        <v>101.7</v>
      </c>
      <c r="AC53" s="147"/>
      <c r="AD53" s="352"/>
      <c r="AE53" s="275"/>
      <c r="AF53" s="394">
        <f t="shared" si="34"/>
        <v>1726.6209261999991</v>
      </c>
      <c r="AG53" s="394">
        <f t="shared" si="34"/>
        <v>3483.0961189100012</v>
      </c>
      <c r="AH53" s="275">
        <f t="shared" si="22"/>
        <v>101.7</v>
      </c>
      <c r="AI53" s="394">
        <f t="shared" si="35"/>
        <v>1726.6209261999991</v>
      </c>
      <c r="AJ53" s="394">
        <f t="shared" si="35"/>
        <v>3483.0961189100012</v>
      </c>
      <c r="AK53" s="353">
        <f t="shared" si="24"/>
        <v>101.7</v>
      </c>
    </row>
    <row r="54" spans="1:37" s="364" customFormat="1" ht="20.100000000000001" customHeight="1" x14ac:dyDescent="0.3">
      <c r="A54" s="427" t="s">
        <v>200</v>
      </c>
      <c r="B54" s="147">
        <v>173938.33342060633</v>
      </c>
      <c r="C54" s="352">
        <f>SUM(C55+C56+C57+C58+C59)</f>
        <v>197550.24400000001</v>
      </c>
      <c r="D54" s="352">
        <f t="shared" si="20"/>
        <v>13.6</v>
      </c>
      <c r="E54" s="147"/>
      <c r="F54" s="352"/>
      <c r="G54" s="352"/>
      <c r="H54" s="147"/>
      <c r="I54" s="352"/>
      <c r="J54" s="352"/>
      <c r="K54" s="147">
        <v>63548</v>
      </c>
      <c r="L54" s="352">
        <f>SUM(L55+L56+L57+L58+L59)</f>
        <v>75042</v>
      </c>
      <c r="M54" s="394">
        <f>IF(K54=0, "    ---- ", IF(ABS(ROUND(100/K54*L54-100,1))&lt;999,ROUND(100/K54*L54-100,1),IF(ROUND(100/K54*L54-100,1)&gt;999,999,-999)))</f>
        <v>18.100000000000001</v>
      </c>
      <c r="N54" s="147">
        <v>1590.7859633099999</v>
      </c>
      <c r="O54" s="352">
        <v>1693.7601638700003</v>
      </c>
      <c r="P54" s="352">
        <f t="shared" si="37"/>
        <v>6.5</v>
      </c>
      <c r="Q54" s="147">
        <v>156378.82999999999</v>
      </c>
      <c r="R54" s="352">
        <f>SUM(R55+R56+R57+R58+R59)</f>
        <v>173913.63999999998</v>
      </c>
      <c r="S54" s="352">
        <f t="shared" si="26"/>
        <v>11.2</v>
      </c>
      <c r="T54" s="352"/>
      <c r="U54" s="352"/>
      <c r="V54" s="352"/>
      <c r="W54" s="147">
        <v>73327.353000000003</v>
      </c>
      <c r="X54" s="352">
        <f>SUM(X55+X56+X57+X58+X59)</f>
        <v>82452.562999999995</v>
      </c>
      <c r="Y54" s="352">
        <f t="shared" si="28"/>
        <v>12.4</v>
      </c>
      <c r="Z54" s="147">
        <v>218769.08519492278</v>
      </c>
      <c r="AA54" s="352">
        <f>SUM(AA55+AA56+AA57+AA58+AA59)</f>
        <v>232914.96691135998</v>
      </c>
      <c r="AB54" s="352">
        <f t="shared" si="29"/>
        <v>6.5</v>
      </c>
      <c r="AC54" s="147"/>
      <c r="AD54" s="352"/>
      <c r="AE54" s="352"/>
      <c r="AF54" s="394">
        <f t="shared" si="34"/>
        <v>687552.38757883909</v>
      </c>
      <c r="AG54" s="394">
        <f t="shared" si="34"/>
        <v>763567.17407523002</v>
      </c>
      <c r="AH54" s="352">
        <f t="shared" si="22"/>
        <v>11.1</v>
      </c>
      <c r="AI54" s="394">
        <f t="shared" si="35"/>
        <v>687552.38757883909</v>
      </c>
      <c r="AJ54" s="394">
        <f t="shared" si="35"/>
        <v>763567.17407523002</v>
      </c>
      <c r="AK54" s="464">
        <f t="shared" si="24"/>
        <v>11.1</v>
      </c>
    </row>
    <row r="55" spans="1:37" s="364" customFormat="1" ht="20.100000000000001" customHeight="1" x14ac:dyDescent="0.3">
      <c r="A55" s="427" t="s">
        <v>201</v>
      </c>
      <c r="B55" s="147">
        <v>111524.90309837848</v>
      </c>
      <c r="C55" s="352">
        <v>127522.083</v>
      </c>
      <c r="D55" s="352">
        <f t="shared" si="20"/>
        <v>14.3</v>
      </c>
      <c r="E55" s="147"/>
      <c r="F55" s="352"/>
      <c r="G55" s="352"/>
      <c r="H55" s="147"/>
      <c r="I55" s="352"/>
      <c r="J55" s="352"/>
      <c r="K55" s="147">
        <v>53434</v>
      </c>
      <c r="L55" s="352">
        <v>61670</v>
      </c>
      <c r="M55" s="349">
        <f>IF(K55=0, "    ---- ", IF(ABS(ROUND(100/K55*L55-100,1))&lt;999,ROUND(100/K55*L55-100,1),IF(ROUND(100/K55*L55-100,1)&gt;999,999,-999)))</f>
        <v>15.4</v>
      </c>
      <c r="N55" s="147">
        <v>1243.57583879</v>
      </c>
      <c r="O55" s="352">
        <v>1292.1655281300002</v>
      </c>
      <c r="P55" s="275">
        <f t="shared" si="37"/>
        <v>3.9</v>
      </c>
      <c r="Q55" s="147">
        <v>104311.41</v>
      </c>
      <c r="R55" s="352">
        <v>106308.41</v>
      </c>
      <c r="S55" s="275">
        <f t="shared" si="26"/>
        <v>1.9</v>
      </c>
      <c r="T55" s="352"/>
      <c r="U55" s="352"/>
      <c r="V55" s="275"/>
      <c r="W55" s="147">
        <v>49698.409</v>
      </c>
      <c r="X55" s="352">
        <v>53163.724000000002</v>
      </c>
      <c r="Y55" s="275">
        <f t="shared" si="28"/>
        <v>7</v>
      </c>
      <c r="Z55" s="147">
        <v>161865.65993595993</v>
      </c>
      <c r="AA55" s="352">
        <v>169951.35887060003</v>
      </c>
      <c r="AB55" s="275">
        <f t="shared" si="29"/>
        <v>5</v>
      </c>
      <c r="AC55" s="147"/>
      <c r="AD55" s="352"/>
      <c r="AE55" s="275"/>
      <c r="AF55" s="394">
        <f t="shared" si="34"/>
        <v>482077.95787312847</v>
      </c>
      <c r="AG55" s="394">
        <f t="shared" si="34"/>
        <v>519907.74139872997</v>
      </c>
      <c r="AH55" s="275">
        <f t="shared" si="22"/>
        <v>7.8</v>
      </c>
      <c r="AI55" s="394">
        <f t="shared" si="35"/>
        <v>482077.95787312847</v>
      </c>
      <c r="AJ55" s="394">
        <f t="shared" si="35"/>
        <v>519907.74139872997</v>
      </c>
      <c r="AK55" s="353">
        <f t="shared" si="24"/>
        <v>7.8</v>
      </c>
    </row>
    <row r="56" spans="1:37" s="364" customFormat="1" ht="20.100000000000001" customHeight="1" x14ac:dyDescent="0.3">
      <c r="A56" s="427" t="s">
        <v>399</v>
      </c>
      <c r="B56" s="147">
        <v>60894.574325247842</v>
      </c>
      <c r="C56" s="352">
        <v>68581.841</v>
      </c>
      <c r="D56" s="352">
        <f t="shared" si="20"/>
        <v>12.6</v>
      </c>
      <c r="E56" s="147"/>
      <c r="F56" s="352"/>
      <c r="G56" s="352"/>
      <c r="H56" s="147"/>
      <c r="I56" s="352"/>
      <c r="J56" s="352"/>
      <c r="K56" s="147">
        <v>10033</v>
      </c>
      <c r="L56" s="352">
        <v>13127</v>
      </c>
      <c r="M56" s="349">
        <f>IF(K56=0, "    ---- ", IF(ABS(ROUND(100/K56*L56-100,1))&lt;999,ROUND(100/K56*L56-100,1),IF(ROUND(100/K56*L56-100,1)&gt;999,999,-999)))</f>
        <v>30.8</v>
      </c>
      <c r="N56" s="147">
        <v>257.09596002000001</v>
      </c>
      <c r="O56" s="352">
        <v>314.91464838000002</v>
      </c>
      <c r="P56" s="275">
        <f t="shared" si="37"/>
        <v>22.5</v>
      </c>
      <c r="Q56" s="147">
        <v>51807.57</v>
      </c>
      <c r="R56" s="352">
        <v>63731.33</v>
      </c>
      <c r="S56" s="275">
        <f t="shared" si="26"/>
        <v>23</v>
      </c>
      <c r="T56" s="352"/>
      <c r="U56" s="352"/>
      <c r="V56" s="275"/>
      <c r="W56" s="147">
        <v>23460.573</v>
      </c>
      <c r="X56" s="352">
        <v>27725.999</v>
      </c>
      <c r="Y56" s="275">
        <f t="shared" si="28"/>
        <v>18.2</v>
      </c>
      <c r="Z56" s="147">
        <v>56740.410673840088</v>
      </c>
      <c r="AA56" s="352">
        <v>60559.834178849946</v>
      </c>
      <c r="AB56" s="275">
        <f t="shared" si="29"/>
        <v>6.7</v>
      </c>
      <c r="AC56" s="147"/>
      <c r="AD56" s="352"/>
      <c r="AE56" s="275"/>
      <c r="AF56" s="394">
        <f t="shared" si="34"/>
        <v>203193.22395910794</v>
      </c>
      <c r="AG56" s="394">
        <f t="shared" si="34"/>
        <v>234040.91882722994</v>
      </c>
      <c r="AH56" s="275">
        <f t="shared" si="22"/>
        <v>15.2</v>
      </c>
      <c r="AI56" s="394">
        <f t="shared" si="35"/>
        <v>203193.22395910794</v>
      </c>
      <c r="AJ56" s="394">
        <f t="shared" si="35"/>
        <v>234040.91882722994</v>
      </c>
      <c r="AK56" s="353">
        <f t="shared" si="24"/>
        <v>15.2</v>
      </c>
    </row>
    <row r="57" spans="1:37" s="364" customFormat="1" ht="20.100000000000001" customHeight="1" x14ac:dyDescent="0.3">
      <c r="A57" s="427" t="s">
        <v>202</v>
      </c>
      <c r="B57" s="147">
        <v>1518.8559969800001</v>
      </c>
      <c r="C57" s="352">
        <v>1446.32</v>
      </c>
      <c r="D57" s="275">
        <f t="shared" si="20"/>
        <v>-4.8</v>
      </c>
      <c r="E57" s="147"/>
      <c r="F57" s="352"/>
      <c r="G57" s="275"/>
      <c r="H57" s="147"/>
      <c r="I57" s="352"/>
      <c r="J57" s="275"/>
      <c r="K57" s="147"/>
      <c r="L57" s="352"/>
      <c r="M57" s="275"/>
      <c r="N57" s="147">
        <v>90.114164500000001</v>
      </c>
      <c r="O57" s="352">
        <v>78.772344010000012</v>
      </c>
      <c r="P57" s="275">
        <f t="shared" si="37"/>
        <v>-12.6</v>
      </c>
      <c r="Q57" s="147"/>
      <c r="R57" s="352"/>
      <c r="S57" s="275"/>
      <c r="T57" s="352"/>
      <c r="U57" s="352"/>
      <c r="V57" s="275"/>
      <c r="W57" s="147">
        <v>80.412999999999997</v>
      </c>
      <c r="X57" s="352">
        <v>84.858999999999995</v>
      </c>
      <c r="Y57" s="275">
        <f t="shared" si="28"/>
        <v>5.5</v>
      </c>
      <c r="Z57" s="147">
        <v>136.53156030000005</v>
      </c>
      <c r="AA57" s="352"/>
      <c r="AB57" s="275">
        <f t="shared" si="29"/>
        <v>-100</v>
      </c>
      <c r="AC57" s="147"/>
      <c r="AD57" s="352"/>
      <c r="AE57" s="275"/>
      <c r="AF57" s="394">
        <f t="shared" si="34"/>
        <v>1825.9147217800003</v>
      </c>
      <c r="AG57" s="394">
        <f t="shared" si="34"/>
        <v>1609.95134401</v>
      </c>
      <c r="AH57" s="275">
        <f t="shared" si="22"/>
        <v>-11.8</v>
      </c>
      <c r="AI57" s="394">
        <f t="shared" si="35"/>
        <v>1825.9147217800003</v>
      </c>
      <c r="AJ57" s="394">
        <f t="shared" si="35"/>
        <v>1609.95134401</v>
      </c>
      <c r="AK57" s="353">
        <f t="shared" si="24"/>
        <v>-11.8</v>
      </c>
    </row>
    <row r="58" spans="1:37" s="364" customFormat="1" ht="20.100000000000001" customHeight="1" x14ac:dyDescent="0.3">
      <c r="A58" s="427" t="s">
        <v>203</v>
      </c>
      <c r="B58" s="147"/>
      <c r="C58" s="352"/>
      <c r="D58" s="275"/>
      <c r="E58" s="147"/>
      <c r="F58" s="352"/>
      <c r="G58" s="275"/>
      <c r="H58" s="147"/>
      <c r="I58" s="352"/>
      <c r="J58" s="275"/>
      <c r="K58" s="147"/>
      <c r="L58" s="352"/>
      <c r="M58" s="275"/>
      <c r="N58" s="147"/>
      <c r="O58" s="352">
        <v>6.4999290599999995</v>
      </c>
      <c r="P58" s="275" t="str">
        <f t="shared" si="37"/>
        <v xml:space="preserve">    ---- </v>
      </c>
      <c r="Q58" s="147">
        <v>-299.67</v>
      </c>
      <c r="R58" s="352">
        <v>2870.93</v>
      </c>
      <c r="S58" s="275">
        <f t="shared" si="26"/>
        <v>-999</v>
      </c>
      <c r="T58" s="352"/>
      <c r="U58" s="352"/>
      <c r="V58" s="275"/>
      <c r="W58" s="147"/>
      <c r="X58" s="352">
        <v>896.49599999999998</v>
      </c>
      <c r="Y58" s="275" t="str">
        <f t="shared" si="28"/>
        <v xml:space="preserve">    ---- </v>
      </c>
      <c r="Z58" s="147">
        <v>26.483024820000406</v>
      </c>
      <c r="AA58" s="352">
        <v>2403.7738619100023</v>
      </c>
      <c r="AB58" s="275">
        <f t="shared" si="29"/>
        <v>999</v>
      </c>
      <c r="AC58" s="147"/>
      <c r="AD58" s="352"/>
      <c r="AE58" s="275"/>
      <c r="AF58" s="394">
        <f t="shared" si="34"/>
        <v>-273.18697517999959</v>
      </c>
      <c r="AG58" s="394">
        <f t="shared" si="34"/>
        <v>6177.6997909700021</v>
      </c>
      <c r="AH58" s="275">
        <f t="shared" si="22"/>
        <v>-999</v>
      </c>
      <c r="AI58" s="394">
        <f t="shared" si="35"/>
        <v>-273.18697517999959</v>
      </c>
      <c r="AJ58" s="394">
        <f t="shared" si="35"/>
        <v>6177.6997909700021</v>
      </c>
      <c r="AK58" s="353">
        <f t="shared" si="24"/>
        <v>-999</v>
      </c>
    </row>
    <row r="59" spans="1:37" s="364" customFormat="1" ht="20.100000000000001" customHeight="1" x14ac:dyDescent="0.3">
      <c r="A59" s="427" t="s">
        <v>204</v>
      </c>
      <c r="B59" s="147"/>
      <c r="C59" s="352"/>
      <c r="D59" s="275"/>
      <c r="E59" s="147"/>
      <c r="F59" s="352"/>
      <c r="G59" s="275"/>
      <c r="H59" s="147"/>
      <c r="I59" s="352"/>
      <c r="J59" s="275"/>
      <c r="K59" s="147">
        <v>81</v>
      </c>
      <c r="L59" s="352">
        <v>245</v>
      </c>
      <c r="M59" s="275">
        <f>IF(K59=0, "    ---- ", IF(ABS(ROUND(100/K59*L59-100,1))&lt;999,ROUND(100/K59*L59-100,1),IF(ROUND(100/K59*L59-100,1)&gt;999,999,-999)))</f>
        <v>202.5</v>
      </c>
      <c r="N59" s="147"/>
      <c r="O59" s="352">
        <v>1.4077142900000001</v>
      </c>
      <c r="P59" s="275" t="str">
        <f t="shared" si="37"/>
        <v xml:space="preserve">    ---- </v>
      </c>
      <c r="Q59" s="147">
        <v>559.52</v>
      </c>
      <c r="R59" s="352">
        <v>1002.97</v>
      </c>
      <c r="S59" s="275">
        <f t="shared" si="26"/>
        <v>79.3</v>
      </c>
      <c r="T59" s="352"/>
      <c r="U59" s="352"/>
      <c r="V59" s="275"/>
      <c r="W59" s="147">
        <v>87.957999999999998</v>
      </c>
      <c r="X59" s="352">
        <v>581.48500000000001</v>
      </c>
      <c r="Y59" s="275">
        <f t="shared" si="28"/>
        <v>561.1</v>
      </c>
      <c r="Z59" s="147">
        <v>2.7553844265639783E-9</v>
      </c>
      <c r="AA59" s="352"/>
      <c r="AB59" s="275">
        <f t="shared" si="29"/>
        <v>-100</v>
      </c>
      <c r="AC59" s="147"/>
      <c r="AD59" s="352"/>
      <c r="AE59" s="275"/>
      <c r="AF59" s="394">
        <f t="shared" si="34"/>
        <v>728.47800000275538</v>
      </c>
      <c r="AG59" s="394">
        <f t="shared" si="34"/>
        <v>1830.86271429</v>
      </c>
      <c r="AH59" s="275">
        <f t="shared" si="22"/>
        <v>151.30000000000001</v>
      </c>
      <c r="AI59" s="394">
        <f t="shared" si="35"/>
        <v>728.47800000275538</v>
      </c>
      <c r="AJ59" s="394">
        <f t="shared" si="35"/>
        <v>1830.86271429</v>
      </c>
      <c r="AK59" s="353">
        <f t="shared" si="24"/>
        <v>151.30000000000001</v>
      </c>
    </row>
    <row r="60" spans="1:37" s="364" customFormat="1" ht="20.100000000000001" customHeight="1" x14ac:dyDescent="0.3">
      <c r="A60" s="463" t="s">
        <v>205</v>
      </c>
      <c r="B60" s="147">
        <v>179449.57092837832</v>
      </c>
      <c r="C60" s="352">
        <f>SUM(C48+C49+C50+C54)</f>
        <v>203568.7</v>
      </c>
      <c r="D60" s="275">
        <f t="shared" si="20"/>
        <v>13.4</v>
      </c>
      <c r="E60" s="147"/>
      <c r="F60" s="352"/>
      <c r="G60" s="275"/>
      <c r="H60" s="147"/>
      <c r="I60" s="352"/>
      <c r="J60" s="275"/>
      <c r="K60" s="147">
        <v>65818</v>
      </c>
      <c r="L60" s="352">
        <f>SUM(L48+L49+L50+L54)</f>
        <v>76969</v>
      </c>
      <c r="M60" s="275">
        <f>IF(K60=0, "    ---- ", IF(ABS(ROUND(100/K60*L60-100,1))&lt;999,ROUND(100/K60*L60-100,1),IF(ROUND(100/K60*L60-100,1)&gt;999,999,-999)))</f>
        <v>16.899999999999999</v>
      </c>
      <c r="N60" s="147">
        <v>2953.1722012399996</v>
      </c>
      <c r="O60" s="352">
        <v>3105.39638646</v>
      </c>
      <c r="P60" s="275">
        <f t="shared" si="37"/>
        <v>5.2</v>
      </c>
      <c r="Q60" s="147">
        <v>159130.07999999999</v>
      </c>
      <c r="R60" s="352">
        <f>SUM(R48+R49+R50+R54)</f>
        <v>177451.03</v>
      </c>
      <c r="S60" s="275">
        <f t="shared" si="26"/>
        <v>11.5</v>
      </c>
      <c r="T60" s="352"/>
      <c r="U60" s="352"/>
      <c r="V60" s="275"/>
      <c r="W60" s="147">
        <v>74585.699000000008</v>
      </c>
      <c r="X60" s="352">
        <f>SUM(X48+X49+X50+X54)</f>
        <v>83696.092999999993</v>
      </c>
      <c r="Y60" s="275">
        <f t="shared" si="28"/>
        <v>12.2</v>
      </c>
      <c r="Z60" s="147">
        <v>227600.99291436278</v>
      </c>
      <c r="AA60" s="352">
        <f>SUM(AA48+AA49+AA50+AA54)</f>
        <v>244412.61485868</v>
      </c>
      <c r="AB60" s="275">
        <f t="shared" si="29"/>
        <v>7.4</v>
      </c>
      <c r="AC60" s="147"/>
      <c r="AD60" s="352"/>
      <c r="AE60" s="275"/>
      <c r="AF60" s="394">
        <f t="shared" si="34"/>
        <v>709537.51504398114</v>
      </c>
      <c r="AG60" s="394">
        <f t="shared" si="34"/>
        <v>789202.83424513997</v>
      </c>
      <c r="AH60" s="275">
        <f t="shared" si="22"/>
        <v>11.2</v>
      </c>
      <c r="AI60" s="394">
        <f t="shared" si="35"/>
        <v>709537.51504398114</v>
      </c>
      <c r="AJ60" s="394">
        <f t="shared" si="35"/>
        <v>789202.83424513997</v>
      </c>
      <c r="AK60" s="353">
        <f t="shared" si="24"/>
        <v>11.2</v>
      </c>
    </row>
    <row r="61" spans="1:37" s="364" customFormat="1" ht="20.100000000000001" customHeight="1" x14ac:dyDescent="0.3">
      <c r="A61" s="439" t="s">
        <v>300</v>
      </c>
      <c r="B61" s="147"/>
      <c r="C61" s="352"/>
      <c r="D61" s="275"/>
      <c r="E61" s="147"/>
      <c r="F61" s="352"/>
      <c r="G61" s="275"/>
      <c r="H61" s="147"/>
      <c r="I61" s="352"/>
      <c r="J61" s="275"/>
      <c r="K61" s="147">
        <v>7</v>
      </c>
      <c r="L61" s="352"/>
      <c r="M61" s="275"/>
      <c r="N61" s="147"/>
      <c r="O61" s="352"/>
      <c r="P61" s="275"/>
      <c r="Q61" s="147"/>
      <c r="R61" s="352"/>
      <c r="S61" s="275"/>
      <c r="T61" s="352"/>
      <c r="U61" s="352"/>
      <c r="V61" s="275"/>
      <c r="W61" s="147"/>
      <c r="X61" s="352"/>
      <c r="Y61" s="275"/>
      <c r="Z61" s="147"/>
      <c r="AA61" s="352">
        <v>159.07719885</v>
      </c>
      <c r="AB61" s="275" t="str">
        <f t="shared" si="29"/>
        <v xml:space="preserve">    ---- </v>
      </c>
      <c r="AC61" s="147"/>
      <c r="AD61" s="352"/>
      <c r="AE61" s="275"/>
      <c r="AF61" s="394">
        <f t="shared" si="34"/>
        <v>7</v>
      </c>
      <c r="AG61" s="394">
        <f t="shared" si="34"/>
        <v>159.07719885</v>
      </c>
      <c r="AH61" s="275">
        <f t="shared" si="22"/>
        <v>999</v>
      </c>
      <c r="AI61" s="394">
        <f>B61+E61+H61+K61+N61+Q61+T61+W61+Z61+AC61</f>
        <v>7</v>
      </c>
      <c r="AJ61" s="394">
        <f t="shared" si="35"/>
        <v>159.07719885</v>
      </c>
      <c r="AK61" s="353">
        <f t="shared" si="24"/>
        <v>999</v>
      </c>
    </row>
    <row r="62" spans="1:37" s="364" customFormat="1" ht="20.100000000000001" customHeight="1" x14ac:dyDescent="0.3">
      <c r="A62" s="427" t="s">
        <v>206</v>
      </c>
      <c r="B62" s="147">
        <v>370344.83076474833</v>
      </c>
      <c r="C62" s="352">
        <f>SUM(C45+C46+C60+C61)</f>
        <v>394090.52100000001</v>
      </c>
      <c r="D62" s="275">
        <f t="shared" si="20"/>
        <v>6.4</v>
      </c>
      <c r="E62" s="147">
        <v>9652.060612180001</v>
      </c>
      <c r="F62" s="352">
        <f>SUM(F45+F46+F60+F61)</f>
        <v>10184.18956484</v>
      </c>
      <c r="G62" s="275">
        <f>IF(E62=0, "    ---- ", IF(ABS(ROUND(100/E62*F62-100,1))&lt;999,ROUND(100/E62*F62-100,1),IF(ROUND(100/E62*F62-100,1)&gt;999,999,-999)))</f>
        <v>5.5</v>
      </c>
      <c r="H62" s="147">
        <v>1970.758</v>
      </c>
      <c r="I62" s="352">
        <f>SUM(I45+I46+I60+I61)</f>
        <v>2304.2729999999997</v>
      </c>
      <c r="J62" s="275">
        <f>IF(H62=0, "    ---- ", IF(ABS(ROUND(100/H62*I62-100,1))&lt;999,ROUND(100/H62*I62-100,1),IF(ROUND(100/H62*I62-100,1)&gt;999,999,-999)))</f>
        <v>16.899999999999999</v>
      </c>
      <c r="K62" s="147">
        <v>76058</v>
      </c>
      <c r="L62" s="352">
        <f>SUM(L45+L46+L60+L61)</f>
        <v>88331</v>
      </c>
      <c r="M62" s="275">
        <f>IF(K62=0, "    ---- ", IF(ABS(ROUND(100/K62*L62-100,1))&lt;999,ROUND(100/K62*L62-100,1),IF(ROUND(100/K62*L62-100,1)&gt;999,999,-999)))</f>
        <v>16.100000000000001</v>
      </c>
      <c r="N62" s="147">
        <v>754465.05332975998</v>
      </c>
      <c r="O62" s="352">
        <v>808454.06296491006</v>
      </c>
      <c r="P62" s="275">
        <f>IF(N62=0, "    ---- ", IF(ABS(ROUND(100/N62*O62-100,1))&lt;999,ROUND(100/N62*O62-100,1),IF(ROUND(100/N62*O62-100,1)&gt;999,999,-999)))</f>
        <v>7.2</v>
      </c>
      <c r="Q62" s="147">
        <v>214768.82764745987</v>
      </c>
      <c r="R62" s="352">
        <f>SUM(R45+R46+R60+R61)</f>
        <v>233021.6688427199</v>
      </c>
      <c r="S62" s="275">
        <f t="shared" si="26"/>
        <v>8.5</v>
      </c>
      <c r="T62" s="352">
        <v>127314</v>
      </c>
      <c r="U62" s="352">
        <v>133289</v>
      </c>
      <c r="V62" s="275">
        <f>IF(T62=0, "    ---- ", IF(ABS(ROUND(100/T62*U62-100,1))&lt;999,ROUND(100/T62*U62-100,1),IF(ROUND(100/T62*U62-100,1)&gt;999,999,-999)))</f>
        <v>4.7</v>
      </c>
      <c r="W62" s="147">
        <v>98505.787000000011</v>
      </c>
      <c r="X62" s="352">
        <f>SUM(X45+X46+X60+X61)</f>
        <v>109475.29199999999</v>
      </c>
      <c r="Y62" s="275">
        <f t="shared" si="28"/>
        <v>11.1</v>
      </c>
      <c r="Z62" s="147">
        <v>442595.5641478828</v>
      </c>
      <c r="AA62" s="352">
        <f>SUM(AA45+AA46+AA60+AA61)</f>
        <v>470417.47103961022</v>
      </c>
      <c r="AB62" s="275">
        <f t="shared" si="29"/>
        <v>6.3</v>
      </c>
      <c r="AC62" s="147">
        <v>18</v>
      </c>
      <c r="AD62" s="352">
        <f>SUM(AD45+AD46+AD60+AD61)</f>
        <v>20</v>
      </c>
      <c r="AE62" s="275">
        <f>IF(AC62=0, "    ---- ", IF(ABS(ROUND(100/AC62*AD62-100,1))&lt;999,ROUND(100/AC62*AD62-100,1),IF(ROUND(100/AC62*AD62-100,1)&gt;999,999,-999)))</f>
        <v>11.1</v>
      </c>
      <c r="AF62" s="394">
        <f t="shared" si="34"/>
        <v>2095674.8815020311</v>
      </c>
      <c r="AG62" s="394">
        <f t="shared" si="34"/>
        <v>2249567.4784120801</v>
      </c>
      <c r="AH62" s="275">
        <f t="shared" si="22"/>
        <v>7.3</v>
      </c>
      <c r="AI62" s="394">
        <f>B62+E62+H62+K62+N62+Q62+T62+W62+Z62+AC62</f>
        <v>2095692.8815020311</v>
      </c>
      <c r="AJ62" s="394">
        <f t="shared" si="35"/>
        <v>2249587.4784120801</v>
      </c>
      <c r="AK62" s="353">
        <f t="shared" si="24"/>
        <v>7.3</v>
      </c>
    </row>
    <row r="63" spans="1:37" s="372" customFormat="1" ht="20.100000000000001" customHeight="1" x14ac:dyDescent="0.3">
      <c r="A63" s="439"/>
      <c r="B63" s="149"/>
      <c r="C63" s="351"/>
      <c r="D63" s="350"/>
      <c r="E63" s="149"/>
      <c r="F63" s="351"/>
      <c r="G63" s="350"/>
      <c r="H63" s="149"/>
      <c r="I63" s="351"/>
      <c r="J63" s="350"/>
      <c r="K63" s="149"/>
      <c r="L63" s="351"/>
      <c r="M63" s="354"/>
      <c r="N63" s="149"/>
      <c r="O63" s="351"/>
      <c r="P63" s="350"/>
      <c r="Q63" s="149"/>
      <c r="R63" s="351"/>
      <c r="S63" s="350"/>
      <c r="T63" s="351"/>
      <c r="U63" s="351"/>
      <c r="V63" s="350"/>
      <c r="W63" s="149"/>
      <c r="X63" s="351"/>
      <c r="Y63" s="350"/>
      <c r="Z63" s="149"/>
      <c r="AA63" s="351"/>
      <c r="AB63" s="350"/>
      <c r="AC63" s="149"/>
      <c r="AD63" s="351"/>
      <c r="AE63" s="350"/>
      <c r="AF63" s="354"/>
      <c r="AG63" s="354"/>
      <c r="AH63" s="350"/>
      <c r="AI63" s="354"/>
      <c r="AJ63" s="354"/>
      <c r="AK63" s="355"/>
    </row>
    <row r="64" spans="1:37" s="372" customFormat="1" ht="20.100000000000001" customHeight="1" x14ac:dyDescent="0.3">
      <c r="A64" s="439" t="s">
        <v>207</v>
      </c>
      <c r="B64" s="149">
        <v>403003.54337620322</v>
      </c>
      <c r="C64" s="351">
        <f>SUM(C29+C62)</f>
        <v>425113.41713696998</v>
      </c>
      <c r="D64" s="350">
        <f t="shared" si="20"/>
        <v>5.5</v>
      </c>
      <c r="E64" s="149">
        <v>14111.967010870001</v>
      </c>
      <c r="F64" s="351">
        <f>SUM(F29+F62)</f>
        <v>14655.97527425</v>
      </c>
      <c r="G64" s="350">
        <f>IF(E64=0, "    ---- ", IF(ABS(ROUND(100/E64*F64-100,1))&lt;999,ROUND(100/E64*F64-100,1),IF(ROUND(100/E64*F64-100,1)&gt;999,999,-999)))</f>
        <v>3.9</v>
      </c>
      <c r="H64" s="149">
        <v>3096.4659999999999</v>
      </c>
      <c r="I64" s="351">
        <f>SUM(I29+I62)</f>
        <v>3605.3469999999998</v>
      </c>
      <c r="J64" s="350">
        <f>IF(H64=0, "    ---- ", IF(ABS(ROUND(100/H64*I64-100,1))&lt;999,ROUND(100/H64*I64-100,1),IF(ROUND(100/H64*I64-100,1)&gt;999,999,-999)))</f>
        <v>16.399999999999999</v>
      </c>
      <c r="K64" s="149">
        <v>77527</v>
      </c>
      <c r="L64" s="351">
        <f>SUM(L29+L62)</f>
        <v>90056</v>
      </c>
      <c r="M64" s="354">
        <f>IF(K64=0, "    ---- ", IF(ABS(ROUND(100/K64*L64-100,1))&lt;999,ROUND(100/K64*L64-100,1),IF(ROUND(100/K64*L64-100,1)&gt;999,999,-999)))</f>
        <v>16.2</v>
      </c>
      <c r="N64" s="149">
        <v>804644.50508805003</v>
      </c>
      <c r="O64" s="351">
        <v>865983.9293554601</v>
      </c>
      <c r="P64" s="350">
        <f>IF(N64=0, "    ---- ", IF(ABS(ROUND(100/N64*O64-100,1))&lt;999,ROUND(100/N64*O64-100,1),IF(ROUND(100/N64*O64-100,1)&gt;999,999,-999)))</f>
        <v>7.6</v>
      </c>
      <c r="Q64" s="149">
        <v>227044.77764745988</v>
      </c>
      <c r="R64" s="351">
        <f>SUM(R29+R62)</f>
        <v>244559.1688427199</v>
      </c>
      <c r="S64" s="350">
        <f t="shared" si="26"/>
        <v>7.7</v>
      </c>
      <c r="T64" s="351">
        <v>138882</v>
      </c>
      <c r="U64" s="351">
        <v>145712</v>
      </c>
      <c r="V64" s="350">
        <f>IF(T64=0, "    ---- ", IF(ABS(ROUND(100/T64*U64-100,1))&lt;999,ROUND(100/T64*U64-100,1),IF(ROUND(100/T64*U64-100,1)&gt;999,999,-999)))</f>
        <v>4.9000000000000004</v>
      </c>
      <c r="W64" s="149">
        <v>105526.26400000001</v>
      </c>
      <c r="X64" s="351">
        <f>SUM(X29+X62)</f>
        <v>117088.99599999998</v>
      </c>
      <c r="Y64" s="350">
        <f t="shared" si="28"/>
        <v>11</v>
      </c>
      <c r="Z64" s="149">
        <v>523250.17467324721</v>
      </c>
      <c r="AA64" s="351">
        <f>SUM(AA29+AA62)</f>
        <v>534945.31710562017</v>
      </c>
      <c r="AB64" s="350">
        <f t="shared" si="29"/>
        <v>2.2000000000000002</v>
      </c>
      <c r="AC64" s="149">
        <v>107</v>
      </c>
      <c r="AD64" s="351">
        <f>SUM(AD29+AD62)</f>
        <v>237</v>
      </c>
      <c r="AE64" s="350">
        <f>IF(AC64=0, "    ---- ", IF(ABS(ROUND(100/AC64*AD64-100,1))&lt;999,ROUND(100/AC64*AD64-100,1),IF(ROUND(100/AC64*AD64-100,1)&gt;999,999,-999)))</f>
        <v>121.5</v>
      </c>
      <c r="AF64" s="466">
        <f t="shared" ref="AF64:AG64" si="38">B64+E64+H64+K64+N64+Q64+T64+W64+Z64</f>
        <v>2297086.6977958302</v>
      </c>
      <c r="AG64" s="466">
        <f t="shared" si="38"/>
        <v>2441720.1507150205</v>
      </c>
      <c r="AH64" s="350">
        <f t="shared" si="22"/>
        <v>6.3</v>
      </c>
      <c r="AI64" s="466">
        <f>B64+E64+H64+K64+N64+Q64+T64+W64+Z64+AC64</f>
        <v>2297193.6977958302</v>
      </c>
      <c r="AJ64" s="466">
        <f>C64+F64+I64+L64+O64+R64+U64+X64+AA64+AD64</f>
        <v>2441957.1507150205</v>
      </c>
      <c r="AK64" s="355">
        <f t="shared" si="24"/>
        <v>6.3</v>
      </c>
    </row>
    <row r="65" spans="1:37" s="364" customFormat="1" ht="20.100000000000001" customHeight="1" x14ac:dyDescent="0.3">
      <c r="A65" s="465"/>
      <c r="B65" s="147"/>
      <c r="C65" s="352"/>
      <c r="D65" s="275"/>
      <c r="E65" s="147"/>
      <c r="F65" s="352"/>
      <c r="G65" s="275"/>
      <c r="H65" s="147"/>
      <c r="I65" s="352"/>
      <c r="J65" s="275"/>
      <c r="K65" s="147"/>
      <c r="L65" s="352"/>
      <c r="M65" s="349"/>
      <c r="N65" s="147"/>
      <c r="O65" s="352"/>
      <c r="P65" s="275"/>
      <c r="Q65" s="147"/>
      <c r="R65" s="352"/>
      <c r="S65" s="275"/>
      <c r="T65" s="352"/>
      <c r="U65" s="352"/>
      <c r="V65" s="275"/>
      <c r="W65" s="147"/>
      <c r="X65" s="352"/>
      <c r="Y65" s="275"/>
      <c r="Z65" s="147"/>
      <c r="AA65" s="352"/>
      <c r="AB65" s="275"/>
      <c r="AC65" s="147"/>
      <c r="AD65" s="352"/>
      <c r="AE65" s="275"/>
      <c r="AF65" s="349"/>
      <c r="AG65" s="349"/>
      <c r="AH65" s="275"/>
      <c r="AI65" s="349"/>
      <c r="AJ65" s="349"/>
      <c r="AK65" s="353"/>
    </row>
    <row r="66" spans="1:37" s="364" customFormat="1" ht="20.100000000000001" customHeight="1" x14ac:dyDescent="0.3">
      <c r="A66" s="439" t="s">
        <v>208</v>
      </c>
      <c r="B66" s="147"/>
      <c r="C66" s="352"/>
      <c r="D66" s="275"/>
      <c r="E66" s="147"/>
      <c r="F66" s="352"/>
      <c r="G66" s="275"/>
      <c r="H66" s="147"/>
      <c r="I66" s="352"/>
      <c r="J66" s="275"/>
      <c r="K66" s="147"/>
      <c r="L66" s="352"/>
      <c r="M66" s="349"/>
      <c r="N66" s="147"/>
      <c r="O66" s="352"/>
      <c r="P66" s="275"/>
      <c r="Q66" s="147"/>
      <c r="R66" s="352"/>
      <c r="S66" s="275"/>
      <c r="T66" s="352"/>
      <c r="U66" s="352"/>
      <c r="V66" s="275"/>
      <c r="W66" s="147"/>
      <c r="X66" s="352"/>
      <c r="Y66" s="275"/>
      <c r="Z66" s="147"/>
      <c r="AA66" s="352"/>
      <c r="AB66" s="275"/>
      <c r="AC66" s="147"/>
      <c r="AD66" s="352"/>
      <c r="AE66" s="275"/>
      <c r="AF66" s="349"/>
      <c r="AG66" s="349"/>
      <c r="AH66" s="275"/>
      <c r="AI66" s="349"/>
      <c r="AJ66" s="349"/>
      <c r="AK66" s="353"/>
    </row>
    <row r="67" spans="1:37" s="364" customFormat="1" ht="20.100000000000001" customHeight="1" x14ac:dyDescent="0.3">
      <c r="A67" s="439"/>
      <c r="B67" s="147"/>
      <c r="C67" s="352"/>
      <c r="D67" s="275"/>
      <c r="E67" s="147"/>
      <c r="F67" s="352"/>
      <c r="G67" s="275"/>
      <c r="H67" s="147"/>
      <c r="I67" s="352"/>
      <c r="J67" s="275"/>
      <c r="K67" s="147"/>
      <c r="L67" s="352"/>
      <c r="M67" s="349"/>
      <c r="N67" s="147"/>
      <c r="O67" s="352"/>
      <c r="P67" s="275"/>
      <c r="Q67" s="147"/>
      <c r="R67" s="352"/>
      <c r="S67" s="275"/>
      <c r="T67" s="352"/>
      <c r="U67" s="352"/>
      <c r="V67" s="275"/>
      <c r="W67" s="147"/>
      <c r="X67" s="352"/>
      <c r="Y67" s="275"/>
      <c r="Z67" s="147"/>
      <c r="AA67" s="352"/>
      <c r="AB67" s="275"/>
      <c r="AC67" s="147"/>
      <c r="AD67" s="352"/>
      <c r="AE67" s="275"/>
      <c r="AF67" s="349"/>
      <c r="AG67" s="349"/>
      <c r="AH67" s="275"/>
      <c r="AI67" s="349"/>
      <c r="AJ67" s="349"/>
      <c r="AK67" s="353"/>
    </row>
    <row r="68" spans="1:37" s="364" customFormat="1" ht="20.100000000000001" customHeight="1" x14ac:dyDescent="0.3">
      <c r="A68" s="427" t="s">
        <v>209</v>
      </c>
      <c r="B68" s="147">
        <v>7657.0531522000001</v>
      </c>
      <c r="C68" s="352">
        <v>7657.0529999999999</v>
      </c>
      <c r="D68" s="275">
        <f t="shared" si="20"/>
        <v>0</v>
      </c>
      <c r="E68" s="147">
        <v>2452.057311</v>
      </c>
      <c r="F68" s="352">
        <v>2452.057311</v>
      </c>
      <c r="G68" s="275">
        <f>IF(E68=0, "    ---- ", IF(ABS(ROUND(100/E68*F68-100,1))&lt;999,ROUND(100/E68*F68-100,1),IF(ROUND(100/E68*F68-100,1)&gt;999,999,-999)))</f>
        <v>0</v>
      </c>
      <c r="H68" s="147">
        <v>221.25</v>
      </c>
      <c r="I68" s="352">
        <v>221.25</v>
      </c>
      <c r="J68" s="275">
        <f>IF(H68=0, "    ---- ", IF(ABS(ROUND(100/H68*I68-100,1))&lt;999,ROUND(100/H68*I68-100,1),IF(ROUND(100/H68*I68-100,1)&gt;999,999,-999)))</f>
        <v>0</v>
      </c>
      <c r="K68" s="147">
        <v>123</v>
      </c>
      <c r="L68" s="352">
        <v>123</v>
      </c>
      <c r="M68" s="349">
        <f>IF(K68=0, "    ---- ", IF(ABS(ROUND(100/K68*L68-100,1))&lt;999,ROUND(100/K68*L68-100,1),IF(ROUND(100/K68*L68-100,1)&gt;999,999,-999)))</f>
        <v>0</v>
      </c>
      <c r="N68" s="147">
        <v>22978.353802000001</v>
      </c>
      <c r="O68" s="352">
        <v>25276.52765</v>
      </c>
      <c r="P68" s="275">
        <f t="shared" ref="P68:P80" si="39">IF(N68=0, "    ---- ", IF(ABS(ROUND(100/N68*O68-100,1))&lt;999,ROUND(100/N68*O68-100,1),IF(ROUND(100/N68*O68-100,1)&gt;999,999,-999)))</f>
        <v>10</v>
      </c>
      <c r="Q68" s="147">
        <v>1126.76</v>
      </c>
      <c r="R68" s="352">
        <v>1126.76</v>
      </c>
      <c r="S68" s="275">
        <f t="shared" si="26"/>
        <v>0</v>
      </c>
      <c r="T68" s="352">
        <v>1430</v>
      </c>
      <c r="U68" s="352">
        <v>1430</v>
      </c>
      <c r="V68" s="275">
        <f>IF(T68=0, "    ---- ", IF(ABS(ROUND(100/T68*U68-100,1))&lt;999,ROUND(100/T68*U68-100,1),IF(ROUND(100/T68*U68-100,1)&gt;999,999,-999)))</f>
        <v>0</v>
      </c>
      <c r="W68" s="147">
        <v>4972.6959999999999</v>
      </c>
      <c r="X68" s="352">
        <v>4972.6959999999999</v>
      </c>
      <c r="Y68" s="275">
        <f t="shared" si="28"/>
        <v>0</v>
      </c>
      <c r="Z68" s="147">
        <v>15958.913302749999</v>
      </c>
      <c r="AA68" s="352">
        <v>16373.951613499999</v>
      </c>
      <c r="AB68" s="275">
        <f t="shared" si="29"/>
        <v>2.6</v>
      </c>
      <c r="AC68" s="147">
        <v>86</v>
      </c>
      <c r="AD68" s="352">
        <v>86</v>
      </c>
      <c r="AE68" s="275">
        <f>IF(AC68=0, "    ---- ", IF(ABS(ROUND(100/AC68*AD68-100,1))&lt;999,ROUND(100/AC68*AD68-100,1),IF(ROUND(100/AC68*AD68-100,1)&gt;999,999,-999)))</f>
        <v>0</v>
      </c>
      <c r="AF68" s="394">
        <f t="shared" ref="AF68:AG71" si="40">B68+E68+H68+K68+N68+Q68+T68+W68+Z68</f>
        <v>56920.083567950009</v>
      </c>
      <c r="AG68" s="394">
        <f t="shared" si="40"/>
        <v>59633.295574500007</v>
      </c>
      <c r="AH68" s="275">
        <f t="shared" si="22"/>
        <v>4.8</v>
      </c>
      <c r="AI68" s="394">
        <f t="shared" ref="AI68:AJ71" si="41">B68+E68+H68+K68+N68+Q68+T68+W68+Z68+AC68</f>
        <v>57006.083567950009</v>
      </c>
      <c r="AJ68" s="394">
        <f t="shared" si="41"/>
        <v>59719.295574500007</v>
      </c>
      <c r="AK68" s="353">
        <f t="shared" si="24"/>
        <v>4.8</v>
      </c>
    </row>
    <row r="69" spans="1:37" s="364" customFormat="1" ht="20.100000000000001" customHeight="1" x14ac:dyDescent="0.3">
      <c r="A69" s="427" t="s">
        <v>210</v>
      </c>
      <c r="B69" s="147">
        <v>16580.182706390005</v>
      </c>
      <c r="C69" s="352">
        <v>15330.403</v>
      </c>
      <c r="D69" s="275">
        <f t="shared" si="20"/>
        <v>-7.5</v>
      </c>
      <c r="E69" s="147">
        <v>216.40857831000051</v>
      </c>
      <c r="F69" s="352">
        <v>223.43126813000006</v>
      </c>
      <c r="G69" s="275">
        <f>IF(E69=0, "    ---- ", IF(ABS(ROUND(100/E69*F69-100,1))&lt;999,ROUND(100/E69*F69-100,1),IF(ROUND(100/E69*F69-100,1)&gt;999,999,-999)))</f>
        <v>3.2</v>
      </c>
      <c r="H69" s="147">
        <v>366.00200000000001</v>
      </c>
      <c r="I69" s="352">
        <v>441.90600000000001</v>
      </c>
      <c r="J69" s="275">
        <f>IF(H69=0, "    ---- ", IF(ABS(ROUND(100/H69*I69-100,1))&lt;999,ROUND(100/H69*I69-100,1),IF(ROUND(100/H69*I69-100,1)&gt;999,999,-999)))</f>
        <v>20.7</v>
      </c>
      <c r="K69" s="147">
        <v>733</v>
      </c>
      <c r="L69" s="352">
        <v>929</v>
      </c>
      <c r="M69" s="349">
        <f>IF(K69=0, "    ---- ", IF(ABS(ROUND(100/K69*L69-100,1))&lt;999,ROUND(100/K69*L69-100,1),IF(ROUND(100/K69*L69-100,1)&gt;999,999,-999)))</f>
        <v>26.7</v>
      </c>
      <c r="N69" s="147">
        <v>21115.100412299998</v>
      </c>
      <c r="O69" s="352">
        <v>22117.626643299998</v>
      </c>
      <c r="P69" s="275">
        <f t="shared" si="39"/>
        <v>4.7</v>
      </c>
      <c r="Q69" s="147">
        <v>7505.71</v>
      </c>
      <c r="R69" s="352">
        <v>6431.19</v>
      </c>
      <c r="S69" s="275">
        <f t="shared" si="26"/>
        <v>-14.3</v>
      </c>
      <c r="T69" s="352">
        <v>11100</v>
      </c>
      <c r="U69" s="352">
        <v>12100</v>
      </c>
      <c r="V69" s="275">
        <f>IF(T69=0, "    ---- ", IF(ABS(ROUND(100/T69*U69-100,1))&lt;999,ROUND(100/T69*U69-100,1),IF(ROUND(100/T69*U69-100,1)&gt;999,999,-999)))</f>
        <v>9</v>
      </c>
      <c r="W69" s="147">
        <v>1092.97</v>
      </c>
      <c r="X69" s="352">
        <v>1122.0840000000001</v>
      </c>
      <c r="Y69" s="275">
        <f t="shared" si="28"/>
        <v>2.7</v>
      </c>
      <c r="Z69" s="147">
        <v>11661.754491308982</v>
      </c>
      <c r="AA69" s="352">
        <v>10284.573328015977</v>
      </c>
      <c r="AB69" s="275">
        <f t="shared" si="29"/>
        <v>-11.8</v>
      </c>
      <c r="AC69" s="147">
        <v>-100</v>
      </c>
      <c r="AD69" s="352">
        <v>-122</v>
      </c>
      <c r="AE69" s="275">
        <f>IF(AC69=0, "    ---- ", IF(ABS(ROUND(100/AC69*AD69-100,1))&lt;999,ROUND(100/AC69*AD69-100,1),IF(ROUND(100/AC69*AD69-100,1)&gt;999,999,-999)))</f>
        <v>22</v>
      </c>
      <c r="AF69" s="394">
        <f t="shared" si="40"/>
        <v>70371.128188308998</v>
      </c>
      <c r="AG69" s="394">
        <f t="shared" si="40"/>
        <v>68980.214239445981</v>
      </c>
      <c r="AH69" s="275">
        <f t="shared" si="22"/>
        <v>-2</v>
      </c>
      <c r="AI69" s="394">
        <f t="shared" si="41"/>
        <v>70271.128188308998</v>
      </c>
      <c r="AJ69" s="394">
        <f t="shared" si="41"/>
        <v>68858.214239445981</v>
      </c>
      <c r="AK69" s="353">
        <f t="shared" si="24"/>
        <v>-2</v>
      </c>
    </row>
    <row r="70" spans="1:37" s="364" customFormat="1" ht="20.100000000000001" customHeight="1" x14ac:dyDescent="0.3">
      <c r="A70" s="427" t="s">
        <v>211</v>
      </c>
      <c r="B70" s="147">
        <v>1299</v>
      </c>
      <c r="C70" s="352">
        <v>1471.6210000000001</v>
      </c>
      <c r="D70" s="275">
        <f>IF(B70=0, "    ---- ", IF(ABS(ROUND(100/B70*C70-100,1))&lt;999,ROUND(100/B70*C70-100,1),IF(ROUND(100/B70*C70-100,1)&gt;999,999,-999)))</f>
        <v>13.3</v>
      </c>
      <c r="E70" s="147"/>
      <c r="F70" s="352"/>
      <c r="G70" s="275"/>
      <c r="H70" s="147">
        <v>11.131</v>
      </c>
      <c r="I70" s="352">
        <v>0</v>
      </c>
      <c r="J70" s="275">
        <f>IF(H70=0, "    ---- ", IF(ABS(ROUND(100/H70*I70-100,1))&lt;999,ROUND(100/H70*I70-100,1),IF(ROUND(100/H70*I70-100,1)&gt;999,999,-999)))</f>
        <v>-100</v>
      </c>
      <c r="K70" s="147">
        <v>46</v>
      </c>
      <c r="L70" s="352">
        <v>70</v>
      </c>
      <c r="M70" s="275">
        <f>IF(K70=0, "    ---- ", IF(ABS(ROUND(100/K70*L70-100,1))&lt;999,ROUND(100/K70*L70-100,1),IF(ROUND(100/K70*L70-100,1)&gt;999,999,-999)))</f>
        <v>52.2</v>
      </c>
      <c r="N70" s="147">
        <v>3785.6159872100002</v>
      </c>
      <c r="O70" s="352">
        <v>3997.4305502100001</v>
      </c>
      <c r="P70" s="275">
        <f t="shared" si="39"/>
        <v>5.6</v>
      </c>
      <c r="Q70" s="147">
        <v>280.58</v>
      </c>
      <c r="R70" s="352">
        <v>306.91000000000003</v>
      </c>
      <c r="S70" s="275">
        <f t="shared" si="26"/>
        <v>9.4</v>
      </c>
      <c r="T70" s="352"/>
      <c r="U70" s="352"/>
      <c r="V70" s="275"/>
      <c r="W70" s="147">
        <v>293.69200000000001</v>
      </c>
      <c r="X70" s="352">
        <v>331.976</v>
      </c>
      <c r="Y70" s="275">
        <f>IF(W70=0, "    ---- ", IF(ABS(ROUND(100/W70*X70-100,1))&lt;999,ROUND(100/W70*X70-100,1),IF(ROUND(100/W70*X70-100,1)&gt;999,999,-999)))</f>
        <v>13</v>
      </c>
      <c r="Z70" s="147">
        <v>1129.1857730600002</v>
      </c>
      <c r="AA70" s="352">
        <v>1313.48610405</v>
      </c>
      <c r="AB70" s="275">
        <f t="shared" si="29"/>
        <v>16.3</v>
      </c>
      <c r="AC70" s="147"/>
      <c r="AD70" s="352"/>
      <c r="AE70" s="275"/>
      <c r="AF70" s="394">
        <f t="shared" si="40"/>
        <v>6845.2047602700004</v>
      </c>
      <c r="AG70" s="394">
        <f t="shared" si="40"/>
        <v>7491.4236542600001</v>
      </c>
      <c r="AH70" s="275">
        <f t="shared" si="22"/>
        <v>9.4</v>
      </c>
      <c r="AI70" s="394">
        <f t="shared" si="41"/>
        <v>6845.2047602700004</v>
      </c>
      <c r="AJ70" s="394">
        <f t="shared" si="41"/>
        <v>7491.4236542600001</v>
      </c>
      <c r="AK70" s="353">
        <f t="shared" si="24"/>
        <v>9.4</v>
      </c>
    </row>
    <row r="71" spans="1:37" s="364" customFormat="1" ht="20.100000000000001" customHeight="1" x14ac:dyDescent="0.3">
      <c r="A71" s="427" t="s">
        <v>212</v>
      </c>
      <c r="B71" s="147">
        <v>7000</v>
      </c>
      <c r="C71" s="352">
        <v>7000</v>
      </c>
      <c r="D71" s="275">
        <f t="shared" si="20"/>
        <v>0</v>
      </c>
      <c r="E71" s="147">
        <v>550</v>
      </c>
      <c r="F71" s="352">
        <v>250</v>
      </c>
      <c r="G71" s="275">
        <f>IF(E71=0, "    ---- ", IF(ABS(ROUND(100/E71*F71-100,1))&lt;999,ROUND(100/E71*F71-100,1),IF(ROUND(100/E71*F71-100,1)&gt;999,999,-999)))</f>
        <v>-54.5</v>
      </c>
      <c r="H71" s="147"/>
      <c r="I71" s="352"/>
      <c r="J71" s="275"/>
      <c r="K71" s="147">
        <v>301</v>
      </c>
      <c r="L71" s="352">
        <v>301</v>
      </c>
      <c r="M71" s="275">
        <f>IF(K71=0, "    ---- ", IF(ABS(ROUND(100/K71*L71-100,1))&lt;999,ROUND(100/K71*L71-100,1),IF(ROUND(100/K71*L71-100,1)&gt;999,999,-999)))</f>
        <v>0</v>
      </c>
      <c r="N71" s="147">
        <v>5037.6175311300003</v>
      </c>
      <c r="O71" s="352">
        <v>4818.1616492200001</v>
      </c>
      <c r="P71" s="275">
        <f t="shared" si="39"/>
        <v>-4.4000000000000004</v>
      </c>
      <c r="Q71" s="147">
        <v>2830</v>
      </c>
      <c r="R71" s="352">
        <v>2830</v>
      </c>
      <c r="S71" s="275">
        <f t="shared" si="26"/>
        <v>0</v>
      </c>
      <c r="T71" s="352"/>
      <c r="U71" s="352"/>
      <c r="V71" s="275"/>
      <c r="W71" s="147"/>
      <c r="X71" s="352"/>
      <c r="Y71" s="275"/>
      <c r="Z71" s="147">
        <v>9963.35248159</v>
      </c>
      <c r="AA71" s="352">
        <v>10083.239806510001</v>
      </c>
      <c r="AB71" s="275">
        <f t="shared" si="29"/>
        <v>1.2</v>
      </c>
      <c r="AC71" s="147"/>
      <c r="AD71" s="352"/>
      <c r="AE71" s="275"/>
      <c r="AF71" s="394">
        <f t="shared" si="40"/>
        <v>25681.970012719998</v>
      </c>
      <c r="AG71" s="394">
        <f t="shared" si="40"/>
        <v>25282.401455730003</v>
      </c>
      <c r="AH71" s="275">
        <f t="shared" si="22"/>
        <v>-1.6</v>
      </c>
      <c r="AI71" s="394">
        <f t="shared" si="41"/>
        <v>25681.970012719998</v>
      </c>
      <c r="AJ71" s="394">
        <f t="shared" si="41"/>
        <v>25282.401455730003</v>
      </c>
      <c r="AK71" s="353">
        <f t="shared" si="24"/>
        <v>-1.6</v>
      </c>
    </row>
    <row r="72" spans="1:37" s="364" customFormat="1" ht="20.100000000000001" customHeight="1" x14ac:dyDescent="0.3">
      <c r="A72" s="427" t="s">
        <v>213</v>
      </c>
      <c r="B72" s="147"/>
      <c r="C72" s="352"/>
      <c r="D72" s="275"/>
      <c r="E72" s="147"/>
      <c r="F72" s="352"/>
      <c r="G72" s="275"/>
      <c r="H72" s="147"/>
      <c r="I72" s="352"/>
      <c r="J72" s="275"/>
      <c r="K72" s="147"/>
      <c r="L72" s="352"/>
      <c r="M72" s="349"/>
      <c r="N72" s="147"/>
      <c r="O72" s="352">
        <v>0</v>
      </c>
      <c r="P72" s="275"/>
      <c r="Q72" s="147"/>
      <c r="R72" s="352"/>
      <c r="S72" s="275"/>
      <c r="T72" s="352"/>
      <c r="U72" s="352"/>
      <c r="V72" s="275"/>
      <c r="W72" s="147"/>
      <c r="X72" s="352"/>
      <c r="Y72" s="275"/>
      <c r="Z72" s="147"/>
      <c r="AA72" s="352"/>
      <c r="AB72" s="275"/>
      <c r="AC72" s="147"/>
      <c r="AD72" s="352"/>
      <c r="AE72" s="275"/>
      <c r="AF72" s="349"/>
      <c r="AG72" s="349"/>
      <c r="AH72" s="275"/>
      <c r="AI72" s="349"/>
      <c r="AJ72" s="349"/>
      <c r="AK72" s="353"/>
    </row>
    <row r="73" spans="1:37" s="364" customFormat="1" ht="20.100000000000001" customHeight="1" x14ac:dyDescent="0.3">
      <c r="A73" s="427" t="s">
        <v>353</v>
      </c>
      <c r="B73" s="147">
        <v>176427.45504785998</v>
      </c>
      <c r="C73" s="352">
        <v>171681.636</v>
      </c>
      <c r="D73" s="275">
        <f t="shared" si="20"/>
        <v>-2.7</v>
      </c>
      <c r="E73" s="147">
        <v>9247.4641416399991</v>
      </c>
      <c r="F73" s="352">
        <v>9935.316459499998</v>
      </c>
      <c r="G73" s="275">
        <f>IF(E73=0, "    ---- ", IF(ABS(ROUND(100/E73*F73-100,1))&lt;999,ROUND(100/E73*F73-100,1),IF(ROUND(100/E73*F73-100,1)&gt;999,999,-999)))</f>
        <v>7.4</v>
      </c>
      <c r="H73" s="147">
        <v>2400.1190000000001</v>
      </c>
      <c r="I73" s="352">
        <v>2799.703</v>
      </c>
      <c r="J73" s="275">
        <f>IF(H73=0, "    ---- ", IF(ABS(ROUND(100/H73*I73-100,1))&lt;999,ROUND(100/H73*I73-100,1),IF(ROUND(100/H73*I73-100,1)&gt;999,999,-999)))</f>
        <v>16.600000000000001</v>
      </c>
      <c r="K73" s="147">
        <v>9872</v>
      </c>
      <c r="L73" s="352">
        <v>10932</v>
      </c>
      <c r="M73" s="349">
        <f>IF(K73=0, "    ---- ", IF(ABS(ROUND(100/K73*L73-100,1))&lt;999,ROUND(100/K73*L73-100,1),IF(ROUND(100/K73*L73-100,1)&gt;999,999,-999)))</f>
        <v>10.7</v>
      </c>
      <c r="N73" s="147">
        <v>572750.83593855007</v>
      </c>
      <c r="O73" s="352">
        <v>613185.10955276003</v>
      </c>
      <c r="P73" s="275">
        <f t="shared" si="39"/>
        <v>7.1</v>
      </c>
      <c r="Q73" s="147">
        <v>47840.18</v>
      </c>
      <c r="R73" s="352">
        <v>48204.58</v>
      </c>
      <c r="S73" s="275">
        <f t="shared" si="26"/>
        <v>0.8</v>
      </c>
      <c r="T73" s="352">
        <v>86192</v>
      </c>
      <c r="U73" s="352">
        <v>91749</v>
      </c>
      <c r="V73" s="275">
        <f>IF(T73=0, "    ---- ", IF(ABS(ROUND(100/T73*U73-100,1))&lt;999,ROUND(100/T73*U73-100,1),IF(ROUND(100/T73*U73-100,1)&gt;999,999,-999)))</f>
        <v>6.4</v>
      </c>
      <c r="W73" s="147">
        <v>19631.333999999999</v>
      </c>
      <c r="X73" s="352">
        <v>21299.234</v>
      </c>
      <c r="Y73" s="275">
        <f t="shared" si="28"/>
        <v>8.5</v>
      </c>
      <c r="Z73" s="147">
        <v>195278.26432017999</v>
      </c>
      <c r="AA73" s="352">
        <v>199340.92211375001</v>
      </c>
      <c r="AB73" s="275">
        <f t="shared" si="29"/>
        <v>2.1</v>
      </c>
      <c r="AC73" s="147">
        <v>93</v>
      </c>
      <c r="AD73" s="352">
        <v>188</v>
      </c>
      <c r="AE73" s="275">
        <f t="shared" ref="AE73:AE77" si="42">IF(AC73=0, "    ---- ", IF(ABS(ROUND(100/AC73*AD73-100,1))&lt;999,ROUND(100/AC73*AD73-100,1),IF(ROUND(100/AC73*AD73-100,1)&gt;999,999,-999)))</f>
        <v>102.2</v>
      </c>
      <c r="AF73" s="394">
        <f t="shared" ref="AF73:AG80" si="43">B73+E73+H73+K73+N73+Q73+T73+W73+Z73</f>
        <v>1119639.6524482302</v>
      </c>
      <c r="AG73" s="394">
        <f t="shared" si="43"/>
        <v>1169127.50112601</v>
      </c>
      <c r="AH73" s="275">
        <f t="shared" si="22"/>
        <v>4.4000000000000004</v>
      </c>
      <c r="AI73" s="394">
        <f t="shared" ref="AI73:AJ80" si="44">B73+E73+H73+K73+N73+Q73+T73+W73+Z73+AC73</f>
        <v>1119732.6524482302</v>
      </c>
      <c r="AJ73" s="394">
        <f t="shared" si="44"/>
        <v>1169315.50112601</v>
      </c>
      <c r="AK73" s="353">
        <f t="shared" si="24"/>
        <v>4.4000000000000004</v>
      </c>
    </row>
    <row r="74" spans="1:37" s="364" customFormat="1" ht="20.100000000000001" customHeight="1" x14ac:dyDescent="0.3">
      <c r="A74" s="552" t="s">
        <v>420</v>
      </c>
      <c r="B74" s="147"/>
      <c r="C74" s="394"/>
      <c r="D74" s="275"/>
      <c r="E74" s="147"/>
      <c r="F74" s="394"/>
      <c r="G74" s="275"/>
      <c r="H74" s="147"/>
      <c r="I74" s="394"/>
      <c r="J74" s="275"/>
      <c r="K74" s="147"/>
      <c r="L74" s="394"/>
      <c r="M74" s="349"/>
      <c r="N74" s="147"/>
      <c r="O74" s="394"/>
      <c r="P74" s="275"/>
      <c r="Q74" s="147"/>
      <c r="R74" s="394"/>
      <c r="S74" s="275"/>
      <c r="T74" s="352"/>
      <c r="U74" s="76"/>
      <c r="V74" s="275"/>
      <c r="W74" s="147"/>
      <c r="X74" s="394"/>
      <c r="Y74" s="275"/>
      <c r="Z74" s="147"/>
      <c r="AA74" s="394"/>
      <c r="AB74" s="275"/>
      <c r="AC74" s="147"/>
      <c r="AD74" s="394"/>
      <c r="AE74" s="275"/>
      <c r="AF74" s="394">
        <f t="shared" si="43"/>
        <v>0</v>
      </c>
      <c r="AG74" s="76"/>
      <c r="AH74" s="275" t="str">
        <f t="shared" si="22"/>
        <v xml:space="preserve">    ---- </v>
      </c>
      <c r="AI74" s="394">
        <f t="shared" si="44"/>
        <v>0</v>
      </c>
      <c r="AJ74" s="76"/>
      <c r="AK74" s="353" t="str">
        <f t="shared" si="24"/>
        <v xml:space="preserve">    ---- </v>
      </c>
    </row>
    <row r="75" spans="1:37" s="364" customFormat="1" ht="20.100000000000001" customHeight="1" x14ac:dyDescent="0.3">
      <c r="A75" s="552" t="s">
        <v>405</v>
      </c>
      <c r="B75" s="147"/>
      <c r="C75" s="394"/>
      <c r="D75" s="275"/>
      <c r="E75" s="147"/>
      <c r="F75" s="394"/>
      <c r="G75" s="275"/>
      <c r="H75" s="147"/>
      <c r="I75" s="147"/>
      <c r="J75" s="275"/>
      <c r="K75" s="147"/>
      <c r="L75" s="394"/>
      <c r="M75" s="349"/>
      <c r="N75" s="147"/>
      <c r="O75" s="394">
        <v>1E-8</v>
      </c>
      <c r="P75" s="275" t="str">
        <f t="shared" si="39"/>
        <v xml:space="preserve">    ---- </v>
      </c>
      <c r="Q75" s="147"/>
      <c r="R75" s="394"/>
      <c r="S75" s="275"/>
      <c r="T75" s="352"/>
      <c r="U75" s="76"/>
      <c r="V75" s="275"/>
      <c r="W75" s="147"/>
      <c r="X75" s="394"/>
      <c r="Y75" s="275"/>
      <c r="Z75" s="352"/>
      <c r="AA75" s="394"/>
      <c r="AB75" s="275"/>
      <c r="AC75" s="147"/>
      <c r="AD75" s="394"/>
      <c r="AE75" s="275"/>
      <c r="AF75" s="394">
        <f t="shared" si="43"/>
        <v>0</v>
      </c>
      <c r="AG75" s="76"/>
      <c r="AH75" s="275" t="str">
        <f t="shared" si="22"/>
        <v xml:space="preserve">    ---- </v>
      </c>
      <c r="AI75" s="394">
        <f t="shared" si="44"/>
        <v>0</v>
      </c>
      <c r="AJ75" s="76"/>
      <c r="AK75" s="353" t="str">
        <f t="shared" si="24"/>
        <v xml:space="preserve">    ---- </v>
      </c>
    </row>
    <row r="76" spans="1:37" s="364" customFormat="1" ht="20.100000000000001" customHeight="1" x14ac:dyDescent="0.3">
      <c r="A76" s="427" t="s">
        <v>388</v>
      </c>
      <c r="B76" s="147">
        <v>6411.1031002299997</v>
      </c>
      <c r="C76" s="352">
        <v>7957.1779999999999</v>
      </c>
      <c r="D76" s="275">
        <f>IF(B76=0, "    ---- ", IF(ABS(ROUND(100/B76*C76-100,1))&lt;999,ROUND(100/B76*C76-100,1),IF(ROUND(100/B76*C76-100,1)&gt;999,999,-999)))</f>
        <v>24.1</v>
      </c>
      <c r="E76" s="147">
        <v>112.97187583</v>
      </c>
      <c r="F76" s="352">
        <v>9.13512111</v>
      </c>
      <c r="G76" s="275">
        <f>IF(E76=0, "    ---- ", IF(ABS(ROUND(100/E76*F76-100,1))&lt;999,ROUND(100/E76*F76-100,1),IF(ROUND(100/E76*F76-100,1)&gt;999,999,-999)))</f>
        <v>-91.9</v>
      </c>
      <c r="H76" s="147"/>
      <c r="I76" s="352"/>
      <c r="J76" s="275"/>
      <c r="K76" s="147">
        <v>257</v>
      </c>
      <c r="L76" s="352">
        <v>344</v>
      </c>
      <c r="M76" s="275">
        <f>IF(K76=0, "    ---- ", IF(ABS(ROUND(100/K76*L76-100,1))&lt;999,ROUND(100/K76*L76-100,1),IF(ROUND(100/K76*L76-100,1)&gt;999,999,-999)))</f>
        <v>33.9</v>
      </c>
      <c r="N76" s="147">
        <v>109280.93940819999</v>
      </c>
      <c r="O76" s="352">
        <v>118937.01029563999</v>
      </c>
      <c r="P76" s="275">
        <f>IF(N76=0, "    ---- ", IF(ABS(ROUND(100/N76*O76-100,1))&lt;999,ROUND(100/N76*O76-100,1),IF(ROUND(100/N76*O76-100,1)&gt;999,999,-999)))</f>
        <v>8.8000000000000007</v>
      </c>
      <c r="Q76" s="147">
        <v>5862.87</v>
      </c>
      <c r="R76" s="352">
        <v>5789.43</v>
      </c>
      <c r="S76" s="275">
        <f>IF(Q76=0, "    ---- ", IF(ABS(ROUND(100/Q76*R76-100,1))&lt;999,ROUND(100/Q76*R76-100,1),IF(ROUND(100/Q76*R76-100,1)&gt;999,999,-999)))</f>
        <v>-1.3</v>
      </c>
      <c r="T76" s="352">
        <v>29966</v>
      </c>
      <c r="U76" s="352">
        <v>32281</v>
      </c>
      <c r="V76" s="275">
        <f>IF(T76=0, "    ---- ", IF(ABS(ROUND(100/T76*U76-100,1))&lt;999,ROUND(100/T76*U76-100,1),IF(ROUND(100/T76*U76-100,1)&gt;999,999,-999)))</f>
        <v>7.7</v>
      </c>
      <c r="W76" s="147">
        <v>3329.721</v>
      </c>
      <c r="X76" s="352">
        <v>3708.06</v>
      </c>
      <c r="Y76" s="275">
        <f>IF(W76=0, "    ---- ", IF(ABS(ROUND(100/W76*X76-100,1))&lt;999,ROUND(100/W76*X76-100,1),IF(ROUND(100/W76*X76-100,1)&gt;999,999,-999)))</f>
        <v>11.4</v>
      </c>
      <c r="Z76" s="147">
        <v>12992.16782045</v>
      </c>
      <c r="AA76" s="352">
        <v>14196.759435839998</v>
      </c>
      <c r="AB76" s="275">
        <f>IF(Z76=0, "    ---- ", IF(ABS(ROUND(100/Z76*AA76-100,1))&lt;999,ROUND(100/Z76*AA76-100,1),IF(ROUND(100/Z76*AA76-100,1)&gt;999,999,-999)))</f>
        <v>9.3000000000000007</v>
      </c>
      <c r="AC76" s="147"/>
      <c r="AD76" s="352">
        <v>2</v>
      </c>
      <c r="AE76" s="275" t="str">
        <f t="shared" si="42"/>
        <v xml:space="preserve">    ---- </v>
      </c>
      <c r="AF76" s="394">
        <f t="shared" si="43"/>
        <v>168212.77320470999</v>
      </c>
      <c r="AG76" s="394">
        <f t="shared" si="43"/>
        <v>183222.57285259</v>
      </c>
      <c r="AH76" s="275">
        <f>IF(AF76=0, "    ---- ", IF(ABS(ROUND(100/AF76*AG76-100,1))&lt;999,ROUND(100/AF76*AG76-100,1),IF(ROUND(100/AF76*AG76-100,1)&gt;999,999,-999)))</f>
        <v>8.9</v>
      </c>
      <c r="AI76" s="394">
        <f t="shared" si="44"/>
        <v>168212.77320470999</v>
      </c>
      <c r="AJ76" s="394">
        <f t="shared" si="44"/>
        <v>183224.57285259</v>
      </c>
      <c r="AK76" s="275">
        <f>IF(AI76=0, "    ---- ", IF(ABS(ROUND(100/AI76*AJ76-100,1))&lt;999,ROUND(100/AI76*AJ76-100,1),IF(ROUND(100/AI76*AJ76-100,1)&gt;999,999,-999)))</f>
        <v>8.9</v>
      </c>
    </row>
    <row r="77" spans="1:37" s="364" customFormat="1" ht="20.100000000000001" customHeight="1" x14ac:dyDescent="0.3">
      <c r="A77" s="427" t="s">
        <v>404</v>
      </c>
      <c r="B77" s="147">
        <v>363.63292997000002</v>
      </c>
      <c r="C77" s="352">
        <v>581.80600000000004</v>
      </c>
      <c r="D77" s="275">
        <f t="shared" si="20"/>
        <v>60</v>
      </c>
      <c r="E77" s="147"/>
      <c r="F77" s="352"/>
      <c r="G77" s="275"/>
      <c r="H77" s="147"/>
      <c r="I77" s="352"/>
      <c r="J77" s="275"/>
      <c r="K77" s="147">
        <v>1</v>
      </c>
      <c r="L77" s="352">
        <v>3</v>
      </c>
      <c r="M77" s="275">
        <f>IF(K77=0, "    ---- ", IF(ABS(ROUND(100/K77*L77-100,1))&lt;999,ROUND(100/K77*L77-100,1),IF(ROUND(100/K77*L77-100,1)&gt;999,999,-999)))</f>
        <v>200</v>
      </c>
      <c r="N77" s="147">
        <v>41802.786275089995</v>
      </c>
      <c r="O77" s="352">
        <v>62523.807153649999</v>
      </c>
      <c r="P77" s="275">
        <f t="shared" si="39"/>
        <v>49.6</v>
      </c>
      <c r="Q77" s="147">
        <v>896.93</v>
      </c>
      <c r="R77" s="352">
        <v>970.63</v>
      </c>
      <c r="S77" s="275">
        <f t="shared" si="26"/>
        <v>8.1999999999999993</v>
      </c>
      <c r="T77" s="352">
        <v>5575</v>
      </c>
      <c r="U77" s="352">
        <v>6140</v>
      </c>
      <c r="V77" s="275">
        <f>IF(T77=0, "    ---- ", IF(ABS(ROUND(100/T77*U77-100,1))&lt;999,ROUND(100/T77*U77-100,1),IF(ROUND(100/T77*U77-100,1)&gt;999,999,-999)))</f>
        <v>10.1</v>
      </c>
      <c r="W77" s="147">
        <v>286.13499999999999</v>
      </c>
      <c r="X77" s="352">
        <v>264.96699999999998</v>
      </c>
      <c r="Y77" s="275">
        <f t="shared" si="28"/>
        <v>-7.4</v>
      </c>
      <c r="Z77" s="147">
        <v>2900.0827730099995</v>
      </c>
      <c r="AA77" s="352">
        <v>4092.1507576900012</v>
      </c>
      <c r="AB77" s="275">
        <f t="shared" si="29"/>
        <v>41.1</v>
      </c>
      <c r="AC77" s="147"/>
      <c r="AD77" s="352">
        <v>5</v>
      </c>
      <c r="AE77" s="275" t="str">
        <f t="shared" si="42"/>
        <v xml:space="preserve">    ---- </v>
      </c>
      <c r="AF77" s="394">
        <f t="shared" si="43"/>
        <v>51825.566978069997</v>
      </c>
      <c r="AG77" s="394">
        <f t="shared" si="43"/>
        <v>74576.360911340002</v>
      </c>
      <c r="AH77" s="275">
        <f t="shared" si="22"/>
        <v>43.9</v>
      </c>
      <c r="AI77" s="394">
        <f t="shared" si="44"/>
        <v>51825.566978069997</v>
      </c>
      <c r="AJ77" s="394">
        <f t="shared" si="44"/>
        <v>74581.360911340002</v>
      </c>
      <c r="AK77" s="353">
        <f t="shared" si="24"/>
        <v>43.9</v>
      </c>
    </row>
    <row r="78" spans="1:37" s="364" customFormat="1" ht="20.100000000000001" customHeight="1" x14ac:dyDescent="0.3">
      <c r="A78" s="427" t="s">
        <v>389</v>
      </c>
      <c r="B78" s="147">
        <v>3567.7338005000001</v>
      </c>
      <c r="C78" s="352">
        <v>3996.85</v>
      </c>
      <c r="D78" s="275">
        <f t="shared" si="20"/>
        <v>12</v>
      </c>
      <c r="E78" s="147"/>
      <c r="F78" s="352"/>
      <c r="G78" s="275"/>
      <c r="H78" s="147"/>
      <c r="I78" s="352"/>
      <c r="J78" s="275"/>
      <c r="K78" s="147"/>
      <c r="L78" s="352"/>
      <c r="M78" s="349"/>
      <c r="N78" s="147"/>
      <c r="O78" s="352"/>
      <c r="P78" s="275"/>
      <c r="Q78" s="147"/>
      <c r="R78" s="352"/>
      <c r="S78" s="275"/>
      <c r="T78" s="352">
        <v>0</v>
      </c>
      <c r="U78" s="352"/>
      <c r="V78" s="275"/>
      <c r="W78" s="147"/>
      <c r="X78" s="352"/>
      <c r="Y78" s="275"/>
      <c r="Z78" s="147">
        <v>845.66465151999989</v>
      </c>
      <c r="AA78" s="352">
        <v>1013.4854633</v>
      </c>
      <c r="AB78" s="275">
        <f t="shared" si="29"/>
        <v>19.8</v>
      </c>
      <c r="AC78" s="147"/>
      <c r="AD78" s="352"/>
      <c r="AE78" s="275"/>
      <c r="AF78" s="394">
        <f t="shared" si="43"/>
        <v>4413.3984520200001</v>
      </c>
      <c r="AG78" s="394">
        <f t="shared" si="43"/>
        <v>5010.3354632999999</v>
      </c>
      <c r="AH78" s="275">
        <f t="shared" si="22"/>
        <v>13.5</v>
      </c>
      <c r="AI78" s="394">
        <f t="shared" si="44"/>
        <v>4413.3984520200001</v>
      </c>
      <c r="AJ78" s="394">
        <f t="shared" si="44"/>
        <v>5010.3354632999999</v>
      </c>
      <c r="AK78" s="353">
        <f t="shared" si="24"/>
        <v>13.5</v>
      </c>
    </row>
    <row r="79" spans="1:37" s="364" customFormat="1" ht="20.100000000000001" customHeight="1" x14ac:dyDescent="0.3">
      <c r="A79" s="427" t="s">
        <v>214</v>
      </c>
      <c r="B79" s="147"/>
      <c r="C79" s="352"/>
      <c r="D79" s="275"/>
      <c r="E79" s="147">
        <v>1.8913979999999999</v>
      </c>
      <c r="F79" s="352"/>
      <c r="G79" s="275">
        <f>IF(E79=0, "    ---- ", IF(ABS(ROUND(100/E79*F79-100,1))&lt;999,ROUND(100/E79*F79-100,1),IF(ROUND(100/E79*F79-100,1)&gt;999,999,-999)))</f>
        <v>-100</v>
      </c>
      <c r="H79" s="147"/>
      <c r="I79" s="352"/>
      <c r="J79" s="275"/>
      <c r="K79" s="147">
        <v>19</v>
      </c>
      <c r="L79" s="352"/>
      <c r="M79" s="349"/>
      <c r="N79" s="147">
        <v>18600.889415000001</v>
      </c>
      <c r="O79" s="352">
        <v>166.75044600000001</v>
      </c>
      <c r="P79" s="275">
        <f t="shared" si="39"/>
        <v>-99.1</v>
      </c>
      <c r="Q79" s="147"/>
      <c r="R79" s="352"/>
      <c r="S79" s="275"/>
      <c r="T79" s="352">
        <v>2551</v>
      </c>
      <c r="U79" s="352">
        <v>31</v>
      </c>
      <c r="V79" s="275">
        <f>IF(T79=0, "    ---- ", IF(ABS(ROUND(100/T79*U79-100,1))&lt;999,ROUND(100/T79*U79-100,1),IF(ROUND(100/T79*U79-100,1)&gt;999,999,-999)))</f>
        <v>-98.8</v>
      </c>
      <c r="W79" s="147">
        <v>294.91019715000044</v>
      </c>
      <c r="X79" s="352">
        <v>96.538258030000492</v>
      </c>
      <c r="Y79" s="275">
        <f t="shared" si="28"/>
        <v>-67.3</v>
      </c>
      <c r="Z79" s="147">
        <v>97.364101000000005</v>
      </c>
      <c r="AA79" s="352">
        <v>232.939438</v>
      </c>
      <c r="AB79" s="275">
        <f t="shared" si="29"/>
        <v>139.19999999999999</v>
      </c>
      <c r="AC79" s="147"/>
      <c r="AD79" s="352"/>
      <c r="AE79" s="275"/>
      <c r="AF79" s="394">
        <f t="shared" si="43"/>
        <v>21565.055111150003</v>
      </c>
      <c r="AG79" s="394">
        <f t="shared" si="43"/>
        <v>527.22814203000053</v>
      </c>
      <c r="AH79" s="275">
        <f t="shared" si="22"/>
        <v>-97.6</v>
      </c>
      <c r="AI79" s="394">
        <f t="shared" si="44"/>
        <v>21565.055111150003</v>
      </c>
      <c r="AJ79" s="394">
        <f t="shared" si="44"/>
        <v>527.22814203000053</v>
      </c>
      <c r="AK79" s="353">
        <f t="shared" si="24"/>
        <v>-97.6</v>
      </c>
    </row>
    <row r="80" spans="1:37" s="364" customFormat="1" ht="20.100000000000001" customHeight="1" x14ac:dyDescent="0.3">
      <c r="A80" s="463" t="s">
        <v>215</v>
      </c>
      <c r="B80" s="147">
        <v>186769.92487855995</v>
      </c>
      <c r="C80" s="352">
        <f>SUM(C73:C79)</f>
        <v>184217.47000000003</v>
      </c>
      <c r="D80" s="275">
        <f t="shared" si="20"/>
        <v>-1.4</v>
      </c>
      <c r="E80" s="147">
        <v>9362.3274154699993</v>
      </c>
      <c r="F80" s="352">
        <f>SUM(F73:F79)</f>
        <v>9944.4515806099989</v>
      </c>
      <c r="G80" s="275">
        <f>IF(E80=0, "    ---- ", IF(ABS(ROUND(100/E80*F80-100,1))&lt;999,ROUND(100/E80*F80-100,1),IF(ROUND(100/E80*F80-100,1)&gt;999,999,-999)))</f>
        <v>6.2</v>
      </c>
      <c r="H80" s="147">
        <v>2400.1190000000001</v>
      </c>
      <c r="I80" s="352">
        <f>SUM(I73:I79)</f>
        <v>2799.703</v>
      </c>
      <c r="J80" s="275">
        <f>IF(H80=0, "    ---- ", IF(ABS(ROUND(100/H80*I80-100,1))&lt;999,ROUND(100/H80*I80-100,1),IF(ROUND(100/H80*I80-100,1)&gt;999,999,-999)))</f>
        <v>16.600000000000001</v>
      </c>
      <c r="K80" s="147">
        <v>10149</v>
      </c>
      <c r="L80" s="352">
        <f>SUM(L73:L79)</f>
        <v>11279</v>
      </c>
      <c r="M80" s="349">
        <f>IF(K80=0, "    ---- ", IF(ABS(ROUND(100/K80*L80-100,1))&lt;999,ROUND(100/K80*L80-100,1),IF(ROUND(100/K80*L80-100,1)&gt;999,999,-999)))</f>
        <v>11.1</v>
      </c>
      <c r="N80" s="147">
        <v>742435.45103683998</v>
      </c>
      <c r="O80" s="352">
        <v>794812.67744806001</v>
      </c>
      <c r="P80" s="275">
        <f t="shared" si="39"/>
        <v>7.1</v>
      </c>
      <c r="Q80" s="147">
        <v>54599.98</v>
      </c>
      <c r="R80" s="352">
        <f>SUM(R73:R79)</f>
        <v>54964.639999999999</v>
      </c>
      <c r="S80" s="275">
        <f t="shared" si="26"/>
        <v>0.7</v>
      </c>
      <c r="T80" s="352">
        <v>124284</v>
      </c>
      <c r="U80" s="352">
        <v>130201</v>
      </c>
      <c r="V80" s="275">
        <f>IF(T80=0, "    ---- ", IF(ABS(ROUND(100/T80*U80-100,1))&lt;999,ROUND(100/T80*U80-100,1),IF(ROUND(100/T80*U80-100,1)&gt;999,999,-999)))</f>
        <v>4.8</v>
      </c>
      <c r="W80" s="147">
        <v>23542.100197150001</v>
      </c>
      <c r="X80" s="352">
        <f>SUM(X73:X79)</f>
        <v>25368.799258030002</v>
      </c>
      <c r="Y80" s="275">
        <f t="shared" si="28"/>
        <v>7.8</v>
      </c>
      <c r="Z80" s="147">
        <v>212113.54366616003</v>
      </c>
      <c r="AA80" s="352">
        <f>SUM(AA73:AA79)</f>
        <v>218876.25720858001</v>
      </c>
      <c r="AB80" s="275">
        <f t="shared" si="29"/>
        <v>3.2</v>
      </c>
      <c r="AC80" s="147">
        <v>93</v>
      </c>
      <c r="AD80" s="352">
        <f>SUM(AD73:AD79)</f>
        <v>195</v>
      </c>
      <c r="AE80" s="275">
        <f>IF(AC80=0, "    ---- ", IF(ABS(ROUND(100/AC80*AD80-100,1))&lt;999,ROUND(100/AC80*AD80-100,1),IF(ROUND(100/AC80*AD80-100,1)&gt;999,999,-999)))</f>
        <v>109.7</v>
      </c>
      <c r="AF80" s="394">
        <f t="shared" si="43"/>
        <v>1365656.4461941798</v>
      </c>
      <c r="AG80" s="394">
        <f t="shared" si="43"/>
        <v>1432463.99849528</v>
      </c>
      <c r="AH80" s="275">
        <f t="shared" si="22"/>
        <v>4.9000000000000004</v>
      </c>
      <c r="AI80" s="394">
        <f t="shared" si="44"/>
        <v>1365749.4461941798</v>
      </c>
      <c r="AJ80" s="394">
        <f t="shared" si="44"/>
        <v>1432658.99849528</v>
      </c>
      <c r="AK80" s="353">
        <f t="shared" si="24"/>
        <v>4.9000000000000004</v>
      </c>
    </row>
    <row r="81" spans="1:37" s="364" customFormat="1" ht="20.100000000000001" customHeight="1" x14ac:dyDescent="0.3">
      <c r="A81" s="427" t="s">
        <v>216</v>
      </c>
      <c r="B81" s="147"/>
      <c r="C81" s="352"/>
      <c r="D81" s="275"/>
      <c r="E81" s="147"/>
      <c r="F81" s="352"/>
      <c r="G81" s="275"/>
      <c r="H81" s="147"/>
      <c r="I81" s="352"/>
      <c r="J81" s="275"/>
      <c r="K81" s="147"/>
      <c r="L81" s="352"/>
      <c r="M81" s="349"/>
      <c r="N81" s="147"/>
      <c r="O81" s="352"/>
      <c r="P81" s="275"/>
      <c r="Q81" s="147"/>
      <c r="R81" s="352"/>
      <c r="S81" s="275"/>
      <c r="T81" s="352"/>
      <c r="U81" s="352"/>
      <c r="V81" s="275"/>
      <c r="W81" s="147"/>
      <c r="X81" s="352"/>
      <c r="Y81" s="275"/>
      <c r="Z81" s="147"/>
      <c r="AA81" s="352"/>
      <c r="AB81" s="275"/>
      <c r="AC81" s="147"/>
      <c r="AD81" s="352"/>
      <c r="AE81" s="275"/>
      <c r="AF81" s="349"/>
      <c r="AG81" s="349"/>
      <c r="AH81" s="275"/>
      <c r="AI81" s="349"/>
      <c r="AJ81" s="349"/>
      <c r="AK81" s="353"/>
    </row>
    <row r="82" spans="1:37" s="364" customFormat="1" ht="20.100000000000001" customHeight="1" x14ac:dyDescent="0.3">
      <c r="A82" s="427" t="s">
        <v>390</v>
      </c>
      <c r="B82" s="147">
        <v>179165.22795210834</v>
      </c>
      <c r="C82" s="352">
        <v>203311.90400000001</v>
      </c>
      <c r="D82" s="275">
        <f t="shared" si="20"/>
        <v>13.5</v>
      </c>
      <c r="E82" s="147"/>
      <c r="F82" s="352"/>
      <c r="G82" s="275"/>
      <c r="H82" s="147"/>
      <c r="I82" s="352"/>
      <c r="J82" s="275"/>
      <c r="K82" s="147">
        <v>65694</v>
      </c>
      <c r="L82" s="352">
        <v>76854</v>
      </c>
      <c r="M82" s="349">
        <f>IF(K82=0, "    ---- ", IF(ABS(ROUND(100/K82*L82-100,1))&lt;999,ROUND(100/K82*L82-100,1),IF(ROUND(100/K82*L82-100,1)&gt;999,999,-999)))</f>
        <v>17</v>
      </c>
      <c r="N82" s="147">
        <v>2172.7140545399998</v>
      </c>
      <c r="O82" s="352">
        <v>2287.4218835400002</v>
      </c>
      <c r="P82" s="275">
        <f t="shared" ref="P82:P93" si="45">IF(N82=0, "    ---- ", IF(ABS(ROUND(100/N82*O82-100,1))&lt;999,ROUND(100/N82*O82-100,1),IF(ROUND(100/N82*O82-100,1)&gt;999,999,-999)))</f>
        <v>5.3</v>
      </c>
      <c r="Q82" s="147">
        <v>159130.07999999999</v>
      </c>
      <c r="R82" s="352">
        <v>177451.03</v>
      </c>
      <c r="S82" s="275">
        <f t="shared" si="26"/>
        <v>11.5</v>
      </c>
      <c r="T82" s="352"/>
      <c r="U82" s="352"/>
      <c r="V82" s="275"/>
      <c r="W82" s="147">
        <v>73277.224000000002</v>
      </c>
      <c r="X82" s="352">
        <v>83116.001999999993</v>
      </c>
      <c r="Y82" s="275">
        <f t="shared" si="28"/>
        <v>13.4</v>
      </c>
      <c r="Z82" s="147">
        <v>226451.81569717979</v>
      </c>
      <c r="AA82" s="352">
        <v>244715.2028286531</v>
      </c>
      <c r="AB82" s="275">
        <f t="shared" si="29"/>
        <v>8.1</v>
      </c>
      <c r="AC82" s="147"/>
      <c r="AD82" s="352"/>
      <c r="AE82" s="275"/>
      <c r="AF82" s="394">
        <f t="shared" ref="AF82:AG91" si="46">B82+E82+H82+K82+N82+Q82+T82+W82+Z82</f>
        <v>705891.06170382816</v>
      </c>
      <c r="AG82" s="394">
        <f t="shared" si="46"/>
        <v>787735.56071219314</v>
      </c>
      <c r="AH82" s="275">
        <f t="shared" si="22"/>
        <v>11.6</v>
      </c>
      <c r="AI82" s="394">
        <f t="shared" ref="AI82:AJ91" si="47">B82+E82+H82+K82+N82+Q82+T82+W82+Z82+AC82</f>
        <v>705891.06170382816</v>
      </c>
      <c r="AJ82" s="394">
        <f t="shared" si="47"/>
        <v>787735.56071219314</v>
      </c>
      <c r="AK82" s="353">
        <f t="shared" si="24"/>
        <v>11.6</v>
      </c>
    </row>
    <row r="83" spans="1:37" s="364" customFormat="1" ht="20.100000000000001" customHeight="1" x14ac:dyDescent="0.3">
      <c r="A83" s="552" t="s">
        <v>420</v>
      </c>
      <c r="B83" s="147"/>
      <c r="C83" s="352"/>
      <c r="D83" s="275"/>
      <c r="E83" s="147"/>
      <c r="F83" s="352"/>
      <c r="G83" s="275"/>
      <c r="H83" s="147"/>
      <c r="I83" s="352"/>
      <c r="J83" s="275"/>
      <c r="K83" s="147"/>
      <c r="L83" s="352"/>
      <c r="M83" s="275"/>
      <c r="N83" s="147"/>
      <c r="O83" s="352"/>
      <c r="P83" s="275"/>
      <c r="Q83" s="147"/>
      <c r="R83" s="352"/>
      <c r="S83" s="275"/>
      <c r="T83" s="352"/>
      <c r="U83" s="76"/>
      <c r="V83" s="275"/>
      <c r="W83" s="147"/>
      <c r="X83" s="352"/>
      <c r="Y83" s="275"/>
      <c r="Z83" s="147"/>
      <c r="AA83" s="352"/>
      <c r="AB83" s="275"/>
      <c r="AC83" s="147"/>
      <c r="AD83" s="352"/>
      <c r="AE83" s="275"/>
      <c r="AF83" s="394">
        <f t="shared" si="46"/>
        <v>0</v>
      </c>
      <c r="AG83" s="76"/>
      <c r="AH83" s="275" t="str">
        <f t="shared" si="22"/>
        <v xml:space="preserve">    ---- </v>
      </c>
      <c r="AI83" s="394">
        <f t="shared" si="47"/>
        <v>0</v>
      </c>
      <c r="AJ83" s="76"/>
      <c r="AK83" s="353" t="str">
        <f t="shared" si="24"/>
        <v xml:space="preserve">    ---- </v>
      </c>
    </row>
    <row r="84" spans="1:37" s="364" customFormat="1" ht="20.100000000000001" customHeight="1" x14ac:dyDescent="0.3">
      <c r="A84" s="427" t="s">
        <v>391</v>
      </c>
      <c r="B84" s="147"/>
      <c r="C84" s="352"/>
      <c r="D84" s="275"/>
      <c r="E84" s="147"/>
      <c r="F84" s="352"/>
      <c r="G84" s="275"/>
      <c r="H84" s="147"/>
      <c r="I84" s="352"/>
      <c r="J84" s="275"/>
      <c r="K84" s="147"/>
      <c r="L84" s="352"/>
      <c r="M84" s="275"/>
      <c r="N84" s="147">
        <v>185.05750487</v>
      </c>
      <c r="O84" s="352">
        <v>219.01800154</v>
      </c>
      <c r="P84" s="275">
        <f t="shared" si="45"/>
        <v>18.399999999999999</v>
      </c>
      <c r="Q84" s="147"/>
      <c r="R84" s="352"/>
      <c r="S84" s="275"/>
      <c r="T84" s="352"/>
      <c r="U84" s="352"/>
      <c r="V84" s="275"/>
      <c r="W84" s="147"/>
      <c r="X84" s="352"/>
      <c r="Y84" s="275"/>
      <c r="Z84" s="147">
        <v>-2.7553844265639783E-9</v>
      </c>
      <c r="AA84" s="352"/>
      <c r="AB84" s="275">
        <f t="shared" si="29"/>
        <v>-100</v>
      </c>
      <c r="AC84" s="147"/>
      <c r="AD84" s="352"/>
      <c r="AE84" s="275"/>
      <c r="AF84" s="394">
        <f t="shared" si="46"/>
        <v>185.05750486724463</v>
      </c>
      <c r="AG84" s="394">
        <f t="shared" si="46"/>
        <v>219.01800154</v>
      </c>
      <c r="AH84" s="275"/>
      <c r="AI84" s="394">
        <f t="shared" si="47"/>
        <v>185.05750486724463</v>
      </c>
      <c r="AJ84" s="394">
        <f t="shared" si="47"/>
        <v>219.01800154</v>
      </c>
      <c r="AK84" s="353"/>
    </row>
    <row r="85" spans="1:37" s="364" customFormat="1" ht="20.100000000000001" customHeight="1" x14ac:dyDescent="0.3">
      <c r="A85" s="427" t="s">
        <v>392</v>
      </c>
      <c r="B85" s="435">
        <v>284.34297627000001</v>
      </c>
      <c r="C85" s="275">
        <v>256.79599999999999</v>
      </c>
      <c r="D85" s="275">
        <f t="shared" si="20"/>
        <v>-9.6999999999999993</v>
      </c>
      <c r="E85" s="435"/>
      <c r="F85" s="275"/>
      <c r="G85" s="275"/>
      <c r="H85" s="435"/>
      <c r="I85" s="275"/>
      <c r="J85" s="275"/>
      <c r="K85" s="435">
        <v>123</v>
      </c>
      <c r="L85" s="275">
        <v>115</v>
      </c>
      <c r="M85" s="275">
        <f>IF(K85=0, "    ---- ", IF(ABS(ROUND(100/K85*L85-100,1))&lt;999,ROUND(100/K85*L85-100,1),IF(ROUND(100/K85*L85-100,1)&gt;999,999,-999)))</f>
        <v>-6.5</v>
      </c>
      <c r="N85" s="435">
        <v>493.10704992000001</v>
      </c>
      <c r="O85" s="275">
        <v>600.06663325</v>
      </c>
      <c r="P85" s="275">
        <f t="shared" si="45"/>
        <v>21.7</v>
      </c>
      <c r="Q85" s="435"/>
      <c r="R85" s="275"/>
      <c r="S85" s="275"/>
      <c r="T85" s="275"/>
      <c r="U85" s="275"/>
      <c r="V85" s="275"/>
      <c r="W85" s="435">
        <v>828.47299999999996</v>
      </c>
      <c r="X85" s="275">
        <v>951.50599999999997</v>
      </c>
      <c r="Y85" s="275">
        <f t="shared" si="28"/>
        <v>14.9</v>
      </c>
      <c r="Z85" s="435">
        <v>-2.7553844265639783E-9</v>
      </c>
      <c r="AA85" s="275"/>
      <c r="AB85" s="275">
        <f t="shared" si="29"/>
        <v>-100</v>
      </c>
      <c r="AC85" s="435"/>
      <c r="AD85" s="275"/>
      <c r="AE85" s="275"/>
      <c r="AF85" s="394">
        <f t="shared" si="46"/>
        <v>1728.9230261872447</v>
      </c>
      <c r="AG85" s="394">
        <f t="shared" si="46"/>
        <v>1923.3686332500001</v>
      </c>
      <c r="AH85" s="275">
        <f t="shared" si="22"/>
        <v>11.2</v>
      </c>
      <c r="AI85" s="394">
        <f t="shared" si="47"/>
        <v>1728.9230261872447</v>
      </c>
      <c r="AJ85" s="394">
        <f t="shared" si="47"/>
        <v>1923.3686332500001</v>
      </c>
      <c r="AK85" s="353">
        <f t="shared" si="24"/>
        <v>11.2</v>
      </c>
    </row>
    <row r="86" spans="1:37" s="364" customFormat="1" ht="20.100000000000001" customHeight="1" x14ac:dyDescent="0.3">
      <c r="A86" s="427" t="s">
        <v>214</v>
      </c>
      <c r="B86" s="147"/>
      <c r="C86" s="352"/>
      <c r="D86" s="352"/>
      <c r="E86" s="147"/>
      <c r="F86" s="352"/>
      <c r="G86" s="352"/>
      <c r="H86" s="147"/>
      <c r="I86" s="352"/>
      <c r="J86" s="352"/>
      <c r="K86" s="147"/>
      <c r="L86" s="352"/>
      <c r="M86" s="349"/>
      <c r="N86" s="147">
        <v>98.642306000000005</v>
      </c>
      <c r="O86" s="352">
        <v>1.2495540000000001</v>
      </c>
      <c r="P86" s="275">
        <f t="shared" si="45"/>
        <v>-98.7</v>
      </c>
      <c r="Q86" s="147"/>
      <c r="R86" s="352"/>
      <c r="S86" s="275"/>
      <c r="T86" s="352"/>
      <c r="U86" s="352"/>
      <c r="V86" s="275"/>
      <c r="W86" s="147"/>
      <c r="X86" s="352"/>
      <c r="Y86" s="275"/>
      <c r="Z86" s="147">
        <v>-0.91214099999999998</v>
      </c>
      <c r="AA86" s="352"/>
      <c r="AB86" s="275">
        <f t="shared" si="29"/>
        <v>-100</v>
      </c>
      <c r="AC86" s="147"/>
      <c r="AD86" s="352"/>
      <c r="AE86" s="275"/>
      <c r="AF86" s="394">
        <f t="shared" si="46"/>
        <v>97.730165</v>
      </c>
      <c r="AG86" s="394">
        <f t="shared" si="46"/>
        <v>1.2495540000000001</v>
      </c>
      <c r="AH86" s="275">
        <f t="shared" si="22"/>
        <v>-98.7</v>
      </c>
      <c r="AI86" s="394">
        <f t="shared" si="47"/>
        <v>97.730165</v>
      </c>
      <c r="AJ86" s="394">
        <f t="shared" si="47"/>
        <v>1.2495540000000001</v>
      </c>
      <c r="AK86" s="353">
        <f t="shared" si="24"/>
        <v>-98.7</v>
      </c>
    </row>
    <row r="87" spans="1:37" s="364" customFormat="1" ht="20.100000000000001" customHeight="1" x14ac:dyDescent="0.3">
      <c r="A87" s="463" t="s">
        <v>217</v>
      </c>
      <c r="B87" s="147">
        <v>179449.57092837835</v>
      </c>
      <c r="C87" s="352">
        <f>SUM(C82:C86)</f>
        <v>203568.7</v>
      </c>
      <c r="D87" s="352">
        <f t="shared" si="20"/>
        <v>13.4</v>
      </c>
      <c r="E87" s="147"/>
      <c r="F87" s="352"/>
      <c r="G87" s="352"/>
      <c r="H87" s="147"/>
      <c r="I87" s="352"/>
      <c r="J87" s="352"/>
      <c r="K87" s="147">
        <v>65817</v>
      </c>
      <c r="L87" s="352">
        <f>SUM(L82:L86)</f>
        <v>76969</v>
      </c>
      <c r="M87" s="349">
        <f>IF(K87=0, "    ---- ", IF(ABS(ROUND(100/K87*L87-100,1))&lt;999,ROUND(100/K87*L87-100,1),IF(ROUND(100/K87*L87-100,1)&gt;999,999,-999)))</f>
        <v>16.899999999999999</v>
      </c>
      <c r="N87" s="147">
        <v>2949.5209153300002</v>
      </c>
      <c r="O87" s="352">
        <v>3107.7560723300003</v>
      </c>
      <c r="P87" s="275">
        <f t="shared" si="45"/>
        <v>5.4</v>
      </c>
      <c r="Q87" s="147">
        <v>159130.07999999999</v>
      </c>
      <c r="R87" s="352">
        <f>SUM(R82:R86)</f>
        <v>177451.03</v>
      </c>
      <c r="S87" s="275">
        <f t="shared" si="26"/>
        <v>11.5</v>
      </c>
      <c r="T87" s="352"/>
      <c r="U87" s="352"/>
      <c r="V87" s="275"/>
      <c r="W87" s="147">
        <v>74105.697</v>
      </c>
      <c r="X87" s="352">
        <f>SUM(X82:X86)</f>
        <v>84067.507999999987</v>
      </c>
      <c r="Y87" s="275">
        <f t="shared" si="28"/>
        <v>13.4</v>
      </c>
      <c r="Z87" s="147">
        <v>226450.90355617425</v>
      </c>
      <c r="AA87" s="352">
        <f>SUM(AA82:AA86)</f>
        <v>244715.2028286531</v>
      </c>
      <c r="AB87" s="275">
        <f t="shared" si="29"/>
        <v>8.1</v>
      </c>
      <c r="AC87" s="147"/>
      <c r="AD87" s="352"/>
      <c r="AE87" s="275"/>
      <c r="AF87" s="394">
        <f t="shared" si="46"/>
        <v>707902.77239988255</v>
      </c>
      <c r="AG87" s="394">
        <f t="shared" si="46"/>
        <v>789879.19690098311</v>
      </c>
      <c r="AH87" s="275">
        <f t="shared" si="22"/>
        <v>11.6</v>
      </c>
      <c r="AI87" s="394">
        <f t="shared" si="47"/>
        <v>707902.77239988255</v>
      </c>
      <c r="AJ87" s="394">
        <f t="shared" si="47"/>
        <v>789879.19690098311</v>
      </c>
      <c r="AK87" s="353">
        <f t="shared" si="24"/>
        <v>11.6</v>
      </c>
    </row>
    <row r="88" spans="1:37" s="364" customFormat="1" ht="20.100000000000001" customHeight="1" x14ac:dyDescent="0.3">
      <c r="A88" s="427" t="s">
        <v>218</v>
      </c>
      <c r="B88" s="147">
        <v>1385.26183145</v>
      </c>
      <c r="C88" s="352">
        <v>1203.6679999999999</v>
      </c>
      <c r="D88" s="275">
        <f t="shared" si="20"/>
        <v>-13.1</v>
      </c>
      <c r="E88" s="147">
        <v>1159.2582192499999</v>
      </c>
      <c r="F88" s="352">
        <v>1470.40759144</v>
      </c>
      <c r="G88" s="275">
        <f>IF(E88=0, "    ---- ", IF(ABS(ROUND(100/E88*F88-100,1))&lt;999,ROUND(100/E88*F88-100,1),IF(ROUND(100/E88*F88-100,1)&gt;999,999,-999)))</f>
        <v>26.8</v>
      </c>
      <c r="H88" s="147">
        <v>69.227000000000004</v>
      </c>
      <c r="I88" s="352">
        <v>100.084</v>
      </c>
      <c r="J88" s="275">
        <f>IF(H88=0, "    ---- ", IF(ABS(ROUND(100/H88*I88-100,1))&lt;999,ROUND(100/H88*I88-100,1),IF(ROUND(100/H88*I88-100,1)&gt;999,999,-999)))</f>
        <v>44.6</v>
      </c>
      <c r="K88" s="147">
        <v>84</v>
      </c>
      <c r="L88" s="352">
        <v>156</v>
      </c>
      <c r="M88" s="275">
        <f>IF(K88=0, "    ---- ", IF(ABS(ROUND(100/K88*L88-100,1))&lt;999,ROUND(100/K88*L88-100,1),IF(ROUND(100/K88*L88-100,1)&gt;999,999,-999)))</f>
        <v>85.7</v>
      </c>
      <c r="N88" s="147">
        <v>975.33314410000003</v>
      </c>
      <c r="O88" s="352">
        <v>1491.97976307</v>
      </c>
      <c r="P88" s="275">
        <f t="shared" si="45"/>
        <v>53</v>
      </c>
      <c r="Q88" s="147">
        <v>854.54</v>
      </c>
      <c r="R88" s="352">
        <v>941</v>
      </c>
      <c r="S88" s="275">
        <f t="shared" si="26"/>
        <v>10.1</v>
      </c>
      <c r="T88" s="352">
        <v>1683</v>
      </c>
      <c r="U88" s="352">
        <v>1590</v>
      </c>
      <c r="V88" s="275">
        <f>IF(T88=0, "    ---- ", IF(ABS(ROUND(100/T88*U88-100,1))&lt;999,ROUND(100/T88*U88-100,1),IF(ROUND(100/T88*U88-100,1)&gt;999,999,-999)))</f>
        <v>-5.5</v>
      </c>
      <c r="W88" s="147">
        <v>204.565</v>
      </c>
      <c r="X88" s="352">
        <v>290.97699999999998</v>
      </c>
      <c r="Y88" s="275">
        <f t="shared" si="28"/>
        <v>42.2</v>
      </c>
      <c r="Z88" s="147">
        <v>198.62623304724465</v>
      </c>
      <c r="AA88" s="352">
        <v>158.29005217149961</v>
      </c>
      <c r="AB88" s="275">
        <f t="shared" si="29"/>
        <v>-20.3</v>
      </c>
      <c r="AC88" s="147"/>
      <c r="AD88" s="352"/>
      <c r="AE88" s="275"/>
      <c r="AF88" s="394">
        <f t="shared" si="46"/>
        <v>6613.811427847244</v>
      </c>
      <c r="AG88" s="394">
        <f t="shared" si="46"/>
        <v>7402.406406681499</v>
      </c>
      <c r="AH88" s="275">
        <f t="shared" si="22"/>
        <v>11.9</v>
      </c>
      <c r="AI88" s="394">
        <f t="shared" si="47"/>
        <v>6613.811427847244</v>
      </c>
      <c r="AJ88" s="394">
        <f t="shared" si="47"/>
        <v>7402.406406681499</v>
      </c>
      <c r="AK88" s="353">
        <f t="shared" si="24"/>
        <v>11.9</v>
      </c>
    </row>
    <row r="89" spans="1:37" s="364" customFormat="1" ht="20.100000000000001" customHeight="1" x14ac:dyDescent="0.3">
      <c r="A89" s="427" t="s">
        <v>219</v>
      </c>
      <c r="B89" s="147"/>
      <c r="C89" s="352"/>
      <c r="D89" s="275"/>
      <c r="E89" s="147">
        <v>273.25621749999999</v>
      </c>
      <c r="F89" s="352">
        <v>219.0053346</v>
      </c>
      <c r="G89" s="275">
        <f t="shared" ref="G89:G90" si="48">IF(E89=0, "    ---- ", IF(ABS(ROUND(100/E89*F89-100,1))&lt;999,ROUND(100/E89*F89-100,1),IF(ROUND(100/E89*F89-100,1)&gt;999,999,-999)))</f>
        <v>-19.899999999999999</v>
      </c>
      <c r="H89" s="147"/>
      <c r="I89" s="352"/>
      <c r="J89" s="275"/>
      <c r="K89" s="147"/>
      <c r="L89" s="352"/>
      <c r="M89" s="275"/>
      <c r="N89" s="147"/>
      <c r="O89" s="352"/>
      <c r="P89" s="275"/>
      <c r="Q89" s="147"/>
      <c r="R89" s="352"/>
      <c r="S89" s="275"/>
      <c r="T89" s="352"/>
      <c r="U89" s="352"/>
      <c r="V89" s="275"/>
      <c r="W89" s="147">
        <v>12.064</v>
      </c>
      <c r="X89" s="352">
        <v>15.951000000000001</v>
      </c>
      <c r="Y89" s="275">
        <f t="shared" si="28"/>
        <v>32.200000000000003</v>
      </c>
      <c r="Z89" s="147"/>
      <c r="AA89" s="352"/>
      <c r="AB89" s="275"/>
      <c r="AC89" s="147"/>
      <c r="AD89" s="352"/>
      <c r="AE89" s="275"/>
      <c r="AF89" s="394">
        <f t="shared" si="46"/>
        <v>285.32021750000001</v>
      </c>
      <c r="AG89" s="394">
        <f t="shared" si="46"/>
        <v>234.95633459999999</v>
      </c>
      <c r="AH89" s="275">
        <f t="shared" si="22"/>
        <v>-17.7</v>
      </c>
      <c r="AI89" s="394">
        <f t="shared" si="47"/>
        <v>285.32021750000001</v>
      </c>
      <c r="AJ89" s="394">
        <f t="shared" si="47"/>
        <v>234.95633459999999</v>
      </c>
      <c r="AK89" s="353">
        <f t="shared" si="24"/>
        <v>-17.7</v>
      </c>
    </row>
    <row r="90" spans="1:37" s="364" customFormat="1" ht="20.100000000000001" customHeight="1" x14ac:dyDescent="0.3">
      <c r="A90" s="427" t="s">
        <v>220</v>
      </c>
      <c r="B90" s="147">
        <v>4122.0605985416369</v>
      </c>
      <c r="C90" s="352">
        <v>6083.7089999999998</v>
      </c>
      <c r="D90" s="352">
        <f t="shared" si="20"/>
        <v>47.6</v>
      </c>
      <c r="E90" s="147">
        <v>98.659269340000009</v>
      </c>
      <c r="F90" s="352">
        <v>96.134222589999993</v>
      </c>
      <c r="G90" s="275">
        <f t="shared" si="48"/>
        <v>-2.6</v>
      </c>
      <c r="H90" s="147"/>
      <c r="I90" s="352"/>
      <c r="J90" s="352"/>
      <c r="K90" s="147">
        <v>285</v>
      </c>
      <c r="L90" s="352">
        <v>262</v>
      </c>
      <c r="M90" s="349">
        <f>IF(K90=0, "    ---- ", IF(ABS(ROUND(100/K90*L90-100,1))&lt;999,ROUND(100/K90*L90-100,1),IF(ROUND(100/K90*L90-100,1)&gt;999,999,-999)))</f>
        <v>-8.1</v>
      </c>
      <c r="N90" s="147">
        <v>8904.635119909999</v>
      </c>
      <c r="O90" s="352">
        <v>14017.609305829999</v>
      </c>
      <c r="P90" s="275">
        <f t="shared" si="45"/>
        <v>57.4</v>
      </c>
      <c r="Q90" s="147">
        <v>935.4</v>
      </c>
      <c r="R90" s="352">
        <v>734.14</v>
      </c>
      <c r="S90" s="275">
        <f t="shared" si="26"/>
        <v>-21.5</v>
      </c>
      <c r="T90" s="352"/>
      <c r="U90" s="352"/>
      <c r="V90" s="275"/>
      <c r="W90" s="147">
        <v>1565.317</v>
      </c>
      <c r="X90" s="352">
        <v>1207.1320000000001</v>
      </c>
      <c r="Y90" s="275">
        <f t="shared" si="28"/>
        <v>-22.9</v>
      </c>
      <c r="Z90" s="147">
        <v>46087.68508368</v>
      </c>
      <c r="AA90" s="352">
        <v>33651.460548870091</v>
      </c>
      <c r="AB90" s="275">
        <f t="shared" si="29"/>
        <v>-27</v>
      </c>
      <c r="AC90" s="147">
        <v>23</v>
      </c>
      <c r="AD90" s="352">
        <v>73</v>
      </c>
      <c r="AE90" s="275">
        <f>IF(AC90=0, "    ---- ", IF(ABS(ROUND(100/AC90*AD90-100,1))&lt;999,ROUND(100/AC90*AD90-100,1),IF(ROUND(100/AC90*AD90-100,1)&gt;999,999,-999)))</f>
        <v>217.4</v>
      </c>
      <c r="AF90" s="394">
        <f t="shared" si="46"/>
        <v>61998.757071471635</v>
      </c>
      <c r="AG90" s="394">
        <f t="shared" si="46"/>
        <v>56052.185077290094</v>
      </c>
      <c r="AH90" s="275">
        <f t="shared" si="22"/>
        <v>-9.6</v>
      </c>
      <c r="AI90" s="394">
        <f t="shared" si="47"/>
        <v>62021.757071471635</v>
      </c>
      <c r="AJ90" s="394">
        <f t="shared" si="47"/>
        <v>56125.185077290094</v>
      </c>
      <c r="AK90" s="353">
        <f t="shared" si="24"/>
        <v>-9.5</v>
      </c>
    </row>
    <row r="91" spans="1:37" s="364" customFormat="1" ht="20.100000000000001" customHeight="1" x14ac:dyDescent="0.3">
      <c r="A91" s="427" t="s">
        <v>221</v>
      </c>
      <c r="B91" s="147">
        <v>39.489237639999999</v>
      </c>
      <c r="C91" s="352">
        <v>52.411999999999999</v>
      </c>
      <c r="D91" s="352">
        <f t="shared" si="20"/>
        <v>32.700000000000003</v>
      </c>
      <c r="E91" s="147"/>
      <c r="F91" s="352"/>
      <c r="G91" s="352"/>
      <c r="H91" s="147">
        <v>39.877000000000002</v>
      </c>
      <c r="I91" s="352">
        <v>42.404000000000003</v>
      </c>
      <c r="J91" s="352">
        <f>IF(H91=0, "    ---- ", IF(ABS(ROUND(100/H91*I91-100,1))&lt;999,ROUND(100/H91*I91-100,1),IF(ROUND(100/H91*I91-100,1)&gt;999,999,-999)))</f>
        <v>6.3</v>
      </c>
      <c r="K91" s="147">
        <v>35</v>
      </c>
      <c r="L91" s="352">
        <v>37</v>
      </c>
      <c r="M91" s="275">
        <f>IF(K91=0, "    ---- ", IF(ABS(ROUND(100/K91*L91-100,1))&lt;999,ROUND(100/K91*L91-100,1),IF(ROUND(100/K91*L91-100,1)&gt;999,999,-999)))</f>
        <v>5.7</v>
      </c>
      <c r="N91" s="147">
        <v>248.59677909000001</v>
      </c>
      <c r="O91" s="352">
        <v>341.59082389999998</v>
      </c>
      <c r="P91" s="275">
        <f t="shared" si="45"/>
        <v>37.4</v>
      </c>
      <c r="Q91" s="147">
        <v>62.23</v>
      </c>
      <c r="R91" s="352">
        <v>80.38</v>
      </c>
      <c r="S91" s="275">
        <f t="shared" si="26"/>
        <v>29.2</v>
      </c>
      <c r="T91" s="352">
        <v>385</v>
      </c>
      <c r="U91" s="352">
        <v>391</v>
      </c>
      <c r="V91" s="275">
        <f>IF(T91=0, "    ---- ", IF(ABS(ROUND(100/T91*U91-100,1))&lt;999,ROUND(100/T91*U91-100,1),IF(ROUND(100/T91*U91-100,1)&gt;999,999,-999)))</f>
        <v>1.6</v>
      </c>
      <c r="W91" s="147">
        <v>30.855</v>
      </c>
      <c r="X91" s="352">
        <v>43.848999999999997</v>
      </c>
      <c r="Y91" s="275">
        <f t="shared" si="28"/>
        <v>42.1</v>
      </c>
      <c r="Z91" s="147">
        <v>815.39310325999998</v>
      </c>
      <c r="AA91" s="352">
        <v>802.3414671714994</v>
      </c>
      <c r="AB91" s="275">
        <f t="shared" si="29"/>
        <v>-1.6</v>
      </c>
      <c r="AC91" s="147">
        <v>5</v>
      </c>
      <c r="AD91" s="352">
        <v>5</v>
      </c>
      <c r="AE91" s="275">
        <f>IF(AC91=0, "    ---- ", IF(ABS(ROUND(100/AC91*AD91-100,1))&lt;999,ROUND(100/AC91*AD91-100,1),IF(ROUND(100/AC91*AD91-100,1)&gt;999,999,-999)))</f>
        <v>0</v>
      </c>
      <c r="AF91" s="394">
        <f t="shared" si="46"/>
        <v>1656.4411199900001</v>
      </c>
      <c r="AG91" s="394">
        <f t="shared" si="46"/>
        <v>1790.9772910714994</v>
      </c>
      <c r="AH91" s="275">
        <f t="shared" si="22"/>
        <v>8.1</v>
      </c>
      <c r="AI91" s="394">
        <f t="shared" si="47"/>
        <v>1661.4411199900001</v>
      </c>
      <c r="AJ91" s="394">
        <f t="shared" si="47"/>
        <v>1795.9772910714994</v>
      </c>
      <c r="AK91" s="353">
        <f t="shared" si="24"/>
        <v>8.1</v>
      </c>
    </row>
    <row r="92" spans="1:37" s="364" customFormat="1" ht="20.100000000000001" customHeight="1" x14ac:dyDescent="0.3">
      <c r="A92" s="427"/>
      <c r="B92" s="147"/>
      <c r="C92" s="352"/>
      <c r="D92" s="275"/>
      <c r="E92" s="147"/>
      <c r="F92" s="352"/>
      <c r="G92" s="275"/>
      <c r="H92" s="147"/>
      <c r="I92" s="352"/>
      <c r="J92" s="275"/>
      <c r="K92" s="147"/>
      <c r="L92" s="352"/>
      <c r="M92" s="275"/>
      <c r="N92" s="147"/>
      <c r="O92" s="352"/>
      <c r="P92" s="275"/>
      <c r="Q92" s="147"/>
      <c r="R92" s="352"/>
      <c r="S92" s="275"/>
      <c r="T92" s="352"/>
      <c r="U92" s="352"/>
      <c r="V92" s="275"/>
      <c r="W92" s="147"/>
      <c r="X92" s="352"/>
      <c r="Y92" s="275"/>
      <c r="Z92" s="147"/>
      <c r="AA92" s="352"/>
      <c r="AB92" s="275"/>
      <c r="AC92" s="147"/>
      <c r="AD92" s="352"/>
      <c r="AE92" s="275"/>
      <c r="AF92" s="349"/>
      <c r="AG92" s="349"/>
      <c r="AH92" s="275"/>
      <c r="AI92" s="349"/>
      <c r="AJ92" s="349"/>
      <c r="AK92" s="353"/>
    </row>
    <row r="93" spans="1:37" s="372" customFormat="1" ht="20.100000000000001" customHeight="1" x14ac:dyDescent="0.3">
      <c r="A93" s="438" t="s">
        <v>222</v>
      </c>
      <c r="B93" s="150">
        <v>403003.54333315988</v>
      </c>
      <c r="C93" s="356">
        <f>SUM(C68+C69+C71+C80+C87+C88+C89+C90+C91)</f>
        <v>425113.41500000004</v>
      </c>
      <c r="D93" s="357">
        <f t="shared" si="20"/>
        <v>5.5</v>
      </c>
      <c r="E93" s="150">
        <v>14111.967010869999</v>
      </c>
      <c r="F93" s="356">
        <f>SUM(F68+F69+F71+F80+F87+F88+F89+F90+F91)</f>
        <v>14655.48730837</v>
      </c>
      <c r="G93" s="357">
        <f>IF(E93=0, "    ---- ", IF(ABS(ROUND(100/E93*F93-100,1))&lt;999,ROUND(100/E93*F93-100,1),IF(ROUND(100/E93*F93-100,1)&gt;999,999,-999)))</f>
        <v>3.9</v>
      </c>
      <c r="H93" s="150">
        <v>3096.4749999999999</v>
      </c>
      <c r="I93" s="356">
        <f>SUM(I68+I69+I71+I80+I87+I88+I89+I90+I91)</f>
        <v>3605.3469999999998</v>
      </c>
      <c r="J93" s="357">
        <f>IF(H93=0, "    ---- ", IF(ABS(ROUND(100/H93*I93-100,1))&lt;999,ROUND(100/H93*I93-100,1),IF(ROUND(100/H93*I93-100,1)&gt;999,999,-999)))</f>
        <v>16.399999999999999</v>
      </c>
      <c r="K93" s="150">
        <v>77527</v>
      </c>
      <c r="L93" s="356">
        <f>SUM(L68+L69+L71+L80+L87+L88+L89+L90+L91)</f>
        <v>90056</v>
      </c>
      <c r="M93" s="357">
        <f>IF(K93=0, "    ---- ", IF(ABS(ROUND(100/K93*L93-100,1))&lt;999,ROUND(100/K93*L93-100,1),IF(ROUND(100/K93*L93-100,1)&gt;999,999,-999)))</f>
        <v>16.2</v>
      </c>
      <c r="N93" s="150">
        <v>804644.60874070006</v>
      </c>
      <c r="O93" s="356">
        <v>865983.92935571005</v>
      </c>
      <c r="P93" s="357">
        <f t="shared" si="45"/>
        <v>7.6</v>
      </c>
      <c r="Q93" s="150">
        <v>227044.69999999998</v>
      </c>
      <c r="R93" s="356">
        <f>SUM(R68+R69+R71+R80+R87+R88+R89+R90+R91)</f>
        <v>244559.14</v>
      </c>
      <c r="S93" s="357">
        <f t="shared" si="26"/>
        <v>7.7</v>
      </c>
      <c r="T93" s="356">
        <v>138882</v>
      </c>
      <c r="U93" s="356">
        <v>145712</v>
      </c>
      <c r="V93" s="357">
        <f>IF(T93=0, "    ---- ", IF(ABS(ROUND(100/T93*U93-100,1))&lt;999,ROUND(100/T93*U93-100,1),IF(ROUND(100/T93*U93-100,1)&gt;999,999,-999)))</f>
        <v>4.9000000000000004</v>
      </c>
      <c r="W93" s="150">
        <v>105526.26419715</v>
      </c>
      <c r="X93" s="356">
        <f>SUM(X68+X69+X71+X80+X87+X88+X89+X90+X91)</f>
        <v>117088.99625802999</v>
      </c>
      <c r="Y93" s="357">
        <f t="shared" si="28"/>
        <v>11</v>
      </c>
      <c r="Z93" s="150">
        <v>523250.17191797047</v>
      </c>
      <c r="AA93" s="356">
        <f>SUM(AA68+AA69+AA71+AA80+AA87+AA88+AA89+AA90+AA91)</f>
        <v>534945.31685347215</v>
      </c>
      <c r="AB93" s="357">
        <f t="shared" si="29"/>
        <v>2.2000000000000002</v>
      </c>
      <c r="AC93" s="150">
        <v>107</v>
      </c>
      <c r="AD93" s="356">
        <f>SUM(AD68+AD69+AD71+AD80+AD87+AD88+AD89+AD90+AD91)</f>
        <v>237</v>
      </c>
      <c r="AE93" s="357">
        <f>IF(AC93=0, "    ---- ", IF(ABS(ROUND(100/AC93*AD93-100,1))&lt;999,ROUND(100/AC93*AD93-100,1),IF(ROUND(100/AC93*AD93-100,1)&gt;999,999,-999)))</f>
        <v>121.5</v>
      </c>
      <c r="AF93" s="506">
        <f t="shared" ref="AF93:AG93" si="49">B93+E93+H93+K93+N93+Q93+T93+W93+Z93</f>
        <v>2297086.7301998502</v>
      </c>
      <c r="AG93" s="506">
        <f t="shared" si="49"/>
        <v>2441719.6317755822</v>
      </c>
      <c r="AH93" s="357">
        <f t="shared" si="22"/>
        <v>6.3</v>
      </c>
      <c r="AI93" s="356">
        <f>B93+E93+H93+K93+N93+Q93+T93+W93+Z93+AC93</f>
        <v>2297193.7301998502</v>
      </c>
      <c r="AJ93" s="356">
        <f>C93+F93+I93+L93+O93+R93+U93+X93+AA93+AD93</f>
        <v>2441956.6317755822</v>
      </c>
      <c r="AK93" s="358">
        <f t="shared" si="24"/>
        <v>6.3</v>
      </c>
    </row>
    <row r="94" spans="1:37" ht="18.75" customHeight="1" x14ac:dyDescent="0.3">
      <c r="A94" s="362" t="s">
        <v>223</v>
      </c>
      <c r="N94" s="362"/>
      <c r="R94" s="467"/>
      <c r="S94" s="467"/>
      <c r="T94" s="467"/>
      <c r="U94" s="467"/>
      <c r="V94" s="467"/>
      <c r="W94" s="362"/>
      <c r="Z94" s="362"/>
      <c r="AC94" s="362"/>
    </row>
    <row r="95" spans="1:37" ht="18.75" customHeight="1" x14ac:dyDescent="0.3">
      <c r="A95" s="362" t="s">
        <v>224</v>
      </c>
      <c r="N95" s="362"/>
      <c r="R95" s="467"/>
      <c r="S95" s="467"/>
      <c r="T95" s="467"/>
      <c r="U95" s="467"/>
      <c r="V95" s="467"/>
      <c r="W95" s="362"/>
      <c r="Z95" s="362"/>
      <c r="AC95" s="362"/>
    </row>
    <row r="96" spans="1:37" s="365" customFormat="1" ht="18.75" customHeight="1" x14ac:dyDescent="0.3">
      <c r="A96" s="362" t="s">
        <v>225</v>
      </c>
      <c r="S96" s="468"/>
      <c r="T96" s="468"/>
      <c r="U96" s="468"/>
      <c r="V96" s="468"/>
    </row>
    <row r="97" s="365" customFormat="1" ht="18.75" x14ac:dyDescent="0.3"/>
    <row r="98" s="365" customFormat="1" ht="18.75" x14ac:dyDescent="0.3"/>
    <row r="99" s="365" customFormat="1" ht="18.75" x14ac:dyDescent="0.3"/>
    <row r="100" s="365" customFormat="1" ht="18.75" x14ac:dyDescent="0.3"/>
    <row r="101" s="365" customFormat="1" ht="18.75" x14ac:dyDescent="0.3"/>
    <row r="102" s="365" customFormat="1" ht="18.75" x14ac:dyDescent="0.3"/>
    <row r="103" s="365" customFormat="1" ht="18.75" x14ac:dyDescent="0.3"/>
    <row r="104" s="365" customFormat="1" ht="18.75" x14ac:dyDescent="0.3"/>
    <row r="105" s="365" customFormat="1" ht="18.75" x14ac:dyDescent="0.3"/>
    <row r="106" s="365" customFormat="1" ht="18.75" x14ac:dyDescent="0.3"/>
    <row r="107" s="365" customFormat="1" ht="18.75" x14ac:dyDescent="0.3"/>
    <row r="108" s="365" customFormat="1" ht="18.75" x14ac:dyDescent="0.3"/>
    <row r="109" s="365" customFormat="1" ht="18.75" x14ac:dyDescent="0.3"/>
    <row r="110" s="365" customFormat="1" ht="18.75" x14ac:dyDescent="0.3"/>
    <row r="111" s="365" customFormat="1" ht="18.75" x14ac:dyDescent="0.3"/>
    <row r="112" s="373" customFormat="1" ht="15.75" x14ac:dyDescent="0.25"/>
    <row r="113" s="373" customFormat="1" ht="15.75" x14ac:dyDescent="0.25"/>
  </sheetData>
  <mergeCells count="30">
    <mergeCell ref="AT6:AV6"/>
    <mergeCell ref="AW6:AY6"/>
    <mergeCell ref="Z6:AB6"/>
    <mergeCell ref="AC6:AE6"/>
    <mergeCell ref="AF6:AH6"/>
    <mergeCell ref="AI6:AK6"/>
    <mergeCell ref="AN6:AP6"/>
    <mergeCell ref="AQ6:AS6"/>
    <mergeCell ref="AT5:AV5"/>
    <mergeCell ref="AW5:AY5"/>
    <mergeCell ref="B6:D6"/>
    <mergeCell ref="E6:G6"/>
    <mergeCell ref="H6:J6"/>
    <mergeCell ref="K6:M6"/>
    <mergeCell ref="N6:P6"/>
    <mergeCell ref="Q6:S6"/>
    <mergeCell ref="T6:V6"/>
    <mergeCell ref="W6:Y6"/>
    <mergeCell ref="Z5:AB5"/>
    <mergeCell ref="AC5:AE5"/>
    <mergeCell ref="AF5:AH5"/>
    <mergeCell ref="AI5:AK5"/>
    <mergeCell ref="AN5:AP5"/>
    <mergeCell ref="AQ5:AS5"/>
    <mergeCell ref="W5:Y5"/>
    <mergeCell ref="B5:D5"/>
    <mergeCell ref="E5:G5"/>
    <mergeCell ref="H5:J5"/>
    <mergeCell ref="K5:M5"/>
    <mergeCell ref="T5:V5"/>
  </mergeCells>
  <conditionalFormatting sqref="B35:C35">
    <cfRule type="expression" dxfId="135" priority="95">
      <formula>#REF! ="35≠36+38"</formula>
    </cfRule>
  </conditionalFormatting>
  <conditionalFormatting sqref="B39:C39">
    <cfRule type="expression" dxfId="134" priority="96">
      <formula>#REF! ="39≠40+41+42+43+44"</formula>
    </cfRule>
  </conditionalFormatting>
  <conditionalFormatting sqref="B45:C45">
    <cfRule type="expression" dxfId="133" priority="97">
      <formula>#REF! ="45≠33+34+35+39"</formula>
    </cfRule>
  </conditionalFormatting>
  <conditionalFormatting sqref="B50:C50">
    <cfRule type="expression" dxfId="132" priority="98">
      <formula>#REF! ="50≠51+53"</formula>
    </cfRule>
  </conditionalFormatting>
  <conditionalFormatting sqref="B54:C54">
    <cfRule type="expression" dxfId="131" priority="99">
      <formula>#REF! ="54≠55+56+57+58+59"</formula>
    </cfRule>
  </conditionalFormatting>
  <conditionalFormatting sqref="B60:C60">
    <cfRule type="expression" dxfId="130" priority="100">
      <formula>#REF! ="60≠48+49+50+54"</formula>
    </cfRule>
  </conditionalFormatting>
  <conditionalFormatting sqref="B62:C62">
    <cfRule type="expression" dxfId="129" priority="101">
      <formula>#REF! ="62≠45+46+60+61"</formula>
    </cfRule>
  </conditionalFormatting>
  <conditionalFormatting sqref="B64:C64">
    <cfRule type="expression" dxfId="128" priority="92">
      <formula>#REF! ="64≠29+62"</formula>
    </cfRule>
  </conditionalFormatting>
  <conditionalFormatting sqref="B80:C80">
    <cfRule type="expression" dxfId="127" priority="102">
      <formula>#REF! ="80≠73+74+75+76+77+78+79"</formula>
    </cfRule>
  </conditionalFormatting>
  <conditionalFormatting sqref="B87:C87">
    <cfRule type="expression" dxfId="126" priority="103">
      <formula>#REF! ="88≠82+83+84+85+86+87"</formula>
    </cfRule>
  </conditionalFormatting>
  <conditionalFormatting sqref="B93:C93">
    <cfRule type="expression" dxfId="125" priority="93">
      <formula>#REF! = "64≠94"</formula>
    </cfRule>
    <cfRule type="expression" dxfId="124" priority="94">
      <formula>#REF! = "94≠68+69+71+80+88+89+90+91+92"</formula>
    </cfRule>
  </conditionalFormatting>
  <conditionalFormatting sqref="C75">
    <cfRule type="expression" dxfId="123" priority="91">
      <formula>kvartal &lt; 4</formula>
    </cfRule>
  </conditionalFormatting>
  <conditionalFormatting sqref="E35:F35">
    <cfRule type="expression" dxfId="122" priority="404">
      <formula>#REF! ="35≠36+38"</formula>
    </cfRule>
  </conditionalFormatting>
  <conditionalFormatting sqref="E39:F39">
    <cfRule type="expression" dxfId="121" priority="416">
      <formula>#REF! ="39≠40+41+42+43+44"</formula>
    </cfRule>
  </conditionalFormatting>
  <conditionalFormatting sqref="E45:F45">
    <cfRule type="expression" dxfId="120" priority="405">
      <formula>#REF! ="45≠33+34+35+39"</formula>
    </cfRule>
  </conditionalFormatting>
  <conditionalFormatting sqref="E50:F50">
    <cfRule type="expression" dxfId="119" priority="406">
      <formula>#REF! ="50≠51+53"</formula>
    </cfRule>
  </conditionalFormatting>
  <conditionalFormatting sqref="E54:F54">
    <cfRule type="expression" dxfId="118" priority="417">
      <formula>#REF! ="54≠55+56+57+58+59"</formula>
    </cfRule>
  </conditionalFormatting>
  <conditionalFormatting sqref="E60:F60">
    <cfRule type="expression" dxfId="117" priority="407">
      <formula>#REF! ="60≠48+49+50+54"</formula>
    </cfRule>
  </conditionalFormatting>
  <conditionalFormatting sqref="E62:F62">
    <cfRule type="expression" dxfId="116" priority="408">
      <formula>#REF! ="62≠45+46+60+61"</formula>
    </cfRule>
  </conditionalFormatting>
  <conditionalFormatting sqref="E64:F64">
    <cfRule type="expression" dxfId="115" priority="409">
      <formula>#REF! ="64≠29+62"</formula>
    </cfRule>
  </conditionalFormatting>
  <conditionalFormatting sqref="E80:F80">
    <cfRule type="expression" dxfId="114" priority="410">
      <formula>#REF! ="80≠73+74+75+76+77+78+79"</formula>
    </cfRule>
  </conditionalFormatting>
  <conditionalFormatting sqref="E87:F87">
    <cfRule type="expression" dxfId="113" priority="411">
      <formula>#REF! ="88≠82+83+84+85+86+87"</formula>
    </cfRule>
  </conditionalFormatting>
  <conditionalFormatting sqref="E93:F93">
    <cfRule type="expression" dxfId="112" priority="427">
      <formula>#REF! = "64≠94"</formula>
    </cfRule>
    <cfRule type="expression" dxfId="111" priority="426">
      <formula>#REF! = "94≠68+69+71+80+88+89+90+91+92"</formula>
    </cfRule>
  </conditionalFormatting>
  <conditionalFormatting sqref="F75">
    <cfRule type="expression" dxfId="110" priority="76">
      <formula>kvartal &lt; 4</formula>
    </cfRule>
  </conditionalFormatting>
  <conditionalFormatting sqref="H35:I35">
    <cfRule type="expression" dxfId="109" priority="120">
      <formula>#REF! ="35≠36+38"</formula>
    </cfRule>
  </conditionalFormatting>
  <conditionalFormatting sqref="H39:I39">
    <cfRule type="expression" dxfId="108" priority="121">
      <formula>#REF! ="39≠40+41+42+43+44"</formula>
    </cfRule>
  </conditionalFormatting>
  <conditionalFormatting sqref="H45:I45">
    <cfRule type="expression" dxfId="107" priority="122">
      <formula>#REF! ="45≠33+34+35+39"</formula>
    </cfRule>
  </conditionalFormatting>
  <conditionalFormatting sqref="H50:I50">
    <cfRule type="expression" dxfId="106" priority="123">
      <formula>#REF! ="50≠51+53"</formula>
    </cfRule>
  </conditionalFormatting>
  <conditionalFormatting sqref="H54:I54">
    <cfRule type="expression" dxfId="105" priority="124">
      <formula>#REF! ="54≠55+56+57+58+59"</formula>
    </cfRule>
  </conditionalFormatting>
  <conditionalFormatting sqref="H60:I60">
    <cfRule type="expression" dxfId="104" priority="125">
      <formula>#REF! ="60≠48+49+50+54"</formula>
    </cfRule>
  </conditionalFormatting>
  <conditionalFormatting sqref="H62:I62">
    <cfRule type="expression" dxfId="103" priority="126">
      <formula>#REF! ="62≠45+46+60+61"</formula>
    </cfRule>
  </conditionalFormatting>
  <conditionalFormatting sqref="H64:I64">
    <cfRule type="expression" dxfId="102" priority="117">
      <formula>#REF! ="64≠29+62"</formula>
    </cfRule>
  </conditionalFormatting>
  <conditionalFormatting sqref="H80:I80">
    <cfRule type="expression" dxfId="101" priority="127">
      <formula>#REF! ="80≠73+74+75+76+77+78+79"</formula>
    </cfRule>
  </conditionalFormatting>
  <conditionalFormatting sqref="H87:I87">
    <cfRule type="expression" dxfId="100" priority="128">
      <formula>#REF! ="88≠82+83+84+85+86+87"</formula>
    </cfRule>
  </conditionalFormatting>
  <conditionalFormatting sqref="H93:I93">
    <cfRule type="expression" dxfId="99" priority="118">
      <formula>#REF! = "64≠94"</formula>
    </cfRule>
    <cfRule type="expression" dxfId="98" priority="119">
      <formula>#REF! = "94≠68+69+71+80+88+89+90+91+92"</formula>
    </cfRule>
  </conditionalFormatting>
  <conditionalFormatting sqref="K35:L35">
    <cfRule type="expression" dxfId="97" priority="170">
      <formula>#REF! ="35≠36+38"</formula>
    </cfRule>
  </conditionalFormatting>
  <conditionalFormatting sqref="K39:L39">
    <cfRule type="expression" dxfId="96" priority="171">
      <formula>#REF! ="39≠40+41+42+43+44"</formula>
    </cfRule>
  </conditionalFormatting>
  <conditionalFormatting sqref="K45:L45">
    <cfRule type="expression" dxfId="95" priority="172">
      <formula>#REF! ="45≠33+34+35+39"</formula>
    </cfRule>
  </conditionalFormatting>
  <conditionalFormatting sqref="K50:L50">
    <cfRule type="expression" dxfId="94" priority="173">
      <formula>#REF! ="50≠51+53"</formula>
    </cfRule>
  </conditionalFormatting>
  <conditionalFormatting sqref="K54:L54">
    <cfRule type="expression" dxfId="93" priority="174">
      <formula>#REF! ="54≠55+56+57+58+59"</formula>
    </cfRule>
  </conditionalFormatting>
  <conditionalFormatting sqref="K60:L60">
    <cfRule type="expression" dxfId="92" priority="175">
      <formula>#REF! ="60≠48+49+50+54"</formula>
    </cfRule>
  </conditionalFormatting>
  <conditionalFormatting sqref="K62:L62">
    <cfRule type="expression" dxfId="91" priority="176">
      <formula>#REF! ="62≠45+46+60+61"</formula>
    </cfRule>
  </conditionalFormatting>
  <conditionalFormatting sqref="K64:L64">
    <cfRule type="expression" dxfId="90" priority="167">
      <formula>#REF! ="64≠29+62"</formula>
    </cfRule>
  </conditionalFormatting>
  <conditionalFormatting sqref="K80:L80">
    <cfRule type="expression" dxfId="89" priority="177">
      <formula>#REF! ="80≠73+74+75+76+77+78+79"</formula>
    </cfRule>
  </conditionalFormatting>
  <conditionalFormatting sqref="K87:L87">
    <cfRule type="expression" dxfId="88" priority="178">
      <formula>#REF! ="88≠82+83+84+85+86+87"</formula>
    </cfRule>
  </conditionalFormatting>
  <conditionalFormatting sqref="K93:L93">
    <cfRule type="expression" dxfId="87" priority="169">
      <formula>#REF! = "94≠68+69+71+80+88+89+90+91+92"</formula>
    </cfRule>
    <cfRule type="expression" dxfId="86" priority="168">
      <formula>#REF! = "64≠94"</formula>
    </cfRule>
  </conditionalFormatting>
  <conditionalFormatting sqref="L75">
    <cfRule type="expression" dxfId="85" priority="166">
      <formula>kvartal &lt; 4</formula>
    </cfRule>
  </conditionalFormatting>
  <conditionalFormatting sqref="N35:O35">
    <cfRule type="expression" dxfId="84" priority="7">
      <formula>#REF! ="35≠36+38"</formula>
    </cfRule>
  </conditionalFormatting>
  <conditionalFormatting sqref="N39:O39">
    <cfRule type="expression" dxfId="83" priority="8">
      <formula>#REF! ="39≠40+41+42+43+44"</formula>
    </cfRule>
  </conditionalFormatting>
  <conditionalFormatting sqref="N45:O45">
    <cfRule type="expression" dxfId="82" priority="9">
      <formula>#REF! ="45≠33+34+35+39"</formula>
    </cfRule>
  </conditionalFormatting>
  <conditionalFormatting sqref="N50:O50">
    <cfRule type="expression" dxfId="81" priority="10">
      <formula>#REF! ="50≠51+53"</formula>
    </cfRule>
  </conditionalFormatting>
  <conditionalFormatting sqref="N54:O54">
    <cfRule type="expression" dxfId="80" priority="11">
      <formula>#REF! ="54≠55+56+57+58+59"</formula>
    </cfRule>
  </conditionalFormatting>
  <conditionalFormatting sqref="N60:O60">
    <cfRule type="expression" dxfId="79" priority="12">
      <formula>#REF! ="60≠48+49+50+54"</formula>
    </cfRule>
  </conditionalFormatting>
  <conditionalFormatting sqref="N62:O62">
    <cfRule type="expression" dxfId="78" priority="13">
      <formula>#REF! ="62≠45+46+60+61"</formula>
    </cfRule>
  </conditionalFormatting>
  <conditionalFormatting sqref="N64:O64">
    <cfRule type="expression" dxfId="77" priority="4">
      <formula>#REF! ="64≠29+62"</formula>
    </cfRule>
  </conditionalFormatting>
  <conditionalFormatting sqref="N80:O80">
    <cfRule type="expression" dxfId="76" priority="14">
      <formula>#REF! ="80≠73+74+75+76+77+78+79"</formula>
    </cfRule>
  </conditionalFormatting>
  <conditionalFormatting sqref="N87:O87">
    <cfRule type="expression" dxfId="75" priority="15">
      <formula>#REF! ="88≠82+83+84+85+86+87"</formula>
    </cfRule>
  </conditionalFormatting>
  <conditionalFormatting sqref="N93:O93">
    <cfRule type="expression" dxfId="74" priority="6">
      <formula>#REF! = "94≠68+69+71+80+88+89+90+91+92"</formula>
    </cfRule>
    <cfRule type="expression" dxfId="73" priority="5">
      <formula>#REF! = "64≠94"</formula>
    </cfRule>
  </conditionalFormatting>
  <conditionalFormatting sqref="O75">
    <cfRule type="expression" dxfId="72" priority="3">
      <formula>kvartal &lt; 4</formula>
    </cfRule>
  </conditionalFormatting>
  <conditionalFormatting sqref="Q35:R35">
    <cfRule type="expression" dxfId="71" priority="195">
      <formula>#REF! ="35≠36+38"</formula>
    </cfRule>
  </conditionalFormatting>
  <conditionalFormatting sqref="Q39:R39">
    <cfRule type="expression" dxfId="70" priority="196">
      <formula>#REF! ="39≠40+41+42+43+44"</formula>
    </cfRule>
  </conditionalFormatting>
  <conditionalFormatting sqref="Q45:R45">
    <cfRule type="expression" dxfId="69" priority="197">
      <formula>#REF! ="45≠33+34+35+39"</formula>
    </cfRule>
  </conditionalFormatting>
  <conditionalFormatting sqref="Q50:R50">
    <cfRule type="expression" dxfId="68" priority="198">
      <formula>#REF! ="50≠51+53"</formula>
    </cfRule>
  </conditionalFormatting>
  <conditionalFormatting sqref="Q54:R54">
    <cfRule type="expression" dxfId="67" priority="199">
      <formula>#REF! ="54≠55+56+57+58+59"</formula>
    </cfRule>
  </conditionalFormatting>
  <conditionalFormatting sqref="Q60:R60">
    <cfRule type="expression" dxfId="66" priority="200">
      <formula>#REF! ="60≠48+49+50+54"</formula>
    </cfRule>
  </conditionalFormatting>
  <conditionalFormatting sqref="Q62:R62">
    <cfRule type="expression" dxfId="65" priority="201">
      <formula>#REF! ="62≠45+46+60+61"</formula>
    </cfRule>
  </conditionalFormatting>
  <conditionalFormatting sqref="Q64:R64">
    <cfRule type="expression" dxfId="64" priority="192">
      <formula>#REF! ="64≠29+62"</formula>
    </cfRule>
  </conditionalFormatting>
  <conditionalFormatting sqref="Q80:R80">
    <cfRule type="expression" dxfId="63" priority="202">
      <formula>#REF! ="80≠73+74+75+76+77+78+79"</formula>
    </cfRule>
  </conditionalFormatting>
  <conditionalFormatting sqref="Q87:R87">
    <cfRule type="expression" dxfId="62" priority="203">
      <formula>#REF! ="88≠82+83+84+85+86+87"</formula>
    </cfRule>
  </conditionalFormatting>
  <conditionalFormatting sqref="Q93:R93">
    <cfRule type="expression" dxfId="61" priority="193">
      <formula>#REF! = "64≠94"</formula>
    </cfRule>
    <cfRule type="expression" dxfId="60" priority="194">
      <formula>#REF! = "94≠68+69+71+80+88+89+90+91+92"</formula>
    </cfRule>
  </conditionalFormatting>
  <conditionalFormatting sqref="R75">
    <cfRule type="expression" dxfId="59" priority="191">
      <formula>kvartal &lt; 4</formula>
    </cfRule>
  </conditionalFormatting>
  <conditionalFormatting sqref="T35:U35">
    <cfRule type="expression" dxfId="58" priority="305">
      <formula>#REF! ="35≠36+38"</formula>
    </cfRule>
  </conditionalFormatting>
  <conditionalFormatting sqref="T39:U39">
    <cfRule type="expression" dxfId="57" priority="306">
      <formula>#REF! ="39≠40+41+42+43+44"</formula>
    </cfRule>
  </conditionalFormatting>
  <conditionalFormatting sqref="T45:U45">
    <cfRule type="expression" dxfId="56" priority="307">
      <formula>#REF! ="45≠33+34+35+39"</formula>
    </cfRule>
  </conditionalFormatting>
  <conditionalFormatting sqref="T50:U50">
    <cfRule type="expression" dxfId="55" priority="308">
      <formula>#REF! ="50≠51+53"</formula>
    </cfRule>
  </conditionalFormatting>
  <conditionalFormatting sqref="T54:U54">
    <cfRule type="expression" dxfId="54" priority="309">
      <formula>#REF! ="54≠55+56+57+58+59"</formula>
    </cfRule>
  </conditionalFormatting>
  <conditionalFormatting sqref="T60:U60">
    <cfRule type="expression" dxfId="53" priority="310">
      <formula>#REF! ="60≠48+49+50+54"</formula>
    </cfRule>
  </conditionalFormatting>
  <conditionalFormatting sqref="T62:U62">
    <cfRule type="expression" dxfId="52" priority="311">
      <formula>#REF! ="62≠45+46+60+61"</formula>
    </cfRule>
  </conditionalFormatting>
  <conditionalFormatting sqref="T64:U64">
    <cfRule type="expression" dxfId="51" priority="302">
      <formula>#REF! ="64≠29+62"</formula>
    </cfRule>
  </conditionalFormatting>
  <conditionalFormatting sqref="T80:U80">
    <cfRule type="expression" dxfId="50" priority="312">
      <formula>#REF! ="80≠73+74+75+76+77+78+79"</formula>
    </cfRule>
  </conditionalFormatting>
  <conditionalFormatting sqref="T87:U87">
    <cfRule type="expression" dxfId="49" priority="313">
      <formula>#REF! ="88≠82+83+84+85+86+87"</formula>
    </cfRule>
  </conditionalFormatting>
  <conditionalFormatting sqref="T93:U93">
    <cfRule type="expression" dxfId="48" priority="303">
      <formula>#REF! = "64≠94"</formula>
    </cfRule>
    <cfRule type="expression" dxfId="47" priority="304">
      <formula>#REF! = "94≠68+69+71+80+88+89+90+91+92"</formula>
    </cfRule>
  </conditionalFormatting>
  <conditionalFormatting sqref="U74:U75">
    <cfRule type="expression" dxfId="46" priority="249">
      <formula>kvartal &lt; 4</formula>
    </cfRule>
  </conditionalFormatting>
  <conditionalFormatting sqref="U83">
    <cfRule type="expression" dxfId="45" priority="237">
      <formula>kvartal &lt; 4</formula>
    </cfRule>
  </conditionalFormatting>
  <conditionalFormatting sqref="W35:X35">
    <cfRule type="expression" dxfId="44" priority="145">
      <formula>#REF! ="35≠36+38"</formula>
    </cfRule>
  </conditionalFormatting>
  <conditionalFormatting sqref="W39:X39">
    <cfRule type="expression" dxfId="43" priority="146">
      <formula>#REF! ="39≠40+41+42+43+44"</formula>
    </cfRule>
  </conditionalFormatting>
  <conditionalFormatting sqref="W45:X45">
    <cfRule type="expression" dxfId="42" priority="147">
      <formula>#REF! ="45≠33+34+35+39"</formula>
    </cfRule>
  </conditionalFormatting>
  <conditionalFormatting sqref="W50:X50">
    <cfRule type="expression" dxfId="41" priority="148">
      <formula>#REF! ="50≠51+53"</formula>
    </cfRule>
  </conditionalFormatting>
  <conditionalFormatting sqref="W54:X54">
    <cfRule type="expression" dxfId="40" priority="149">
      <formula>#REF! ="54≠55+56+57+58+59"</formula>
    </cfRule>
  </conditionalFormatting>
  <conditionalFormatting sqref="W60:X60">
    <cfRule type="expression" dxfId="39" priority="150">
      <formula>#REF! ="60≠48+49+50+54"</formula>
    </cfRule>
  </conditionalFormatting>
  <conditionalFormatting sqref="W62:X62">
    <cfRule type="expression" dxfId="38" priority="151">
      <formula>#REF! ="62≠45+46+60+61"</formula>
    </cfRule>
  </conditionalFormatting>
  <conditionalFormatting sqref="W64:X64">
    <cfRule type="expression" dxfId="37" priority="142">
      <formula>#REF! ="64≠29+62"</formula>
    </cfRule>
  </conditionalFormatting>
  <conditionalFormatting sqref="W80:X80">
    <cfRule type="expression" dxfId="36" priority="152">
      <formula>#REF! ="80≠73+74+75+76+77+78+79"</formula>
    </cfRule>
  </conditionalFormatting>
  <conditionalFormatting sqref="W87:X87">
    <cfRule type="expression" dxfId="35" priority="153">
      <formula>#REF! ="88≠82+83+84+85+86+87"</formula>
    </cfRule>
  </conditionalFormatting>
  <conditionalFormatting sqref="W93:X93">
    <cfRule type="expression" dxfId="34" priority="143">
      <formula>#REF! = "64≠94"</formula>
    </cfRule>
    <cfRule type="expression" dxfId="33" priority="144">
      <formula>#REF! = "94≠68+69+71+80+88+89+90+91+92"</formula>
    </cfRule>
  </conditionalFormatting>
  <conditionalFormatting sqref="X75">
    <cfRule type="expression" dxfId="32" priority="141">
      <formula>kvartal &lt; 4</formula>
    </cfRule>
  </conditionalFormatting>
  <conditionalFormatting sqref="Z35:AA35">
    <cfRule type="expression" dxfId="31" priority="57">
      <formula>#REF! ="35≠36+38"</formula>
    </cfRule>
  </conditionalFormatting>
  <conditionalFormatting sqref="Z39:AA39">
    <cfRule type="expression" dxfId="30" priority="58">
      <formula>#REF! ="39≠40+41+42+43+44"</formula>
    </cfRule>
  </conditionalFormatting>
  <conditionalFormatting sqref="Z45:AA45">
    <cfRule type="expression" dxfId="29" priority="59">
      <formula>#REF! ="45≠33+34+35+39"</formula>
    </cfRule>
  </conditionalFormatting>
  <conditionalFormatting sqref="Z50:AA50">
    <cfRule type="expression" dxfId="28" priority="60">
      <formula>#REF! ="50≠51+53"</formula>
    </cfRule>
  </conditionalFormatting>
  <conditionalFormatting sqref="Z54:AA54">
    <cfRule type="expression" dxfId="27" priority="61">
      <formula>#REF! ="54≠55+56+57+58+59"</formula>
    </cfRule>
  </conditionalFormatting>
  <conditionalFormatting sqref="Z60:AA60">
    <cfRule type="expression" dxfId="26" priority="62">
      <formula>#REF! ="60≠48+49+50+54"</formula>
    </cfRule>
  </conditionalFormatting>
  <conditionalFormatting sqref="Z62:AA62">
    <cfRule type="expression" dxfId="25" priority="63">
      <formula>#REF! ="62≠45+46+60+61"</formula>
    </cfRule>
  </conditionalFormatting>
  <conditionalFormatting sqref="Z64:AA64">
    <cfRule type="expression" dxfId="24" priority="54">
      <formula>#REF! ="64≠29+62"</formula>
    </cfRule>
  </conditionalFormatting>
  <conditionalFormatting sqref="Z80:AA80">
    <cfRule type="expression" dxfId="23" priority="64">
      <formula>#REF! ="80≠73+74+75+76+77+78+79"</formula>
    </cfRule>
  </conditionalFormatting>
  <conditionalFormatting sqref="Z87:AA87">
    <cfRule type="expression" dxfId="22" priority="65">
      <formula>#REF! ="88≠82+83+84+85+86+87"</formula>
    </cfRule>
  </conditionalFormatting>
  <conditionalFormatting sqref="Z93:AA93">
    <cfRule type="expression" dxfId="21" priority="55">
      <formula>#REF! = "64≠94"</formula>
    </cfRule>
    <cfRule type="expression" dxfId="20" priority="56">
      <formula>#REF! = "94≠68+69+71+80+88+89+90+91+92"</formula>
    </cfRule>
  </conditionalFormatting>
  <conditionalFormatting sqref="AA75">
    <cfRule type="expression" dxfId="19" priority="53">
      <formula>kvartal &lt; 4</formula>
    </cfRule>
  </conditionalFormatting>
  <conditionalFormatting sqref="AC35:AD35">
    <cfRule type="expression" dxfId="18" priority="32">
      <formula>#REF! ="35≠36+38"</formula>
    </cfRule>
  </conditionalFormatting>
  <conditionalFormatting sqref="AC39:AD39">
    <cfRule type="expression" dxfId="17" priority="33">
      <formula>#REF! ="39≠40+41+42+43+44"</formula>
    </cfRule>
  </conditionalFormatting>
  <conditionalFormatting sqref="AC45:AD45">
    <cfRule type="expression" dxfId="16" priority="34">
      <formula>#REF! ="45≠33+34+35+39"</formula>
    </cfRule>
  </conditionalFormatting>
  <conditionalFormatting sqref="AC50:AD50">
    <cfRule type="expression" dxfId="15" priority="35">
      <formula>#REF! ="50≠51+53"</formula>
    </cfRule>
  </conditionalFormatting>
  <conditionalFormatting sqref="AC54:AD54">
    <cfRule type="expression" dxfId="14" priority="36">
      <formula>#REF! ="54≠55+56+57+58+59"</formula>
    </cfRule>
  </conditionalFormatting>
  <conditionalFormatting sqref="AC60:AD60">
    <cfRule type="expression" dxfId="13" priority="37">
      <formula>#REF! ="60≠48+49+50+54"</formula>
    </cfRule>
  </conditionalFormatting>
  <conditionalFormatting sqref="AC62:AD62">
    <cfRule type="expression" dxfId="12" priority="38">
      <formula>#REF! ="62≠45+46+60+61"</formula>
    </cfRule>
  </conditionalFormatting>
  <conditionalFormatting sqref="AC64:AD64">
    <cfRule type="expression" dxfId="11" priority="29">
      <formula>#REF! ="64≠29+62"</formula>
    </cfRule>
  </conditionalFormatting>
  <conditionalFormatting sqref="AC80:AD80">
    <cfRule type="expression" dxfId="10" priority="39">
      <formula>#REF! ="80≠73+74+75+76+77+78+79"</formula>
    </cfRule>
  </conditionalFormatting>
  <conditionalFormatting sqref="AC87:AD87">
    <cfRule type="expression" dxfId="9" priority="40">
      <formula>#REF! ="88≠82+83+84+85+86+87"</formula>
    </cfRule>
  </conditionalFormatting>
  <conditionalFormatting sqref="AC93:AD93">
    <cfRule type="expression" dxfId="8" priority="30">
      <formula>#REF! = "64≠94"</formula>
    </cfRule>
    <cfRule type="expression" dxfId="7" priority="31">
      <formula>#REF! = "94≠68+69+71+80+88+89+90+91+92"</formula>
    </cfRule>
  </conditionalFormatting>
  <conditionalFormatting sqref="AD75">
    <cfRule type="expression" dxfId="6" priority="28">
      <formula>kvartal &lt; 4</formula>
    </cfRule>
  </conditionalFormatting>
  <conditionalFormatting sqref="AF93:AG93">
    <cfRule type="expression" dxfId="5" priority="414">
      <formula>#REF! = "94≠68+69+71+80+88+89+90+91+92"</formula>
    </cfRule>
    <cfRule type="expression" dxfId="4" priority="412">
      <formula>#REF! = "64≠94"</formula>
    </cfRule>
  </conditionalFormatting>
  <conditionalFormatting sqref="AG74:AG75">
    <cfRule type="expression" dxfId="3" priority="245">
      <formula>kvartal &lt; 4</formula>
    </cfRule>
  </conditionalFormatting>
  <conditionalFormatting sqref="AG83">
    <cfRule type="expression" dxfId="2" priority="233">
      <formula>kvartal &lt; 4</formula>
    </cfRule>
  </conditionalFormatting>
  <conditionalFormatting sqref="AJ74:AJ75">
    <cfRule type="expression" dxfId="1" priority="244">
      <formula>kvartal &lt; 4</formula>
    </cfRule>
  </conditionalFormatting>
  <conditionalFormatting sqref="AJ83">
    <cfRule type="expression" dxfId="0" priority="232">
      <formula>kvartal &lt; 4</formula>
    </cfRule>
  </conditionalFormatting>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1FD07-B41D-45D2-90DB-D909A90704BC}">
  <sheetPr codeName="Ark35"/>
  <dimension ref="A1:AP17"/>
  <sheetViews>
    <sheetView showGridLines="0" zoomScale="70" zoomScaleNormal="70" workbookViewId="0">
      <pane xSplit="1" ySplit="8" topLeftCell="B9" activePane="bottomRight" state="frozen"/>
      <selection pane="topRight" activeCell="B1" sqref="B1"/>
      <selection pane="bottomLeft" activeCell="A9" sqref="A9"/>
      <selection pane="bottomRight" activeCell="A4" sqref="A4"/>
    </sheetView>
  </sheetViews>
  <sheetFormatPr baseColWidth="10" defaultColWidth="11.42578125" defaultRowHeight="12.75" x14ac:dyDescent="0.2"/>
  <cols>
    <col min="1" max="1" width="62" style="396" customWidth="1"/>
    <col min="2" max="31" width="11.7109375" style="396" customWidth="1"/>
    <col min="32" max="244" width="11.42578125" style="396"/>
    <col min="245" max="245" width="62" style="396" customWidth="1"/>
    <col min="246" max="281" width="11.7109375" style="396" customWidth="1"/>
    <col min="282" max="500" width="11.42578125" style="396"/>
    <col min="501" max="501" width="62" style="396" customWidth="1"/>
    <col min="502" max="537" width="11.7109375" style="396" customWidth="1"/>
    <col min="538" max="756" width="11.42578125" style="396"/>
    <col min="757" max="757" width="62" style="396" customWidth="1"/>
    <col min="758" max="793" width="11.7109375" style="396" customWidth="1"/>
    <col min="794" max="1012" width="11.42578125" style="396"/>
    <col min="1013" max="1013" width="62" style="396" customWidth="1"/>
    <col min="1014" max="1049" width="11.7109375" style="396" customWidth="1"/>
    <col min="1050" max="1268" width="11.42578125" style="396"/>
    <col min="1269" max="1269" width="62" style="396" customWidth="1"/>
    <col min="1270" max="1305" width="11.7109375" style="396" customWidth="1"/>
    <col min="1306" max="1524" width="11.42578125" style="396"/>
    <col min="1525" max="1525" width="62" style="396" customWidth="1"/>
    <col min="1526" max="1561" width="11.7109375" style="396" customWidth="1"/>
    <col min="1562" max="1780" width="11.42578125" style="396"/>
    <col min="1781" max="1781" width="62" style="396" customWidth="1"/>
    <col min="1782" max="1817" width="11.7109375" style="396" customWidth="1"/>
    <col min="1818" max="2036" width="11.42578125" style="396"/>
    <col min="2037" max="2037" width="62" style="396" customWidth="1"/>
    <col min="2038" max="2073" width="11.7109375" style="396" customWidth="1"/>
    <col min="2074" max="2292" width="11.42578125" style="396"/>
    <col min="2293" max="2293" width="62" style="396" customWidth="1"/>
    <col min="2294" max="2329" width="11.7109375" style="396" customWidth="1"/>
    <col min="2330" max="2548" width="11.42578125" style="396"/>
    <col min="2549" max="2549" width="62" style="396" customWidth="1"/>
    <col min="2550" max="2585" width="11.7109375" style="396" customWidth="1"/>
    <col min="2586" max="2804" width="11.42578125" style="396"/>
    <col min="2805" max="2805" width="62" style="396" customWidth="1"/>
    <col min="2806" max="2841" width="11.7109375" style="396" customWidth="1"/>
    <col min="2842" max="3060" width="11.42578125" style="396"/>
    <col min="3061" max="3061" width="62" style="396" customWidth="1"/>
    <col min="3062" max="3097" width="11.7109375" style="396" customWidth="1"/>
    <col min="3098" max="3316" width="11.42578125" style="396"/>
    <col min="3317" max="3317" width="62" style="396" customWidth="1"/>
    <col min="3318" max="3353" width="11.7109375" style="396" customWidth="1"/>
    <col min="3354" max="3572" width="11.42578125" style="396"/>
    <col min="3573" max="3573" width="62" style="396" customWidth="1"/>
    <col min="3574" max="3609" width="11.7109375" style="396" customWidth="1"/>
    <col min="3610" max="3828" width="11.42578125" style="396"/>
    <col min="3829" max="3829" width="62" style="396" customWidth="1"/>
    <col min="3830" max="3865" width="11.7109375" style="396" customWidth="1"/>
    <col min="3866" max="4084" width="11.42578125" style="396"/>
    <col min="4085" max="4085" width="62" style="396" customWidth="1"/>
    <col min="4086" max="4121" width="11.7109375" style="396" customWidth="1"/>
    <col min="4122" max="4340" width="11.42578125" style="396"/>
    <col min="4341" max="4341" width="62" style="396" customWidth="1"/>
    <col min="4342" max="4377" width="11.7109375" style="396" customWidth="1"/>
    <col min="4378" max="4596" width="11.42578125" style="396"/>
    <col min="4597" max="4597" width="62" style="396" customWidth="1"/>
    <col min="4598" max="4633" width="11.7109375" style="396" customWidth="1"/>
    <col min="4634" max="4852" width="11.42578125" style="396"/>
    <col min="4853" max="4853" width="62" style="396" customWidth="1"/>
    <col min="4854" max="4889" width="11.7109375" style="396" customWidth="1"/>
    <col min="4890" max="5108" width="11.42578125" style="396"/>
    <col min="5109" max="5109" width="62" style="396" customWidth="1"/>
    <col min="5110" max="5145" width="11.7109375" style="396" customWidth="1"/>
    <col min="5146" max="5364" width="11.42578125" style="396"/>
    <col min="5365" max="5365" width="62" style="396" customWidth="1"/>
    <col min="5366" max="5401" width="11.7109375" style="396" customWidth="1"/>
    <col min="5402" max="5620" width="11.42578125" style="396"/>
    <col min="5621" max="5621" width="62" style="396" customWidth="1"/>
    <col min="5622" max="5657" width="11.7109375" style="396" customWidth="1"/>
    <col min="5658" max="5876" width="11.42578125" style="396"/>
    <col min="5877" max="5877" width="62" style="396" customWidth="1"/>
    <col min="5878" max="5913" width="11.7109375" style="396" customWidth="1"/>
    <col min="5914" max="6132" width="11.42578125" style="396"/>
    <col min="6133" max="6133" width="62" style="396" customWidth="1"/>
    <col min="6134" max="6169" width="11.7109375" style="396" customWidth="1"/>
    <col min="6170" max="6388" width="11.42578125" style="396"/>
    <col min="6389" max="6389" width="62" style="396" customWidth="1"/>
    <col min="6390" max="6425" width="11.7109375" style="396" customWidth="1"/>
    <col min="6426" max="6644" width="11.42578125" style="396"/>
    <col min="6645" max="6645" width="62" style="396" customWidth="1"/>
    <col min="6646" max="6681" width="11.7109375" style="396" customWidth="1"/>
    <col min="6682" max="6900" width="11.42578125" style="396"/>
    <col min="6901" max="6901" width="62" style="396" customWidth="1"/>
    <col min="6902" max="6937" width="11.7109375" style="396" customWidth="1"/>
    <col min="6938" max="7156" width="11.42578125" style="396"/>
    <col min="7157" max="7157" width="62" style="396" customWidth="1"/>
    <col min="7158" max="7193" width="11.7109375" style="396" customWidth="1"/>
    <col min="7194" max="7412" width="11.42578125" style="396"/>
    <col min="7413" max="7413" width="62" style="396" customWidth="1"/>
    <col min="7414" max="7449" width="11.7109375" style="396" customWidth="1"/>
    <col min="7450" max="7668" width="11.42578125" style="396"/>
    <col min="7669" max="7669" width="62" style="396" customWidth="1"/>
    <col min="7670" max="7705" width="11.7109375" style="396" customWidth="1"/>
    <col min="7706" max="7924" width="11.42578125" style="396"/>
    <col min="7925" max="7925" width="62" style="396" customWidth="1"/>
    <col min="7926" max="7961" width="11.7109375" style="396" customWidth="1"/>
    <col min="7962" max="8180" width="11.42578125" style="396"/>
    <col min="8181" max="8181" width="62" style="396" customWidth="1"/>
    <col min="8182" max="8217" width="11.7109375" style="396" customWidth="1"/>
    <col min="8218" max="8436" width="11.42578125" style="396"/>
    <col min="8437" max="8437" width="62" style="396" customWidth="1"/>
    <col min="8438" max="8473" width="11.7109375" style="396" customWidth="1"/>
    <col min="8474" max="8692" width="11.42578125" style="396"/>
    <col min="8693" max="8693" width="62" style="396" customWidth="1"/>
    <col min="8694" max="8729" width="11.7109375" style="396" customWidth="1"/>
    <col min="8730" max="8948" width="11.42578125" style="396"/>
    <col min="8949" max="8949" width="62" style="396" customWidth="1"/>
    <col min="8950" max="8985" width="11.7109375" style="396" customWidth="1"/>
    <col min="8986" max="9204" width="11.42578125" style="396"/>
    <col min="9205" max="9205" width="62" style="396" customWidth="1"/>
    <col min="9206" max="9241" width="11.7109375" style="396" customWidth="1"/>
    <col min="9242" max="9460" width="11.42578125" style="396"/>
    <col min="9461" max="9461" width="62" style="396" customWidth="1"/>
    <col min="9462" max="9497" width="11.7109375" style="396" customWidth="1"/>
    <col min="9498" max="9716" width="11.42578125" style="396"/>
    <col min="9717" max="9717" width="62" style="396" customWidth="1"/>
    <col min="9718" max="9753" width="11.7109375" style="396" customWidth="1"/>
    <col min="9754" max="9972" width="11.42578125" style="396"/>
    <col min="9973" max="9973" width="62" style="396" customWidth="1"/>
    <col min="9974" max="10009" width="11.7109375" style="396" customWidth="1"/>
    <col min="10010" max="10228" width="11.42578125" style="396"/>
    <col min="10229" max="10229" width="62" style="396" customWidth="1"/>
    <col min="10230" max="10265" width="11.7109375" style="396" customWidth="1"/>
    <col min="10266" max="10484" width="11.42578125" style="396"/>
    <col min="10485" max="10485" width="62" style="396" customWidth="1"/>
    <col min="10486" max="10521" width="11.7109375" style="396" customWidth="1"/>
    <col min="10522" max="10740" width="11.42578125" style="396"/>
    <col min="10741" max="10741" width="62" style="396" customWidth="1"/>
    <col min="10742" max="10777" width="11.7109375" style="396" customWidth="1"/>
    <col min="10778" max="10996" width="11.42578125" style="396"/>
    <col min="10997" max="10997" width="62" style="396" customWidth="1"/>
    <col min="10998" max="11033" width="11.7109375" style="396" customWidth="1"/>
    <col min="11034" max="11252" width="11.42578125" style="396"/>
    <col min="11253" max="11253" width="62" style="396" customWidth="1"/>
    <col min="11254" max="11289" width="11.7109375" style="396" customWidth="1"/>
    <col min="11290" max="11508" width="11.42578125" style="396"/>
    <col min="11509" max="11509" width="62" style="396" customWidth="1"/>
    <col min="11510" max="11545" width="11.7109375" style="396" customWidth="1"/>
    <col min="11546" max="11764" width="11.42578125" style="396"/>
    <col min="11765" max="11765" width="62" style="396" customWidth="1"/>
    <col min="11766" max="11801" width="11.7109375" style="396" customWidth="1"/>
    <col min="11802" max="12020" width="11.42578125" style="396"/>
    <col min="12021" max="12021" width="62" style="396" customWidth="1"/>
    <col min="12022" max="12057" width="11.7109375" style="396" customWidth="1"/>
    <col min="12058" max="12276" width="11.42578125" style="396"/>
    <col min="12277" max="12277" width="62" style="396" customWidth="1"/>
    <col min="12278" max="12313" width="11.7109375" style="396" customWidth="1"/>
    <col min="12314" max="12532" width="11.42578125" style="396"/>
    <col min="12533" max="12533" width="62" style="396" customWidth="1"/>
    <col min="12534" max="12569" width="11.7109375" style="396" customWidth="1"/>
    <col min="12570" max="12788" width="11.42578125" style="396"/>
    <col min="12789" max="12789" width="62" style="396" customWidth="1"/>
    <col min="12790" max="12825" width="11.7109375" style="396" customWidth="1"/>
    <col min="12826" max="13044" width="11.42578125" style="396"/>
    <col min="13045" max="13045" width="62" style="396" customWidth="1"/>
    <col min="13046" max="13081" width="11.7109375" style="396" customWidth="1"/>
    <col min="13082" max="13300" width="11.42578125" style="396"/>
    <col min="13301" max="13301" width="62" style="396" customWidth="1"/>
    <col min="13302" max="13337" width="11.7109375" style="396" customWidth="1"/>
    <col min="13338" max="13556" width="11.42578125" style="396"/>
    <col min="13557" max="13557" width="62" style="396" customWidth="1"/>
    <col min="13558" max="13593" width="11.7109375" style="396" customWidth="1"/>
    <col min="13594" max="13812" width="11.42578125" style="396"/>
    <col min="13813" max="13813" width="62" style="396" customWidth="1"/>
    <col min="13814" max="13849" width="11.7109375" style="396" customWidth="1"/>
    <col min="13850" max="14068" width="11.42578125" style="396"/>
    <col min="14069" max="14069" width="62" style="396" customWidth="1"/>
    <col min="14070" max="14105" width="11.7109375" style="396" customWidth="1"/>
    <col min="14106" max="14324" width="11.42578125" style="396"/>
    <col min="14325" max="14325" width="62" style="396" customWidth="1"/>
    <col min="14326" max="14361" width="11.7109375" style="396" customWidth="1"/>
    <col min="14362" max="14580" width="11.42578125" style="396"/>
    <col min="14581" max="14581" width="62" style="396" customWidth="1"/>
    <col min="14582" max="14617" width="11.7109375" style="396" customWidth="1"/>
    <col min="14618" max="14836" width="11.42578125" style="396"/>
    <col min="14837" max="14837" width="62" style="396" customWidth="1"/>
    <col min="14838" max="14873" width="11.7109375" style="396" customWidth="1"/>
    <col min="14874" max="15092" width="11.42578125" style="396"/>
    <col min="15093" max="15093" width="62" style="396" customWidth="1"/>
    <col min="15094" max="15129" width="11.7109375" style="396" customWidth="1"/>
    <col min="15130" max="15348" width="11.42578125" style="396"/>
    <col min="15349" max="15349" width="62" style="396" customWidth="1"/>
    <col min="15350" max="15385" width="11.7109375" style="396" customWidth="1"/>
    <col min="15386" max="15604" width="11.42578125" style="396"/>
    <col min="15605" max="15605" width="62" style="396" customWidth="1"/>
    <col min="15606" max="15641" width="11.7109375" style="396" customWidth="1"/>
    <col min="15642" max="15860" width="11.42578125" style="396"/>
    <col min="15861" max="15861" width="62" style="396" customWidth="1"/>
    <col min="15862" max="15897" width="11.7109375" style="396" customWidth="1"/>
    <col min="15898" max="16116" width="11.42578125" style="396"/>
    <col min="16117" max="16117" width="62" style="396" customWidth="1"/>
    <col min="16118" max="16153" width="11.7109375" style="396" customWidth="1"/>
    <col min="16154" max="16384" width="11.42578125" style="396"/>
  </cols>
  <sheetData>
    <row r="1" spans="1:42" ht="20.25" x14ac:dyDescent="0.3">
      <c r="A1" s="395" t="s">
        <v>153</v>
      </c>
    </row>
    <row r="2" spans="1:42" ht="20.25" x14ac:dyDescent="0.3">
      <c r="A2" s="395" t="s">
        <v>240</v>
      </c>
    </row>
    <row r="3" spans="1:42" ht="18.75" x14ac:dyDescent="0.3">
      <c r="A3" s="397" t="s">
        <v>298</v>
      </c>
    </row>
    <row r="4" spans="1:42" ht="18.75" x14ac:dyDescent="0.3">
      <c r="A4" s="398" t="s">
        <v>393</v>
      </c>
      <c r="B4" s="399"/>
      <c r="C4" s="400"/>
      <c r="D4" s="401"/>
      <c r="E4" s="400"/>
      <c r="F4" s="400"/>
      <c r="G4" s="401"/>
      <c r="H4" s="400"/>
      <c r="I4" s="400"/>
      <c r="J4" s="401"/>
      <c r="K4" s="399"/>
      <c r="L4" s="400"/>
      <c r="M4" s="401"/>
      <c r="N4" s="399"/>
      <c r="O4" s="400"/>
      <c r="P4" s="401"/>
      <c r="Q4" s="399"/>
      <c r="R4" s="400"/>
      <c r="S4" s="401"/>
      <c r="T4" s="399"/>
      <c r="U4" s="400"/>
      <c r="V4" s="401"/>
      <c r="W4" s="399"/>
      <c r="X4" s="400"/>
      <c r="Y4" s="401"/>
      <c r="Z4" s="399"/>
      <c r="AA4" s="400"/>
      <c r="AB4" s="401"/>
      <c r="AC4" s="399"/>
      <c r="AD4" s="402"/>
      <c r="AE4" s="401"/>
      <c r="AF4" s="403"/>
      <c r="AG4" s="403"/>
      <c r="AH4" s="403"/>
      <c r="AI4" s="403"/>
      <c r="AJ4" s="403"/>
      <c r="AK4" s="403"/>
      <c r="AL4" s="403"/>
      <c r="AM4" s="403"/>
      <c r="AN4" s="403"/>
      <c r="AO4" s="403"/>
      <c r="AP4" s="403"/>
    </row>
    <row r="5" spans="1:42" ht="18.75" x14ac:dyDescent="0.3">
      <c r="A5" s="404"/>
      <c r="B5" s="591" t="s">
        <v>156</v>
      </c>
      <c r="C5" s="592"/>
      <c r="D5" s="593"/>
      <c r="E5" s="511"/>
      <c r="F5" s="511"/>
      <c r="G5" s="512"/>
      <c r="H5" s="591" t="s">
        <v>157</v>
      </c>
      <c r="I5" s="592"/>
      <c r="J5" s="593"/>
      <c r="K5" s="591" t="s">
        <v>158</v>
      </c>
      <c r="L5" s="592"/>
      <c r="M5" s="593"/>
      <c r="N5" s="510" t="s">
        <v>159</v>
      </c>
      <c r="O5" s="511"/>
      <c r="P5" s="512"/>
      <c r="Q5" s="510"/>
      <c r="R5" s="511"/>
      <c r="S5" s="512"/>
      <c r="T5" s="591" t="s">
        <v>160</v>
      </c>
      <c r="U5" s="592"/>
      <c r="V5" s="593"/>
      <c r="W5" s="591" t="s">
        <v>65</v>
      </c>
      <c r="X5" s="592"/>
      <c r="Y5" s="593"/>
      <c r="Z5" s="591" t="s">
        <v>68</v>
      </c>
      <c r="AA5" s="592"/>
      <c r="AB5" s="593"/>
      <c r="AC5" s="591" t="s">
        <v>258</v>
      </c>
      <c r="AD5" s="592"/>
      <c r="AE5" s="593"/>
      <c r="AF5" s="514"/>
      <c r="AG5" s="514"/>
      <c r="AH5" s="587"/>
      <c r="AI5" s="587"/>
      <c r="AJ5" s="587"/>
      <c r="AK5" s="587"/>
      <c r="AL5" s="587"/>
      <c r="AM5" s="587"/>
      <c r="AN5" s="587"/>
      <c r="AO5" s="587"/>
      <c r="AP5" s="587"/>
    </row>
    <row r="6" spans="1:42" ht="18.75" x14ac:dyDescent="0.3">
      <c r="A6" s="405"/>
      <c r="B6" s="588" t="s">
        <v>162</v>
      </c>
      <c r="C6" s="589"/>
      <c r="D6" s="590"/>
      <c r="E6" s="588" t="s">
        <v>354</v>
      </c>
      <c r="F6" s="589"/>
      <c r="G6" s="590"/>
      <c r="H6" s="588" t="s">
        <v>162</v>
      </c>
      <c r="I6" s="589"/>
      <c r="J6" s="590"/>
      <c r="K6" s="588" t="s">
        <v>163</v>
      </c>
      <c r="L6" s="589"/>
      <c r="M6" s="590"/>
      <c r="N6" s="588" t="s">
        <v>61</v>
      </c>
      <c r="O6" s="589"/>
      <c r="P6" s="590"/>
      <c r="Q6" s="588" t="s">
        <v>63</v>
      </c>
      <c r="R6" s="589"/>
      <c r="S6" s="590"/>
      <c r="T6" s="588" t="s">
        <v>161</v>
      </c>
      <c r="U6" s="589"/>
      <c r="V6" s="590"/>
      <c r="W6" s="588" t="s">
        <v>369</v>
      </c>
      <c r="X6" s="589"/>
      <c r="Y6" s="590"/>
      <c r="Z6" s="588" t="s">
        <v>162</v>
      </c>
      <c r="AA6" s="589"/>
      <c r="AB6" s="590"/>
      <c r="AC6" s="588" t="s">
        <v>259</v>
      </c>
      <c r="AD6" s="589"/>
      <c r="AE6" s="590"/>
      <c r="AF6" s="514"/>
      <c r="AG6" s="514"/>
      <c r="AH6" s="587"/>
      <c r="AI6" s="587"/>
      <c r="AJ6" s="587"/>
      <c r="AK6" s="587"/>
      <c r="AL6" s="587"/>
      <c r="AM6" s="587"/>
      <c r="AN6" s="587"/>
      <c r="AO6" s="587"/>
      <c r="AP6" s="587"/>
    </row>
    <row r="7" spans="1:42" ht="18.75" x14ac:dyDescent="0.3">
      <c r="A7" s="405"/>
      <c r="B7" s="406"/>
      <c r="C7" s="406"/>
      <c r="D7" s="407" t="s">
        <v>76</v>
      </c>
      <c r="E7" s="406"/>
      <c r="F7" s="406"/>
      <c r="G7" s="407" t="s">
        <v>76</v>
      </c>
      <c r="H7" s="406"/>
      <c r="I7" s="406"/>
      <c r="J7" s="407" t="s">
        <v>76</v>
      </c>
      <c r="K7" s="406"/>
      <c r="L7" s="406"/>
      <c r="M7" s="407" t="s">
        <v>76</v>
      </c>
      <c r="N7" s="406"/>
      <c r="O7" s="406"/>
      <c r="P7" s="407" t="s">
        <v>76</v>
      </c>
      <c r="Q7" s="406"/>
      <c r="R7" s="406"/>
      <c r="S7" s="407" t="s">
        <v>76</v>
      </c>
      <c r="T7" s="406"/>
      <c r="U7" s="406"/>
      <c r="V7" s="407" t="s">
        <v>76</v>
      </c>
      <c r="W7" s="406"/>
      <c r="X7" s="406"/>
      <c r="Y7" s="407" t="s">
        <v>76</v>
      </c>
      <c r="Z7" s="406"/>
      <c r="AA7" s="406"/>
      <c r="AB7" s="407" t="s">
        <v>76</v>
      </c>
      <c r="AC7" s="406"/>
      <c r="AD7" s="406"/>
      <c r="AE7" s="407" t="s">
        <v>76</v>
      </c>
      <c r="AF7" s="514"/>
      <c r="AG7" s="514"/>
      <c r="AH7" s="514"/>
      <c r="AI7" s="514"/>
      <c r="AJ7" s="514"/>
      <c r="AK7" s="514"/>
      <c r="AL7" s="514"/>
      <c r="AM7" s="514"/>
      <c r="AN7" s="514"/>
      <c r="AO7" s="514"/>
      <c r="AP7" s="514"/>
    </row>
    <row r="8" spans="1:42" ht="15.75" x14ac:dyDescent="0.25">
      <c r="A8" s="408" t="s">
        <v>261</v>
      </c>
      <c r="B8" s="409">
        <v>2024</v>
      </c>
      <c r="C8" s="409">
        <v>2025</v>
      </c>
      <c r="D8" s="410" t="s">
        <v>78</v>
      </c>
      <c r="E8" s="409">
        <f>$B$8</f>
        <v>2024</v>
      </c>
      <c r="F8" s="409">
        <f>$C$8</f>
        <v>2025</v>
      </c>
      <c r="G8" s="410" t="s">
        <v>78</v>
      </c>
      <c r="H8" s="409">
        <f>$B$8</f>
        <v>2024</v>
      </c>
      <c r="I8" s="409">
        <f>$C$8</f>
        <v>2025</v>
      </c>
      <c r="J8" s="410" t="s">
        <v>78</v>
      </c>
      <c r="K8" s="409">
        <f>$B$8</f>
        <v>2024</v>
      </c>
      <c r="L8" s="409">
        <f>$C$8</f>
        <v>2025</v>
      </c>
      <c r="M8" s="410" t="s">
        <v>78</v>
      </c>
      <c r="N8" s="409">
        <f>$B$8</f>
        <v>2024</v>
      </c>
      <c r="O8" s="409">
        <f>$C$8</f>
        <v>2025</v>
      </c>
      <c r="P8" s="410" t="s">
        <v>78</v>
      </c>
      <c r="Q8" s="409">
        <f>$B$8</f>
        <v>2024</v>
      </c>
      <c r="R8" s="409">
        <f>$C$8</f>
        <v>2025</v>
      </c>
      <c r="S8" s="410" t="s">
        <v>78</v>
      </c>
      <c r="T8" s="409">
        <f>$B$8</f>
        <v>2024</v>
      </c>
      <c r="U8" s="409">
        <f>$C$8</f>
        <v>2025</v>
      </c>
      <c r="V8" s="410" t="s">
        <v>78</v>
      </c>
      <c r="W8" s="409">
        <f>$B$8</f>
        <v>2024</v>
      </c>
      <c r="X8" s="409">
        <f>$C$8</f>
        <v>2025</v>
      </c>
      <c r="Y8" s="410" t="s">
        <v>78</v>
      </c>
      <c r="Z8" s="409">
        <f>$B$8</f>
        <v>2024</v>
      </c>
      <c r="AA8" s="409">
        <f>$C$8</f>
        <v>2025</v>
      </c>
      <c r="AB8" s="410" t="s">
        <v>78</v>
      </c>
      <c r="AC8" s="409">
        <f>$B$8</f>
        <v>2024</v>
      </c>
      <c r="AD8" s="409">
        <f>$C$8</f>
        <v>2025</v>
      </c>
      <c r="AE8" s="410" t="s">
        <v>78</v>
      </c>
      <c r="AF8" s="412"/>
      <c r="AG8" s="411"/>
      <c r="AH8" s="412"/>
      <c r="AI8" s="412"/>
      <c r="AJ8" s="411"/>
      <c r="AK8" s="412"/>
      <c r="AL8" s="412"/>
      <c r="AM8" s="411"/>
      <c r="AN8" s="412"/>
      <c r="AO8" s="412"/>
      <c r="AP8" s="411"/>
    </row>
    <row r="9" spans="1:42" s="389" customFormat="1" ht="18.75" x14ac:dyDescent="0.3">
      <c r="A9" s="413"/>
      <c r="B9" s="419"/>
      <c r="C9" s="419"/>
      <c r="D9" s="419"/>
      <c r="E9" s="419"/>
      <c r="F9" s="419"/>
      <c r="G9" s="419"/>
      <c r="H9" s="419"/>
      <c r="I9" s="419"/>
      <c r="J9" s="419"/>
      <c r="K9" s="419"/>
      <c r="L9" s="419"/>
      <c r="M9" s="419"/>
      <c r="N9" s="419"/>
      <c r="O9" s="419"/>
      <c r="P9" s="419"/>
      <c r="Q9" s="419"/>
      <c r="R9" s="390"/>
      <c r="S9" s="419"/>
      <c r="T9" s="419"/>
      <c r="U9" s="419"/>
      <c r="V9" s="419"/>
      <c r="W9" s="419"/>
      <c r="X9" s="419"/>
      <c r="Y9" s="419"/>
      <c r="Z9" s="419"/>
      <c r="AA9" s="419"/>
      <c r="AB9" s="419"/>
      <c r="AC9" s="414"/>
      <c r="AD9" s="414"/>
      <c r="AE9" s="414"/>
    </row>
    <row r="10" spans="1:42" s="389" customFormat="1" ht="18.75" x14ac:dyDescent="0.3">
      <c r="A10" s="415" t="s">
        <v>359</v>
      </c>
      <c r="B10" s="419"/>
      <c r="C10" s="419"/>
      <c r="D10" s="419"/>
      <c r="E10" s="419"/>
      <c r="F10" s="419"/>
      <c r="G10" s="419"/>
      <c r="H10" s="419"/>
      <c r="I10" s="419"/>
      <c r="J10" s="419"/>
      <c r="K10" s="419"/>
      <c r="L10" s="419"/>
      <c r="M10" s="419"/>
      <c r="N10" s="419"/>
      <c r="O10" s="419"/>
      <c r="P10" s="419"/>
      <c r="Q10" s="419"/>
      <c r="R10" s="390"/>
      <c r="S10" s="419"/>
      <c r="T10" s="419"/>
      <c r="U10" s="390"/>
      <c r="V10" s="419"/>
      <c r="W10" s="419"/>
      <c r="X10" s="390"/>
      <c r="Y10" s="419"/>
      <c r="Z10" s="419"/>
      <c r="AA10" s="390"/>
      <c r="AB10" s="419"/>
      <c r="AC10" s="419"/>
      <c r="AD10" s="419"/>
      <c r="AE10" s="420"/>
    </row>
    <row r="11" spans="1:42" ht="18.75" x14ac:dyDescent="0.3">
      <c r="A11" s="532" t="s">
        <v>409</v>
      </c>
      <c r="B11" s="419">
        <v>1.1399999999999999</v>
      </c>
      <c r="C11" s="419">
        <v>0.95</v>
      </c>
      <c r="D11" s="420"/>
      <c r="E11" s="419">
        <v>1</v>
      </c>
      <c r="F11" s="540">
        <v>0.69</v>
      </c>
      <c r="G11" s="419"/>
      <c r="H11" s="419"/>
      <c r="I11" s="419"/>
      <c r="J11" s="419"/>
      <c r="K11" s="419">
        <v>0.88</v>
      </c>
      <c r="L11" s="419">
        <v>0.96</v>
      </c>
      <c r="M11" s="419"/>
      <c r="N11" s="419">
        <v>3.05</v>
      </c>
      <c r="O11" s="419">
        <v>0</v>
      </c>
      <c r="P11" s="419"/>
      <c r="Q11" s="419">
        <v>1.4</v>
      </c>
      <c r="R11" s="390">
        <v>0.6</v>
      </c>
      <c r="S11" s="419"/>
      <c r="T11" s="419">
        <v>2.56</v>
      </c>
      <c r="U11" s="390">
        <v>0.3</v>
      </c>
      <c r="V11" s="419"/>
      <c r="W11" s="419">
        <v>2.0027441924958644E-2</v>
      </c>
      <c r="X11" s="390">
        <v>0.79512423676055799</v>
      </c>
      <c r="Y11" s="419"/>
      <c r="Z11" s="419">
        <v>1.37</v>
      </c>
      <c r="AA11" s="543"/>
      <c r="AB11" s="419"/>
      <c r="AC11" s="420"/>
      <c r="AD11" s="420"/>
      <c r="AE11" s="420"/>
    </row>
    <row r="12" spans="1:42" ht="18.75" x14ac:dyDescent="0.3">
      <c r="A12" s="415"/>
      <c r="B12" s="419"/>
      <c r="C12" s="419"/>
      <c r="D12" s="419"/>
      <c r="E12" s="419"/>
      <c r="F12" s="540"/>
      <c r="G12" s="419"/>
      <c r="H12" s="419"/>
      <c r="I12" s="419"/>
      <c r="J12" s="419"/>
      <c r="K12" s="419"/>
      <c r="L12" s="419"/>
      <c r="M12" s="419"/>
      <c r="N12" s="419"/>
      <c r="O12" s="419"/>
      <c r="P12" s="419"/>
      <c r="Q12" s="419"/>
      <c r="R12" s="390"/>
      <c r="S12" s="419"/>
      <c r="T12" s="419"/>
      <c r="U12" s="390"/>
      <c r="V12" s="419"/>
      <c r="W12" s="419"/>
      <c r="X12" s="390"/>
      <c r="Y12" s="419"/>
      <c r="Z12" s="419"/>
      <c r="AA12" s="390"/>
      <c r="AB12" s="419"/>
      <c r="AC12" s="419"/>
      <c r="AD12" s="419"/>
      <c r="AE12" s="419"/>
    </row>
    <row r="13" spans="1:42" ht="18.75" x14ac:dyDescent="0.3">
      <c r="A13" s="415" t="s">
        <v>360</v>
      </c>
      <c r="B13" s="419">
        <v>18.440000000000001</v>
      </c>
      <c r="C13" s="419">
        <v>18.22</v>
      </c>
      <c r="D13" s="420"/>
      <c r="E13" s="419">
        <v>34.799999999999997</v>
      </c>
      <c r="F13" s="540">
        <v>27.230863557092267</v>
      </c>
      <c r="G13" s="420"/>
      <c r="H13" s="419">
        <v>24.5</v>
      </c>
      <c r="I13" s="419">
        <v>23.7</v>
      </c>
      <c r="J13" s="420"/>
      <c r="K13" s="419">
        <v>5.8</v>
      </c>
      <c r="L13" s="419">
        <v>7.56</v>
      </c>
      <c r="M13" s="420"/>
      <c r="N13" s="419">
        <v>25.2</v>
      </c>
      <c r="O13" s="419">
        <v>23.4</v>
      </c>
      <c r="P13" s="420"/>
      <c r="Q13" s="419"/>
      <c r="R13" s="390"/>
      <c r="S13" s="420"/>
      <c r="T13" s="419">
        <v>44.751381215469614</v>
      </c>
      <c r="U13" s="544">
        <f>(1430+12100+32281-1362)/(91509+6140)*100</f>
        <v>45.519155342092596</v>
      </c>
      <c r="V13" s="420"/>
      <c r="W13" s="419">
        <v>33.581171321992173</v>
      </c>
      <c r="X13" s="390">
        <f>('[2]Tabell 6'!X68+'[2]Tabell 6'!X69+'[2]Tabell 6'!X71+'[2]Tabell 6'!X76+'[2]Tabell 6'!X78+'[2]Tabell 6'!X79)/('[2]Tabell 6'!X80)*100</f>
        <v>39.021863657565682</v>
      </c>
      <c r="Y13" s="420"/>
      <c r="Z13" s="419">
        <v>11</v>
      </c>
      <c r="AA13" s="543">
        <v>0.10270007253765902</v>
      </c>
      <c r="AB13" s="420"/>
      <c r="AC13" s="420"/>
      <c r="AD13" s="420"/>
      <c r="AE13" s="420"/>
    </row>
    <row r="14" spans="1:42" ht="18.75" x14ac:dyDescent="0.3">
      <c r="A14" s="415"/>
      <c r="B14" s="419"/>
      <c r="C14" s="419"/>
      <c r="D14" s="419"/>
      <c r="E14" s="419"/>
      <c r="F14" s="540"/>
      <c r="G14" s="419"/>
      <c r="H14" s="419"/>
      <c r="I14" s="419"/>
      <c r="J14" s="419"/>
      <c r="K14" s="419"/>
      <c r="L14" s="419"/>
      <c r="M14" s="419"/>
      <c r="N14" s="419"/>
      <c r="O14" s="419"/>
      <c r="P14" s="419"/>
      <c r="Q14" s="419"/>
      <c r="R14" s="390"/>
      <c r="S14" s="419"/>
      <c r="T14" s="419"/>
      <c r="U14" s="390"/>
      <c r="V14" s="419"/>
      <c r="W14" s="419"/>
      <c r="X14" s="390"/>
      <c r="Y14" s="419"/>
      <c r="Z14" s="419"/>
      <c r="AA14" s="390"/>
      <c r="AB14" s="419"/>
      <c r="AC14" s="419"/>
      <c r="AD14" s="419"/>
      <c r="AE14" s="419"/>
    </row>
    <row r="15" spans="1:42" ht="18.75" x14ac:dyDescent="0.3">
      <c r="A15" s="415" t="s">
        <v>380</v>
      </c>
      <c r="B15" s="541">
        <v>6411</v>
      </c>
      <c r="C15" s="541">
        <v>7957</v>
      </c>
      <c r="D15" s="420">
        <f>IF(B15=0, "    ---- ", IF(ABS(ROUND(100/B15*C15-100,1))&lt;999,ROUND(100/B15*C15-100,1),IF(ROUND(100/B15*C15-100,1)&gt;999,999,-999)))</f>
        <v>24.1</v>
      </c>
      <c r="E15" s="420"/>
      <c r="F15" s="541"/>
      <c r="G15" s="420"/>
      <c r="H15" s="420"/>
      <c r="I15" s="420"/>
      <c r="J15" s="420"/>
      <c r="K15" s="420">
        <v>257</v>
      </c>
      <c r="L15" s="420">
        <v>345</v>
      </c>
      <c r="M15" s="420">
        <f>IF(K15=0, "    ---- ", IF(ABS(ROUND(100/K15*L15-100,1))&lt;999,ROUND(100/K15*L15-100,1),IF(ROUND(100/K15*L15-100,1)&gt;999,999,-999)))</f>
        <v>34.200000000000003</v>
      </c>
      <c r="N15" s="420">
        <v>109280.93940820999</v>
      </c>
      <c r="O15" s="420">
        <v>118937.01029563999</v>
      </c>
      <c r="P15" s="420">
        <f>IF(N15=0, "    ---- ", IF(ABS(ROUND(100/N15*O15-100,1))&lt;999,ROUND(100/N15*O15-100,1),IF(ROUND(100/N15*O15-100,1)&gt;999,999,-999)))</f>
        <v>8.8000000000000007</v>
      </c>
      <c r="Q15" s="420">
        <v>5863</v>
      </c>
      <c r="R15" s="391">
        <v>5789</v>
      </c>
      <c r="S15" s="420">
        <f>IF(Q15=0, "    ---- ", IF(ABS(ROUND(100/Q15*R15-100,1))&lt;999,ROUND(100/Q15*R15-100,1),IF(ROUND(100/Q15*R15-100,1)&gt;999,999,-999)))</f>
        <v>-1.3</v>
      </c>
      <c r="T15" s="541">
        <v>29966</v>
      </c>
      <c r="U15" s="546">
        <v>32281</v>
      </c>
      <c r="V15" s="420">
        <f>IF(T15=0, "    ---- ", IF(ABS(ROUND(100/T15*U15-100,1))&lt;999,ROUND(100/T15*U15-100,1),IF(ROUND(100/T15*U15-100,1)&gt;999,999,-999)))</f>
        <v>7.7</v>
      </c>
      <c r="W15" s="420">
        <v>3329.721</v>
      </c>
      <c r="X15" s="391">
        <v>3708.06</v>
      </c>
      <c r="Y15" s="420">
        <f>IF(W15=0, "    ---- ", IF(ABS(ROUND(100/W15*X15-100,1))&lt;999,ROUND(100/W15*X15-100,1),IF(ROUND(100/W15*X15-100,1)&gt;999,999,-999)))</f>
        <v>11.4</v>
      </c>
      <c r="Z15" s="420">
        <v>12992.16782045</v>
      </c>
      <c r="AA15" s="391">
        <v>14196.759435839998</v>
      </c>
      <c r="AB15" s="420">
        <f>IF(Z15=0, "    ---- ", IF(ABS(ROUND(100/Z15*AA15-100,1))&lt;999,ROUND(100/Z15*AA15-100,1),IF(ROUND(100/Z15*AA15-100,1)&gt;999,999,-999)))</f>
        <v>9.3000000000000007</v>
      </c>
      <c r="AC15" s="420">
        <f>B15+E15+H15+K15+N15+Q15+T15+W15+Z15</f>
        <v>168099.82822865999</v>
      </c>
      <c r="AD15" s="420">
        <f>C15+F15+I15+L15+O15+R15+U15+X15+AA15</f>
        <v>183213.82973147999</v>
      </c>
      <c r="AE15" s="420">
        <f>IF(AC15=0, "    ---- ", IF(ABS(ROUND(100/AC15*AD15-100,1))&lt;999,ROUND(100/AC15*AD15-100,1),IF(ROUND(100/AC15*AD15-100,1)&gt;999,999,-999)))</f>
        <v>9</v>
      </c>
    </row>
    <row r="16" spans="1:42" ht="18.75" x14ac:dyDescent="0.3">
      <c r="A16" s="415"/>
      <c r="B16" s="420"/>
      <c r="C16" s="420"/>
      <c r="D16" s="420"/>
      <c r="E16" s="420"/>
      <c r="F16" s="541"/>
      <c r="G16" s="420"/>
      <c r="H16" s="420"/>
      <c r="I16" s="420"/>
      <c r="J16" s="420"/>
      <c r="K16" s="420"/>
      <c r="L16" s="420"/>
      <c r="M16" s="420"/>
      <c r="N16" s="420"/>
      <c r="O16" s="420"/>
      <c r="P16" s="420"/>
      <c r="Q16" s="420"/>
      <c r="R16" s="391"/>
      <c r="S16" s="420"/>
      <c r="T16" s="420"/>
      <c r="U16" s="391"/>
      <c r="V16" s="420"/>
      <c r="W16" s="420"/>
      <c r="X16" s="391"/>
      <c r="Y16" s="420"/>
      <c r="Z16" s="420"/>
      <c r="AA16" s="391"/>
      <c r="AB16" s="420"/>
      <c r="AC16" s="420"/>
      <c r="AD16" s="420"/>
      <c r="AE16" s="420"/>
    </row>
    <row r="17" spans="1:31" ht="18.75" x14ac:dyDescent="0.3">
      <c r="A17" s="416" t="s">
        <v>361</v>
      </c>
      <c r="B17" s="421">
        <v>-5343.6760000000004</v>
      </c>
      <c r="C17" s="421">
        <v>-6289.0550000000003</v>
      </c>
      <c r="D17" s="421">
        <f>IF(B17=0, "    ---- ", IF(ABS(ROUND(100/B17*C17-100,1))&lt;999,ROUND(100/B17*C17-100,1),IF(ROUND(100/B17*C17-100,1)&gt;999,999,-999)))</f>
        <v>17.7</v>
      </c>
      <c r="E17" s="422">
        <v>0.8</v>
      </c>
      <c r="F17" s="542">
        <v>1.8</v>
      </c>
      <c r="G17" s="421">
        <f>IF(E17=0, "    ---- ", IF(ABS(ROUND(100/E17*F17-100,1))&lt;999,ROUND(100/E17*F17-100,1),IF(ROUND(100/E17*F17-100,1)&gt;999,999,-999)))</f>
        <v>125</v>
      </c>
      <c r="H17" s="421"/>
      <c r="I17" s="421"/>
      <c r="J17" s="421"/>
      <c r="K17" s="421">
        <v>-17</v>
      </c>
      <c r="L17" s="421">
        <v>-14.4</v>
      </c>
      <c r="M17" s="421">
        <f>IF(K17=0, "    ---- ", IF(ABS(ROUND(100/K17*L17-100,1))&lt;999,ROUND(100/K17*L17-100,1),IF(ROUND(100/K17*L17-100,1)&gt;999,999,-999)))</f>
        <v>-15.3</v>
      </c>
      <c r="N17" s="421">
        <v>-1012</v>
      </c>
      <c r="O17" s="421">
        <v>-742</v>
      </c>
      <c r="P17" s="421">
        <f>IF(N17=0, "    ---- ", IF(ABS(ROUND(100/N17*O17-100,1))&lt;999,ROUND(100/N17*O17-100,1),IF(ROUND(100/N17*O17-100,1)&gt;999,999,-999)))</f>
        <v>-26.7</v>
      </c>
      <c r="Q17" s="421">
        <v>2624</v>
      </c>
      <c r="R17" s="392">
        <v>-2948</v>
      </c>
      <c r="S17" s="421">
        <f>IF(Q17=0, "    ---- ", IF(ABS(ROUND(100/Q17*R17-100,1))&lt;999,ROUND(100/Q17*R17-100,1),IF(ROUND(100/Q17*R17-100,1)&gt;999,999,-999)))</f>
        <v>-212.3</v>
      </c>
      <c r="T17" s="421">
        <v>-1429</v>
      </c>
      <c r="U17" s="392">
        <v>-1362</v>
      </c>
      <c r="V17" s="421">
        <f>IF(T17=0, "    ---- ", IF(ABS(ROUND(100/T17*U17-100,1))&lt;999,ROUND(100/T17*U17-100,1),IF(ROUND(100/T17*U17-100,1)&gt;999,999,-999)))</f>
        <v>-4.7</v>
      </c>
      <c r="W17" s="421">
        <v>-63.18</v>
      </c>
      <c r="X17" s="392">
        <v>-59.420999999999999</v>
      </c>
      <c r="Y17" s="421">
        <f>IF(W17=0, "    ---- ", IF(ABS(ROUND(100/W17*X17-100,1))&lt;999,ROUND(100/W17*X17-100,1),IF(ROUND(100/W17*X17-100,1)&gt;999,999,-999)))</f>
        <v>-5.9</v>
      </c>
      <c r="Z17" s="421">
        <v>-12438.291214000001</v>
      </c>
      <c r="AA17" s="392">
        <v>-13668.872797</v>
      </c>
      <c r="AB17" s="421">
        <f>IF(Z17=0, "    ---- ", IF(ABS(ROUND(100/Z17*AA17-100,1))&lt;999,ROUND(100/Z17*AA17-100,1),IF(ROUND(100/Z17*AA17-100,1)&gt;999,999,-999)))</f>
        <v>9.9</v>
      </c>
      <c r="AC17" s="421">
        <f>B17+E17+H17+K17+N17+Q17+T17+W17+Z17</f>
        <v>-17678.347214000001</v>
      </c>
      <c r="AD17" s="421">
        <f>C17+F17+I17+L17+O17+R17+U17+X17+AA17</f>
        <v>-25081.948796999997</v>
      </c>
      <c r="AE17" s="421">
        <f>IF(AC17=0, "    ---- ", IF(ABS(ROUND(100/AC17*AD17-100,1))&lt;999,ROUND(100/AC17*AD17-100,1),IF(ROUND(100/AC17*AD17-100,1)&gt;999,999,-999)))</f>
        <v>41.9</v>
      </c>
    </row>
  </sheetData>
  <protectedRanges>
    <protectedRange sqref="R9:R10" name="Område1_13_3_1_1"/>
    <protectedRange sqref="R11:R17" name="Område1_5_1_2_1"/>
    <protectedRange sqref="Q14:Q17 Q9:Q12" name="Område1_9_3_1"/>
    <protectedRange sqref="Q13" name="Område1_4_2_3_1"/>
    <protectedRange sqref="L14:L17 L9:L12" name="Område1_9_6_1_2"/>
    <protectedRange sqref="L13" name="Område1_4_2_6_1_2"/>
    <protectedRange sqref="K14:K17 K9:K12" name="Område1_9_1"/>
    <protectedRange sqref="I14:I17 I9:I12" name="Område1_13_1_1_1_1"/>
    <protectedRange sqref="I13" name="Område1_4_1_2_1_1"/>
    <protectedRange sqref="H14:H17 H9:H12" name="Område1_9_7_1"/>
    <protectedRange sqref="H13" name="Område1_4_2_7_1"/>
    <protectedRange sqref="C9:C10" name="Område1_13_5_1_1_3"/>
    <protectedRange sqref="C11:C17" name="Område1_2_1_2_1_1_3"/>
    <protectedRange sqref="B9:B10" name="Område1_13_5_1_1_1_2"/>
    <protectedRange sqref="B11:B17" name="Område1_2_1_2_1_1_1_2"/>
    <protectedRange sqref="F9:F10" name="Område1_13_5_2_1"/>
    <protectedRange sqref="F11:F17" name="Område1_2_1_2_2_1"/>
    <protectedRange sqref="E14:E17 E9:E12" name="Område1_9_6_1_1_1"/>
    <protectedRange sqref="E13" name="Område1_4_2_6_1_1_1"/>
    <protectedRange sqref="Z9:AA10" name="Område1_10_1_1_1_1"/>
    <protectedRange sqref="Z11:AA17" name="Område1_8_1_1_1_1_1"/>
    <protectedRange sqref="U9:U10" name="Område1_13_4_1_1_1"/>
    <protectedRange sqref="U11:U12 U14:U17" name="Område1_6_1_2_1_1"/>
    <protectedRange sqref="T14:T17 T9:T12" name="Område1_9_5_1"/>
    <protectedRange sqref="T13" name="Område1_4_2_5_1"/>
    <protectedRange sqref="U13" name="Område1_4_2_5_1_1"/>
    <protectedRange sqref="O9:O10" name="Område1_13_2_1_1_1"/>
    <protectedRange sqref="O11:O17" name="Område1_3_1_2_1_1"/>
    <protectedRange sqref="N14:N17 N9:N12" name="Område1_9_4_1"/>
    <protectedRange sqref="N13" name="Område1_4_2_4"/>
  </protectedRanges>
  <mergeCells count="23">
    <mergeCell ref="AC5:AE5"/>
    <mergeCell ref="AH5:AJ5"/>
    <mergeCell ref="AK5:AM5"/>
    <mergeCell ref="AN5:AP5"/>
    <mergeCell ref="B6:D6"/>
    <mergeCell ref="E6:G6"/>
    <mergeCell ref="H6:J6"/>
    <mergeCell ref="K6:M6"/>
    <mergeCell ref="N6:P6"/>
    <mergeCell ref="Q6:S6"/>
    <mergeCell ref="B5:D5"/>
    <mergeCell ref="H5:J5"/>
    <mergeCell ref="K5:M5"/>
    <mergeCell ref="T5:V5"/>
    <mergeCell ref="W5:Y5"/>
    <mergeCell ref="Z5:AB5"/>
    <mergeCell ref="AN6:AP6"/>
    <mergeCell ref="T6:V6"/>
    <mergeCell ref="W6:Y6"/>
    <mergeCell ref="Z6:AB6"/>
    <mergeCell ref="AC6:AE6"/>
    <mergeCell ref="AH6:AJ6"/>
    <mergeCell ref="AK6:AM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Ark9"/>
  <dimension ref="A2:N65"/>
  <sheetViews>
    <sheetView showGridLines="0" zoomScale="90" zoomScaleNormal="90" workbookViewId="0"/>
  </sheetViews>
  <sheetFormatPr baseColWidth="10" defaultColWidth="11.42578125" defaultRowHeight="12.75" x14ac:dyDescent="0.2"/>
  <cols>
    <col min="1" max="1" width="66.28515625" style="1" customWidth="1"/>
    <col min="2" max="2" width="4.28515625" style="40" customWidth="1"/>
    <col min="3" max="3" width="105.28515625" style="1" customWidth="1"/>
    <col min="4" max="8" width="12.7109375" style="1" customWidth="1"/>
    <col min="9" max="257" width="11.42578125" style="1"/>
    <col min="258" max="258" width="2.7109375" style="1" customWidth="1"/>
    <col min="259" max="259" width="176.7109375" style="1" customWidth="1"/>
    <col min="260" max="260" width="11.42578125" style="1"/>
    <col min="261" max="261" width="176.7109375" style="1" customWidth="1"/>
    <col min="262" max="262" width="11.42578125" style="1"/>
    <col min="263" max="263" width="88.7109375" style="1" customWidth="1"/>
    <col min="264" max="513" width="11.42578125" style="1"/>
    <col min="514" max="514" width="2.7109375" style="1" customWidth="1"/>
    <col min="515" max="515" width="176.7109375" style="1" customWidth="1"/>
    <col min="516" max="516" width="11.42578125" style="1"/>
    <col min="517" max="517" width="176.7109375" style="1" customWidth="1"/>
    <col min="518" max="518" width="11.42578125" style="1"/>
    <col min="519" max="519" width="88.7109375" style="1" customWidth="1"/>
    <col min="520" max="769" width="11.42578125" style="1"/>
    <col min="770" max="770" width="2.7109375" style="1" customWidth="1"/>
    <col min="771" max="771" width="176.7109375" style="1" customWidth="1"/>
    <col min="772" max="772" width="11.42578125" style="1"/>
    <col min="773" max="773" width="176.7109375" style="1" customWidth="1"/>
    <col min="774" max="774" width="11.42578125" style="1"/>
    <col min="775" max="775" width="88.7109375" style="1" customWidth="1"/>
    <col min="776" max="1025" width="11.42578125" style="1"/>
    <col min="1026" max="1026" width="2.7109375" style="1" customWidth="1"/>
    <col min="1027" max="1027" width="176.7109375" style="1" customWidth="1"/>
    <col min="1028" max="1028" width="11.42578125" style="1"/>
    <col min="1029" max="1029" width="176.7109375" style="1" customWidth="1"/>
    <col min="1030" max="1030" width="11.42578125" style="1"/>
    <col min="1031" max="1031" width="88.7109375" style="1" customWidth="1"/>
    <col min="1032" max="1281" width="11.42578125" style="1"/>
    <col min="1282" max="1282" width="2.7109375" style="1" customWidth="1"/>
    <col min="1283" max="1283" width="176.7109375" style="1" customWidth="1"/>
    <col min="1284" max="1284" width="11.42578125" style="1"/>
    <col min="1285" max="1285" width="176.7109375" style="1" customWidth="1"/>
    <col min="1286" max="1286" width="11.42578125" style="1"/>
    <col min="1287" max="1287" width="88.7109375" style="1" customWidth="1"/>
    <col min="1288" max="1537" width="11.42578125" style="1"/>
    <col min="1538" max="1538" width="2.7109375" style="1" customWidth="1"/>
    <col min="1539" max="1539" width="176.7109375" style="1" customWidth="1"/>
    <col min="1540" max="1540" width="11.42578125" style="1"/>
    <col min="1541" max="1541" width="176.7109375" style="1" customWidth="1"/>
    <col min="1542" max="1542" width="11.42578125" style="1"/>
    <col min="1543" max="1543" width="88.7109375" style="1" customWidth="1"/>
    <col min="1544" max="1793" width="11.42578125" style="1"/>
    <col min="1794" max="1794" width="2.7109375" style="1" customWidth="1"/>
    <col min="1795" max="1795" width="176.7109375" style="1" customWidth="1"/>
    <col min="1796" max="1796" width="11.42578125" style="1"/>
    <col min="1797" max="1797" width="176.7109375" style="1" customWidth="1"/>
    <col min="1798" max="1798" width="11.42578125" style="1"/>
    <col min="1799" max="1799" width="88.7109375" style="1" customWidth="1"/>
    <col min="1800" max="2049" width="11.42578125" style="1"/>
    <col min="2050" max="2050" width="2.7109375" style="1" customWidth="1"/>
    <col min="2051" max="2051" width="176.7109375" style="1" customWidth="1"/>
    <col min="2052" max="2052" width="11.42578125" style="1"/>
    <col min="2053" max="2053" width="176.7109375" style="1" customWidth="1"/>
    <col min="2054" max="2054" width="11.42578125" style="1"/>
    <col min="2055" max="2055" width="88.7109375" style="1" customWidth="1"/>
    <col min="2056" max="2305" width="11.42578125" style="1"/>
    <col min="2306" max="2306" width="2.7109375" style="1" customWidth="1"/>
    <col min="2307" max="2307" width="176.7109375" style="1" customWidth="1"/>
    <col min="2308" max="2308" width="11.42578125" style="1"/>
    <col min="2309" max="2309" width="176.7109375" style="1" customWidth="1"/>
    <col min="2310" max="2310" width="11.42578125" style="1"/>
    <col min="2311" max="2311" width="88.7109375" style="1" customWidth="1"/>
    <col min="2312" max="2561" width="11.42578125" style="1"/>
    <col min="2562" max="2562" width="2.7109375" style="1" customWidth="1"/>
    <col min="2563" max="2563" width="176.7109375" style="1" customWidth="1"/>
    <col min="2564" max="2564" width="11.42578125" style="1"/>
    <col min="2565" max="2565" width="176.7109375" style="1" customWidth="1"/>
    <col min="2566" max="2566" width="11.42578125" style="1"/>
    <col min="2567" max="2567" width="88.7109375" style="1" customWidth="1"/>
    <col min="2568" max="2817" width="11.42578125" style="1"/>
    <col min="2818" max="2818" width="2.7109375" style="1" customWidth="1"/>
    <col min="2819" max="2819" width="176.7109375" style="1" customWidth="1"/>
    <col min="2820" max="2820" width="11.42578125" style="1"/>
    <col min="2821" max="2821" width="176.7109375" style="1" customWidth="1"/>
    <col min="2822" max="2822" width="11.42578125" style="1"/>
    <col min="2823" max="2823" width="88.7109375" style="1" customWidth="1"/>
    <col min="2824" max="3073" width="11.42578125" style="1"/>
    <col min="3074" max="3074" width="2.7109375" style="1" customWidth="1"/>
    <col min="3075" max="3075" width="176.7109375" style="1" customWidth="1"/>
    <col min="3076" max="3076" width="11.42578125" style="1"/>
    <col min="3077" max="3077" width="176.7109375" style="1" customWidth="1"/>
    <col min="3078" max="3078" width="11.42578125" style="1"/>
    <col min="3079" max="3079" width="88.7109375" style="1" customWidth="1"/>
    <col min="3080" max="3329" width="11.42578125" style="1"/>
    <col min="3330" max="3330" width="2.7109375" style="1" customWidth="1"/>
    <col min="3331" max="3331" width="176.7109375" style="1" customWidth="1"/>
    <col min="3332" max="3332" width="11.42578125" style="1"/>
    <col min="3333" max="3333" width="176.7109375" style="1" customWidth="1"/>
    <col min="3334" max="3334" width="11.42578125" style="1"/>
    <col min="3335" max="3335" width="88.7109375" style="1" customWidth="1"/>
    <col min="3336" max="3585" width="11.42578125" style="1"/>
    <col min="3586" max="3586" width="2.7109375" style="1" customWidth="1"/>
    <col min="3587" max="3587" width="176.7109375" style="1" customWidth="1"/>
    <col min="3588" max="3588" width="11.42578125" style="1"/>
    <col min="3589" max="3589" width="176.7109375" style="1" customWidth="1"/>
    <col min="3590" max="3590" width="11.42578125" style="1"/>
    <col min="3591" max="3591" width="88.7109375" style="1" customWidth="1"/>
    <col min="3592" max="3841" width="11.42578125" style="1"/>
    <col min="3842" max="3842" width="2.7109375" style="1" customWidth="1"/>
    <col min="3843" max="3843" width="176.7109375" style="1" customWidth="1"/>
    <col min="3844" max="3844" width="11.42578125" style="1"/>
    <col min="3845" max="3845" width="176.7109375" style="1" customWidth="1"/>
    <col min="3846" max="3846" width="11.42578125" style="1"/>
    <col min="3847" max="3847" width="88.7109375" style="1" customWidth="1"/>
    <col min="3848" max="4097" width="11.42578125" style="1"/>
    <col min="4098" max="4098" width="2.7109375" style="1" customWidth="1"/>
    <col min="4099" max="4099" width="176.7109375" style="1" customWidth="1"/>
    <col min="4100" max="4100" width="11.42578125" style="1"/>
    <col min="4101" max="4101" width="176.7109375" style="1" customWidth="1"/>
    <col min="4102" max="4102" width="11.42578125" style="1"/>
    <col min="4103" max="4103" width="88.7109375" style="1" customWidth="1"/>
    <col min="4104" max="4353" width="11.42578125" style="1"/>
    <col min="4354" max="4354" width="2.7109375" style="1" customWidth="1"/>
    <col min="4355" max="4355" width="176.7109375" style="1" customWidth="1"/>
    <col min="4356" max="4356" width="11.42578125" style="1"/>
    <col min="4357" max="4357" width="176.7109375" style="1" customWidth="1"/>
    <col min="4358" max="4358" width="11.42578125" style="1"/>
    <col min="4359" max="4359" width="88.7109375" style="1" customWidth="1"/>
    <col min="4360" max="4609" width="11.42578125" style="1"/>
    <col min="4610" max="4610" width="2.7109375" style="1" customWidth="1"/>
    <col min="4611" max="4611" width="176.7109375" style="1" customWidth="1"/>
    <col min="4612" max="4612" width="11.42578125" style="1"/>
    <col min="4613" max="4613" width="176.7109375" style="1" customWidth="1"/>
    <col min="4614" max="4614" width="11.42578125" style="1"/>
    <col min="4615" max="4615" width="88.7109375" style="1" customWidth="1"/>
    <col min="4616" max="4865" width="11.42578125" style="1"/>
    <col min="4866" max="4866" width="2.7109375" style="1" customWidth="1"/>
    <col min="4867" max="4867" width="176.7109375" style="1" customWidth="1"/>
    <col min="4868" max="4868" width="11.42578125" style="1"/>
    <col min="4869" max="4869" width="176.7109375" style="1" customWidth="1"/>
    <col min="4870" max="4870" width="11.42578125" style="1"/>
    <col min="4871" max="4871" width="88.7109375" style="1" customWidth="1"/>
    <col min="4872" max="5121" width="11.42578125" style="1"/>
    <col min="5122" max="5122" width="2.7109375" style="1" customWidth="1"/>
    <col min="5123" max="5123" width="176.7109375" style="1" customWidth="1"/>
    <col min="5124" max="5124" width="11.42578125" style="1"/>
    <col min="5125" max="5125" width="176.7109375" style="1" customWidth="1"/>
    <col min="5126" max="5126" width="11.42578125" style="1"/>
    <col min="5127" max="5127" width="88.7109375" style="1" customWidth="1"/>
    <col min="5128" max="5377" width="11.42578125" style="1"/>
    <col min="5378" max="5378" width="2.7109375" style="1" customWidth="1"/>
    <col min="5379" max="5379" width="176.7109375" style="1" customWidth="1"/>
    <col min="5380" max="5380" width="11.42578125" style="1"/>
    <col min="5381" max="5381" width="176.7109375" style="1" customWidth="1"/>
    <col min="5382" max="5382" width="11.42578125" style="1"/>
    <col min="5383" max="5383" width="88.7109375" style="1" customWidth="1"/>
    <col min="5384" max="5633" width="11.42578125" style="1"/>
    <col min="5634" max="5634" width="2.7109375" style="1" customWidth="1"/>
    <col min="5635" max="5635" width="176.7109375" style="1" customWidth="1"/>
    <col min="5636" max="5636" width="11.42578125" style="1"/>
    <col min="5637" max="5637" width="176.7109375" style="1" customWidth="1"/>
    <col min="5638" max="5638" width="11.42578125" style="1"/>
    <col min="5639" max="5639" width="88.7109375" style="1" customWidth="1"/>
    <col min="5640" max="5889" width="11.42578125" style="1"/>
    <col min="5890" max="5890" width="2.7109375" style="1" customWidth="1"/>
    <col min="5891" max="5891" width="176.7109375" style="1" customWidth="1"/>
    <col min="5892" max="5892" width="11.42578125" style="1"/>
    <col min="5893" max="5893" width="176.7109375" style="1" customWidth="1"/>
    <col min="5894" max="5894" width="11.42578125" style="1"/>
    <col min="5895" max="5895" width="88.7109375" style="1" customWidth="1"/>
    <col min="5896" max="6145" width="11.42578125" style="1"/>
    <col min="6146" max="6146" width="2.7109375" style="1" customWidth="1"/>
    <col min="6147" max="6147" width="176.7109375" style="1" customWidth="1"/>
    <col min="6148" max="6148" width="11.42578125" style="1"/>
    <col min="6149" max="6149" width="176.7109375" style="1" customWidth="1"/>
    <col min="6150" max="6150" width="11.42578125" style="1"/>
    <col min="6151" max="6151" width="88.7109375" style="1" customWidth="1"/>
    <col min="6152" max="6401" width="11.42578125" style="1"/>
    <col min="6402" max="6402" width="2.7109375" style="1" customWidth="1"/>
    <col min="6403" max="6403" width="176.7109375" style="1" customWidth="1"/>
    <col min="6404" max="6404" width="11.42578125" style="1"/>
    <col min="6405" max="6405" width="176.7109375" style="1" customWidth="1"/>
    <col min="6406" max="6406" width="11.42578125" style="1"/>
    <col min="6407" max="6407" width="88.7109375" style="1" customWidth="1"/>
    <col min="6408" max="6657" width="11.42578125" style="1"/>
    <col min="6658" max="6658" width="2.7109375" style="1" customWidth="1"/>
    <col min="6659" max="6659" width="176.7109375" style="1" customWidth="1"/>
    <col min="6660" max="6660" width="11.42578125" style="1"/>
    <col min="6661" max="6661" width="176.7109375" style="1" customWidth="1"/>
    <col min="6662" max="6662" width="11.42578125" style="1"/>
    <col min="6663" max="6663" width="88.7109375" style="1" customWidth="1"/>
    <col min="6664" max="6913" width="11.42578125" style="1"/>
    <col min="6914" max="6914" width="2.7109375" style="1" customWidth="1"/>
    <col min="6915" max="6915" width="176.7109375" style="1" customWidth="1"/>
    <col min="6916" max="6916" width="11.42578125" style="1"/>
    <col min="6917" max="6917" width="176.7109375" style="1" customWidth="1"/>
    <col min="6918" max="6918" width="11.42578125" style="1"/>
    <col min="6919" max="6919" width="88.7109375" style="1" customWidth="1"/>
    <col min="6920" max="7169" width="11.42578125" style="1"/>
    <col min="7170" max="7170" width="2.7109375" style="1" customWidth="1"/>
    <col min="7171" max="7171" width="176.7109375" style="1" customWidth="1"/>
    <col min="7172" max="7172" width="11.42578125" style="1"/>
    <col min="7173" max="7173" width="176.7109375" style="1" customWidth="1"/>
    <col min="7174" max="7174" width="11.42578125" style="1"/>
    <col min="7175" max="7175" width="88.7109375" style="1" customWidth="1"/>
    <col min="7176" max="7425" width="11.42578125" style="1"/>
    <col min="7426" max="7426" width="2.7109375" style="1" customWidth="1"/>
    <col min="7427" max="7427" width="176.7109375" style="1" customWidth="1"/>
    <col min="7428" max="7428" width="11.42578125" style="1"/>
    <col min="7429" max="7429" width="176.7109375" style="1" customWidth="1"/>
    <col min="7430" max="7430" width="11.42578125" style="1"/>
    <col min="7431" max="7431" width="88.7109375" style="1" customWidth="1"/>
    <col min="7432" max="7681" width="11.42578125" style="1"/>
    <col min="7682" max="7682" width="2.7109375" style="1" customWidth="1"/>
    <col min="7683" max="7683" width="176.7109375" style="1" customWidth="1"/>
    <col min="7684" max="7684" width="11.42578125" style="1"/>
    <col min="7685" max="7685" width="176.7109375" style="1" customWidth="1"/>
    <col min="7686" max="7686" width="11.42578125" style="1"/>
    <col min="7687" max="7687" width="88.7109375" style="1" customWidth="1"/>
    <col min="7688" max="7937" width="11.42578125" style="1"/>
    <col min="7938" max="7938" width="2.7109375" style="1" customWidth="1"/>
    <col min="7939" max="7939" width="176.7109375" style="1" customWidth="1"/>
    <col min="7940" max="7940" width="11.42578125" style="1"/>
    <col min="7941" max="7941" width="176.7109375" style="1" customWidth="1"/>
    <col min="7942" max="7942" width="11.42578125" style="1"/>
    <col min="7943" max="7943" width="88.7109375" style="1" customWidth="1"/>
    <col min="7944" max="8193" width="11.42578125" style="1"/>
    <col min="8194" max="8194" width="2.7109375" style="1" customWidth="1"/>
    <col min="8195" max="8195" width="176.7109375" style="1" customWidth="1"/>
    <col min="8196" max="8196" width="11.42578125" style="1"/>
    <col min="8197" max="8197" width="176.7109375" style="1" customWidth="1"/>
    <col min="8198" max="8198" width="11.42578125" style="1"/>
    <col min="8199" max="8199" width="88.7109375" style="1" customWidth="1"/>
    <col min="8200" max="8449" width="11.42578125" style="1"/>
    <col min="8450" max="8450" width="2.7109375" style="1" customWidth="1"/>
    <col min="8451" max="8451" width="176.7109375" style="1" customWidth="1"/>
    <col min="8452" max="8452" width="11.42578125" style="1"/>
    <col min="8453" max="8453" width="176.7109375" style="1" customWidth="1"/>
    <col min="8454" max="8454" width="11.42578125" style="1"/>
    <col min="8455" max="8455" width="88.7109375" style="1" customWidth="1"/>
    <col min="8456" max="8705" width="11.42578125" style="1"/>
    <col min="8706" max="8706" width="2.7109375" style="1" customWidth="1"/>
    <col min="8707" max="8707" width="176.7109375" style="1" customWidth="1"/>
    <col min="8708" max="8708" width="11.42578125" style="1"/>
    <col min="8709" max="8709" width="176.7109375" style="1" customWidth="1"/>
    <col min="8710" max="8710" width="11.42578125" style="1"/>
    <col min="8711" max="8711" width="88.7109375" style="1" customWidth="1"/>
    <col min="8712" max="8961" width="11.42578125" style="1"/>
    <col min="8962" max="8962" width="2.7109375" style="1" customWidth="1"/>
    <col min="8963" max="8963" width="176.7109375" style="1" customWidth="1"/>
    <col min="8964" max="8964" width="11.42578125" style="1"/>
    <col min="8965" max="8965" width="176.7109375" style="1" customWidth="1"/>
    <col min="8966" max="8966" width="11.42578125" style="1"/>
    <col min="8967" max="8967" width="88.7109375" style="1" customWidth="1"/>
    <col min="8968" max="9217" width="11.42578125" style="1"/>
    <col min="9218" max="9218" width="2.7109375" style="1" customWidth="1"/>
    <col min="9219" max="9219" width="176.7109375" style="1" customWidth="1"/>
    <col min="9220" max="9220" width="11.42578125" style="1"/>
    <col min="9221" max="9221" width="176.7109375" style="1" customWidth="1"/>
    <col min="9222" max="9222" width="11.42578125" style="1"/>
    <col min="9223" max="9223" width="88.7109375" style="1" customWidth="1"/>
    <col min="9224" max="9473" width="11.42578125" style="1"/>
    <col min="9474" max="9474" width="2.7109375" style="1" customWidth="1"/>
    <col min="9475" max="9475" width="176.7109375" style="1" customWidth="1"/>
    <col min="9476" max="9476" width="11.42578125" style="1"/>
    <col min="9477" max="9477" width="176.7109375" style="1" customWidth="1"/>
    <col min="9478" max="9478" width="11.42578125" style="1"/>
    <col min="9479" max="9479" width="88.7109375" style="1" customWidth="1"/>
    <col min="9480" max="9729" width="11.42578125" style="1"/>
    <col min="9730" max="9730" width="2.7109375" style="1" customWidth="1"/>
    <col min="9731" max="9731" width="176.7109375" style="1" customWidth="1"/>
    <col min="9732" max="9732" width="11.42578125" style="1"/>
    <col min="9733" max="9733" width="176.7109375" style="1" customWidth="1"/>
    <col min="9734" max="9734" width="11.42578125" style="1"/>
    <col min="9735" max="9735" width="88.7109375" style="1" customWidth="1"/>
    <col min="9736" max="9985" width="11.42578125" style="1"/>
    <col min="9986" max="9986" width="2.7109375" style="1" customWidth="1"/>
    <col min="9987" max="9987" width="176.7109375" style="1" customWidth="1"/>
    <col min="9988" max="9988" width="11.42578125" style="1"/>
    <col min="9989" max="9989" width="176.7109375" style="1" customWidth="1"/>
    <col min="9990" max="9990" width="11.42578125" style="1"/>
    <col min="9991" max="9991" width="88.7109375" style="1" customWidth="1"/>
    <col min="9992" max="10241" width="11.42578125" style="1"/>
    <col min="10242" max="10242" width="2.7109375" style="1" customWidth="1"/>
    <col min="10243" max="10243" width="176.7109375" style="1" customWidth="1"/>
    <col min="10244" max="10244" width="11.42578125" style="1"/>
    <col min="10245" max="10245" width="176.7109375" style="1" customWidth="1"/>
    <col min="10246" max="10246" width="11.42578125" style="1"/>
    <col min="10247" max="10247" width="88.7109375" style="1" customWidth="1"/>
    <col min="10248" max="10497" width="11.42578125" style="1"/>
    <col min="10498" max="10498" width="2.7109375" style="1" customWidth="1"/>
    <col min="10499" max="10499" width="176.7109375" style="1" customWidth="1"/>
    <col min="10500" max="10500" width="11.42578125" style="1"/>
    <col min="10501" max="10501" width="176.7109375" style="1" customWidth="1"/>
    <col min="10502" max="10502" width="11.42578125" style="1"/>
    <col min="10503" max="10503" width="88.7109375" style="1" customWidth="1"/>
    <col min="10504" max="10753" width="11.42578125" style="1"/>
    <col min="10754" max="10754" width="2.7109375" style="1" customWidth="1"/>
    <col min="10755" max="10755" width="176.7109375" style="1" customWidth="1"/>
    <col min="10756" max="10756" width="11.42578125" style="1"/>
    <col min="10757" max="10757" width="176.7109375" style="1" customWidth="1"/>
    <col min="10758" max="10758" width="11.42578125" style="1"/>
    <col min="10759" max="10759" width="88.7109375" style="1" customWidth="1"/>
    <col min="10760" max="11009" width="11.42578125" style="1"/>
    <col min="11010" max="11010" width="2.7109375" style="1" customWidth="1"/>
    <col min="11011" max="11011" width="176.7109375" style="1" customWidth="1"/>
    <col min="11012" max="11012" width="11.42578125" style="1"/>
    <col min="11013" max="11013" width="176.7109375" style="1" customWidth="1"/>
    <col min="11014" max="11014" width="11.42578125" style="1"/>
    <col min="11015" max="11015" width="88.7109375" style="1" customWidth="1"/>
    <col min="11016" max="11265" width="11.42578125" style="1"/>
    <col min="11266" max="11266" width="2.7109375" style="1" customWidth="1"/>
    <col min="11267" max="11267" width="176.7109375" style="1" customWidth="1"/>
    <col min="11268" max="11268" width="11.42578125" style="1"/>
    <col min="11269" max="11269" width="176.7109375" style="1" customWidth="1"/>
    <col min="11270" max="11270" width="11.42578125" style="1"/>
    <col min="11271" max="11271" width="88.7109375" style="1" customWidth="1"/>
    <col min="11272" max="11521" width="11.42578125" style="1"/>
    <col min="11522" max="11522" width="2.7109375" style="1" customWidth="1"/>
    <col min="11523" max="11523" width="176.7109375" style="1" customWidth="1"/>
    <col min="11524" max="11524" width="11.42578125" style="1"/>
    <col min="11525" max="11525" width="176.7109375" style="1" customWidth="1"/>
    <col min="11526" max="11526" width="11.42578125" style="1"/>
    <col min="11527" max="11527" width="88.7109375" style="1" customWidth="1"/>
    <col min="11528" max="11777" width="11.42578125" style="1"/>
    <col min="11778" max="11778" width="2.7109375" style="1" customWidth="1"/>
    <col min="11779" max="11779" width="176.7109375" style="1" customWidth="1"/>
    <col min="11780" max="11780" width="11.42578125" style="1"/>
    <col min="11781" max="11781" width="176.7109375" style="1" customWidth="1"/>
    <col min="11782" max="11782" width="11.42578125" style="1"/>
    <col min="11783" max="11783" width="88.7109375" style="1" customWidth="1"/>
    <col min="11784" max="12033" width="11.42578125" style="1"/>
    <col min="12034" max="12034" width="2.7109375" style="1" customWidth="1"/>
    <col min="12035" max="12035" width="176.7109375" style="1" customWidth="1"/>
    <col min="12036" max="12036" width="11.42578125" style="1"/>
    <col min="12037" max="12037" width="176.7109375" style="1" customWidth="1"/>
    <col min="12038" max="12038" width="11.42578125" style="1"/>
    <col min="12039" max="12039" width="88.7109375" style="1" customWidth="1"/>
    <col min="12040" max="12289" width="11.42578125" style="1"/>
    <col min="12290" max="12290" width="2.7109375" style="1" customWidth="1"/>
    <col min="12291" max="12291" width="176.7109375" style="1" customWidth="1"/>
    <col min="12292" max="12292" width="11.42578125" style="1"/>
    <col min="12293" max="12293" width="176.7109375" style="1" customWidth="1"/>
    <col min="12294" max="12294" width="11.42578125" style="1"/>
    <col min="12295" max="12295" width="88.7109375" style="1" customWidth="1"/>
    <col min="12296" max="12545" width="11.42578125" style="1"/>
    <col min="12546" max="12546" width="2.7109375" style="1" customWidth="1"/>
    <col min="12547" max="12547" width="176.7109375" style="1" customWidth="1"/>
    <col min="12548" max="12548" width="11.42578125" style="1"/>
    <col min="12549" max="12549" width="176.7109375" style="1" customWidth="1"/>
    <col min="12550" max="12550" width="11.42578125" style="1"/>
    <col min="12551" max="12551" width="88.7109375" style="1" customWidth="1"/>
    <col min="12552" max="12801" width="11.42578125" style="1"/>
    <col min="12802" max="12802" width="2.7109375" style="1" customWidth="1"/>
    <col min="12803" max="12803" width="176.7109375" style="1" customWidth="1"/>
    <col min="12804" max="12804" width="11.42578125" style="1"/>
    <col min="12805" max="12805" width="176.7109375" style="1" customWidth="1"/>
    <col min="12806" max="12806" width="11.42578125" style="1"/>
    <col min="12807" max="12807" width="88.7109375" style="1" customWidth="1"/>
    <col min="12808" max="13057" width="11.42578125" style="1"/>
    <col min="13058" max="13058" width="2.7109375" style="1" customWidth="1"/>
    <col min="13059" max="13059" width="176.7109375" style="1" customWidth="1"/>
    <col min="13060" max="13060" width="11.42578125" style="1"/>
    <col min="13061" max="13061" width="176.7109375" style="1" customWidth="1"/>
    <col min="13062" max="13062" width="11.42578125" style="1"/>
    <col min="13063" max="13063" width="88.7109375" style="1" customWidth="1"/>
    <col min="13064" max="13313" width="11.42578125" style="1"/>
    <col min="13314" max="13314" width="2.7109375" style="1" customWidth="1"/>
    <col min="13315" max="13315" width="176.7109375" style="1" customWidth="1"/>
    <col min="13316" max="13316" width="11.42578125" style="1"/>
    <col min="13317" max="13317" width="176.7109375" style="1" customWidth="1"/>
    <col min="13318" max="13318" width="11.42578125" style="1"/>
    <col min="13319" max="13319" width="88.7109375" style="1" customWidth="1"/>
    <col min="13320" max="13569" width="11.42578125" style="1"/>
    <col min="13570" max="13570" width="2.7109375" style="1" customWidth="1"/>
    <col min="13571" max="13571" width="176.7109375" style="1" customWidth="1"/>
    <col min="13572" max="13572" width="11.42578125" style="1"/>
    <col min="13573" max="13573" width="176.7109375" style="1" customWidth="1"/>
    <col min="13574" max="13574" width="11.42578125" style="1"/>
    <col min="13575" max="13575" width="88.7109375" style="1" customWidth="1"/>
    <col min="13576" max="13825" width="11.42578125" style="1"/>
    <col min="13826" max="13826" width="2.7109375" style="1" customWidth="1"/>
    <col min="13827" max="13827" width="176.7109375" style="1" customWidth="1"/>
    <col min="13828" max="13828" width="11.42578125" style="1"/>
    <col min="13829" max="13829" width="176.7109375" style="1" customWidth="1"/>
    <col min="13830" max="13830" width="11.42578125" style="1"/>
    <col min="13831" max="13831" width="88.7109375" style="1" customWidth="1"/>
    <col min="13832" max="14081" width="11.42578125" style="1"/>
    <col min="14082" max="14082" width="2.7109375" style="1" customWidth="1"/>
    <col min="14083" max="14083" width="176.7109375" style="1" customWidth="1"/>
    <col min="14084" max="14084" width="11.42578125" style="1"/>
    <col min="14085" max="14085" width="176.7109375" style="1" customWidth="1"/>
    <col min="14086" max="14086" width="11.42578125" style="1"/>
    <col min="14087" max="14087" width="88.7109375" style="1" customWidth="1"/>
    <col min="14088" max="14337" width="11.42578125" style="1"/>
    <col min="14338" max="14338" width="2.7109375" style="1" customWidth="1"/>
    <col min="14339" max="14339" width="176.7109375" style="1" customWidth="1"/>
    <col min="14340" max="14340" width="11.42578125" style="1"/>
    <col min="14341" max="14341" width="176.7109375" style="1" customWidth="1"/>
    <col min="14342" max="14342" width="11.42578125" style="1"/>
    <col min="14343" max="14343" width="88.7109375" style="1" customWidth="1"/>
    <col min="14344" max="14593" width="11.42578125" style="1"/>
    <col min="14594" max="14594" width="2.7109375" style="1" customWidth="1"/>
    <col min="14595" max="14595" width="176.7109375" style="1" customWidth="1"/>
    <col min="14596" max="14596" width="11.42578125" style="1"/>
    <col min="14597" max="14597" width="176.7109375" style="1" customWidth="1"/>
    <col min="14598" max="14598" width="11.42578125" style="1"/>
    <col min="14599" max="14599" width="88.7109375" style="1" customWidth="1"/>
    <col min="14600" max="14849" width="11.42578125" style="1"/>
    <col min="14850" max="14850" width="2.7109375" style="1" customWidth="1"/>
    <col min="14851" max="14851" width="176.7109375" style="1" customWidth="1"/>
    <col min="14852" max="14852" width="11.42578125" style="1"/>
    <col min="14853" max="14853" width="176.7109375" style="1" customWidth="1"/>
    <col min="14854" max="14854" width="11.42578125" style="1"/>
    <col min="14855" max="14855" width="88.7109375" style="1" customWidth="1"/>
    <col min="14856" max="15105" width="11.42578125" style="1"/>
    <col min="15106" max="15106" width="2.7109375" style="1" customWidth="1"/>
    <col min="15107" max="15107" width="176.7109375" style="1" customWidth="1"/>
    <col min="15108" max="15108" width="11.42578125" style="1"/>
    <col min="15109" max="15109" width="176.7109375" style="1" customWidth="1"/>
    <col min="15110" max="15110" width="11.42578125" style="1"/>
    <col min="15111" max="15111" width="88.7109375" style="1" customWidth="1"/>
    <col min="15112" max="15361" width="11.42578125" style="1"/>
    <col min="15362" max="15362" width="2.7109375" style="1" customWidth="1"/>
    <col min="15363" max="15363" width="176.7109375" style="1" customWidth="1"/>
    <col min="15364" max="15364" width="11.42578125" style="1"/>
    <col min="15365" max="15365" width="176.7109375" style="1" customWidth="1"/>
    <col min="15366" max="15366" width="11.42578125" style="1"/>
    <col min="15367" max="15367" width="88.7109375" style="1" customWidth="1"/>
    <col min="15368" max="15617" width="11.42578125" style="1"/>
    <col min="15618" max="15618" width="2.7109375" style="1" customWidth="1"/>
    <col min="15619" max="15619" width="176.7109375" style="1" customWidth="1"/>
    <col min="15620" max="15620" width="11.42578125" style="1"/>
    <col min="15621" max="15621" width="176.7109375" style="1" customWidth="1"/>
    <col min="15622" max="15622" width="11.42578125" style="1"/>
    <col min="15623" max="15623" width="88.7109375" style="1" customWidth="1"/>
    <col min="15624" max="15873" width="11.42578125" style="1"/>
    <col min="15874" max="15874" width="2.7109375" style="1" customWidth="1"/>
    <col min="15875" max="15875" width="176.7109375" style="1" customWidth="1"/>
    <col min="15876" max="15876" width="11.42578125" style="1"/>
    <col min="15877" max="15877" width="176.7109375" style="1" customWidth="1"/>
    <col min="15878" max="15878" width="11.42578125" style="1"/>
    <col min="15879" max="15879" width="88.7109375" style="1" customWidth="1"/>
    <col min="15880" max="16129" width="11.42578125" style="1"/>
    <col min="16130" max="16130" width="2.7109375" style="1" customWidth="1"/>
    <col min="16131" max="16131" width="176.7109375" style="1" customWidth="1"/>
    <col min="16132" max="16132" width="11.42578125" style="1"/>
    <col min="16133" max="16133" width="176.7109375" style="1" customWidth="1"/>
    <col min="16134" max="16134" width="11.42578125" style="1"/>
    <col min="16135" max="16135" width="88.7109375" style="1" customWidth="1"/>
    <col min="16136" max="16384" width="11.42578125" style="1"/>
  </cols>
  <sheetData>
    <row r="2" spans="1:11" x14ac:dyDescent="0.2">
      <c r="C2" s="269"/>
      <c r="D2" s="269"/>
      <c r="E2" s="269"/>
    </row>
    <row r="3" spans="1:11" x14ac:dyDescent="0.2">
      <c r="A3" s="35" t="s">
        <v>51</v>
      </c>
    </row>
    <row r="4" spans="1:11" x14ac:dyDescent="0.2">
      <c r="C4" s="269"/>
      <c r="D4" s="269"/>
      <c r="E4" s="269"/>
      <c r="F4" s="269"/>
      <c r="G4" s="269"/>
      <c r="H4" s="269"/>
      <c r="I4" s="269"/>
      <c r="J4" s="269"/>
      <c r="K4" s="269"/>
    </row>
    <row r="6" spans="1:11" ht="15.75" x14ac:dyDescent="0.25">
      <c r="C6" s="274" t="s">
        <v>16</v>
      </c>
      <c r="E6" s="274"/>
    </row>
    <row r="7" spans="1:11" ht="18.75" customHeight="1" x14ac:dyDescent="0.2">
      <c r="E7" s="40"/>
    </row>
    <row r="8" spans="1:11" ht="15.75" x14ac:dyDescent="0.25">
      <c r="B8" s="270">
        <v>1</v>
      </c>
      <c r="C8" s="271" t="s">
        <v>311</v>
      </c>
      <c r="E8" s="277"/>
    </row>
    <row r="9" spans="1:11" ht="31.5" x14ac:dyDescent="0.2">
      <c r="B9" s="270">
        <v>2</v>
      </c>
      <c r="C9" s="271" t="s">
        <v>248</v>
      </c>
      <c r="E9" s="5"/>
    </row>
    <row r="10" spans="1:11" ht="47.25" x14ac:dyDescent="0.2">
      <c r="B10" s="270">
        <v>3</v>
      </c>
      <c r="C10" s="271" t="s">
        <v>249</v>
      </c>
      <c r="E10" s="5"/>
    </row>
    <row r="11" spans="1:11" ht="47.25" x14ac:dyDescent="0.2">
      <c r="B11" s="270">
        <v>4</v>
      </c>
      <c r="C11" s="271" t="s">
        <v>250</v>
      </c>
      <c r="E11" s="5"/>
    </row>
    <row r="12" spans="1:11" ht="31.5" x14ac:dyDescent="0.2">
      <c r="B12" s="270">
        <v>5</v>
      </c>
      <c r="C12" s="271" t="s">
        <v>21</v>
      </c>
    </row>
    <row r="13" spans="1:11" ht="15.75" x14ac:dyDescent="0.2">
      <c r="B13" s="270">
        <v>6</v>
      </c>
      <c r="C13" s="271" t="s">
        <v>312</v>
      </c>
    </row>
    <row r="14" spans="1:11" ht="15.75" x14ac:dyDescent="0.2">
      <c r="B14" s="270">
        <v>7</v>
      </c>
      <c r="C14" s="271" t="s">
        <v>17</v>
      </c>
    </row>
    <row r="15" spans="1:11" ht="18.75" customHeight="1" x14ac:dyDescent="0.2">
      <c r="B15" s="270">
        <v>8</v>
      </c>
      <c r="C15" s="271" t="s">
        <v>18</v>
      </c>
    </row>
    <row r="16" spans="1:11" ht="18.75" customHeight="1" x14ac:dyDescent="0.2">
      <c r="B16" s="270">
        <v>9</v>
      </c>
      <c r="C16" s="271" t="s">
        <v>22</v>
      </c>
    </row>
    <row r="17" spans="2:9" ht="63" x14ac:dyDescent="0.25">
      <c r="B17" s="270">
        <v>10</v>
      </c>
      <c r="C17" s="271" t="s">
        <v>321</v>
      </c>
      <c r="E17" s="274"/>
    </row>
    <row r="18" spans="2:9" ht="15.75" x14ac:dyDescent="0.2">
      <c r="B18" s="270">
        <v>11</v>
      </c>
      <c r="C18" s="271" t="s">
        <v>19</v>
      </c>
      <c r="E18" s="5"/>
    </row>
    <row r="19" spans="2:9" ht="15.75" x14ac:dyDescent="0.2">
      <c r="B19" s="270">
        <v>12</v>
      </c>
      <c r="C19" s="271" t="s">
        <v>252</v>
      </c>
      <c r="E19" s="5"/>
    </row>
    <row r="20" spans="2:9" ht="15.75" x14ac:dyDescent="0.2">
      <c r="B20" s="270">
        <v>13</v>
      </c>
      <c r="C20" s="271" t="s">
        <v>20</v>
      </c>
    </row>
    <row r="21" spans="2:9" ht="47.25" x14ac:dyDescent="0.2">
      <c r="B21" s="270">
        <v>14</v>
      </c>
      <c r="C21" s="271" t="s">
        <v>253</v>
      </c>
      <c r="E21" s="278"/>
    </row>
    <row r="22" spans="2:9" ht="31.5" x14ac:dyDescent="0.2">
      <c r="B22" s="270">
        <v>15</v>
      </c>
      <c r="C22" s="271" t="s">
        <v>301</v>
      </c>
    </row>
    <row r="23" spans="2:9" ht="15.75" x14ac:dyDescent="0.25">
      <c r="B23" s="270">
        <v>16</v>
      </c>
      <c r="C23" s="273" t="s">
        <v>251</v>
      </c>
      <c r="D23" s="2"/>
      <c r="E23" s="269"/>
      <c r="F23" s="2"/>
      <c r="G23" s="2"/>
      <c r="H23" s="2"/>
      <c r="I23" s="2"/>
    </row>
    <row r="24" spans="2:9" ht="18.75" customHeight="1" x14ac:dyDescent="0.25">
      <c r="B24" s="272">
        <v>17</v>
      </c>
      <c r="C24" s="273" t="s">
        <v>254</v>
      </c>
    </row>
    <row r="25" spans="2:9" ht="18.75" customHeight="1" x14ac:dyDescent="0.2">
      <c r="B25" s="425">
        <v>18</v>
      </c>
      <c r="C25" s="594" t="s">
        <v>375</v>
      </c>
    </row>
    <row r="26" spans="2:9" ht="18.75" customHeight="1" x14ac:dyDescent="0.25">
      <c r="B26" s="426"/>
      <c r="C26" s="594"/>
    </row>
    <row r="27" spans="2:9" ht="18.75" customHeight="1" x14ac:dyDescent="0.25">
      <c r="B27" s="517">
        <v>19</v>
      </c>
      <c r="C27" s="518" t="s">
        <v>406</v>
      </c>
    </row>
    <row r="28" spans="2:9" ht="18.75" customHeight="1" x14ac:dyDescent="0.2">
      <c r="C28" s="276"/>
    </row>
    <row r="29" spans="2:9" ht="18.75" customHeight="1" x14ac:dyDescent="0.2">
      <c r="C29" s="276"/>
    </row>
    <row r="31" spans="2:9" ht="18.75" customHeight="1" x14ac:dyDescent="0.2"/>
    <row r="32" spans="2:9" ht="18.75" customHeight="1" x14ac:dyDescent="0.2"/>
    <row r="33" spans="2:2" ht="18.75" customHeight="1" x14ac:dyDescent="0.2"/>
    <row r="34" spans="2:2" ht="18.75" customHeight="1" x14ac:dyDescent="0.2"/>
    <row r="35" spans="2:2" ht="18.75" customHeight="1" x14ac:dyDescent="0.2"/>
    <row r="36" spans="2:2" ht="18.75" customHeight="1" x14ac:dyDescent="0.2"/>
    <row r="37" spans="2:2" ht="18.75" customHeight="1" x14ac:dyDescent="0.2"/>
    <row r="38" spans="2:2" ht="18.75" customHeight="1" x14ac:dyDescent="0.2"/>
    <row r="39" spans="2:2" ht="18.75" customHeight="1" x14ac:dyDescent="0.2"/>
    <row r="40" spans="2:2" ht="18.75" customHeight="1" x14ac:dyDescent="0.2">
      <c r="B40" s="5"/>
    </row>
    <row r="41" spans="2:2" ht="18.75" customHeight="1" x14ac:dyDescent="0.2">
      <c r="B41" s="5"/>
    </row>
    <row r="42" spans="2:2" ht="18.75" customHeight="1" x14ac:dyDescent="0.2">
      <c r="B42" s="5"/>
    </row>
    <row r="43" spans="2:2" ht="18.75" customHeight="1" x14ac:dyDescent="0.2">
      <c r="B43" s="5"/>
    </row>
    <row r="44" spans="2:2" ht="18.75" customHeight="1" x14ac:dyDescent="0.2">
      <c r="B44" s="5"/>
    </row>
    <row r="45" spans="2:2" ht="18.75" customHeight="1" x14ac:dyDescent="0.2">
      <c r="B45" s="5"/>
    </row>
    <row r="46" spans="2:2" ht="18.75" customHeight="1" x14ac:dyDescent="0.2"/>
    <row r="47" spans="2:2" ht="18.75" customHeight="1" x14ac:dyDescent="0.2"/>
    <row r="48" spans="2:2" ht="18.75" customHeight="1" x14ac:dyDescent="0.2"/>
    <row r="49" spans="4:14" ht="18.75" customHeight="1" x14ac:dyDescent="0.2"/>
    <row r="50" spans="4:14" ht="18.75" customHeight="1" x14ac:dyDescent="0.2">
      <c r="D50" s="269"/>
      <c r="E50" s="269"/>
      <c r="F50" s="269"/>
      <c r="G50" s="269"/>
      <c r="H50" s="269"/>
      <c r="I50" s="269"/>
      <c r="J50" s="269"/>
      <c r="K50" s="269"/>
      <c r="L50" s="269"/>
      <c r="M50" s="269"/>
      <c r="N50" s="269"/>
    </row>
    <row r="51" spans="4:14" ht="18.75" customHeight="1" x14ac:dyDescent="0.2"/>
    <row r="52" spans="4:14" ht="18.75" customHeight="1" x14ac:dyDescent="0.2"/>
    <row r="53" spans="4:14" ht="18.75" customHeight="1" x14ac:dyDescent="0.2"/>
    <row r="54" spans="4:14" ht="18.75" customHeight="1" x14ac:dyDescent="0.2"/>
    <row r="55" spans="4:14" ht="18.75" customHeight="1" x14ac:dyDescent="0.2"/>
    <row r="56" spans="4:14" ht="18.75" customHeight="1" x14ac:dyDescent="0.2"/>
    <row r="57" spans="4:14" ht="18.75" customHeight="1" x14ac:dyDescent="0.2"/>
    <row r="58" spans="4:14" ht="18.75" customHeight="1" x14ac:dyDescent="0.2"/>
    <row r="59" spans="4:14" ht="18.75" customHeight="1" x14ac:dyDescent="0.2"/>
    <row r="60" spans="4:14" ht="18.75" customHeight="1" x14ac:dyDescent="0.2"/>
    <row r="61" spans="4:14" ht="18.75" customHeight="1" x14ac:dyDescent="0.2"/>
    <row r="62" spans="4:14" ht="18.75" customHeight="1" x14ac:dyDescent="0.2"/>
    <row r="63" spans="4:14" ht="18.75" customHeight="1" x14ac:dyDescent="0.2"/>
    <row r="64" spans="4:14" ht="18.75" customHeight="1" x14ac:dyDescent="0.2"/>
    <row r="65" ht="18.75" customHeight="1" x14ac:dyDescent="0.2"/>
  </sheetData>
  <sortState xmlns:xlrd2="http://schemas.microsoft.com/office/spreadsheetml/2017/richdata2" ref="B5:E41">
    <sortCondition ref="B5:B41"/>
  </sortState>
  <mergeCells count="1">
    <mergeCell ref="C25:C26"/>
  </mergeCells>
  <pageMargins left="0.78740157480314965" right="0.78740157480314965" top="0.98425196850393704" bottom="0.98425196850393704" header="0.51181102362204722" footer="0.51181102362204722"/>
  <pageSetup paperSize="9" scale="65" fitToWidth="3" orientation="portrait" r:id="rId1"/>
  <headerFooter alignWithMargins="0"/>
  <colBreaks count="2" manualBreakCount="2">
    <brk id="1" max="42" man="1"/>
    <brk id="3" min="4" max="5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1:IF107"/>
  <sheetViews>
    <sheetView showGridLines="0" showZeros="0" zoomScale="70" zoomScaleNormal="70" workbookViewId="0">
      <pane xSplit="1" ySplit="7" topLeftCell="B8" activePane="bottomRight" state="frozen"/>
      <selection activeCell="H73" sqref="H73"/>
      <selection pane="topRight" activeCell="H73" sqref="H73"/>
      <selection pane="bottomLeft" activeCell="H73" sqref="H73"/>
      <selection pane="bottomRight" activeCell="A4" sqref="A4"/>
    </sheetView>
  </sheetViews>
  <sheetFormatPr baseColWidth="10" defaultColWidth="11.42578125" defaultRowHeight="12.75" x14ac:dyDescent="0.2"/>
  <cols>
    <col min="1" max="1" width="49" style="59" customWidth="1"/>
    <col min="2" max="3" width="15.7109375" style="59" customWidth="1"/>
    <col min="4" max="4" width="8.7109375" style="59" customWidth="1"/>
    <col min="5" max="5" width="12.140625" style="59" bestFit="1" customWidth="1"/>
    <col min="6" max="6" width="4.7109375" style="59" customWidth="1"/>
    <col min="7" max="7" width="18.42578125" style="59" customWidth="1"/>
    <col min="8" max="8" width="17.7109375" style="59" customWidth="1"/>
    <col min="9" max="9" width="8.7109375" style="59" customWidth="1"/>
    <col min="10" max="10" width="12.140625" style="59" bestFit="1" customWidth="1"/>
    <col min="11" max="11" width="13.42578125" style="59" hidden="1" customWidth="1"/>
    <col min="12" max="12" width="14.7109375" style="59" hidden="1" customWidth="1"/>
    <col min="13" max="13" width="13.7109375" style="59" hidden="1" customWidth="1"/>
    <col min="14" max="15" width="15.7109375" style="59" hidden="1" customWidth="1"/>
    <col min="16" max="16" width="11.42578125" style="59" hidden="1" customWidth="1"/>
    <col min="17" max="19" width="11.42578125" style="59" customWidth="1"/>
    <col min="20" max="16384" width="11.42578125" style="59"/>
  </cols>
  <sheetData>
    <row r="1" spans="1:18" ht="20.25" x14ac:dyDescent="0.3">
      <c r="A1" s="52" t="s">
        <v>72</v>
      </c>
      <c r="B1" s="47" t="s">
        <v>52</v>
      </c>
      <c r="C1" s="48"/>
      <c r="D1" s="48"/>
      <c r="E1" s="48"/>
      <c r="F1" s="48"/>
      <c r="G1" s="48"/>
      <c r="H1" s="48"/>
      <c r="I1" s="48"/>
      <c r="J1" s="48"/>
      <c r="K1" s="48"/>
    </row>
    <row r="2" spans="1:18" ht="20.25" x14ac:dyDescent="0.3">
      <c r="A2" s="52" t="s">
        <v>73</v>
      </c>
      <c r="B2" s="48"/>
      <c r="C2" s="48"/>
      <c r="D2" s="48"/>
      <c r="E2" s="515"/>
      <c r="F2" s="50"/>
      <c r="G2" s="50"/>
      <c r="H2" s="50"/>
      <c r="I2" s="50"/>
      <c r="J2" s="50"/>
      <c r="K2" s="50"/>
      <c r="L2" s="516"/>
      <c r="M2" s="516"/>
      <c r="N2" s="516"/>
      <c r="O2" s="516"/>
      <c r="P2" s="516"/>
      <c r="Q2" s="516"/>
    </row>
    <row r="3" spans="1:18" ht="18.75" x14ac:dyDescent="0.3">
      <c r="A3" s="555" t="s">
        <v>74</v>
      </c>
      <c r="B3" s="555"/>
      <c r="C3" s="48"/>
      <c r="D3" s="48"/>
      <c r="E3" s="48"/>
      <c r="F3" s="48"/>
      <c r="G3" s="48"/>
      <c r="H3" s="48"/>
      <c r="I3" s="48"/>
      <c r="J3" s="48"/>
      <c r="K3" s="48"/>
    </row>
    <row r="4" spans="1:18" ht="18.75" x14ac:dyDescent="0.3">
      <c r="A4" s="54" t="s">
        <v>393</v>
      </c>
      <c r="B4" s="55"/>
      <c r="C4" s="56"/>
      <c r="D4" s="56"/>
      <c r="E4" s="57"/>
      <c r="F4" s="58"/>
      <c r="G4" s="55"/>
      <c r="H4" s="56"/>
      <c r="I4" s="56"/>
      <c r="J4" s="57"/>
      <c r="K4" s="48"/>
      <c r="L4" s="159"/>
      <c r="M4" s="160"/>
      <c r="N4" s="161"/>
      <c r="O4" s="160"/>
    </row>
    <row r="5" spans="1:18" ht="22.5" x14ac:dyDescent="0.3">
      <c r="A5" s="60"/>
      <c r="B5" s="556" t="s">
        <v>75</v>
      </c>
      <c r="C5" s="557"/>
      <c r="D5" s="557"/>
      <c r="E5" s="558"/>
      <c r="F5" s="62"/>
      <c r="G5" s="556" t="s">
        <v>351</v>
      </c>
      <c r="H5" s="557"/>
      <c r="I5" s="557"/>
      <c r="J5" s="558"/>
      <c r="K5" s="61"/>
      <c r="L5" s="559" t="s">
        <v>125</v>
      </c>
      <c r="M5" s="554"/>
      <c r="N5" s="553" t="s">
        <v>126</v>
      </c>
      <c r="O5" s="554"/>
    </row>
    <row r="6" spans="1:18" ht="18.75" x14ac:dyDescent="0.3">
      <c r="A6" s="63"/>
      <c r="B6" s="64"/>
      <c r="C6" s="65"/>
      <c r="D6" s="65" t="s">
        <v>76</v>
      </c>
      <c r="E6" s="66" t="s">
        <v>29</v>
      </c>
      <c r="F6" s="67"/>
      <c r="G6" s="64"/>
      <c r="H6" s="65"/>
      <c r="I6" s="65" t="s">
        <v>76</v>
      </c>
      <c r="J6" s="66" t="s">
        <v>29</v>
      </c>
      <c r="K6" s="72"/>
      <c r="L6" s="162"/>
      <c r="M6" s="163"/>
      <c r="N6" s="164"/>
      <c r="O6" s="163"/>
    </row>
    <row r="7" spans="1:18" ht="15.75" x14ac:dyDescent="0.25">
      <c r="A7" s="68" t="s">
        <v>77</v>
      </c>
      <c r="B7" s="69">
        <v>2024</v>
      </c>
      <c r="C7" s="69">
        <v>2025</v>
      </c>
      <c r="D7" s="70" t="s">
        <v>78</v>
      </c>
      <c r="E7" s="71" t="s">
        <v>30</v>
      </c>
      <c r="F7" s="67"/>
      <c r="G7" s="69">
        <v>2024</v>
      </c>
      <c r="H7" s="69">
        <v>2025</v>
      </c>
      <c r="I7" s="70" t="s">
        <v>78</v>
      </c>
      <c r="J7" s="71" t="s">
        <v>30</v>
      </c>
      <c r="K7" s="72"/>
      <c r="L7" s="165">
        <v>2015</v>
      </c>
      <c r="M7" s="166">
        <v>2016</v>
      </c>
      <c r="N7" s="167">
        <v>2015</v>
      </c>
      <c r="O7" s="166">
        <v>2016</v>
      </c>
      <c r="P7" s="59" t="s">
        <v>129</v>
      </c>
    </row>
    <row r="8" spans="1:18" ht="18.75" x14ac:dyDescent="0.3">
      <c r="A8" s="73" t="s">
        <v>0</v>
      </c>
      <c r="B8" s="97"/>
      <c r="C8" s="75"/>
      <c r="D8" s="76"/>
      <c r="E8" s="326"/>
      <c r="F8" s="133"/>
      <c r="G8" s="97"/>
      <c r="H8" s="97"/>
      <c r="I8" s="75"/>
      <c r="J8" s="326"/>
      <c r="K8" s="51"/>
      <c r="L8" s="168" t="s">
        <v>0</v>
      </c>
      <c r="M8" s="169"/>
      <c r="N8" s="170"/>
      <c r="O8" s="169"/>
      <c r="P8" s="59" t="s">
        <v>134</v>
      </c>
    </row>
    <row r="9" spans="1:18" ht="18.75" x14ac:dyDescent="0.3">
      <c r="A9" s="77" t="s">
        <v>79</v>
      </c>
      <c r="B9" s="133">
        <f>'DNB Livsforsikring'!B7+'DNB Livsforsikring'!B22+'DNB Livsforsikring'!B36+'DNB Livsforsikring'!B47+'DNB Livsforsikring'!B66+'DNB Livsforsikring'!B134</f>
        <v>1250013</v>
      </c>
      <c r="C9" s="133">
        <f>'DNB Livsforsikring'!C7+'DNB Livsforsikring'!C22+'DNB Livsforsikring'!C36+'DNB Livsforsikring'!C47+'DNB Livsforsikring'!C66+'DNB Livsforsikring'!C134</f>
        <v>1249688</v>
      </c>
      <c r="D9" s="76">
        <f t="shared" ref="D9:D30" si="0">IF(B9=0, "    ---- ", IF(ABS(ROUND(100/B9*C9-100,1))&lt;999,ROUND(100/B9*C9-100,1),IF(ROUND(100/B9*C9-100,1)&gt;999,999,-999)))</f>
        <v>0</v>
      </c>
      <c r="E9" s="326">
        <f t="shared" ref="E9:E31" si="1">100/C$32*C9</f>
        <v>6.3251733479065066</v>
      </c>
      <c r="F9" s="75"/>
      <c r="G9" s="133">
        <f>'DNB Livsforsikring'!B10+'DNB Livsforsikring'!B29+'DNB Livsforsikring'!B37+'DNB Livsforsikring'!B87+'DNB Livsforsikring'!B135</f>
        <v>182678854</v>
      </c>
      <c r="H9" s="133">
        <f>'DNB Livsforsikring'!C10+'DNB Livsforsikring'!C29+'DNB Livsforsikring'!C37+'DNB Livsforsikring'!C87+'DNB Livsforsikring'!C135</f>
        <v>179684402.72244999</v>
      </c>
      <c r="I9" s="76">
        <f t="shared" ref="I9:I28" si="2">IF(G9=0, "    ---- ", IF(ABS(ROUND(100/G9*H9-100,1))&lt;999,ROUND(100/G9*H9-100,1),IF(ROUND(100/G9*H9-100,1)&gt;999,999,-999)))</f>
        <v>-1.6</v>
      </c>
      <c r="J9" s="326">
        <f t="shared" ref="J9:J31" si="3">100/H$32*H9</f>
        <v>12.963661771529429</v>
      </c>
      <c r="K9" s="158" t="s">
        <v>131</v>
      </c>
      <c r="L9" s="171" t="e">
        <f ca="1">INDIRECT("'" &amp;#REF! &amp; "'!" &amp; $P$7)</f>
        <v>#REF!</v>
      </c>
      <c r="M9" s="169" t="e">
        <f ca="1">INDIRECT("'" &amp;#REF! &amp; "'!" &amp; $P$8)</f>
        <v>#REF!</v>
      </c>
      <c r="N9" s="171" t="e">
        <f ca="1">INDIRECT("'" &amp;#REF! &amp; "'!" &amp;#REF!)</f>
        <v>#REF!</v>
      </c>
      <c r="O9" s="169" t="e">
        <f ca="1">INDIRECT("'" &amp;#REF! &amp; "'!" &amp; $P$9)</f>
        <v>#REF!</v>
      </c>
      <c r="P9" s="59" t="s">
        <v>139</v>
      </c>
    </row>
    <row r="10" spans="1:18" ht="18.75" x14ac:dyDescent="0.3">
      <c r="A10" s="77" t="s">
        <v>80</v>
      </c>
      <c r="B10" s="133">
        <f>'Eika Forsikring AS'!B7+'Eika Forsikring AS'!B22+'Eika Forsikring AS'!B36+'Eika Forsikring AS'!B47+'Eika Forsikring AS'!B66+'Eika Forsikring AS'!B134</f>
        <v>205089</v>
      </c>
      <c r="C10" s="133">
        <f>'Eika Forsikring AS'!C7+'Eika Forsikring AS'!C22+'Eika Forsikring AS'!C36+'Eika Forsikring AS'!C47+'Eika Forsikring AS'!C66+'Eika Forsikring AS'!C134</f>
        <v>0</v>
      </c>
      <c r="D10" s="76">
        <f t="shared" si="0"/>
        <v>-100</v>
      </c>
      <c r="E10" s="326">
        <f t="shared" si="1"/>
        <v>0</v>
      </c>
      <c r="F10" s="75"/>
      <c r="G10" s="133">
        <f>'Eika Forsikring AS'!B10+'Eika Forsikring AS'!B29+'Eika Forsikring AS'!B37+'Eika Forsikring AS'!B87+'Eika Forsikring AS'!B135</f>
        <v>0</v>
      </c>
      <c r="H10" s="133">
        <f>'Eika Forsikring AS'!C10+'Eika Forsikring AS'!C29+'Eika Forsikring AS'!C37+'Eika Forsikring AS'!C87+'Eika Forsikring AS'!C135</f>
        <v>0</v>
      </c>
      <c r="I10" s="76" t="str">
        <f t="shared" si="2"/>
        <v xml:space="preserve">    ---- </v>
      </c>
      <c r="J10" s="326">
        <f t="shared" si="3"/>
        <v>0</v>
      </c>
      <c r="K10" s="59" t="s">
        <v>127</v>
      </c>
      <c r="L10" s="171">
        <f ca="1">INDIRECT("'" &amp; $A9 &amp; "'!" &amp; $P$7)</f>
        <v>0</v>
      </c>
      <c r="M10" s="169">
        <f ca="1">INDIRECT("'" &amp; $A9 &amp; "'!" &amp; $P$8)</f>
        <v>0</v>
      </c>
      <c r="N10" s="171" t="e">
        <f ca="1">INDIRECT("'" &amp; $A9 &amp; "'!" &amp;#REF!)</f>
        <v>#REF!</v>
      </c>
      <c r="O10" s="169">
        <f ca="1">INDIRECT("'" &amp; $A9 &amp; "'!" &amp; $P$9)</f>
        <v>0</v>
      </c>
    </row>
    <row r="11" spans="1:18" ht="18.75" x14ac:dyDescent="0.3">
      <c r="A11" s="77" t="s">
        <v>367</v>
      </c>
      <c r="B11" s="133">
        <f>'Euro Accident'!B7+'Euro Accident'!B22+'Euro Accident'!B36+'Euro Accident'!B47+'Euro Accident'!B66+'Euro Accident'!B134</f>
        <v>51311</v>
      </c>
      <c r="C11" s="133">
        <f>'Euro Accident'!C7+'Euro Accident'!C22+'Euro Accident'!C36+'Euro Accident'!C47+'Euro Accident'!C66+'Euro Accident'!C134</f>
        <v>30761</v>
      </c>
      <c r="D11" s="76">
        <f t="shared" ref="D11" si="4">IF(B11=0, "    ---- ", IF(ABS(ROUND(100/B11*C11-100,1))&lt;999,ROUND(100/B11*C11-100,1),IF(ROUND(100/B11*C11-100,1)&gt;999,999,-999)))</f>
        <v>-40</v>
      </c>
      <c r="E11" s="326">
        <f t="shared" si="1"/>
        <v>0.15569378705321013</v>
      </c>
      <c r="F11" s="75"/>
      <c r="G11" s="133">
        <f>'Euro Accident'!B10+'Euro Accident'!B29+'Euro Accident'!B37+'Euro Accident'!B87+'Euro Accident'!B135</f>
        <v>0</v>
      </c>
      <c r="H11" s="133">
        <f>'Euro Accident'!C10+'Euro Accident'!C29+'Euro Accident'!C37+'Euro Accident'!C87+'Euro Accident'!C135</f>
        <v>0</v>
      </c>
      <c r="I11" s="76" t="str">
        <f t="shared" ref="I11" si="5">IF(G11=0, "    ---- ", IF(ABS(ROUND(100/G11*H11-100,1))&lt;999,ROUND(100/G11*H11-100,1),IF(ROUND(100/G11*H11-100,1)&gt;999,999,-999)))</f>
        <v xml:space="preserve">    ---- </v>
      </c>
      <c r="J11" s="326">
        <f t="shared" si="3"/>
        <v>0</v>
      </c>
      <c r="L11" s="171"/>
      <c r="M11" s="169"/>
      <c r="N11" s="171"/>
      <c r="O11" s="169"/>
    </row>
    <row r="12" spans="1:18" ht="18.75" x14ac:dyDescent="0.3">
      <c r="A12" s="77" t="s">
        <v>354</v>
      </c>
      <c r="B12" s="133">
        <f>'Fremtind Livsforsikring'!B7+'Fremtind Livsforsikring'!B22+'Fremtind Livsforsikring'!B36+'Fremtind Livsforsikring'!B47+'Fremtind Livsforsikring'!B66+'Fremtind Livsforsikring'!B134</f>
        <v>998261.31835000007</v>
      </c>
      <c r="C12" s="133">
        <f>'Fremtind Livsforsikring'!C7+'Fremtind Livsforsikring'!C22+'Fremtind Livsforsikring'!C36+'Fremtind Livsforsikring'!C47+'Fremtind Livsforsikring'!C66+'Fremtind Livsforsikring'!C134</f>
        <v>1271137.3383900002</v>
      </c>
      <c r="D12" s="76">
        <f t="shared" si="0"/>
        <v>27.3</v>
      </c>
      <c r="E12" s="326">
        <f t="shared" si="1"/>
        <v>6.4337370722238214</v>
      </c>
      <c r="F12" s="75"/>
      <c r="G12" s="133">
        <f>'Fremtind Livsforsikring'!B10+'Fremtind Livsforsikring'!B29+'Fremtind Livsforsikring'!B37+'Fremtind Livsforsikring'!B87+'Fremtind Livsforsikring'!B135</f>
        <v>5524479.2054099999</v>
      </c>
      <c r="H12" s="133">
        <f>'Fremtind Livsforsikring'!C10+'Fremtind Livsforsikring'!C29+'Fremtind Livsforsikring'!C37+'Fremtind Livsforsikring'!C87+'Fremtind Livsforsikring'!C135</f>
        <v>6000495.18102</v>
      </c>
      <c r="I12" s="76">
        <f t="shared" si="2"/>
        <v>8.6</v>
      </c>
      <c r="J12" s="326">
        <f t="shared" si="3"/>
        <v>0.43291676300135851</v>
      </c>
      <c r="K12" s="59" t="s">
        <v>132</v>
      </c>
      <c r="L12" s="171">
        <f ca="1">INDIRECT("'" &amp; $A10 &amp; "'!" &amp; $P$7)</f>
        <v>0</v>
      </c>
      <c r="M12" s="169">
        <f ca="1">INDIRECT("'" &amp; $A10 &amp; "'!" &amp; $P$8)</f>
        <v>0</v>
      </c>
      <c r="N12" s="171" t="e">
        <f ca="1">INDIRECT("'" &amp; $A10 &amp; "'!" &amp;#REF!)</f>
        <v>#REF!</v>
      </c>
      <c r="O12" s="169">
        <f ca="1">INDIRECT("'" &amp; $A10 &amp; "'!" &amp; $P$9)</f>
        <v>0</v>
      </c>
      <c r="R12" s="423"/>
    </row>
    <row r="13" spans="1:18" ht="18.75" x14ac:dyDescent="0.3">
      <c r="A13" s="77" t="s">
        <v>81</v>
      </c>
      <c r="B13" s="133">
        <f>'Frende Livsforsikring'!B7+'Frende Livsforsikring'!B22+'Frende Livsforsikring'!B36+'Frende Livsforsikring'!B47+'Frende Livsforsikring'!B66+'Frende Livsforsikring'!B134</f>
        <v>633168</v>
      </c>
      <c r="C13" s="133">
        <f>'Frende Livsforsikring'!C7+'Frende Livsforsikring'!C22+'Frende Livsforsikring'!C36+'Frende Livsforsikring'!C47+'Frende Livsforsikring'!C66+'Frende Livsforsikring'!C134</f>
        <v>713825</v>
      </c>
      <c r="D13" s="76">
        <f t="shared" si="0"/>
        <v>12.7</v>
      </c>
      <c r="E13" s="326">
        <f t="shared" si="1"/>
        <v>3.6129552856947988</v>
      </c>
      <c r="F13" s="75"/>
      <c r="G13" s="133">
        <f>'Frende Livsforsikring'!B10+'Frende Livsforsikring'!B29+'Frende Livsforsikring'!B37+'Frende Livsforsikring'!B87+'Frende Livsforsikring'!B135</f>
        <v>2088315</v>
      </c>
      <c r="H13" s="133">
        <f>'Frende Livsforsikring'!C10+'Frende Livsforsikring'!C29+'Frende Livsforsikring'!C37+'Frende Livsforsikring'!C87+'Frende Livsforsikring'!C135</f>
        <v>2437488</v>
      </c>
      <c r="I13" s="76">
        <f t="shared" si="2"/>
        <v>16.7</v>
      </c>
      <c r="J13" s="326">
        <f t="shared" si="3"/>
        <v>0.17585705562307963</v>
      </c>
      <c r="L13" s="171"/>
      <c r="M13" s="169"/>
      <c r="N13" s="171"/>
      <c r="O13" s="169"/>
    </row>
    <row r="14" spans="1:18" ht="18.75" x14ac:dyDescent="0.3">
      <c r="A14" s="77" t="s">
        <v>82</v>
      </c>
      <c r="B14" s="133">
        <f>'Frende Skadeforsikring'!B7+'Frende Skadeforsikring'!B22+'Frende Skadeforsikring'!B36+'Frende Skadeforsikring'!B47+'Frende Skadeforsikring'!B66+'Frende Skadeforsikring'!B134</f>
        <v>6049.5889999999999</v>
      </c>
      <c r="C14" s="133">
        <f>'Frende Skadeforsikring'!C7+'Frende Skadeforsikring'!C22+'Frende Skadeforsikring'!C36+'Frende Skadeforsikring'!C47+'Frende Skadeforsikring'!C66+'Frende Skadeforsikring'!C134</f>
        <v>287.33699999999999</v>
      </c>
      <c r="D14" s="76">
        <f t="shared" si="0"/>
        <v>-95.3</v>
      </c>
      <c r="E14" s="326">
        <f t="shared" si="1"/>
        <v>1.4543280676996273E-3</v>
      </c>
      <c r="F14" s="75"/>
      <c r="G14" s="133">
        <f>'Frende Skadeforsikring'!B10+'Frende Skadeforsikring'!B29+'Frende Skadeforsikring'!B37+'Frende Skadeforsikring'!B87+'Frende Skadeforsikring'!B135</f>
        <v>0</v>
      </c>
      <c r="H14" s="133">
        <f>'Frende Skadeforsikring'!C10+'Frende Skadeforsikring'!C29+'Frende Skadeforsikring'!C37+'Frende Skadeforsikring'!C87+'Frende Skadeforsikring'!C135</f>
        <v>0</v>
      </c>
      <c r="I14" s="76" t="str">
        <f t="shared" si="2"/>
        <v xml:space="preserve">    ---- </v>
      </c>
      <c r="J14" s="326">
        <f t="shared" si="3"/>
        <v>0</v>
      </c>
      <c r="K14" s="59" t="s">
        <v>128</v>
      </c>
      <c r="L14" s="171">
        <f t="shared" ref="L14:L30" ca="1" si="6">INDIRECT("'" &amp; $A13 &amp; "'!" &amp; $P$7)</f>
        <v>0</v>
      </c>
      <c r="M14" s="169">
        <f t="shared" ref="M14:M30" ca="1" si="7">INDIRECT("'" &amp; $A13 &amp; "'!" &amp; $P$8)</f>
        <v>0</v>
      </c>
      <c r="N14" s="171" t="e">
        <f ca="1">INDIRECT("'" &amp; $A13 &amp; "'!" &amp;#REF!)</f>
        <v>#REF!</v>
      </c>
      <c r="O14" s="169">
        <f t="shared" ref="O14:O30" ca="1" si="8">INDIRECT("'" &amp; $A13 &amp; "'!" &amp; $P$9)</f>
        <v>0</v>
      </c>
    </row>
    <row r="15" spans="1:18" ht="18.75" x14ac:dyDescent="0.3">
      <c r="A15" s="77" t="s">
        <v>83</v>
      </c>
      <c r="B15" s="133">
        <f>'Gjensidige Forsikring'!B7+'Gjensidige Forsikring'!B22+'Gjensidige Forsikring'!B36+'Gjensidige Forsikring'!B47+'Gjensidige Forsikring'!B66+'Gjensidige Forsikring'!B134</f>
        <v>1560765.828</v>
      </c>
      <c r="C15" s="133">
        <f>'Gjensidige Forsikring'!C7+'Gjensidige Forsikring'!C22+'Gjensidige Forsikring'!C36+'Gjensidige Forsikring'!C47+'Gjensidige Forsikring'!C66+'Gjensidige Forsikring'!C134</f>
        <v>1611395.2398000001</v>
      </c>
      <c r="D15" s="76">
        <f t="shared" si="0"/>
        <v>3.2</v>
      </c>
      <c r="E15" s="326">
        <f t="shared" si="1"/>
        <v>8.1559190963875583</v>
      </c>
      <c r="F15" s="75"/>
      <c r="G15" s="133">
        <f>'Gjensidige Forsikring'!B10+'Gjensidige Forsikring'!B29+'Gjensidige Forsikring'!B37+'Gjensidige Forsikring'!B87+'Gjensidige Forsikring'!B135</f>
        <v>0</v>
      </c>
      <c r="H15" s="133">
        <f>'Gjensidige Forsikring'!C10+'Gjensidige Forsikring'!C29+'Gjensidige Forsikring'!C37+'Gjensidige Forsikring'!C87+'Gjensidige Forsikring'!C135</f>
        <v>0</v>
      </c>
      <c r="I15" s="76" t="str">
        <f t="shared" si="2"/>
        <v xml:space="preserve">    ---- </v>
      </c>
      <c r="J15" s="326">
        <f t="shared" si="3"/>
        <v>0</v>
      </c>
      <c r="K15" s="59" t="s">
        <v>133</v>
      </c>
      <c r="L15" s="171">
        <f t="shared" ca="1" si="6"/>
        <v>0</v>
      </c>
      <c r="M15" s="169">
        <f t="shared" ca="1" si="7"/>
        <v>0</v>
      </c>
      <c r="N15" s="171" t="e">
        <f ca="1">INDIRECT("'" &amp; $A14 &amp; "'!" &amp;#REF!)</f>
        <v>#REF!</v>
      </c>
      <c r="O15" s="169">
        <f t="shared" ca="1" si="8"/>
        <v>0</v>
      </c>
    </row>
    <row r="16" spans="1:18" ht="18.75" x14ac:dyDescent="0.3">
      <c r="A16" s="77" t="s">
        <v>84</v>
      </c>
      <c r="B16" s="133">
        <f>'Gjensidige Pensjon'!B7+'Gjensidige Pensjon'!B22+'Gjensidige Pensjon'!B36+'Gjensidige Pensjon'!B47+'Gjensidige Pensjon'!B66+'Gjensidige Pensjon'!B134</f>
        <v>314987</v>
      </c>
      <c r="C16" s="133">
        <f>'Gjensidige Pensjon'!C7+'Gjensidige Pensjon'!C22+'Gjensidige Pensjon'!C36+'Gjensidige Pensjon'!C47+'Gjensidige Pensjon'!C66+'Gjensidige Pensjon'!C134</f>
        <v>361354</v>
      </c>
      <c r="D16" s="76">
        <f t="shared" si="0"/>
        <v>14.7</v>
      </c>
      <c r="E16" s="326">
        <f t="shared" si="1"/>
        <v>1.8289578598493446</v>
      </c>
      <c r="F16" s="75"/>
      <c r="G16" s="133">
        <f>'Gjensidige Pensjon'!B10+'Gjensidige Pensjon'!B29+'Gjensidige Pensjon'!B37+'Gjensidige Pensjon'!B87+'Gjensidige Pensjon'!B135</f>
        <v>10139234</v>
      </c>
      <c r="H16" s="133">
        <f>'Gjensidige Pensjon'!C10+'Gjensidige Pensjon'!C29+'Gjensidige Pensjon'!C37+'Gjensidige Pensjon'!C87+'Gjensidige Pensjon'!C135</f>
        <v>11279029</v>
      </c>
      <c r="I16" s="76">
        <f t="shared" si="2"/>
        <v>11.2</v>
      </c>
      <c r="J16" s="326">
        <f t="shared" si="3"/>
        <v>0.81374629545964039</v>
      </c>
      <c r="K16" s="59" t="s">
        <v>129</v>
      </c>
      <c r="L16" s="171">
        <f t="shared" ca="1" si="6"/>
        <v>0</v>
      </c>
      <c r="M16" s="169">
        <f t="shared" ca="1" si="7"/>
        <v>0</v>
      </c>
      <c r="N16" s="171" t="e">
        <f ca="1">INDIRECT("'" &amp; $A15 &amp; "'!" &amp;#REF!)</f>
        <v>#REF!</v>
      </c>
      <c r="O16" s="169">
        <f t="shared" ca="1" si="8"/>
        <v>0</v>
      </c>
    </row>
    <row r="17" spans="1:21" ht="18.75" x14ac:dyDescent="0.3">
      <c r="A17" s="77" t="s">
        <v>85</v>
      </c>
      <c r="B17" s="133">
        <f>'If Skadeforsikring NUF'!B7+'If Skadeforsikring NUF'!B22+'If Skadeforsikring NUF'!B36+'If Skadeforsikring NUF'!B47+'If Skadeforsikring NUF'!B66+'If Skadeforsikring NUF'!B134</f>
        <v>250285.496603765</v>
      </c>
      <c r="C17" s="133">
        <f>'If Skadeforsikring NUF'!C7+'If Skadeforsikring NUF'!C22+'If Skadeforsikring NUF'!C36+'If Skadeforsikring NUF'!C47+'If Skadeforsikring NUF'!C66+'If Skadeforsikring NUF'!C134</f>
        <v>306096.93232210295</v>
      </c>
      <c r="D17" s="76">
        <f t="shared" si="0"/>
        <v>22.3</v>
      </c>
      <c r="E17" s="326">
        <f t="shared" si="1"/>
        <v>1.5492796267546038</v>
      </c>
      <c r="F17" s="75"/>
      <c r="G17" s="133">
        <f>'If Skadeforsikring NUF'!B10+'If Skadeforsikring NUF'!B29+'If Skadeforsikring NUF'!B37+'If Skadeforsikring NUF'!B87+'If Skadeforsikring NUF'!B135</f>
        <v>0</v>
      </c>
      <c r="H17" s="133">
        <f>'If Skadeforsikring NUF'!C10+'If Skadeforsikring NUF'!C29+'If Skadeforsikring NUF'!C37+'If Skadeforsikring NUF'!C87+'If Skadeforsikring NUF'!C135</f>
        <v>0</v>
      </c>
      <c r="I17" s="76" t="str">
        <f t="shared" si="2"/>
        <v xml:space="preserve">    ---- </v>
      </c>
      <c r="J17" s="326">
        <f t="shared" si="3"/>
        <v>0</v>
      </c>
      <c r="K17" s="51"/>
      <c r="L17" s="171" t="e">
        <f ca="1">INDIRECT("'" &amp;#REF! &amp; "'!" &amp; $P$7)</f>
        <v>#REF!</v>
      </c>
      <c r="M17" s="169" t="e">
        <f ca="1">INDIRECT("'" &amp;#REF! &amp; "'!" &amp; $P$8)</f>
        <v>#REF!</v>
      </c>
      <c r="N17" s="171" t="e">
        <f ca="1">INDIRECT("'" &amp;#REF! &amp; "'!" &amp;#REF!)</f>
        <v>#REF!</v>
      </c>
      <c r="O17" s="169" t="e">
        <f ca="1">INDIRECT("'" &amp;#REF! &amp; "'!" &amp; $P$9)</f>
        <v>#REF!</v>
      </c>
    </row>
    <row r="18" spans="1:21" ht="18.75" x14ac:dyDescent="0.3">
      <c r="A18" s="77" t="s">
        <v>61</v>
      </c>
      <c r="B18" s="133">
        <f>KLP!B7+KLP!B22+KLP!B36+KLP!B47+KLP!B66+KLP!B134</f>
        <v>7819124.7919600001</v>
      </c>
      <c r="C18" s="133">
        <f>KLP!C7+KLP!C22+KLP!C36+KLP!C47+KLP!C66+KLP!C134</f>
        <v>8049379.79641</v>
      </c>
      <c r="D18" s="76">
        <f t="shared" si="0"/>
        <v>2.9</v>
      </c>
      <c r="E18" s="326">
        <f t="shared" si="1"/>
        <v>40.741147034643554</v>
      </c>
      <c r="F18" s="75"/>
      <c r="G18" s="133">
        <f>KLP!B10+KLP!B29+KLP!B37+KLP!B87+KLP!B135</f>
        <v>742435451.03683996</v>
      </c>
      <c r="H18" s="133">
        <f>KLP!C10+KLP!C29+KLP!C37+KLP!C87+KLP!C135</f>
        <v>794812677.44805002</v>
      </c>
      <c r="I18" s="76">
        <f t="shared" si="2"/>
        <v>7.1</v>
      </c>
      <c r="J18" s="326">
        <f t="shared" si="3"/>
        <v>57.343222706290483</v>
      </c>
      <c r="K18" s="51"/>
      <c r="L18" s="171" t="e">
        <f ca="1">INDIRECT("'" &amp;#REF! &amp; "'!" &amp; $P$7)</f>
        <v>#REF!</v>
      </c>
      <c r="M18" s="169" t="e">
        <f ca="1">INDIRECT("'" &amp;#REF! &amp; "'!" &amp; $P$8)</f>
        <v>#REF!</v>
      </c>
      <c r="N18" s="171" t="e">
        <f ca="1">INDIRECT("'" &amp;#REF! &amp; "'!" &amp;#REF!)</f>
        <v>#REF!</v>
      </c>
      <c r="O18" s="169" t="e">
        <f ca="1">INDIRECT("'" &amp;#REF! &amp; "'!" &amp; $P$9)</f>
        <v>#REF!</v>
      </c>
    </row>
    <row r="19" spans="1:21" ht="18.75" x14ac:dyDescent="0.3">
      <c r="A19" s="77" t="s">
        <v>86</v>
      </c>
      <c r="B19" s="133">
        <f>'KLP Skadeforsikring AS'!B7+'KLP Skadeforsikring AS'!B22+'KLP Skadeforsikring AS'!B36+'KLP Skadeforsikring AS'!B47+'KLP Skadeforsikring AS'!B66+'KLP Skadeforsikring AS'!B134</f>
        <v>212764.049</v>
      </c>
      <c r="C19" s="133">
        <f>'KLP Skadeforsikring AS'!C7+'KLP Skadeforsikring AS'!C22+'KLP Skadeforsikring AS'!C36+'KLP Skadeforsikring AS'!C47+'KLP Skadeforsikring AS'!C66+'KLP Skadeforsikring AS'!C134</f>
        <v>234700.55499999999</v>
      </c>
      <c r="D19" s="76">
        <f t="shared" si="0"/>
        <v>10.3</v>
      </c>
      <c r="E19" s="326">
        <f t="shared" si="1"/>
        <v>1.187913859479218</v>
      </c>
      <c r="F19" s="75"/>
      <c r="G19" s="133">
        <f>'KLP Skadeforsikring AS'!B10+'KLP Skadeforsikring AS'!B29+'KLP Skadeforsikring AS'!B37+'KLP Skadeforsikring AS'!B87+'KLP Skadeforsikring AS'!B135</f>
        <v>148316.739</v>
      </c>
      <c r="H19" s="133">
        <f>'KLP Skadeforsikring AS'!C10+'KLP Skadeforsikring AS'!C29+'KLP Skadeforsikring AS'!C37+'KLP Skadeforsikring AS'!C87+'KLP Skadeforsikring AS'!C135</f>
        <v>173603.853</v>
      </c>
      <c r="I19" s="76">
        <f t="shared" si="2"/>
        <v>17</v>
      </c>
      <c r="J19" s="326">
        <f t="shared" si="3"/>
        <v>1.2524969326372863E-2</v>
      </c>
      <c r="K19" s="51"/>
      <c r="L19" s="171">
        <f ca="1">INDIRECT("'" &amp; $A31 &amp; "'!" &amp; $P$7)</f>
        <v>0</v>
      </c>
      <c r="M19" s="169">
        <f ca="1">INDIRECT("'" &amp; $A31 &amp; "'!" &amp; $P$8)</f>
        <v>0</v>
      </c>
      <c r="N19" s="171" t="e">
        <f ca="1">INDIRECT("'" &amp; $A31 &amp; "'!" &amp;#REF!)</f>
        <v>#REF!</v>
      </c>
      <c r="O19" s="169">
        <f ca="1">INDIRECT("'" &amp; $A31 &amp; "'!" &amp; $P$9)</f>
        <v>0</v>
      </c>
    </row>
    <row r="20" spans="1:21" ht="18.75" x14ac:dyDescent="0.3">
      <c r="A20" s="77" t="s">
        <v>362</v>
      </c>
      <c r="B20" s="133">
        <f>'Landkreditt Forsikring'!B7+'Landkreditt Forsikring'!B22+'Landkreditt Forsikring'!B36+'Landkreditt Forsikring'!B47+'Landkreditt Forsikring'!B66+'Landkreditt Forsikring'!B134</f>
        <v>22470</v>
      </c>
      <c r="C20" s="133">
        <f>'Landkreditt Forsikring'!C7+'Landkreditt Forsikring'!C22+'Landkreditt Forsikring'!C36+'Landkreditt Forsikring'!C47+'Landkreditt Forsikring'!C66+'Landkreditt Forsikring'!C134</f>
        <v>82536</v>
      </c>
      <c r="D20" s="76">
        <f t="shared" si="0"/>
        <v>267.3</v>
      </c>
      <c r="E20" s="326">
        <f t="shared" si="1"/>
        <v>0.41774787582405482</v>
      </c>
      <c r="F20" s="75"/>
      <c r="G20" s="133">
        <f>'Landkreditt Forsikring'!B10+'Landkreditt Forsikring'!B29+'Landkreditt Forsikring'!B37+'Landkreditt Forsikring'!B87+'Landkreditt Forsikring'!B135</f>
        <v>0</v>
      </c>
      <c r="H20" s="133">
        <f>'Landkreditt Forsikring'!C10+'Landkreditt Forsikring'!C29+'Landkreditt Forsikring'!C37+'Landkreditt Forsikring'!C87+'Landkreditt Forsikring'!C135</f>
        <v>0</v>
      </c>
      <c r="I20" s="76" t="str">
        <f t="shared" si="2"/>
        <v xml:space="preserve">    ---- </v>
      </c>
      <c r="J20" s="326">
        <f t="shared" si="3"/>
        <v>0</v>
      </c>
      <c r="K20" s="51"/>
      <c r="L20" s="171">
        <f t="shared" ca="1" si="6"/>
        <v>0</v>
      </c>
      <c r="M20" s="169">
        <f t="shared" ca="1" si="7"/>
        <v>0</v>
      </c>
      <c r="N20" s="171" t="e">
        <f ca="1">INDIRECT("'" &amp; $A19 &amp; "'!" &amp;#REF!)</f>
        <v>#REF!</v>
      </c>
      <c r="O20" s="169">
        <f t="shared" ca="1" si="8"/>
        <v>0</v>
      </c>
    </row>
    <row r="21" spans="1:21" ht="18.75" x14ac:dyDescent="0.3">
      <c r="A21" s="77" t="s">
        <v>371</v>
      </c>
      <c r="B21" s="133">
        <f>'Ly Forsikring'!B7+'Ly Forsikring'!B22+'Ly Forsikring'!B36+'Ly Forsikring'!B47+'Ly Forsikring'!B66+'Ly Forsikring'!B134</f>
        <v>14299.8</v>
      </c>
      <c r="C21" s="133">
        <f>'Ly Forsikring'!C7+'Ly Forsikring'!C22+'Ly Forsikring'!C36+'Ly Forsikring'!C47+'Ly Forsikring'!C66+'Ly Forsikring'!C134</f>
        <v>15177</v>
      </c>
      <c r="D21" s="76">
        <f t="shared" ref="D21" si="9">IF(B21=0, "    ---- ", IF(ABS(ROUND(100/B21*C21-100,1))&lt;999,ROUND(100/B21*C21-100,1),IF(ROUND(100/B21*C21-100,1)&gt;999,999,-999)))</f>
        <v>6.1</v>
      </c>
      <c r="E21" s="326">
        <f t="shared" si="1"/>
        <v>7.6816898218737037E-2</v>
      </c>
      <c r="F21" s="75"/>
      <c r="G21" s="133">
        <f>'Ly Forsikring'!B10+'Ly Forsikring'!B29+'Ly Forsikring'!B37+'Ly Forsikring'!B87+'Ly Forsikring'!B135</f>
        <v>0</v>
      </c>
      <c r="H21" s="133">
        <f>'Ly Forsikring'!C10+'Ly Forsikring'!C29+'Ly Forsikring'!C37+'Ly Forsikring'!C87+'Ly Forsikring'!C135</f>
        <v>0</v>
      </c>
      <c r="I21" s="76" t="str">
        <f t="shared" ref="I21" si="10">IF(G21=0, "    ---- ", IF(ABS(ROUND(100/G21*H21-100,1))&lt;999,ROUND(100/G21*H21-100,1),IF(ROUND(100/G21*H21-100,1)&gt;999,999,-999)))</f>
        <v xml:space="preserve">    ---- </v>
      </c>
      <c r="J21" s="326">
        <f t="shared" si="3"/>
        <v>0</v>
      </c>
      <c r="K21" s="51"/>
      <c r="L21" s="171"/>
      <c r="M21" s="169"/>
      <c r="N21" s="171"/>
      <c r="O21" s="169"/>
    </row>
    <row r="22" spans="1:21" ht="18.75" x14ac:dyDescent="0.3">
      <c r="A22" s="77" t="s">
        <v>87</v>
      </c>
      <c r="B22" s="133">
        <f>'Nordea Liv '!B7+'Nordea Liv '!B22+'Nordea Liv '!B36+'Nordea Liv '!B47+'Nordea Liv '!B66+'Nordea Liv '!B134</f>
        <v>749011.92606698244</v>
      </c>
      <c r="C22" s="133">
        <f>'Nordea Liv '!C7+'Nordea Liv '!C22+'Nordea Liv '!C36+'Nordea Liv '!C47+'Nordea Liv '!C66+'Nordea Liv '!C134</f>
        <v>811738.02410864085</v>
      </c>
      <c r="D22" s="76">
        <f t="shared" si="0"/>
        <v>8.4</v>
      </c>
      <c r="E22" s="326">
        <f t="shared" si="1"/>
        <v>4.1085324621619668</v>
      </c>
      <c r="F22" s="75"/>
      <c r="G22" s="133">
        <f>'Nordea Liv '!B10+'Nordea Liv '!B29+'Nordea Liv '!B37+'Nordea Liv '!B87+'Nordea Liv '!B135</f>
        <v>54599980.000004023</v>
      </c>
      <c r="H22" s="133">
        <f>'Nordea Liv '!C10+'Nordea Liv '!C29+'Nordea Liv '!C37+'Nordea Liv '!C87+'Nordea Liv '!C135</f>
        <v>54964640.000001788</v>
      </c>
      <c r="I22" s="76">
        <f t="shared" si="2"/>
        <v>0.7</v>
      </c>
      <c r="J22" s="326">
        <f t="shared" si="3"/>
        <v>3.9655250625984051</v>
      </c>
      <c r="K22" s="51"/>
      <c r="L22" s="171">
        <f ca="1">INDIRECT("'" &amp; $A20 &amp; "'!" &amp; $P$7)</f>
        <v>0</v>
      </c>
      <c r="M22" s="169">
        <f ca="1">INDIRECT("'" &amp; $A20 &amp; "'!" &amp; $P$8)</f>
        <v>0</v>
      </c>
      <c r="N22" s="171" t="e">
        <f ca="1">INDIRECT("'" &amp; $A20 &amp; "'!" &amp;#REF!)</f>
        <v>#REF!</v>
      </c>
      <c r="O22" s="169">
        <f ca="1">INDIRECT("'" &amp; $A20 &amp; "'!" &amp; $P$9)</f>
        <v>0</v>
      </c>
    </row>
    <row r="23" spans="1:21" ht="18.75" x14ac:dyDescent="0.3">
      <c r="A23" s="77" t="s">
        <v>401</v>
      </c>
      <c r="B23" s="133">
        <f>'Oslo Forsikring'!B7+'Oslo Forsikring'!B22+'Oslo Forsikring'!B36+'Oslo Forsikring'!B47+'Oslo Forsikring'!B66+'Oslo Forsikring'!B134</f>
        <v>8485</v>
      </c>
      <c r="C23" s="133">
        <f>'Oslo Forsikring'!C7+'Oslo Forsikring'!C22+'Oslo Forsikring'!C36+'Oslo Forsikring'!C47+'Oslo Forsikring'!C66+'Oslo Forsikring'!C134</f>
        <v>8970</v>
      </c>
      <c r="D23" s="76">
        <f t="shared" ref="D23" si="11">IF(B23=0, "    ---- ", IF(ABS(ROUND(100/B23*C23-100,1))&lt;999,ROUND(100/B23*C23-100,1),IF(ROUND(100/B23*C23-100,1)&gt;999,999,-999)))</f>
        <v>5.7</v>
      </c>
      <c r="E23" s="326">
        <f t="shared" si="1"/>
        <v>4.5400775978261268E-2</v>
      </c>
      <c r="F23" s="75"/>
      <c r="G23" s="133">
        <f>'Oslo Forsikring'!B10+'Oslo Forsikring'!B29+'Oslo Forsikring'!B37+'Oslo Forsikring'!B87+'Oslo Forsikring'!B135</f>
        <v>0</v>
      </c>
      <c r="H23" s="133">
        <f>'Oslo Forsikring'!C10+'Oslo Forsikring'!C29+'Oslo Forsikring'!C37+'Oslo Forsikring'!C87+'Oslo Forsikring'!C135</f>
        <v>0</v>
      </c>
      <c r="I23" s="76" t="str">
        <f t="shared" ref="I23" si="12">IF(G23=0, "    ---- ", IF(ABS(ROUND(100/G23*H23-100,1))&lt;999,ROUND(100/G23*H23-100,1),IF(ROUND(100/G23*H23-100,1)&gt;999,999,-999)))</f>
        <v xml:space="preserve">    ---- </v>
      </c>
      <c r="J23" s="326">
        <f t="shared" si="3"/>
        <v>0</v>
      </c>
      <c r="K23" s="51"/>
      <c r="L23" s="171"/>
      <c r="M23" s="169"/>
      <c r="N23" s="171"/>
      <c r="O23" s="169"/>
    </row>
    <row r="24" spans="1:21" ht="18.75" x14ac:dyDescent="0.3">
      <c r="A24" s="77" t="s">
        <v>88</v>
      </c>
      <c r="B24" s="133">
        <f>'Oslo Pensjonsforsikring'!B7+'Oslo Pensjonsforsikring'!B22+'Oslo Pensjonsforsikring'!B36+'Oslo Pensjonsforsikring'!B47+'Oslo Pensjonsforsikring'!B66+'Oslo Pensjonsforsikring'!B134</f>
        <v>908134</v>
      </c>
      <c r="C24" s="133">
        <f>'Oslo Pensjonsforsikring'!C7+'Oslo Pensjonsforsikring'!C22+'Oslo Pensjonsforsikring'!C36+'Oslo Pensjonsforsikring'!C47+'Oslo Pensjonsforsikring'!C66+'Oslo Pensjonsforsikring'!C134</f>
        <v>908116</v>
      </c>
      <c r="D24" s="76">
        <f t="shared" si="0"/>
        <v>0</v>
      </c>
      <c r="E24" s="326">
        <f t="shared" si="1"/>
        <v>4.5963401425055412</v>
      </c>
      <c r="F24" s="75"/>
      <c r="G24" s="133">
        <f>'Oslo Pensjonsforsikring'!B10+'Oslo Pensjonsforsikring'!B29+'Oslo Pensjonsforsikring'!B37+'Oslo Pensjonsforsikring'!B87+'Oslo Pensjonsforsikring'!B135</f>
        <v>94317675</v>
      </c>
      <c r="H24" s="133">
        <f>'Oslo Pensjonsforsikring'!C10+'Oslo Pensjonsforsikring'!C29+'Oslo Pensjonsforsikring'!C37+'Oslo Pensjonsforsikring'!C87+'Oslo Pensjonsforsikring'!C135</f>
        <v>97889000</v>
      </c>
      <c r="I24" s="76">
        <f t="shared" si="2"/>
        <v>3.8</v>
      </c>
      <c r="J24" s="326">
        <f t="shared" si="3"/>
        <v>7.0623819759882469</v>
      </c>
      <c r="K24" s="51"/>
      <c r="L24" s="171">
        <f ca="1">INDIRECT("'" &amp; $A22 &amp; "'!" &amp; $P$7)</f>
        <v>0</v>
      </c>
      <c r="M24" s="169">
        <f ca="1">INDIRECT("'" &amp; $A22 &amp; "'!" &amp; $P$8)</f>
        <v>0</v>
      </c>
      <c r="N24" s="171" t="e">
        <f ca="1">INDIRECT("'" &amp; $A22 &amp; "'!" &amp;#REF!)</f>
        <v>#REF!</v>
      </c>
      <c r="O24" s="169">
        <f ca="1">INDIRECT("'" &amp; $A22 &amp; "'!" &amp; $P$9)</f>
        <v>0</v>
      </c>
    </row>
    <row r="25" spans="1:21" ht="18.75" x14ac:dyDescent="0.3">
      <c r="A25" s="77" t="s">
        <v>322</v>
      </c>
      <c r="B25" s="133">
        <f>'Protector Forsikring'!B7+'Protector Forsikring'!B22+'Protector Forsikring'!B36+'Protector Forsikring'!B47+'Protector Forsikring'!B66+'Protector Forsikring'!B134</f>
        <v>268907</v>
      </c>
      <c r="C25" s="133">
        <f>'Protector Forsikring'!C7+'Protector Forsikring'!C22+'Protector Forsikring'!C36+'Protector Forsikring'!C47+'Protector Forsikring'!C66+'Protector Forsikring'!C134</f>
        <v>318529</v>
      </c>
      <c r="D25" s="76">
        <f t="shared" si="0"/>
        <v>18.5</v>
      </c>
      <c r="E25" s="326">
        <f t="shared" si="1"/>
        <v>1.6122033190166758</v>
      </c>
      <c r="F25" s="75"/>
      <c r="G25" s="133">
        <f>'Protector Forsikring'!B10+'Protector Forsikring'!B29+'Protector Forsikring'!B37+'Protector Forsikring'!B87+'Protector Forsikring'!B135</f>
        <v>0</v>
      </c>
      <c r="H25" s="133">
        <f>'Protector Forsikring'!C10+'Protector Forsikring'!C29+'Protector Forsikring'!C37+'Protector Forsikring'!C87+'Protector Forsikring'!C135</f>
        <v>0</v>
      </c>
      <c r="I25" s="76" t="str">
        <f t="shared" si="2"/>
        <v xml:space="preserve">    ---- </v>
      </c>
      <c r="J25" s="326">
        <f t="shared" si="3"/>
        <v>0</v>
      </c>
      <c r="K25" s="51"/>
      <c r="L25" s="171">
        <f t="shared" ca="1" si="6"/>
        <v>0</v>
      </c>
      <c r="M25" s="169">
        <f t="shared" ca="1" si="7"/>
        <v>0</v>
      </c>
      <c r="N25" s="171" t="e">
        <f ca="1">INDIRECT("'" &amp; $A24 &amp; "'!" &amp;#REF!)</f>
        <v>#REF!</v>
      </c>
      <c r="O25" s="169">
        <f t="shared" ca="1" si="8"/>
        <v>0</v>
      </c>
    </row>
    <row r="26" spans="1:21" ht="18.75" x14ac:dyDescent="0.3">
      <c r="A26" s="77" t="s">
        <v>370</v>
      </c>
      <c r="B26" s="133">
        <f>'Sparebank 1 Fors.'!B7+'Sparebank 1 Fors.'!B22+'Sparebank 1 Fors.'!B36+'Sparebank 1 Fors.'!B47+'Sparebank 1 Fors.'!B66+'Sparebank 1 Fors.'!B134</f>
        <v>282541.22444999998</v>
      </c>
      <c r="C26" s="133">
        <f>'Sparebank 1 Fors.'!C7+'Sparebank 1 Fors.'!C22+'Sparebank 1 Fors.'!C36+'Sparebank 1 Fors.'!C47+'Sparebank 1 Fors.'!C66+'Sparebank 1 Fors.'!C134</f>
        <v>287814.84760999994</v>
      </c>
      <c r="D26" s="76">
        <f t="shared" si="0"/>
        <v>1.9</v>
      </c>
      <c r="E26" s="326">
        <f t="shared" si="1"/>
        <v>1.4567466465506145</v>
      </c>
      <c r="F26" s="75"/>
      <c r="G26" s="133">
        <f>'Sparebank 1 Fors.'!B10+'Sparebank 1 Fors.'!B29+'Sparebank 1 Fors.'!B37+'Sparebank 1 Fors.'!B87+'Sparebank 1 Fors.'!B135</f>
        <v>21904980.821390003</v>
      </c>
      <c r="H26" s="133">
        <f>'Sparebank 1 Fors.'!C10+'Sparebank 1 Fors.'!C29+'Sparebank 1 Fors.'!C37+'Sparebank 1 Fors.'!C87+'Sparebank 1 Fors.'!C135</f>
        <v>23632770.244150002</v>
      </c>
      <c r="I26" s="76">
        <f t="shared" si="2"/>
        <v>7.9</v>
      </c>
      <c r="J26" s="326">
        <f t="shared" si="3"/>
        <v>1.705029682752468</v>
      </c>
      <c r="K26" s="51"/>
      <c r="L26" s="171">
        <f t="shared" ca="1" si="6"/>
        <v>0</v>
      </c>
      <c r="M26" s="169">
        <f t="shared" ca="1" si="7"/>
        <v>0</v>
      </c>
      <c r="N26" s="171" t="e">
        <f ca="1">INDIRECT("'" &amp; $A25 &amp; "'!" &amp;#REF!)</f>
        <v>#REF!</v>
      </c>
      <c r="O26" s="169">
        <f t="shared" ca="1" si="8"/>
        <v>0</v>
      </c>
    </row>
    <row r="27" spans="1:21" ht="18.75" x14ac:dyDescent="0.3">
      <c r="A27" s="77" t="s">
        <v>89</v>
      </c>
      <c r="B27" s="133">
        <f>'Storebrand Livsforsikring'!B7+'Storebrand Livsforsikring'!B22+'Storebrand Livsforsikring'!B36+'Storebrand Livsforsikring'!B47+'Storebrand Livsforsikring'!B66+'Storebrand Livsforsikring'!B134</f>
        <v>2546560.0348999999</v>
      </c>
      <c r="C27" s="133">
        <f>'Storebrand Livsforsikring'!C7+'Storebrand Livsforsikring'!C22+'Storebrand Livsforsikring'!C36+'Storebrand Livsforsikring'!C47+'Storebrand Livsforsikring'!C66+'Storebrand Livsforsikring'!C134</f>
        <v>2689958.4868299998</v>
      </c>
      <c r="D27" s="76">
        <f t="shared" si="0"/>
        <v>5.6</v>
      </c>
      <c r="E27" s="326">
        <f t="shared" si="1"/>
        <v>13.614961276632272</v>
      </c>
      <c r="F27" s="75"/>
      <c r="G27" s="133">
        <f>'Storebrand Livsforsikring'!B10+'Storebrand Livsforsikring'!B29+'Storebrand Livsforsikring'!B37+'Storebrand Livsforsikring'!B87+'Storebrand Livsforsikring'!B135</f>
        <v>208594525.58670002</v>
      </c>
      <c r="H27" s="133">
        <f>'Storebrand Livsforsikring'!C10+'Storebrand Livsforsikring'!C29+'Storebrand Livsforsikring'!C37+'Storebrand Livsforsikring'!C87+'Storebrand Livsforsikring'!C135</f>
        <v>215118616.59341002</v>
      </c>
      <c r="I27" s="76">
        <f t="shared" si="2"/>
        <v>3.1</v>
      </c>
      <c r="J27" s="326">
        <f t="shared" si="3"/>
        <v>15.520128313996722</v>
      </c>
      <c r="K27" s="51"/>
      <c r="L27" s="171" t="e">
        <f t="shared" ca="1" si="6"/>
        <v>#REF!</v>
      </c>
      <c r="M27" s="169" t="e">
        <f t="shared" ca="1" si="7"/>
        <v>#REF!</v>
      </c>
      <c r="N27" s="171" t="e">
        <f ca="1">INDIRECT("'" &amp; $A26 &amp; "'!" &amp;#REF!)</f>
        <v>#REF!</v>
      </c>
      <c r="O27" s="169" t="e">
        <f t="shared" ca="1" si="8"/>
        <v>#REF!</v>
      </c>
    </row>
    <row r="28" spans="1:21" ht="18.75" x14ac:dyDescent="0.3">
      <c r="A28" s="77" t="s">
        <v>90</v>
      </c>
      <c r="B28" s="133">
        <f>'Telenor Forsikring'!B7+'Telenor Forsikring'!B22+'Telenor Forsikring'!B36+'Telenor Forsikring'!B47+'Telenor Forsikring'!B66+'Telenor Forsikring'!B134</f>
        <v>2386</v>
      </c>
      <c r="C28" s="133">
        <f>'Telenor Forsikring'!C7+'Telenor Forsikring'!C22+'Telenor Forsikring'!C36+'Telenor Forsikring'!C47+'Telenor Forsikring'!C66+'Telenor Forsikring'!C134</f>
        <v>2290</v>
      </c>
      <c r="D28" s="76">
        <f t="shared" si="0"/>
        <v>-4</v>
      </c>
      <c r="E28" s="326">
        <f t="shared" si="1"/>
        <v>1.1590610589767927E-2</v>
      </c>
      <c r="F28" s="75"/>
      <c r="G28" s="133">
        <f>'Telenor Forsikring'!B10+'Telenor Forsikring'!B29+'Telenor Forsikring'!B37+'Telenor Forsikring'!B87+'Telenor Forsikring'!B135</f>
        <v>0</v>
      </c>
      <c r="H28" s="133">
        <f>'Telenor Forsikring'!C10+'Telenor Forsikring'!C29+'Telenor Forsikring'!C37+'Telenor Forsikring'!C87+'Telenor Forsikring'!C135</f>
        <v>0</v>
      </c>
      <c r="I28" s="76" t="str">
        <f t="shared" si="2"/>
        <v xml:space="preserve">    ---- </v>
      </c>
      <c r="J28" s="326">
        <f t="shared" si="3"/>
        <v>0</v>
      </c>
      <c r="K28" s="51"/>
      <c r="L28" s="171">
        <f t="shared" ca="1" si="6"/>
        <v>0</v>
      </c>
      <c r="M28" s="169">
        <f t="shared" ca="1" si="7"/>
        <v>0</v>
      </c>
      <c r="N28" s="171" t="e">
        <f ca="1">INDIRECT("'" &amp; $A27 &amp; "'!" &amp;#REF!)</f>
        <v>#REF!</v>
      </c>
      <c r="O28" s="169">
        <f t="shared" ca="1" si="8"/>
        <v>0</v>
      </c>
      <c r="R28" s="423"/>
    </row>
    <row r="29" spans="1:21" ht="18.75" x14ac:dyDescent="0.3">
      <c r="A29" s="77" t="s">
        <v>91</v>
      </c>
      <c r="B29" s="133">
        <f>'Tryg Forsikring'!B7+'Tryg Forsikring'!B22+'Tryg Forsikring'!B36+'Tryg Forsikring'!B47+'Tryg Forsikring'!B66+'Tryg Forsikring'!B134</f>
        <v>751536</v>
      </c>
      <c r="C29" s="133">
        <f>'Tryg Forsikring'!C7+'Tryg Forsikring'!C22+'Tryg Forsikring'!C36+'Tryg Forsikring'!C47+'Tryg Forsikring'!C66+'Tryg Forsikring'!C134</f>
        <v>758059</v>
      </c>
      <c r="D29" s="76">
        <f t="shared" si="0"/>
        <v>0.9</v>
      </c>
      <c r="E29" s="326">
        <f t="shared" si="1"/>
        <v>3.836841341951478</v>
      </c>
      <c r="F29" s="75"/>
      <c r="I29" s="76" t="str">
        <f t="shared" ref="I29:I30" si="13">IF(G29=0, "    ---- ", IF(ABS(ROUND(100/G29*H29-100,1))&lt;999,ROUND(100/G29*H29-100,1),IF(ROUND(100/G29*H29-100,1)&gt;999,999,-999)))</f>
        <v xml:space="preserve">    ---- </v>
      </c>
      <c r="J29" s="326">
        <f t="shared" si="3"/>
        <v>0</v>
      </c>
      <c r="K29" s="158"/>
      <c r="L29" s="171">
        <f t="shared" ca="1" si="6"/>
        <v>0</v>
      </c>
      <c r="M29" s="169">
        <f t="shared" ca="1" si="7"/>
        <v>0</v>
      </c>
      <c r="N29" s="171" t="e">
        <f ca="1">INDIRECT("'" &amp; $A28 &amp; "'!" &amp;#REF!)</f>
        <v>#REF!</v>
      </c>
      <c r="O29" s="169">
        <f t="shared" ca="1" si="8"/>
        <v>0</v>
      </c>
    </row>
    <row r="30" spans="1:21" ht="18.75" x14ac:dyDescent="0.3">
      <c r="A30" s="77" t="s">
        <v>365</v>
      </c>
      <c r="B30" s="133">
        <f>'WaterCircles F'!B7+'WaterCircles F'!B22+'WaterCircles F'!B36+'WaterCircles F'!B47+'WaterCircles F'!B66+'WaterCircles F'!B136</f>
        <v>1726</v>
      </c>
      <c r="C30" s="133">
        <f>'WaterCircles F'!C7+'WaterCircles F'!C22+'WaterCircles F'!C36+'WaterCircles F'!C47+'WaterCircles F'!C66+'WaterCircles F'!C136</f>
        <v>1680</v>
      </c>
      <c r="D30" s="76">
        <f t="shared" si="0"/>
        <v>-2.7</v>
      </c>
      <c r="E30" s="326">
        <f t="shared" si="1"/>
        <v>8.5031553671659887E-3</v>
      </c>
      <c r="F30" s="77"/>
      <c r="G30" s="75">
        <f>'WaterCircles F'!B10+'WaterCircles F'!B29+'WaterCircles F'!B37+'WaterCircles F'!B87+'WaterCircles F'!B135</f>
        <v>0</v>
      </c>
      <c r="H30" s="75">
        <f>'WaterCircles F'!C10+'WaterCircles F'!C29+'WaterCircles F'!C37+'WaterCircles F'!C87+'WaterCircles F'!C135</f>
        <v>0</v>
      </c>
      <c r="I30" s="76" t="str">
        <f t="shared" si="13"/>
        <v xml:space="preserve">    ---- </v>
      </c>
      <c r="J30" s="326">
        <f t="shared" si="3"/>
        <v>0</v>
      </c>
      <c r="K30" s="158"/>
      <c r="L30" s="171">
        <f t="shared" ca="1" si="6"/>
        <v>0</v>
      </c>
      <c r="M30" s="169">
        <f t="shared" ca="1" si="7"/>
        <v>0</v>
      </c>
      <c r="N30" s="171" t="e">
        <f ca="1">INDIRECT("'" &amp; $A29 &amp; "'!" &amp;#REF!)</f>
        <v>#REF!</v>
      </c>
      <c r="O30" s="169">
        <f t="shared" ca="1" si="8"/>
        <v>0</v>
      </c>
    </row>
    <row r="31" spans="1:21" ht="18.75" x14ac:dyDescent="0.3">
      <c r="A31" s="77" t="s">
        <v>372</v>
      </c>
      <c r="B31" s="133">
        <f>'Youplus Livsforsikring'!B7+'Youplus Livsforsikring'!B22+'Youplus Livsforsikring'!B36+'Youplus Livsforsikring'!B47+'Youplus Livsforsikring'!B66+'Youplus Livsforsikring'!B134</f>
        <v>16428</v>
      </c>
      <c r="C31" s="133">
        <f>'Youplus Livsforsikring'!C7+'Youplus Livsforsikring'!C22+'Youplus Livsforsikring'!C36+'Youplus Livsforsikring'!C47+'Youplus Livsforsikring'!C66+'Youplus Livsforsikring'!C134</f>
        <v>43878</v>
      </c>
      <c r="D31" s="76">
        <f>IF(B31=0, "    ---- ", IF(ABS(ROUND(100/B31*C31-100,1))&lt;999,ROUND(100/B31*C31-100,1),IF(ROUND(100/B31*C31-100,1)&gt;999,999,-999)))</f>
        <v>167.1</v>
      </c>
      <c r="E31" s="326">
        <f t="shared" si="1"/>
        <v>0.2220841971431603</v>
      </c>
      <c r="F31" s="75"/>
      <c r="G31" s="133">
        <f>'Youplus Livsforsikring'!B10+'Youplus Livsforsikring'!B29+'Youplus Livsforsikring'!B37+'Youplus Livsforsikring'!B87+'Youplus Livsforsikring'!B135</f>
        <v>34208</v>
      </c>
      <c r="H31" s="133">
        <f>'Youplus Livsforsikring'!C10+'Youplus Livsforsikring'!C29+'Youplus Livsforsikring'!C37+'Youplus Livsforsikring'!C87+'Youplus Livsforsikring'!C135</f>
        <v>69378</v>
      </c>
      <c r="I31" s="76">
        <f>IF(G31=0, "    ---- ", IF(ABS(ROUND(100/G31*H31-100,1))&lt;999,ROUND(100/G31*H31-100,1),IF(ROUND(100/G31*H31-100,1)&gt;999,999,-999)))</f>
        <v>102.8</v>
      </c>
      <c r="J31" s="326">
        <f t="shared" si="3"/>
        <v>5.0054034337883996E-3</v>
      </c>
      <c r="K31" s="51"/>
      <c r="L31" s="171">
        <f ca="1">INDIRECT("'" &amp; $A18 &amp; "'!" &amp; $P$7)</f>
        <v>0</v>
      </c>
      <c r="M31" s="169">
        <f ca="1">INDIRECT("'" &amp; $A18 &amp; "'!" &amp; $P$8)</f>
        <v>0</v>
      </c>
      <c r="N31" s="171" t="e">
        <f ca="1">INDIRECT("'" &amp; $A18 &amp; "'!" &amp;#REF!)</f>
        <v>#REF!</v>
      </c>
      <c r="O31" s="169">
        <f ca="1">INDIRECT("'" &amp; $A18 &amp; "'!" &amp; $P$9)</f>
        <v>0</v>
      </c>
    </row>
    <row r="32" spans="1:21" s="80" customFormat="1" ht="18.75" x14ac:dyDescent="0.3">
      <c r="A32" s="103" t="s">
        <v>92</v>
      </c>
      <c r="B32" s="63">
        <f>SUM(B9:B31)</f>
        <v>18874304.058330748</v>
      </c>
      <c r="C32" s="189">
        <f>SUM(C9:C31)</f>
        <v>19757371.557470743</v>
      </c>
      <c r="D32" s="76">
        <f t="shared" ref="D32" si="14">IF(B32=0, "    ---- ", IF(ABS(ROUND(100/B32*C32-100,1))&lt;999,ROUND(100/B32*C32-100,1),IF(ROUND(100/B32*C32-100,1)&gt;999,999,-999)))</f>
        <v>4.7</v>
      </c>
      <c r="E32" s="327">
        <f>SUM(E9:E31)</f>
        <v>100.00000000000001</v>
      </c>
      <c r="F32" s="78"/>
      <c r="G32" s="63">
        <f>SUM(G9:G31)</f>
        <v>1322466019.389344</v>
      </c>
      <c r="H32" s="63">
        <f>SUM(H9:H31)</f>
        <v>1386062101.0420818</v>
      </c>
      <c r="I32" s="76">
        <f t="shared" ref="I32" si="15">IF(G32=0, "    ---- ", IF(ABS(ROUND(100/G32*H32-100,1))&lt;999,ROUND(100/G32*H32-100,1),IF(ROUND(100/G32*H32-100,1)&gt;999,999,-999)))</f>
        <v>4.8</v>
      </c>
      <c r="J32" s="327">
        <f>SUM(J9:J31)</f>
        <v>99.999999999999986</v>
      </c>
      <c r="K32" s="156"/>
      <c r="L32" s="171" t="e">
        <f ca="1">SUM(L9:L30)</f>
        <v>#REF!</v>
      </c>
      <c r="M32" s="169" t="e">
        <f ca="1">SUM(M9:M30)</f>
        <v>#REF!</v>
      </c>
      <c r="N32" s="171" t="e">
        <f ca="1">SUM(N9:N30)</f>
        <v>#REF!</v>
      </c>
      <c r="O32" s="169" t="e">
        <f ca="1">SUM(O9:O30)</f>
        <v>#REF!</v>
      </c>
      <c r="U32" s="156"/>
    </row>
    <row r="33" spans="1:20" ht="18.75" x14ac:dyDescent="0.3">
      <c r="A33" s="58"/>
      <c r="B33" s="133"/>
      <c r="C33" s="51"/>
      <c r="D33" s="76"/>
      <c r="E33" s="326"/>
      <c r="F33" s="75"/>
      <c r="G33" s="133"/>
      <c r="H33" s="75"/>
      <c r="I33" s="76"/>
      <c r="J33" s="326"/>
      <c r="K33" s="158"/>
      <c r="L33" s="168" t="s">
        <v>1</v>
      </c>
      <c r="M33" s="169"/>
      <c r="N33" s="171"/>
      <c r="O33" s="169"/>
    </row>
    <row r="34" spans="1:20" ht="18.75" x14ac:dyDescent="0.3">
      <c r="A34" s="73" t="s">
        <v>1</v>
      </c>
      <c r="B34" s="133"/>
      <c r="C34" s="51"/>
      <c r="D34" s="76"/>
      <c r="E34" s="326"/>
      <c r="F34" s="75"/>
      <c r="G34" s="133"/>
      <c r="H34" s="75"/>
      <c r="I34" s="76"/>
      <c r="J34" s="326"/>
      <c r="K34" s="158"/>
      <c r="L34" s="172">
        <v>2015</v>
      </c>
      <c r="M34" s="173">
        <v>2016</v>
      </c>
      <c r="N34" s="172">
        <v>2015</v>
      </c>
      <c r="O34" s="173">
        <v>2016</v>
      </c>
      <c r="P34" s="59" t="s">
        <v>137</v>
      </c>
    </row>
    <row r="35" spans="1:20" ht="18.75" x14ac:dyDescent="0.3">
      <c r="A35" s="58" t="s">
        <v>79</v>
      </c>
      <c r="B35" s="98">
        <f>'DNB Livsforsikring'!F7+'DNB Livsforsikring'!F22+'DNB Livsforsikring'!F66+'DNB Livsforsikring'!F134</f>
        <v>3528916.9929999998</v>
      </c>
      <c r="C35" s="98">
        <f>'DNB Livsforsikring'!G7+'DNB Livsforsikring'!G22+'DNB Livsforsikring'!G66+'DNB Livsforsikring'!G134</f>
        <v>4416210.9040000001</v>
      </c>
      <c r="D35" s="76">
        <f t="shared" ref="D35:D41" si="16">IF(B35=0, "    ---- ", IF(ABS(ROUND(100/B35*C35-100,1))&lt;999,ROUND(100/B35*C35-100,1),IF(ROUND(100/B35*C35-100,1)&gt;999,999,-999)))</f>
        <v>25.1</v>
      </c>
      <c r="E35" s="326">
        <f t="shared" ref="E35:E40" si="17">100/C$41*C35</f>
        <v>24.710717280159344</v>
      </c>
      <c r="F35" s="75"/>
      <c r="G35" s="133">
        <f>'DNB Livsforsikring'!F10+'DNB Livsforsikring'!F29+'DNB Livsforsikring'!F87+'DNB Livsforsikring'!F135</f>
        <v>179449570.928</v>
      </c>
      <c r="H35" s="133">
        <f>'DNB Livsforsikring'!G10+'DNB Livsforsikring'!G29+'DNB Livsforsikring'!G87+'DNB Livsforsikring'!G135</f>
        <v>203568699.91183773</v>
      </c>
      <c r="I35" s="76">
        <f t="shared" ref="I35:I41" si="18">IF(G35=0, "    ---- ", IF(ABS(ROUND(100/G35*H35-100,1))&lt;999,ROUND(100/G35*H35-100,1),IF(ROUND(100/G35*H35-100,1)&gt;999,999,-999)))</f>
        <v>13.4</v>
      </c>
      <c r="J35" s="326">
        <f t="shared" ref="J35:J40" si="19">100/H$41*H35</f>
        <v>25.72439014609029</v>
      </c>
      <c r="K35" s="59" t="s">
        <v>135</v>
      </c>
      <c r="L35" s="171">
        <f t="shared" ref="L35:L40" ca="1" si="20">INDIRECT("'" &amp; $A35 &amp; "'!" &amp; $P$34)</f>
        <v>0</v>
      </c>
      <c r="M35" s="169" t="e">
        <f ca="1">INDIRECT("'" &amp; $A35 &amp; "'!" &amp;#REF!)</f>
        <v>#REF!</v>
      </c>
      <c r="N35" s="171">
        <f t="shared" ref="N35:N40" ca="1" si="21">INDIRECT("'" &amp; $A35 &amp; "'!" &amp; $P$35)</f>
        <v>0</v>
      </c>
      <c r="O35" s="169" t="e">
        <f ca="1">INDIRECT("'"&amp;$A35&amp;"'!"&amp;#REF!)</f>
        <v>#REF!</v>
      </c>
      <c r="P35" s="59" t="s">
        <v>138</v>
      </c>
    </row>
    <row r="36" spans="1:20" ht="18.75" x14ac:dyDescent="0.3">
      <c r="A36" s="58" t="s">
        <v>84</v>
      </c>
      <c r="B36" s="98">
        <f>'Gjensidige Pensjon'!F7+'Gjensidige Pensjon'!F22+'Gjensidige Pensjon'!F66+'Gjensidige Pensjon'!F134</f>
        <v>1641372</v>
      </c>
      <c r="C36" s="98">
        <f>'Gjensidige Pensjon'!G7+'Gjensidige Pensjon'!G22+'Gjensidige Pensjon'!G66+'Gjensidige Pensjon'!G134</f>
        <v>1741309</v>
      </c>
      <c r="D36" s="76">
        <f t="shared" si="16"/>
        <v>6.1</v>
      </c>
      <c r="E36" s="326">
        <f t="shared" si="17"/>
        <v>9.7434192641079047</v>
      </c>
      <c r="F36" s="75"/>
      <c r="G36" s="133">
        <f>'Gjensidige Pensjon'!F10+'Gjensidige Pensjon'!F29+'Gjensidige Pensjon'!F87+'Gjensidige Pensjon'!F135</f>
        <v>65817579</v>
      </c>
      <c r="H36" s="133">
        <f>'Gjensidige Pensjon'!G10+'Gjensidige Pensjon'!G29+'Gjensidige Pensjon'!G87+'Gjensidige Pensjon'!G135</f>
        <v>76968991</v>
      </c>
      <c r="I36" s="76">
        <f t="shared" si="18"/>
        <v>16.899999999999999</v>
      </c>
      <c r="J36" s="326">
        <f t="shared" si="19"/>
        <v>9.7263496524387545</v>
      </c>
      <c r="K36" s="59" t="s">
        <v>136</v>
      </c>
      <c r="L36" s="171">
        <f t="shared" ca="1" si="20"/>
        <v>0</v>
      </c>
      <c r="M36" s="169" t="e">
        <f ca="1">INDIRECT("'" &amp; $A36 &amp; "'!" &amp;#REF!)</f>
        <v>#REF!</v>
      </c>
      <c r="N36" s="171">
        <f t="shared" ca="1" si="21"/>
        <v>0</v>
      </c>
      <c r="O36" s="169" t="e">
        <f ca="1">INDIRECT("'"&amp;$A36&amp;"'!"&amp;#REF!)</f>
        <v>#REF!</v>
      </c>
    </row>
    <row r="37" spans="1:20" ht="18.75" x14ac:dyDescent="0.3">
      <c r="A37" s="58" t="s">
        <v>61</v>
      </c>
      <c r="B37" s="98">
        <f>KLP!F7+KLP!F22+KLP!F66+KLP!F134</f>
        <v>22688.987000000001</v>
      </c>
      <c r="C37" s="98">
        <f>KLP!G7+KLP!G22+KLP!G66+KLP!G134</f>
        <v>20929.275000000001</v>
      </c>
      <c r="D37" s="76">
        <f t="shared" si="16"/>
        <v>-7.8</v>
      </c>
      <c r="E37" s="326">
        <f t="shared" si="17"/>
        <v>0.11710885386729868</v>
      </c>
      <c r="F37" s="75"/>
      <c r="G37" s="133">
        <f>KLP!F10+KLP!F29+KLP!F87+KLP!F135</f>
        <v>2764463.4104599999</v>
      </c>
      <c r="H37" s="133">
        <f>KLP!G10+KLP!G29+KLP!G87+KLP!G135</f>
        <v>2888738.0707899998</v>
      </c>
      <c r="I37" s="76">
        <f t="shared" si="18"/>
        <v>4.5</v>
      </c>
      <c r="J37" s="326">
        <f t="shared" si="19"/>
        <v>0.36504150783027561</v>
      </c>
      <c r="K37" s="59" t="s">
        <v>130</v>
      </c>
      <c r="L37" s="171">
        <f t="shared" ca="1" si="20"/>
        <v>0</v>
      </c>
      <c r="M37" s="169" t="e">
        <f ca="1">INDIRECT("'" &amp; $A37 &amp; "'!" &amp;#REF!)</f>
        <v>#REF!</v>
      </c>
      <c r="N37" s="171">
        <f t="shared" ca="1" si="21"/>
        <v>0</v>
      </c>
      <c r="O37" s="169" t="e">
        <f ca="1">INDIRECT("'"&amp;$A37&amp;"'!"&amp;#REF!)</f>
        <v>#REF!</v>
      </c>
    </row>
    <row r="38" spans="1:20" ht="18.75" x14ac:dyDescent="0.3">
      <c r="A38" s="58" t="s">
        <v>87</v>
      </c>
      <c r="B38" s="98">
        <f>'Nordea Liv '!F7+'Nordea Liv '!F22+'Nordea Liv '!F66+'Nordea Liv '!F134</f>
        <v>5311313.3681499995</v>
      </c>
      <c r="C38" s="98">
        <f>'Nordea Liv '!G7+'Nordea Liv '!G22+'Nordea Liv '!G66+'Nordea Liv '!G134</f>
        <v>4781667.1471800003</v>
      </c>
      <c r="D38" s="76">
        <f t="shared" si="16"/>
        <v>-10</v>
      </c>
      <c r="E38" s="326">
        <f t="shared" si="17"/>
        <v>26.755611896788853</v>
      </c>
      <c r="F38" s="75"/>
      <c r="G38" s="133">
        <f>'Nordea Liv '!F10+'Nordea Liv '!F29+'Nordea Liv '!F87+'Nordea Liv '!F135</f>
        <v>159130080</v>
      </c>
      <c r="H38" s="133">
        <f>'Nordea Liv '!G10+'Nordea Liv '!G29+'Nordea Liv '!G87+'Nordea Liv '!G135</f>
        <v>177451030</v>
      </c>
      <c r="I38" s="76">
        <f t="shared" si="18"/>
        <v>11.5</v>
      </c>
      <c r="J38" s="326">
        <f t="shared" si="19"/>
        <v>22.423975441816552</v>
      </c>
      <c r="K38" s="158"/>
      <c r="L38" s="171">
        <f t="shared" ca="1" si="20"/>
        <v>0</v>
      </c>
      <c r="M38" s="169" t="e">
        <f ca="1">INDIRECT("'" &amp; $A38 &amp; "'!" &amp;#REF!)</f>
        <v>#REF!</v>
      </c>
      <c r="N38" s="171">
        <f t="shared" ca="1" si="21"/>
        <v>0</v>
      </c>
      <c r="O38" s="169" t="e">
        <f ca="1">INDIRECT("'"&amp;$A38&amp;"'!"&amp;#REF!)</f>
        <v>#REF!</v>
      </c>
    </row>
    <row r="39" spans="1:20" ht="18.75" x14ac:dyDescent="0.3">
      <c r="A39" s="58" t="s">
        <v>370</v>
      </c>
      <c r="B39" s="98">
        <f>'Sparebank 1 Fors.'!F7+'Sparebank 1 Fors.'!F22+'Sparebank 1 Fors.'!F66+'Sparebank 1 Fors.'!F134</f>
        <v>1839822.98065</v>
      </c>
      <c r="C39" s="98">
        <f>'Sparebank 1 Fors.'!G7+'Sparebank 1 Fors.'!G22+'Sparebank 1 Fors.'!G66+'Sparebank 1 Fors.'!G134</f>
        <v>2096094.96572</v>
      </c>
      <c r="D39" s="76">
        <f t="shared" si="16"/>
        <v>13.9</v>
      </c>
      <c r="E39" s="326">
        <f t="shared" si="17"/>
        <v>11.728608804293692</v>
      </c>
      <c r="F39" s="75"/>
      <c r="G39" s="133">
        <f>'Sparebank 1 Fors.'!F10+'Sparebank 1 Fors.'!F29+'Sparebank 1 Fors.'!F87+'Sparebank 1 Fors.'!F135</f>
        <v>75514311.198369905</v>
      </c>
      <c r="H39" s="133">
        <f>'Sparebank 1 Fors.'!G10+'Sparebank 1 Fors.'!G29+'Sparebank 1 Fors.'!G87+'Sparebank 1 Fors.'!G135</f>
        <v>85714629.687940001</v>
      </c>
      <c r="I39" s="76">
        <f t="shared" si="18"/>
        <v>13.5</v>
      </c>
      <c r="J39" s="326">
        <f t="shared" si="19"/>
        <v>10.831510818093118</v>
      </c>
      <c r="K39" s="51"/>
      <c r="L39" s="171" t="e">
        <f t="shared" ca="1" si="20"/>
        <v>#REF!</v>
      </c>
      <c r="M39" s="169" t="e">
        <f ca="1">INDIRECT("'" &amp; $A39 &amp; "'!" &amp;#REF!)</f>
        <v>#REF!</v>
      </c>
      <c r="N39" s="171" t="e">
        <f t="shared" ca="1" si="21"/>
        <v>#REF!</v>
      </c>
      <c r="O39" s="169" t="e">
        <f ca="1">INDIRECT("'"&amp;$A39&amp;"'!"&amp;#REF!)</f>
        <v>#REF!</v>
      </c>
    </row>
    <row r="40" spans="1:20" ht="18.75" x14ac:dyDescent="0.3">
      <c r="A40" s="58" t="s">
        <v>89</v>
      </c>
      <c r="B40" s="98">
        <f>'Storebrand Livsforsikring'!F7+'Storebrand Livsforsikring'!F22+'Storebrand Livsforsikring'!F66+'Storebrand Livsforsikring'!F134</f>
        <v>4520753.1736900005</v>
      </c>
      <c r="C40" s="98">
        <f>'Storebrand Livsforsikring'!G7+'Storebrand Livsforsikring'!G22+'Storebrand Livsforsikring'!G66+'Storebrand Livsforsikring'!G134</f>
        <v>4815430.6112099998</v>
      </c>
      <c r="D40" s="76">
        <f t="shared" si="16"/>
        <v>6.5</v>
      </c>
      <c r="E40" s="326">
        <f t="shared" si="17"/>
        <v>26.944533900782925</v>
      </c>
      <c r="F40" s="75"/>
      <c r="G40" s="133">
        <f>'Storebrand Livsforsikring'!F10+'Storebrand Livsforsikring'!F29+'Storebrand Livsforsikring'!F87+'Storebrand Livsforsikring'!F135</f>
        <v>226481801.93450999</v>
      </c>
      <c r="H40" s="133">
        <f>'Storebrand Livsforsikring'!G10+'Storebrand Livsforsikring'!G29+'Storebrand Livsforsikring'!G87+'Storebrand Livsforsikring'!G135</f>
        <v>244753007.38714001</v>
      </c>
      <c r="I40" s="76">
        <f t="shared" si="18"/>
        <v>8.1</v>
      </c>
      <c r="J40" s="326">
        <f t="shared" si="19"/>
        <v>30.928732433731</v>
      </c>
      <c r="K40" s="51"/>
      <c r="L40" s="171">
        <f t="shared" ca="1" si="20"/>
        <v>0</v>
      </c>
      <c r="M40" s="169" t="e">
        <f ca="1">INDIRECT("'" &amp; $A40 &amp; "'!" &amp;#REF!)</f>
        <v>#REF!</v>
      </c>
      <c r="N40" s="171">
        <f t="shared" ca="1" si="21"/>
        <v>0</v>
      </c>
      <c r="O40" s="169" t="e">
        <f ca="1">INDIRECT("'"&amp;$A40&amp;"'!"&amp;#REF!)</f>
        <v>#REF!</v>
      </c>
    </row>
    <row r="41" spans="1:20" s="80" customFormat="1" ht="18.75" x14ac:dyDescent="0.3">
      <c r="A41" s="73" t="s">
        <v>93</v>
      </c>
      <c r="B41" s="189">
        <f>SUM(B35:B40)</f>
        <v>16864867.502489999</v>
      </c>
      <c r="C41" s="189">
        <f>SUM(C35:C40)</f>
        <v>17871641.903109998</v>
      </c>
      <c r="D41" s="76">
        <f t="shared" si="16"/>
        <v>6</v>
      </c>
      <c r="E41" s="327">
        <f>SUM(E35:E40)</f>
        <v>100.00000000000001</v>
      </c>
      <c r="F41" s="78"/>
      <c r="G41" s="63">
        <f>SUM(G35:G40)</f>
        <v>709157806.47133994</v>
      </c>
      <c r="H41" s="63">
        <f>SUM(H35:H40)</f>
        <v>791345096.05770779</v>
      </c>
      <c r="I41" s="76">
        <f t="shared" si="18"/>
        <v>11.6</v>
      </c>
      <c r="J41" s="327">
        <f>SUM(J35:J40)</f>
        <v>99.999999999999986</v>
      </c>
      <c r="K41" s="51"/>
      <c r="L41" s="171" t="e">
        <f ca="1">SUM(L35:L40)</f>
        <v>#REF!</v>
      </c>
      <c r="M41" s="169" t="e">
        <f ca="1">SUM(M35:M40)</f>
        <v>#REF!</v>
      </c>
      <c r="N41" s="171" t="e">
        <f ca="1">SUM(N35:N40)</f>
        <v>#REF!</v>
      </c>
      <c r="O41" s="169" t="e">
        <f ca="1">SUM(O35:O40)</f>
        <v>#REF!</v>
      </c>
    </row>
    <row r="42" spans="1:20" ht="18.75" x14ac:dyDescent="0.3">
      <c r="A42" s="73"/>
      <c r="B42" s="98"/>
      <c r="C42" s="78"/>
      <c r="D42" s="79"/>
      <c r="E42" s="326"/>
      <c r="F42" s="78"/>
      <c r="G42" s="63"/>
      <c r="H42" s="78"/>
      <c r="I42" s="79"/>
      <c r="J42" s="327"/>
      <c r="K42" s="51"/>
      <c r="L42" s="168" t="s">
        <v>94</v>
      </c>
      <c r="M42" s="174"/>
      <c r="N42" s="175"/>
      <c r="O42" s="174"/>
    </row>
    <row r="43" spans="1:20" ht="18.75" x14ac:dyDescent="0.3">
      <c r="A43" s="58"/>
      <c r="B43" s="98"/>
      <c r="C43" s="75"/>
      <c r="D43" s="76"/>
      <c r="E43" s="326"/>
      <c r="F43" s="75"/>
      <c r="G43" s="133"/>
      <c r="H43" s="75"/>
      <c r="I43" s="76"/>
      <c r="J43" s="326"/>
      <c r="K43" s="51"/>
      <c r="L43" s="172">
        <v>2015</v>
      </c>
      <c r="M43" s="173">
        <v>2016</v>
      </c>
      <c r="N43" s="172">
        <v>2015</v>
      </c>
      <c r="O43" s="173">
        <v>2016</v>
      </c>
    </row>
    <row r="44" spans="1:20" ht="18.75" x14ac:dyDescent="0.3">
      <c r="A44" s="73" t="s">
        <v>94</v>
      </c>
      <c r="B44" s="98"/>
      <c r="C44" s="75"/>
      <c r="D44" s="76"/>
      <c r="E44" s="326"/>
      <c r="F44" s="75"/>
      <c r="G44" s="133"/>
      <c r="H44" s="75"/>
      <c r="I44" s="76"/>
      <c r="J44" s="326"/>
      <c r="K44" s="51"/>
      <c r="L44" s="171"/>
      <c r="M44" s="169"/>
      <c r="N44" s="171"/>
      <c r="O44" s="169"/>
      <c r="P44" s="158"/>
      <c r="Q44" s="158"/>
      <c r="R44" s="158"/>
      <c r="S44" s="136"/>
      <c r="T44" s="51"/>
    </row>
    <row r="45" spans="1:20" ht="18.75" x14ac:dyDescent="0.3">
      <c r="A45" s="58" t="s">
        <v>79</v>
      </c>
      <c r="B45" s="98">
        <f>B9+B35</f>
        <v>4778929.9929999998</v>
      </c>
      <c r="C45" s="75">
        <f>+C9+C35</f>
        <v>5665898.9040000001</v>
      </c>
      <c r="D45" s="76">
        <f t="shared" ref="D45:D66" si="22">IF(B45=0, "    ---- ", IF(ABS(ROUND(100/B45*C45-100,1))&lt;999,ROUND(100/B45*C45-100,1),IF(ROUND(100/B45*C45-100,1)&gt;999,999,-999)))</f>
        <v>18.600000000000001</v>
      </c>
      <c r="E45" s="326">
        <f t="shared" ref="E45:E65" si="23">100/C$68*C45</f>
        <v>15.057261360134945</v>
      </c>
      <c r="F45" s="75"/>
      <c r="G45" s="133">
        <f>+G9+G35</f>
        <v>362128424.92799997</v>
      </c>
      <c r="H45" s="133">
        <f>+H9+H35</f>
        <v>383253102.63428771</v>
      </c>
      <c r="I45" s="76">
        <f t="shared" ref="I45:I65" si="24">IF(G45=0, "    ---- ", IF(ABS(ROUND(100/G45*H45-100,1))&lt;999,ROUND(100/G45*H45-100,1),IF(ROUND(100/G45*H45-100,1)&gt;999,999,-999)))</f>
        <v>5.8</v>
      </c>
      <c r="J45" s="326">
        <f t="shared" ref="J45:J65" si="25">100/H$68*H45</f>
        <v>17.601351880565286</v>
      </c>
      <c r="K45" s="51"/>
      <c r="L45" s="171">
        <f ca="1">L10+L35</f>
        <v>0</v>
      </c>
      <c r="M45" s="169" t="e">
        <f ca="1">+M10+M35</f>
        <v>#REF!</v>
      </c>
      <c r="N45" s="171" t="e">
        <f ca="1">+N10+N35</f>
        <v>#REF!</v>
      </c>
      <c r="O45" s="169" t="e">
        <f ca="1">+O10+O35</f>
        <v>#REF!</v>
      </c>
      <c r="P45" s="158"/>
      <c r="Q45" s="158"/>
      <c r="R45" s="158"/>
      <c r="S45" s="136"/>
      <c r="T45" s="51"/>
    </row>
    <row r="46" spans="1:20" ht="18.75" x14ac:dyDescent="0.3">
      <c r="A46" s="58" t="s">
        <v>80</v>
      </c>
      <c r="B46" s="98">
        <f t="shared" ref="B46:C50" si="26">B10</f>
        <v>205089</v>
      </c>
      <c r="C46" s="75">
        <f t="shared" si="26"/>
        <v>0</v>
      </c>
      <c r="D46" s="76">
        <f t="shared" si="22"/>
        <v>-100</v>
      </c>
      <c r="E46" s="326">
        <f t="shared" si="23"/>
        <v>0</v>
      </c>
      <c r="F46" s="75"/>
      <c r="G46" s="133">
        <f>+G10</f>
        <v>0</v>
      </c>
      <c r="H46" s="133">
        <f t="shared" ref="H46:H50" si="27">H10</f>
        <v>0</v>
      </c>
      <c r="I46" s="76" t="str">
        <f t="shared" si="24"/>
        <v xml:space="preserve">    ---- </v>
      </c>
      <c r="J46" s="326">
        <f t="shared" si="25"/>
        <v>0</v>
      </c>
      <c r="K46" s="51"/>
      <c r="L46" s="171">
        <f ca="1">L12</f>
        <v>0</v>
      </c>
      <c r="M46" s="169">
        <f ca="1">M12</f>
        <v>0</v>
      </c>
      <c r="N46" s="171" t="e">
        <f ca="1">N12</f>
        <v>#REF!</v>
      </c>
      <c r="O46" s="169" t="e">
        <f ca="1">+O12+#REF!</f>
        <v>#REF!</v>
      </c>
      <c r="P46" s="158"/>
      <c r="Q46" s="158"/>
      <c r="R46" s="158"/>
      <c r="S46" s="136"/>
      <c r="T46" s="51"/>
    </row>
    <row r="47" spans="1:20" ht="18.75" x14ac:dyDescent="0.3">
      <c r="A47" s="58" t="s">
        <v>367</v>
      </c>
      <c r="B47" s="98">
        <f t="shared" si="26"/>
        <v>51311</v>
      </c>
      <c r="C47" s="98">
        <f t="shared" si="26"/>
        <v>30761</v>
      </c>
      <c r="D47" s="76">
        <f t="shared" ref="D47" si="28">IF(B47=0, "    ---- ", IF(ABS(ROUND(100/B47*C47-100,1))&lt;999,ROUND(100/B47*C47-100,1),IF(ROUND(100/B47*C47-100,1)&gt;999,999,-999)))</f>
        <v>-40</v>
      </c>
      <c r="E47" s="326">
        <f t="shared" si="23"/>
        <v>8.1748090558431713E-2</v>
      </c>
      <c r="F47" s="75"/>
      <c r="G47" s="133">
        <f>+G11</f>
        <v>0</v>
      </c>
      <c r="H47" s="133">
        <f t="shared" si="27"/>
        <v>0</v>
      </c>
      <c r="I47" s="76" t="str">
        <f t="shared" ref="I47" si="29">IF(G47=0, "    ---- ", IF(ABS(ROUND(100/G47*H47-100,1))&lt;999,ROUND(100/G47*H47-100,1),IF(ROUND(100/G47*H47-100,1)&gt;999,999,-999)))</f>
        <v xml:space="preserve">    ---- </v>
      </c>
      <c r="J47" s="326">
        <f t="shared" si="25"/>
        <v>0</v>
      </c>
      <c r="K47" s="51"/>
      <c r="L47" s="171"/>
      <c r="M47" s="169"/>
      <c r="N47" s="171"/>
      <c r="O47" s="169"/>
      <c r="P47" s="158"/>
      <c r="Q47" s="158"/>
      <c r="R47" s="158"/>
      <c r="S47" s="136"/>
      <c r="T47" s="51"/>
    </row>
    <row r="48" spans="1:20" ht="18.75" x14ac:dyDescent="0.3">
      <c r="A48" s="58" t="s">
        <v>354</v>
      </c>
      <c r="B48" s="98">
        <f t="shared" si="26"/>
        <v>998261.31835000007</v>
      </c>
      <c r="C48" s="98">
        <f t="shared" si="26"/>
        <v>1271137.3383900002</v>
      </c>
      <c r="D48" s="76">
        <f t="shared" ref="D48" si="30">IF(B48=0, "    ---- ", IF(ABS(ROUND(100/B48*C48-100,1))&lt;999,ROUND(100/B48*C48-100,1),IF(ROUND(100/B48*C48-100,1)&gt;999,999,-999)))</f>
        <v>27.3</v>
      </c>
      <c r="E48" s="326">
        <f t="shared" si="23"/>
        <v>3.3780777689577581</v>
      </c>
      <c r="F48" s="75"/>
      <c r="G48" s="133">
        <f t="shared" ref="G48:G50" si="31">G12</f>
        <v>5524479.2054099999</v>
      </c>
      <c r="H48" s="133">
        <f t="shared" si="27"/>
        <v>6000495.18102</v>
      </c>
      <c r="I48" s="76">
        <f t="shared" ref="I48" si="32">IF(G48=0, "    ---- ", IF(ABS(ROUND(100/G48*H48-100,1))&lt;999,ROUND(100/G48*H48-100,1),IF(ROUND(100/G48*H48-100,1)&gt;999,999,-999)))</f>
        <v>8.6</v>
      </c>
      <c r="J48" s="326">
        <f t="shared" si="25"/>
        <v>0.2755798359173422</v>
      </c>
      <c r="K48" s="51"/>
      <c r="L48" s="171"/>
      <c r="M48" s="169"/>
      <c r="N48" s="171"/>
      <c r="O48" s="169"/>
      <c r="P48" s="158"/>
      <c r="Q48" s="158"/>
      <c r="R48" s="158"/>
      <c r="S48" s="136"/>
      <c r="T48" s="51"/>
    </row>
    <row r="49" spans="1:20" ht="18.75" x14ac:dyDescent="0.3">
      <c r="A49" s="58" t="s">
        <v>81</v>
      </c>
      <c r="B49" s="98">
        <f t="shared" si="26"/>
        <v>633168</v>
      </c>
      <c r="C49" s="75">
        <f t="shared" si="26"/>
        <v>713825</v>
      </c>
      <c r="D49" s="76">
        <f t="shared" si="22"/>
        <v>12.7</v>
      </c>
      <c r="E49" s="326">
        <f t="shared" si="23"/>
        <v>1.8970069485020811</v>
      </c>
      <c r="F49" s="75"/>
      <c r="G49" s="133">
        <f t="shared" si="31"/>
        <v>2088315</v>
      </c>
      <c r="H49" s="133">
        <f t="shared" si="27"/>
        <v>2437488</v>
      </c>
      <c r="I49" s="76">
        <f t="shared" si="24"/>
        <v>16.7</v>
      </c>
      <c r="J49" s="326">
        <f t="shared" si="25"/>
        <v>0.11194451838161583</v>
      </c>
      <c r="K49" s="51"/>
      <c r="L49" s="171" t="e">
        <f ca="1">L14+#REF!</f>
        <v>#REF!</v>
      </c>
      <c r="M49" s="169" t="e">
        <f ca="1">M14+#REF!</f>
        <v>#REF!</v>
      </c>
      <c r="N49" s="171" t="e">
        <f ca="1">N14+#REF!</f>
        <v>#REF!</v>
      </c>
      <c r="O49" s="169" t="e">
        <f ca="1">O14+#REF!</f>
        <v>#REF!</v>
      </c>
      <c r="P49" s="158"/>
      <c r="Q49" s="158"/>
      <c r="R49" s="158"/>
      <c r="S49" s="136"/>
      <c r="T49" s="51"/>
    </row>
    <row r="50" spans="1:20" ht="18.75" x14ac:dyDescent="0.3">
      <c r="A50" s="58" t="s">
        <v>82</v>
      </c>
      <c r="B50" s="98">
        <f t="shared" si="26"/>
        <v>6049.5889999999999</v>
      </c>
      <c r="C50" s="75">
        <f t="shared" si="26"/>
        <v>287.33699999999999</v>
      </c>
      <c r="D50" s="76">
        <f t="shared" si="22"/>
        <v>-95.3</v>
      </c>
      <c r="E50" s="326">
        <f t="shared" si="23"/>
        <v>7.636049249630406E-4</v>
      </c>
      <c r="F50" s="75"/>
      <c r="G50" s="133">
        <f t="shared" si="31"/>
        <v>0</v>
      </c>
      <c r="H50" s="133">
        <f t="shared" si="27"/>
        <v>0</v>
      </c>
      <c r="I50" s="76" t="str">
        <f t="shared" si="24"/>
        <v xml:space="preserve">    ---- </v>
      </c>
      <c r="J50" s="326">
        <f t="shared" si="25"/>
        <v>0</v>
      </c>
      <c r="K50" s="51"/>
      <c r="L50" s="171">
        <f ca="1">L15</f>
        <v>0</v>
      </c>
      <c r="M50" s="169">
        <f ca="1">M15</f>
        <v>0</v>
      </c>
      <c r="N50" s="171" t="e">
        <f ca="1">N15</f>
        <v>#REF!</v>
      </c>
      <c r="O50" s="169">
        <f ca="1">O15</f>
        <v>0</v>
      </c>
      <c r="P50" s="158"/>
      <c r="Q50" s="158"/>
      <c r="R50" s="158"/>
      <c r="S50" s="136"/>
      <c r="T50" s="51"/>
    </row>
    <row r="51" spans="1:20" ht="18.75" x14ac:dyDescent="0.3">
      <c r="A51" s="58" t="s">
        <v>83</v>
      </c>
      <c r="B51" s="75">
        <f>B15</f>
        <v>1560765.828</v>
      </c>
      <c r="C51" s="75">
        <f>+C15</f>
        <v>1611395.2398000001</v>
      </c>
      <c r="D51" s="76">
        <f t="shared" si="22"/>
        <v>3.2</v>
      </c>
      <c r="E51" s="326">
        <f t="shared" si="23"/>
        <v>4.2823212505639026</v>
      </c>
      <c r="F51" s="75"/>
      <c r="G51" s="133">
        <f>+G15</f>
        <v>0</v>
      </c>
      <c r="H51" s="133">
        <f>+H15</f>
        <v>0</v>
      </c>
      <c r="I51" s="76" t="str">
        <f t="shared" si="24"/>
        <v xml:space="preserve">    ---- </v>
      </c>
      <c r="J51" s="326">
        <f t="shared" si="25"/>
        <v>0</v>
      </c>
      <c r="K51" s="51"/>
      <c r="L51" s="171">
        <f ca="1">L16</f>
        <v>0</v>
      </c>
      <c r="M51" s="169">
        <f ca="1">+M16</f>
        <v>0</v>
      </c>
      <c r="N51" s="171" t="e">
        <f ca="1">+N16</f>
        <v>#REF!</v>
      </c>
      <c r="O51" s="169">
        <f ca="1">+O16</f>
        <v>0</v>
      </c>
      <c r="P51" s="158"/>
      <c r="Q51" s="158"/>
      <c r="R51" s="158"/>
      <c r="S51" s="136"/>
      <c r="T51" s="51"/>
    </row>
    <row r="52" spans="1:20" ht="18.75" x14ac:dyDescent="0.3">
      <c r="A52" s="58" t="s">
        <v>84</v>
      </c>
      <c r="B52" s="75">
        <f>B16+B36</f>
        <v>1956359</v>
      </c>
      <c r="C52" s="75">
        <f>C16+C36</f>
        <v>2102663</v>
      </c>
      <c r="D52" s="76">
        <f t="shared" si="22"/>
        <v>7.5</v>
      </c>
      <c r="E52" s="326">
        <f t="shared" si="23"/>
        <v>5.5878770305862524</v>
      </c>
      <c r="F52" s="75"/>
      <c r="G52" s="133">
        <f>G16+G36</f>
        <v>75956813</v>
      </c>
      <c r="H52" s="133">
        <f>H16+H36</f>
        <v>88248020</v>
      </c>
      <c r="I52" s="76">
        <f t="shared" si="24"/>
        <v>16.2</v>
      </c>
      <c r="J52" s="326">
        <f t="shared" si="25"/>
        <v>4.0528946591865074</v>
      </c>
      <c r="K52" s="51"/>
      <c r="L52" s="171" t="e">
        <f ca="1">#REF!+L36</f>
        <v>#REF!</v>
      </c>
      <c r="M52" s="169" t="e">
        <f ca="1">#REF!+M36</f>
        <v>#REF!</v>
      </c>
      <c r="N52" s="171" t="e">
        <f ca="1">#REF!+N36</f>
        <v>#REF!</v>
      </c>
      <c r="O52" s="169" t="e">
        <f ca="1">#REF!+O36</f>
        <v>#REF!</v>
      </c>
      <c r="P52" s="158"/>
      <c r="Q52" s="158"/>
      <c r="R52" s="158"/>
      <c r="S52" s="136"/>
      <c r="T52" s="51"/>
    </row>
    <row r="53" spans="1:20" ht="18.75" x14ac:dyDescent="0.3">
      <c r="A53" s="58" t="s">
        <v>85</v>
      </c>
      <c r="B53" s="75">
        <f>B17</f>
        <v>250285.496603765</v>
      </c>
      <c r="C53" s="75">
        <f>+C17</f>
        <v>306096.93232210295</v>
      </c>
      <c r="D53" s="76">
        <f t="shared" si="22"/>
        <v>22.3</v>
      </c>
      <c r="E53" s="326">
        <f t="shared" si="23"/>
        <v>0.81345989217273218</v>
      </c>
      <c r="F53" s="75"/>
      <c r="G53" s="133">
        <f>+G17</f>
        <v>0</v>
      </c>
      <c r="H53" s="133">
        <f>+H17</f>
        <v>0</v>
      </c>
      <c r="I53" s="76" t="str">
        <f t="shared" si="24"/>
        <v xml:space="preserve">    ---- </v>
      </c>
      <c r="J53" s="326">
        <f t="shared" si="25"/>
        <v>0</v>
      </c>
      <c r="K53" s="51"/>
      <c r="L53" s="171" t="e">
        <f>#REF!</f>
        <v>#REF!</v>
      </c>
      <c r="M53" s="169" t="e">
        <f>+#REF!</f>
        <v>#REF!</v>
      </c>
      <c r="N53" s="171" t="e">
        <f>+#REF!</f>
        <v>#REF!</v>
      </c>
      <c r="O53" s="169" t="e">
        <f>+#REF!</f>
        <v>#REF!</v>
      </c>
      <c r="P53" s="158"/>
      <c r="Q53" s="158"/>
      <c r="R53" s="158"/>
      <c r="S53" s="136"/>
      <c r="T53" s="51"/>
    </row>
    <row r="54" spans="1:20" ht="18.75" x14ac:dyDescent="0.3">
      <c r="A54" s="58" t="s">
        <v>61</v>
      </c>
      <c r="B54" s="75">
        <f>B18+B37</f>
        <v>7841813.7789599998</v>
      </c>
      <c r="C54" s="75">
        <f>C18+C37</f>
        <v>8070309.0714100003</v>
      </c>
      <c r="D54" s="76">
        <f t="shared" si="22"/>
        <v>2.9</v>
      </c>
      <c r="E54" s="326">
        <f t="shared" si="23"/>
        <v>21.447038678981752</v>
      </c>
      <c r="F54" s="75"/>
      <c r="G54" s="133">
        <f>G18+G37</f>
        <v>745199914.44729996</v>
      </c>
      <c r="H54" s="133">
        <f>H18+H37</f>
        <v>797701415.51884007</v>
      </c>
      <c r="I54" s="76">
        <f t="shared" si="24"/>
        <v>7</v>
      </c>
      <c r="J54" s="326">
        <f t="shared" si="25"/>
        <v>36.635380675757069</v>
      </c>
      <c r="K54" s="51"/>
      <c r="L54" s="171">
        <f ca="1">L31+L37</f>
        <v>0</v>
      </c>
      <c r="M54" s="169" t="e">
        <f ca="1">M31+M37</f>
        <v>#REF!</v>
      </c>
      <c r="N54" s="171" t="e">
        <f ca="1">N31+N37</f>
        <v>#REF!</v>
      </c>
      <c r="O54" s="169" t="e">
        <f ca="1">O31+O37</f>
        <v>#REF!</v>
      </c>
      <c r="P54" s="158"/>
      <c r="Q54" s="158"/>
      <c r="R54" s="158"/>
      <c r="S54" s="136"/>
      <c r="T54" s="51"/>
    </row>
    <row r="55" spans="1:20" ht="18.75" x14ac:dyDescent="0.3">
      <c r="A55" s="58" t="s">
        <v>86</v>
      </c>
      <c r="B55" s="75">
        <f t="shared" ref="B55:C57" si="33">B19</f>
        <v>212764.049</v>
      </c>
      <c r="C55" s="75">
        <f t="shared" si="33"/>
        <v>234700.55499999999</v>
      </c>
      <c r="D55" s="76">
        <f t="shared" si="22"/>
        <v>10.3</v>
      </c>
      <c r="E55" s="326">
        <f t="shared" si="23"/>
        <v>0.62372231800832811</v>
      </c>
      <c r="F55" s="75"/>
      <c r="G55" s="133">
        <f t="shared" ref="G55:G57" si="34">G19</f>
        <v>148316.739</v>
      </c>
      <c r="H55" s="133">
        <f t="shared" ref="H55:H57" si="35">H19</f>
        <v>173603.853</v>
      </c>
      <c r="I55" s="76">
        <f t="shared" si="24"/>
        <v>17</v>
      </c>
      <c r="J55" s="326">
        <f t="shared" si="25"/>
        <v>7.9729622107997389E-3</v>
      </c>
      <c r="K55" s="51"/>
      <c r="L55" s="171">
        <f ca="1">L20</f>
        <v>0</v>
      </c>
      <c r="M55" s="169">
        <f ca="1">M20</f>
        <v>0</v>
      </c>
      <c r="N55" s="171" t="e">
        <f ca="1">N20</f>
        <v>#REF!</v>
      </c>
      <c r="O55" s="169">
        <f ca="1">O20</f>
        <v>0</v>
      </c>
      <c r="P55" s="158"/>
      <c r="Q55" s="158"/>
      <c r="R55" s="158"/>
      <c r="S55" s="136"/>
      <c r="T55" s="51"/>
    </row>
    <row r="56" spans="1:20" ht="18.75" x14ac:dyDescent="0.3">
      <c r="A56" s="77" t="s">
        <v>362</v>
      </c>
      <c r="B56" s="75">
        <f t="shared" si="33"/>
        <v>22470</v>
      </c>
      <c r="C56" s="75">
        <f t="shared" si="33"/>
        <v>82536</v>
      </c>
      <c r="D56" s="76">
        <f t="shared" si="22"/>
        <v>267.3</v>
      </c>
      <c r="E56" s="326">
        <f t="shared" si="23"/>
        <v>0.21934138689674329</v>
      </c>
      <c r="F56" s="75"/>
      <c r="G56" s="133">
        <f t="shared" si="34"/>
        <v>0</v>
      </c>
      <c r="H56" s="133">
        <f t="shared" si="35"/>
        <v>0</v>
      </c>
      <c r="I56" s="76" t="str">
        <f t="shared" si="24"/>
        <v xml:space="preserve">    ---- </v>
      </c>
      <c r="J56" s="326">
        <f t="shared" si="25"/>
        <v>0</v>
      </c>
      <c r="K56" s="51"/>
      <c r="L56" s="171">
        <f ca="1">L22</f>
        <v>0</v>
      </c>
      <c r="M56" s="169">
        <f ca="1">M22</f>
        <v>0</v>
      </c>
      <c r="N56" s="171" t="e">
        <f ca="1">N22</f>
        <v>#REF!</v>
      </c>
      <c r="O56" s="169">
        <f ca="1">O22</f>
        <v>0</v>
      </c>
      <c r="P56" s="158"/>
      <c r="Q56" s="158"/>
      <c r="R56" s="158"/>
      <c r="S56" s="136"/>
      <c r="T56" s="51"/>
    </row>
    <row r="57" spans="1:20" ht="18.75" x14ac:dyDescent="0.3">
      <c r="A57" s="77" t="s">
        <v>371</v>
      </c>
      <c r="B57" s="75">
        <f t="shared" si="33"/>
        <v>14299.8</v>
      </c>
      <c r="C57" s="75">
        <f t="shared" si="33"/>
        <v>15177</v>
      </c>
      <c r="D57" s="76">
        <f t="shared" ref="D57" si="36">IF(B57=0, "    ---- ", IF(ABS(ROUND(100/B57*C57-100,1))&lt;999,ROUND(100/B57*C57-100,1),IF(ROUND(100/B57*C57-100,1)&gt;999,999,-999)))</f>
        <v>6.1</v>
      </c>
      <c r="E57" s="326">
        <f t="shared" si="23"/>
        <v>4.0333239179653396E-2</v>
      </c>
      <c r="F57" s="75"/>
      <c r="G57" s="133">
        <f t="shared" si="34"/>
        <v>0</v>
      </c>
      <c r="H57" s="133">
        <f t="shared" si="35"/>
        <v>0</v>
      </c>
      <c r="I57" s="76" t="str">
        <f t="shared" ref="I57" si="37">IF(G57=0, "    ---- ", IF(ABS(ROUND(100/G57*H57-100,1))&lt;999,ROUND(100/G57*H57-100,1),IF(ROUND(100/G57*H57-100,1)&gt;999,999,-999)))</f>
        <v xml:space="preserve">    ---- </v>
      </c>
      <c r="J57" s="326">
        <f t="shared" si="25"/>
        <v>0</v>
      </c>
      <c r="K57" s="51"/>
      <c r="L57" s="171"/>
      <c r="M57" s="169"/>
      <c r="N57" s="171"/>
      <c r="O57" s="169"/>
      <c r="P57" s="158"/>
      <c r="Q57" s="158"/>
      <c r="R57" s="158"/>
      <c r="S57" s="136"/>
      <c r="T57" s="51"/>
    </row>
    <row r="58" spans="1:20" ht="18.75" x14ac:dyDescent="0.3">
      <c r="A58" s="58" t="s">
        <v>63</v>
      </c>
      <c r="B58" s="75">
        <f>B22+B38</f>
        <v>6060325.2942169821</v>
      </c>
      <c r="C58" s="75">
        <f>+C22+C38</f>
        <v>5593405.1712886412</v>
      </c>
      <c r="D58" s="76">
        <f t="shared" si="22"/>
        <v>-7.7</v>
      </c>
      <c r="E58" s="326">
        <f t="shared" si="23"/>
        <v>14.864607537872764</v>
      </c>
      <c r="F58" s="75"/>
      <c r="G58" s="133">
        <f>+G22+G38</f>
        <v>213730060.00000402</v>
      </c>
      <c r="H58" s="133">
        <f>+H22+H38</f>
        <v>232415670.00000179</v>
      </c>
      <c r="I58" s="76">
        <f t="shared" si="24"/>
        <v>8.6999999999999993</v>
      </c>
      <c r="J58" s="326">
        <f t="shared" si="25"/>
        <v>10.673964443103211</v>
      </c>
      <c r="K58" s="51"/>
      <c r="L58" s="171">
        <f ca="1">L24+L38</f>
        <v>0</v>
      </c>
      <c r="M58" s="169" t="e">
        <f ca="1">+M24+M38</f>
        <v>#REF!</v>
      </c>
      <c r="N58" s="171" t="e">
        <f ca="1">+N24+N38</f>
        <v>#REF!</v>
      </c>
      <c r="O58" s="169" t="e">
        <f ca="1">+O24+O38</f>
        <v>#REF!</v>
      </c>
      <c r="P58" s="158"/>
      <c r="Q58" s="158"/>
      <c r="R58" s="158"/>
      <c r="S58" s="136"/>
      <c r="T58" s="51"/>
    </row>
    <row r="59" spans="1:20" ht="18.75" x14ac:dyDescent="0.3">
      <c r="A59" s="58" t="s">
        <v>401</v>
      </c>
      <c r="B59" s="75">
        <f t="shared" ref="B59:C61" si="38">B23</f>
        <v>8485</v>
      </c>
      <c r="C59" s="75">
        <f t="shared" si="38"/>
        <v>8970</v>
      </c>
      <c r="D59" s="76">
        <f t="shared" ref="D59" si="39">IF(B59=0, "    ---- ", IF(ABS(ROUND(100/B59*C59-100,1))&lt;999,ROUND(100/B59*C59-100,1),IF(ROUND(100/B59*C59-100,1)&gt;999,999,-999)))</f>
        <v>5.7</v>
      </c>
      <c r="E59" s="326">
        <f t="shared" si="23"/>
        <v>2.383798876204065E-2</v>
      </c>
      <c r="F59" s="75"/>
      <c r="G59" s="133">
        <f t="shared" ref="G59:G61" si="40">G23</f>
        <v>0</v>
      </c>
      <c r="H59" s="133">
        <f t="shared" ref="H59:H61" si="41">H23</f>
        <v>0</v>
      </c>
      <c r="I59" s="76" t="str">
        <f t="shared" ref="I59" si="42">IF(G59=0, "    ---- ", IF(ABS(ROUND(100/G59*H59-100,1))&lt;999,ROUND(100/G59*H59-100,1),IF(ROUND(100/G59*H59-100,1)&gt;999,999,-999)))</f>
        <v xml:space="preserve">    ---- </v>
      </c>
      <c r="J59" s="326">
        <f t="shared" si="25"/>
        <v>0</v>
      </c>
      <c r="K59" s="51"/>
      <c r="L59" s="171"/>
      <c r="M59" s="169"/>
      <c r="N59" s="171"/>
      <c r="O59" s="169"/>
      <c r="P59" s="158"/>
      <c r="Q59" s="158"/>
      <c r="R59" s="158"/>
      <c r="S59" s="136"/>
      <c r="T59" s="51"/>
    </row>
    <row r="60" spans="1:20" ht="18.75" customHeight="1" x14ac:dyDescent="0.3">
      <c r="A60" s="58" t="s">
        <v>88</v>
      </c>
      <c r="B60" s="75">
        <f t="shared" si="38"/>
        <v>908134</v>
      </c>
      <c r="C60" s="75">
        <f t="shared" si="38"/>
        <v>908116</v>
      </c>
      <c r="D60" s="76">
        <f t="shared" si="22"/>
        <v>0</v>
      </c>
      <c r="E60" s="326">
        <f t="shared" si="23"/>
        <v>2.4133399111069465</v>
      </c>
      <c r="F60" s="75"/>
      <c r="G60" s="133">
        <f t="shared" si="40"/>
        <v>94317675</v>
      </c>
      <c r="H60" s="133">
        <f t="shared" si="41"/>
        <v>97889000</v>
      </c>
      <c r="I60" s="76">
        <f t="shared" si="24"/>
        <v>3.8</v>
      </c>
      <c r="J60" s="326">
        <f t="shared" si="25"/>
        <v>4.4956680647691361</v>
      </c>
      <c r="K60" s="51"/>
      <c r="L60" s="171">
        <f ca="1">L25</f>
        <v>0</v>
      </c>
      <c r="M60" s="169">
        <f ca="1">M25</f>
        <v>0</v>
      </c>
      <c r="N60" s="171" t="e">
        <f ca="1">N25</f>
        <v>#REF!</v>
      </c>
      <c r="O60" s="169">
        <f ca="1">O25</f>
        <v>0</v>
      </c>
      <c r="P60" s="158"/>
      <c r="Q60" s="158"/>
      <c r="R60" s="158"/>
      <c r="S60" s="136"/>
      <c r="T60" s="51"/>
    </row>
    <row r="61" spans="1:20" ht="18.75" customHeight="1" x14ac:dyDescent="0.3">
      <c r="A61" s="58" t="s">
        <v>322</v>
      </c>
      <c r="B61" s="75">
        <f t="shared" si="38"/>
        <v>268907</v>
      </c>
      <c r="C61" s="75">
        <f t="shared" si="38"/>
        <v>318529</v>
      </c>
      <c r="D61" s="76">
        <f t="shared" ref="D61" si="43">IF(B61=0, "    ---- ", IF(ABS(ROUND(100/B61*C61-100,1))&lt;999,ROUND(100/B61*C61-100,1),IF(ROUND(100/B61*C61-100,1)&gt;999,999,-999)))</f>
        <v>18.5</v>
      </c>
      <c r="E61" s="326">
        <f t="shared" si="23"/>
        <v>0.84649840829253586</v>
      </c>
      <c r="F61" s="75"/>
      <c r="G61" s="133">
        <f t="shared" si="40"/>
        <v>0</v>
      </c>
      <c r="H61" s="133">
        <f t="shared" si="41"/>
        <v>0</v>
      </c>
      <c r="I61" s="76" t="str">
        <f t="shared" ref="I61" si="44">IF(G61=0, "    ---- ", IF(ABS(ROUND(100/G61*H61-100,1))&lt;999,ROUND(100/G61*H61-100,1),IF(ROUND(100/G61*H61-100,1)&gt;999,999,-999)))</f>
        <v xml:space="preserve">    ---- </v>
      </c>
      <c r="J61" s="326">
        <f t="shared" si="25"/>
        <v>0</v>
      </c>
      <c r="K61" s="51"/>
      <c r="L61" s="171"/>
      <c r="M61" s="169"/>
      <c r="N61" s="171"/>
      <c r="O61" s="169"/>
      <c r="P61" s="158"/>
      <c r="Q61" s="158"/>
      <c r="R61" s="158"/>
      <c r="S61" s="136"/>
      <c r="T61" s="51"/>
    </row>
    <row r="62" spans="1:20" ht="18.75" customHeight="1" x14ac:dyDescent="0.3">
      <c r="A62" s="58" t="s">
        <v>370</v>
      </c>
      <c r="B62" s="75">
        <f>B26+B39</f>
        <v>2122364.2050999999</v>
      </c>
      <c r="C62" s="75">
        <f>+C26+C39</f>
        <v>2383909.8133299998</v>
      </c>
      <c r="D62" s="76">
        <f t="shared" si="22"/>
        <v>12.3</v>
      </c>
      <c r="E62" s="326">
        <f t="shared" si="23"/>
        <v>6.3352971393399065</v>
      </c>
      <c r="F62" s="75"/>
      <c r="G62" s="133">
        <f>+G26+G39</f>
        <v>97419292.019759908</v>
      </c>
      <c r="H62" s="133">
        <f>+H26+H39</f>
        <v>109347399.93209</v>
      </c>
      <c r="I62" s="76">
        <f t="shared" si="24"/>
        <v>12.2</v>
      </c>
      <c r="J62" s="326">
        <f t="shared" si="25"/>
        <v>5.0219086295726365</v>
      </c>
      <c r="K62" s="51"/>
      <c r="L62" s="171" t="e">
        <f ca="1">L27+L39</f>
        <v>#REF!</v>
      </c>
      <c r="M62" s="169" t="e">
        <f t="shared" ref="M62:O63" ca="1" si="45">+M27+M39</f>
        <v>#REF!</v>
      </c>
      <c r="N62" s="171" t="e">
        <f t="shared" ca="1" si="45"/>
        <v>#REF!</v>
      </c>
      <c r="O62" s="169" t="e">
        <f t="shared" ca="1" si="45"/>
        <v>#REF!</v>
      </c>
      <c r="P62" s="158"/>
      <c r="Q62" s="158"/>
      <c r="R62" s="158"/>
      <c r="S62" s="136"/>
      <c r="T62" s="51"/>
    </row>
    <row r="63" spans="1:20" ht="18.75" customHeight="1" x14ac:dyDescent="0.3">
      <c r="A63" s="58" t="s">
        <v>89</v>
      </c>
      <c r="B63" s="75">
        <f>B40+B27</f>
        <v>7067313.2085900009</v>
      </c>
      <c r="C63" s="75">
        <f>+C27+C40</f>
        <v>7505389.0980399996</v>
      </c>
      <c r="D63" s="76">
        <f t="shared" si="22"/>
        <v>6.2</v>
      </c>
      <c r="E63" s="326">
        <f t="shared" si="23"/>
        <v>19.945750387270895</v>
      </c>
      <c r="F63" s="75"/>
      <c r="G63" s="133">
        <f>+G27+G40</f>
        <v>435076327.52121001</v>
      </c>
      <c r="H63" s="133">
        <f>+H27+H40</f>
        <v>459871623.98055005</v>
      </c>
      <c r="I63" s="76">
        <f t="shared" si="24"/>
        <v>5.7</v>
      </c>
      <c r="J63" s="326">
        <f t="shared" si="25"/>
        <v>21.12014806385681</v>
      </c>
      <c r="K63" s="51"/>
      <c r="L63" s="171">
        <f ca="1">L40+L28</f>
        <v>0</v>
      </c>
      <c r="M63" s="169" t="e">
        <f t="shared" ca="1" si="45"/>
        <v>#REF!</v>
      </c>
      <c r="N63" s="171" t="e">
        <f t="shared" ca="1" si="45"/>
        <v>#REF!</v>
      </c>
      <c r="O63" s="169" t="e">
        <f t="shared" ca="1" si="45"/>
        <v>#REF!</v>
      </c>
      <c r="P63" s="158"/>
      <c r="Q63" s="158"/>
      <c r="R63" s="158"/>
      <c r="S63" s="136"/>
      <c r="T63" s="51"/>
    </row>
    <row r="64" spans="1:20" ht="18.75" customHeight="1" x14ac:dyDescent="0.3">
      <c r="A64" s="58" t="s">
        <v>90</v>
      </c>
      <c r="B64" s="75">
        <f>B28</f>
        <v>2386</v>
      </c>
      <c r="C64" s="75">
        <f>+C28</f>
        <v>2290</v>
      </c>
      <c r="D64" s="76">
        <f t="shared" si="22"/>
        <v>-4</v>
      </c>
      <c r="E64" s="326">
        <f t="shared" si="23"/>
        <v>6.0857295724719169E-3</v>
      </c>
      <c r="F64" s="75"/>
      <c r="G64" s="133">
        <f>+G28</f>
        <v>0</v>
      </c>
      <c r="H64" s="133">
        <f t="shared" ref="H64:H66" si="46">+H28</f>
        <v>0</v>
      </c>
      <c r="I64" s="76" t="str">
        <f t="shared" si="24"/>
        <v xml:space="preserve">    ---- </v>
      </c>
      <c r="J64" s="326">
        <f t="shared" si="25"/>
        <v>0</v>
      </c>
      <c r="K64" s="51"/>
      <c r="L64" s="171">
        <f ca="1">L29</f>
        <v>0</v>
      </c>
      <c r="M64" s="169">
        <f t="shared" ref="M64:O65" ca="1" si="47">+M29</f>
        <v>0</v>
      </c>
      <c r="N64" s="171" t="e">
        <f t="shared" ca="1" si="47"/>
        <v>#REF!</v>
      </c>
      <c r="O64" s="169">
        <f t="shared" ca="1" si="47"/>
        <v>0</v>
      </c>
      <c r="P64" s="158"/>
      <c r="Q64" s="158"/>
      <c r="R64" s="158"/>
      <c r="S64" s="136"/>
      <c r="T64" s="51"/>
    </row>
    <row r="65" spans="1:240" ht="18.75" customHeight="1" x14ac:dyDescent="0.3">
      <c r="A65" s="58" t="s">
        <v>91</v>
      </c>
      <c r="B65" s="75">
        <f>B29</f>
        <v>751536</v>
      </c>
      <c r="C65" s="75">
        <f>+C29</f>
        <v>758059</v>
      </c>
      <c r="D65" s="76">
        <f t="shared" si="22"/>
        <v>0.9</v>
      </c>
      <c r="E65" s="326">
        <f t="shared" si="23"/>
        <v>2.0145598576325279</v>
      </c>
      <c r="F65" s="75"/>
      <c r="G65" s="133">
        <f>+G29</f>
        <v>0</v>
      </c>
      <c r="H65" s="133">
        <f t="shared" si="46"/>
        <v>0</v>
      </c>
      <c r="I65" s="76" t="str">
        <f t="shared" si="24"/>
        <v xml:space="preserve">    ---- </v>
      </c>
      <c r="J65" s="326">
        <f t="shared" si="25"/>
        <v>0</v>
      </c>
      <c r="K65" s="51"/>
      <c r="L65" s="171">
        <f ca="1">L30</f>
        <v>0</v>
      </c>
      <c r="M65" s="169">
        <f t="shared" ca="1" si="47"/>
        <v>0</v>
      </c>
      <c r="N65" s="171" t="e">
        <f t="shared" ca="1" si="47"/>
        <v>#REF!</v>
      </c>
      <c r="O65" s="169">
        <f t="shared" ca="1" si="47"/>
        <v>0</v>
      </c>
      <c r="P65" s="158"/>
      <c r="Q65" s="158"/>
      <c r="R65" s="158"/>
      <c r="S65" s="136"/>
      <c r="T65" s="51"/>
    </row>
    <row r="66" spans="1:240" ht="18.75" x14ac:dyDescent="0.3">
      <c r="A66" s="77" t="s">
        <v>365</v>
      </c>
      <c r="B66" s="75">
        <f>B30</f>
        <v>1726</v>
      </c>
      <c r="C66" s="75">
        <f>C30</f>
        <v>1680</v>
      </c>
      <c r="D66" s="76">
        <f t="shared" si="22"/>
        <v>-2.7</v>
      </c>
      <c r="E66" s="326">
        <f t="shared" ref="E66" si="48">100/C$32*C66</f>
        <v>8.5031553671659887E-3</v>
      </c>
      <c r="F66" s="77"/>
      <c r="G66" s="133">
        <f>+G30</f>
        <v>0</v>
      </c>
      <c r="H66" s="133">
        <f t="shared" si="46"/>
        <v>0</v>
      </c>
      <c r="I66" s="77"/>
      <c r="J66" s="326">
        <f t="shared" ref="J66" si="49">100/H$32*H66</f>
        <v>0</v>
      </c>
      <c r="K66" s="158"/>
      <c r="L66" s="171">
        <f t="shared" ref="L66" ca="1" si="50">INDIRECT("'" &amp; $A65 &amp; "'!" &amp; $P$7)</f>
        <v>0</v>
      </c>
      <c r="M66" s="169">
        <f t="shared" ref="M66" ca="1" si="51">INDIRECT("'" &amp; $A65 &amp; "'!" &amp; $P$8)</f>
        <v>0</v>
      </c>
      <c r="N66" s="171" t="e">
        <f ca="1">INDIRECT("'" &amp; $A65 &amp; "'!" &amp;#REF!)</f>
        <v>#REF!</v>
      </c>
      <c r="O66" s="169">
        <f t="shared" ref="O66" ca="1" si="52">INDIRECT("'" &amp; $A65 &amp; "'!" &amp; $P$9)</f>
        <v>0</v>
      </c>
    </row>
    <row r="67" spans="1:240" ht="18.75" x14ac:dyDescent="0.3">
      <c r="A67" s="58" t="s">
        <v>372</v>
      </c>
      <c r="B67" s="75">
        <f>B31</f>
        <v>16428</v>
      </c>
      <c r="C67" s="75">
        <f>+C31</f>
        <v>43878</v>
      </c>
      <c r="D67" s="76">
        <f>IF(B67=0, "    ---- ", IF(ABS(ROUND(100/B67*C67-100,1))&lt;999,ROUND(100/B67*C67-100,1),IF(ROUND(100/B67*C67-100,1)&gt;999,999,-999)))</f>
        <v>167.1</v>
      </c>
      <c r="E67" s="326">
        <f>100/C$68*C67</f>
        <v>0.11660683064669115</v>
      </c>
      <c r="F67" s="75"/>
      <c r="G67" s="133">
        <f>G31</f>
        <v>34208</v>
      </c>
      <c r="H67" s="133">
        <f>H31</f>
        <v>69378</v>
      </c>
      <c r="I67" s="76">
        <f>IF(G67=0, "    ---- ", IF(ABS(ROUND(100/G67*H67-100,1))&lt;999,ROUND(100/G67*H67-100,1),IF(ROUND(100/G67*H67-100,1)&gt;999,999,-999)))</f>
        <v>102.8</v>
      </c>
      <c r="J67" s="326">
        <f>100/H$68*H67</f>
        <v>3.1862666795814966E-3</v>
      </c>
      <c r="K67" s="51"/>
      <c r="L67" s="171" t="e">
        <f ca="1">L19+#REF!</f>
        <v>#REF!</v>
      </c>
      <c r="M67" s="169" t="e">
        <f ca="1">+M19+#REF!</f>
        <v>#REF!</v>
      </c>
      <c r="N67" s="171" t="e">
        <f ca="1">N19+#REF!</f>
        <v>#REF!</v>
      </c>
      <c r="O67" s="169" t="e">
        <f ca="1">O19+#REF!</f>
        <v>#REF!</v>
      </c>
      <c r="P67" s="158"/>
      <c r="Q67" s="158"/>
      <c r="R67" s="158"/>
      <c r="S67" s="136"/>
      <c r="T67" s="51"/>
    </row>
    <row r="68" spans="1:240" s="80" customFormat="1" ht="18.75" customHeight="1" x14ac:dyDescent="0.3">
      <c r="A68" s="81" t="s">
        <v>2</v>
      </c>
      <c r="B68" s="82">
        <f>SUM(B45:B67)</f>
        <v>35739171.560820743</v>
      </c>
      <c r="C68" s="82">
        <f>SUM(C45:C67)</f>
        <v>37629013.460580736</v>
      </c>
      <c r="D68" s="83">
        <f>IF(B68=0, "    ---- ", IF(ABS(ROUND(100/B68*C68-100,1))&lt;999,ROUND(100/B68*C68-100,1),IF(ROUND(100/B68*C68-100,1)&gt;999,999,-999)))</f>
        <v>5.3</v>
      </c>
      <c r="E68" s="328">
        <f>SUM(E45:E67)</f>
        <v>100.00403851533149</v>
      </c>
      <c r="F68" s="78"/>
      <c r="G68" s="135">
        <f>SUM(G45:G67)</f>
        <v>2031623825.8606839</v>
      </c>
      <c r="H68" s="135">
        <f>SUM(H45:H67)</f>
        <v>2177407197.0997896</v>
      </c>
      <c r="I68" s="83">
        <f>IF(G68=0, "    ---- ", IF(ABS(ROUND(100/G68*H68-100,1))&lt;999,ROUND(100/G68*H68-100,1),IF(ROUND(100/G68*H68-100,1)&gt;999,999,-999)))</f>
        <v>7.2</v>
      </c>
      <c r="J68" s="328">
        <f>SUM(J45:J67)</f>
        <v>99.999999999999986</v>
      </c>
      <c r="K68" s="134"/>
      <c r="L68" s="176" t="e">
        <f ca="1">SUM(L45:L65)</f>
        <v>#REF!</v>
      </c>
      <c r="M68" s="177" t="e">
        <f ca="1">SUM(M45:M65)</f>
        <v>#REF!</v>
      </c>
      <c r="N68" s="176" t="e">
        <f ca="1">SUM(N45:N65)</f>
        <v>#REF!</v>
      </c>
      <c r="O68" s="177" t="e">
        <f ca="1">SUM(O45:O65)</f>
        <v>#REF!</v>
      </c>
      <c r="P68" s="156"/>
      <c r="Q68" s="156"/>
      <c r="R68" s="156"/>
      <c r="S68" s="104"/>
      <c r="T68" s="134"/>
    </row>
    <row r="69" spans="1:240" ht="18.75" customHeight="1" x14ac:dyDescent="0.3">
      <c r="A69" s="48" t="s">
        <v>95</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48"/>
      <c r="EK69" s="48"/>
      <c r="EL69" s="48"/>
      <c r="EM69" s="48"/>
      <c r="EN69" s="48"/>
      <c r="EO69" s="48"/>
      <c r="EP69" s="48"/>
      <c r="EQ69" s="48"/>
      <c r="ER69" s="48"/>
      <c r="ES69" s="48"/>
      <c r="ET69" s="48"/>
      <c r="EU69" s="48"/>
      <c r="EV69" s="48"/>
      <c r="EW69" s="48"/>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48"/>
      <c r="HC69" s="48"/>
      <c r="HD69" s="48"/>
      <c r="HE69" s="48"/>
      <c r="HF69" s="48"/>
      <c r="HG69" s="48"/>
      <c r="HH69" s="48"/>
      <c r="HI69" s="48"/>
      <c r="HJ69" s="48"/>
      <c r="HK69" s="48"/>
      <c r="HL69" s="48"/>
      <c r="HM69" s="48"/>
      <c r="HN69" s="48"/>
      <c r="HO69" s="48"/>
      <c r="HP69" s="48"/>
      <c r="HQ69" s="48"/>
      <c r="HR69" s="48"/>
      <c r="HS69" s="48"/>
      <c r="HT69" s="48"/>
      <c r="HU69" s="48"/>
      <c r="HV69" s="48"/>
      <c r="HW69" s="48"/>
      <c r="HX69" s="48"/>
      <c r="HY69" s="48"/>
      <c r="HZ69" s="48"/>
      <c r="IA69" s="48"/>
      <c r="IB69" s="48"/>
      <c r="IC69" s="48"/>
      <c r="ID69" s="48"/>
      <c r="IE69" s="48"/>
      <c r="IF69" s="48"/>
    </row>
    <row r="70" spans="1:240" ht="18.75" customHeight="1" x14ac:dyDescent="0.3">
      <c r="A70" s="48"/>
      <c r="B70" s="48"/>
      <c r="C70" s="48"/>
      <c r="D70" s="48"/>
      <c r="E70" s="48"/>
      <c r="F70" s="48"/>
      <c r="G70" s="48"/>
      <c r="H70" s="48"/>
      <c r="I70" s="48"/>
      <c r="J70" s="48"/>
      <c r="K70" s="48"/>
    </row>
    <row r="71" spans="1:240" ht="18.75" customHeight="1" x14ac:dyDescent="0.3">
      <c r="A71" s="48"/>
      <c r="B71" s="48"/>
      <c r="C71" s="48"/>
      <c r="D71" s="48"/>
      <c r="E71" s="48"/>
      <c r="F71" s="48"/>
      <c r="G71" s="48"/>
      <c r="H71" s="48"/>
      <c r="I71" s="48"/>
      <c r="J71" s="48"/>
      <c r="K71" s="48"/>
    </row>
    <row r="72" spans="1:240" ht="18.75" customHeight="1" x14ac:dyDescent="0.3">
      <c r="A72" s="48"/>
      <c r="B72" s="51"/>
      <c r="C72" s="51"/>
      <c r="D72" s="48"/>
      <c r="E72" s="48"/>
      <c r="F72" s="48"/>
      <c r="G72" s="51"/>
      <c r="H72" s="51"/>
      <c r="I72" s="48"/>
      <c r="J72" s="48"/>
      <c r="K72" s="48"/>
    </row>
    <row r="73" spans="1:240" ht="18.75" customHeight="1" x14ac:dyDescent="0.3">
      <c r="A73" s="48"/>
      <c r="B73" s="48"/>
      <c r="C73" s="48"/>
      <c r="D73" s="48"/>
      <c r="E73" s="48"/>
      <c r="F73" s="48"/>
      <c r="G73" s="48"/>
      <c r="H73" s="48"/>
      <c r="I73" s="48"/>
      <c r="J73" s="48"/>
      <c r="K73" s="48"/>
    </row>
    <row r="74" spans="1:240" ht="18.75" customHeight="1" x14ac:dyDescent="0.3">
      <c r="A74" s="48"/>
      <c r="B74" s="48"/>
      <c r="C74" s="48"/>
      <c r="D74" s="48"/>
      <c r="E74" s="48"/>
      <c r="F74" s="48"/>
      <c r="G74" s="48"/>
      <c r="H74" s="48"/>
      <c r="I74" s="48"/>
      <c r="J74" s="48"/>
      <c r="K74" s="48"/>
    </row>
    <row r="75" spans="1:240" ht="18.75" customHeight="1" x14ac:dyDescent="0.3">
      <c r="A75" s="48"/>
      <c r="B75" s="48"/>
      <c r="C75" s="48"/>
      <c r="D75" s="48"/>
      <c r="E75" s="48"/>
      <c r="F75" s="48"/>
      <c r="G75" s="48"/>
      <c r="H75" s="48"/>
      <c r="I75" s="48"/>
      <c r="J75" s="48"/>
      <c r="K75" s="48"/>
    </row>
    <row r="76" spans="1:240" ht="18.75" customHeight="1" x14ac:dyDescent="0.3">
      <c r="A76" s="48"/>
      <c r="B76" s="48"/>
      <c r="C76" s="48"/>
      <c r="D76" s="48"/>
      <c r="E76" s="48"/>
      <c r="F76" s="48"/>
      <c r="G76" s="48"/>
      <c r="H76" s="48"/>
      <c r="I76" s="48"/>
      <c r="J76" s="48"/>
      <c r="K76" s="48"/>
    </row>
    <row r="77" spans="1:240" ht="18.75" x14ac:dyDescent="0.3">
      <c r="A77" s="48"/>
      <c r="B77" s="48"/>
      <c r="C77" s="48"/>
      <c r="D77" s="48"/>
      <c r="E77" s="48"/>
      <c r="F77" s="48"/>
      <c r="G77" s="48"/>
      <c r="H77" s="48"/>
      <c r="I77" s="48"/>
      <c r="J77" s="48"/>
      <c r="K77" s="48"/>
    </row>
    <row r="78" spans="1:240" ht="18.75" x14ac:dyDescent="0.3">
      <c r="A78" s="48"/>
      <c r="B78" s="48"/>
      <c r="C78" s="48"/>
      <c r="D78" s="48"/>
      <c r="E78" s="48"/>
      <c r="F78" s="48"/>
      <c r="G78" s="48"/>
      <c r="H78" s="48"/>
      <c r="I78" s="48"/>
      <c r="J78" s="48"/>
      <c r="K78" s="48"/>
    </row>
    <row r="79" spans="1:240" ht="18.75" x14ac:dyDescent="0.3">
      <c r="A79" s="48"/>
      <c r="B79" s="48"/>
      <c r="C79" s="48"/>
      <c r="D79" s="48"/>
      <c r="E79" s="48"/>
      <c r="F79" s="48"/>
      <c r="G79" s="48"/>
      <c r="H79" s="48"/>
      <c r="I79" s="48"/>
      <c r="J79" s="48"/>
      <c r="K79" s="48"/>
    </row>
    <row r="80" spans="1:240" ht="18.75" x14ac:dyDescent="0.3">
      <c r="A80" s="48"/>
      <c r="B80" s="48"/>
      <c r="C80" s="48"/>
      <c r="D80" s="48"/>
      <c r="E80" s="48"/>
      <c r="F80" s="48"/>
      <c r="G80" s="48"/>
      <c r="H80" s="48"/>
      <c r="I80" s="48"/>
      <c r="J80" s="48"/>
      <c r="K80" s="48"/>
    </row>
    <row r="81" spans="1:11" ht="18.75" x14ac:dyDescent="0.3">
      <c r="A81" s="48"/>
      <c r="B81" s="48"/>
      <c r="C81" s="48"/>
      <c r="D81" s="48"/>
      <c r="E81" s="48"/>
      <c r="F81" s="48"/>
      <c r="G81" s="48"/>
      <c r="H81" s="48"/>
      <c r="I81" s="48"/>
      <c r="J81" s="48"/>
      <c r="K81" s="48"/>
    </row>
    <row r="82" spans="1:11" ht="18.75" x14ac:dyDescent="0.3">
      <c r="A82" s="48"/>
      <c r="B82" s="48"/>
      <c r="C82" s="48"/>
      <c r="D82" s="48"/>
      <c r="E82" s="48"/>
      <c r="F82" s="48"/>
      <c r="G82" s="48"/>
      <c r="H82" s="48"/>
      <c r="I82" s="48"/>
      <c r="J82" s="48"/>
      <c r="K82" s="48"/>
    </row>
    <row r="83" spans="1:11" ht="18.75" x14ac:dyDescent="0.3">
      <c r="A83" s="48"/>
      <c r="B83" s="48"/>
      <c r="C83" s="48"/>
      <c r="D83" s="48"/>
      <c r="E83" s="48"/>
      <c r="F83" s="48"/>
      <c r="G83" s="48"/>
      <c r="H83" s="48"/>
      <c r="I83" s="48"/>
      <c r="J83" s="48"/>
      <c r="K83" s="48"/>
    </row>
    <row r="84" spans="1:11" ht="18.75" x14ac:dyDescent="0.3">
      <c r="A84" s="48"/>
      <c r="B84" s="48"/>
      <c r="C84" s="48"/>
      <c r="D84" s="48"/>
      <c r="E84" s="48"/>
      <c r="F84" s="48"/>
      <c r="G84" s="48"/>
      <c r="H84" s="48"/>
      <c r="I84" s="48"/>
      <c r="J84" s="48"/>
      <c r="K84" s="48"/>
    </row>
    <row r="85" spans="1:11" ht="18.75" x14ac:dyDescent="0.3">
      <c r="A85" s="48"/>
      <c r="B85" s="48"/>
      <c r="C85" s="48"/>
      <c r="D85" s="48"/>
      <c r="E85" s="48"/>
      <c r="F85" s="48"/>
      <c r="G85" s="48"/>
      <c r="H85" s="48"/>
      <c r="I85" s="48"/>
      <c r="J85" s="48"/>
      <c r="K85" s="48"/>
    </row>
    <row r="86" spans="1:11" ht="18.75" x14ac:dyDescent="0.3">
      <c r="A86" s="48"/>
      <c r="B86" s="48"/>
      <c r="C86" s="48"/>
      <c r="D86" s="48"/>
      <c r="E86" s="48"/>
      <c r="F86" s="48"/>
      <c r="G86" s="48"/>
      <c r="H86" s="48"/>
      <c r="I86" s="48"/>
      <c r="J86" s="48"/>
      <c r="K86" s="48"/>
    </row>
    <row r="87" spans="1:11" ht="18.75" x14ac:dyDescent="0.3">
      <c r="A87" s="48"/>
      <c r="B87" s="48"/>
      <c r="C87" s="48"/>
      <c r="D87" s="48"/>
      <c r="E87" s="48"/>
      <c r="F87" s="48"/>
      <c r="G87" s="48"/>
      <c r="H87" s="48"/>
      <c r="I87" s="48"/>
      <c r="J87" s="48"/>
      <c r="K87" s="48"/>
    </row>
    <row r="88" spans="1:11" ht="18.75" x14ac:dyDescent="0.3">
      <c r="A88" s="48"/>
      <c r="B88" s="48"/>
      <c r="C88" s="48"/>
      <c r="D88" s="48"/>
      <c r="E88" s="48"/>
      <c r="F88" s="48"/>
      <c r="G88" s="48"/>
      <c r="H88" s="48"/>
      <c r="I88" s="48"/>
      <c r="J88" s="48"/>
      <c r="K88" s="48"/>
    </row>
    <row r="89" spans="1:11" ht="18.75" x14ac:dyDescent="0.3">
      <c r="A89" s="48"/>
      <c r="B89" s="48"/>
      <c r="C89" s="48"/>
      <c r="D89" s="48"/>
      <c r="E89" s="48"/>
      <c r="F89" s="48"/>
      <c r="G89" s="48"/>
      <c r="H89" s="48"/>
      <c r="I89" s="48"/>
      <c r="J89" s="48"/>
      <c r="K89" s="48"/>
    </row>
    <row r="90" spans="1:11" ht="18.75" x14ac:dyDescent="0.3">
      <c r="A90" s="48"/>
      <c r="B90" s="48"/>
      <c r="C90" s="48"/>
      <c r="D90" s="48"/>
      <c r="E90" s="48"/>
      <c r="F90" s="48"/>
      <c r="G90" s="48"/>
      <c r="H90" s="48"/>
      <c r="I90" s="48"/>
      <c r="J90" s="48"/>
      <c r="K90" s="48"/>
    </row>
    <row r="91" spans="1:11" ht="18.75" x14ac:dyDescent="0.3">
      <c r="A91" s="48"/>
      <c r="B91" s="48"/>
      <c r="C91" s="48"/>
      <c r="D91" s="48"/>
      <c r="E91" s="48"/>
      <c r="F91" s="48"/>
      <c r="G91" s="48"/>
      <c r="H91" s="48"/>
      <c r="I91" s="48"/>
      <c r="J91" s="48"/>
      <c r="K91" s="48"/>
    </row>
    <row r="92" spans="1:11" ht="18.75" x14ac:dyDescent="0.3">
      <c r="A92" s="48"/>
      <c r="B92" s="48"/>
      <c r="C92" s="48"/>
      <c r="D92" s="48"/>
      <c r="E92" s="48"/>
      <c r="F92" s="48"/>
      <c r="G92" s="48"/>
      <c r="H92" s="48"/>
      <c r="I92" s="48"/>
      <c r="J92" s="48"/>
      <c r="K92" s="48"/>
    </row>
    <row r="93" spans="1:11" ht="18.75" x14ac:dyDescent="0.3">
      <c r="A93" s="48"/>
      <c r="B93" s="48"/>
      <c r="C93" s="48"/>
      <c r="D93" s="48"/>
      <c r="E93" s="48"/>
      <c r="F93" s="48"/>
      <c r="G93" s="48"/>
      <c r="H93" s="48"/>
      <c r="I93" s="48"/>
      <c r="J93" s="48"/>
      <c r="K93" s="48"/>
    </row>
    <row r="94" spans="1:11" ht="18.75" x14ac:dyDescent="0.3">
      <c r="A94" s="48"/>
      <c r="B94" s="48"/>
      <c r="C94" s="48"/>
      <c r="D94" s="48"/>
      <c r="E94" s="48"/>
      <c r="F94" s="48"/>
      <c r="G94" s="48"/>
      <c r="H94" s="48"/>
      <c r="I94" s="48"/>
      <c r="J94" s="48"/>
      <c r="K94" s="48"/>
    </row>
    <row r="95" spans="1:11" ht="18.75" x14ac:dyDescent="0.3">
      <c r="A95" s="84"/>
      <c r="B95" s="85"/>
      <c r="C95" s="85"/>
      <c r="D95" s="85"/>
      <c r="E95" s="48"/>
      <c r="F95" s="48"/>
      <c r="G95" s="48"/>
      <c r="H95" s="48"/>
      <c r="I95" s="48"/>
      <c r="J95" s="49"/>
      <c r="K95" s="49"/>
    </row>
    <row r="96" spans="1:11" ht="18.75" x14ac:dyDescent="0.3">
      <c r="A96" s="48"/>
      <c r="B96" s="48"/>
      <c r="C96" s="48"/>
      <c r="D96" s="48"/>
      <c r="E96" s="48"/>
      <c r="F96" s="48"/>
      <c r="G96" s="48"/>
      <c r="H96" s="48"/>
      <c r="I96" s="48"/>
      <c r="J96" s="48"/>
      <c r="K96" s="48"/>
    </row>
    <row r="97" spans="1:11" ht="18.75" x14ac:dyDescent="0.3">
      <c r="A97" s="48"/>
      <c r="B97" s="48"/>
      <c r="C97" s="48"/>
      <c r="D97" s="48"/>
      <c r="E97" s="48"/>
      <c r="F97" s="48"/>
      <c r="G97" s="48"/>
      <c r="H97" s="48"/>
      <c r="I97" s="48"/>
      <c r="J97" s="48"/>
      <c r="K97" s="48"/>
    </row>
    <row r="98" spans="1:11" ht="18.75" x14ac:dyDescent="0.3">
      <c r="A98" s="48"/>
      <c r="B98" s="48"/>
      <c r="C98" s="48"/>
      <c r="D98" s="48"/>
      <c r="E98" s="48"/>
      <c r="F98" s="48"/>
      <c r="G98" s="48"/>
      <c r="H98" s="48"/>
      <c r="I98" s="48"/>
      <c r="J98" s="48"/>
      <c r="K98" s="48"/>
    </row>
    <row r="99" spans="1:11" ht="18.75" x14ac:dyDescent="0.3">
      <c r="A99" s="48"/>
      <c r="B99" s="48"/>
      <c r="C99" s="48"/>
      <c r="D99" s="48"/>
      <c r="E99" s="48"/>
      <c r="F99" s="48"/>
      <c r="G99" s="48"/>
      <c r="H99" s="48"/>
      <c r="I99" s="48"/>
      <c r="J99" s="48"/>
      <c r="K99" s="48"/>
    </row>
    <row r="100" spans="1:11" ht="18.75" x14ac:dyDescent="0.3">
      <c r="A100" s="48"/>
      <c r="B100" s="48"/>
      <c r="C100" s="48"/>
      <c r="D100" s="48"/>
      <c r="E100" s="48"/>
      <c r="F100" s="48"/>
      <c r="G100" s="48"/>
      <c r="H100" s="48"/>
      <c r="I100" s="48"/>
      <c r="J100" s="48"/>
      <c r="K100" s="48"/>
    </row>
    <row r="101" spans="1:11" ht="18.75" x14ac:dyDescent="0.3">
      <c r="A101" s="48"/>
      <c r="B101" s="48"/>
      <c r="C101" s="48"/>
      <c r="D101" s="48"/>
      <c r="E101" s="48"/>
      <c r="F101" s="48"/>
      <c r="G101" s="48"/>
      <c r="H101" s="48"/>
      <c r="I101" s="48"/>
      <c r="J101" s="48"/>
      <c r="K101" s="48"/>
    </row>
    <row r="102" spans="1:11" ht="18.75" x14ac:dyDescent="0.3">
      <c r="A102" s="48"/>
      <c r="B102" s="48"/>
      <c r="C102" s="48"/>
      <c r="D102" s="48"/>
      <c r="E102" s="48"/>
      <c r="F102" s="48"/>
      <c r="G102" s="48"/>
      <c r="H102" s="48"/>
      <c r="I102" s="48"/>
      <c r="J102" s="48"/>
      <c r="K102" s="48"/>
    </row>
    <row r="103" spans="1:11" ht="18.75" x14ac:dyDescent="0.3">
      <c r="A103" s="48"/>
      <c r="B103" s="48"/>
      <c r="C103" s="48"/>
      <c r="D103" s="48"/>
      <c r="E103" s="48"/>
      <c r="F103" s="48"/>
      <c r="G103" s="48"/>
      <c r="H103" s="48"/>
      <c r="I103" s="48"/>
      <c r="J103" s="48"/>
      <c r="K103" s="48"/>
    </row>
    <row r="104" spans="1:11" ht="18.75" x14ac:dyDescent="0.3">
      <c r="A104" s="48"/>
      <c r="B104" s="48"/>
      <c r="C104" s="48"/>
      <c r="D104" s="48"/>
      <c r="E104" s="48"/>
      <c r="F104" s="48"/>
      <c r="G104" s="48"/>
      <c r="H104" s="48"/>
      <c r="I104" s="48"/>
      <c r="J104" s="48"/>
      <c r="K104" s="48"/>
    </row>
    <row r="105" spans="1:11" ht="18.75" x14ac:dyDescent="0.3">
      <c r="A105" s="48"/>
      <c r="B105" s="48"/>
      <c r="C105" s="48"/>
      <c r="D105" s="48"/>
      <c r="E105" s="48"/>
      <c r="F105" s="48"/>
      <c r="G105" s="48"/>
      <c r="H105" s="48"/>
      <c r="I105" s="48"/>
      <c r="J105" s="48"/>
      <c r="K105" s="48"/>
    </row>
    <row r="106" spans="1:11" ht="18.75" x14ac:dyDescent="0.3">
      <c r="A106" s="48"/>
      <c r="B106" s="48"/>
      <c r="C106" s="48"/>
      <c r="D106" s="48"/>
      <c r="E106" s="48"/>
      <c r="F106" s="48"/>
      <c r="G106" s="48"/>
      <c r="H106" s="48"/>
      <c r="I106" s="48"/>
      <c r="J106" s="48"/>
      <c r="K106" s="48"/>
    </row>
    <row r="107" spans="1:11" ht="18.75" x14ac:dyDescent="0.3">
      <c r="A107" s="48"/>
      <c r="B107" s="48"/>
      <c r="C107" s="48"/>
      <c r="D107" s="48"/>
      <c r="E107" s="48"/>
      <c r="F107" s="48"/>
      <c r="G107" s="48"/>
      <c r="H107" s="48"/>
      <c r="I107" s="48"/>
      <c r="J107" s="48"/>
      <c r="K107" s="48"/>
    </row>
  </sheetData>
  <mergeCells count="5">
    <mergeCell ref="N5:O5"/>
    <mergeCell ref="A3:B3"/>
    <mergeCell ref="B5:E5"/>
    <mergeCell ref="G5:J5"/>
    <mergeCell ref="L5:M5"/>
  </mergeCells>
  <hyperlinks>
    <hyperlink ref="B1" location="Innhold!A1" display="Tilbake" xr:uid="{00000000-0004-0000-0300-000000000000}"/>
  </hyperlinks>
  <pageMargins left="0.70866141732283472" right="0.70866141732283472" top="0.78740157480314965" bottom="0.78740157480314965" header="0.31496062992125984" footer="0.31496062992125984"/>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O115"/>
  <sheetViews>
    <sheetView showGridLines="0" showZeros="0" zoomScale="70" zoomScaleNormal="70" workbookViewId="0">
      <pane xSplit="1" ySplit="7" topLeftCell="B8" activePane="bottomRight" state="frozen"/>
      <selection activeCell="H73" sqref="H73"/>
      <selection pane="topRight" activeCell="H73" sqref="H73"/>
      <selection pane="bottomLeft" activeCell="H73" sqref="H73"/>
      <selection pane="bottomRight" activeCell="A4" sqref="A4"/>
    </sheetView>
  </sheetViews>
  <sheetFormatPr baseColWidth="10" defaultColWidth="11.42578125" defaultRowHeight="18" x14ac:dyDescent="0.25"/>
  <cols>
    <col min="1" max="1" width="51" style="53" customWidth="1"/>
    <col min="2" max="3" width="17.85546875" style="53" bestFit="1" customWidth="1"/>
    <col min="4" max="4" width="9.28515625" style="53" bestFit="1" customWidth="1"/>
    <col min="5" max="5" width="4.7109375" style="53" customWidth="1"/>
    <col min="6" max="7" width="16.7109375" style="53" customWidth="1"/>
    <col min="8" max="8" width="9.28515625" style="53" bestFit="1" customWidth="1"/>
    <col min="9" max="9" width="4.7109375" style="53" customWidth="1"/>
    <col min="10" max="10" width="18.7109375" style="53" customWidth="1"/>
    <col min="11" max="11" width="18" style="53" bestFit="1" customWidth="1"/>
    <col min="12" max="12" width="9.28515625" style="53" bestFit="1" customWidth="1"/>
    <col min="13" max="13" width="11.42578125" style="53"/>
    <col min="14" max="15" width="17.28515625" style="53" bestFit="1" customWidth="1"/>
    <col min="16" max="16384" width="11.42578125" style="53"/>
  </cols>
  <sheetData>
    <row r="1" spans="1:13" ht="20.25" x14ac:dyDescent="0.3">
      <c r="A1" s="52" t="s">
        <v>72</v>
      </c>
      <c r="B1" s="47" t="s">
        <v>52</v>
      </c>
      <c r="C1" s="48"/>
      <c r="D1" s="48"/>
      <c r="E1" s="48"/>
      <c r="F1" s="48"/>
      <c r="G1" s="48"/>
      <c r="H1" s="48"/>
      <c r="I1" s="48"/>
      <c r="J1" s="48"/>
      <c r="K1" s="48"/>
      <c r="L1" s="48"/>
      <c r="M1" s="48"/>
    </row>
    <row r="2" spans="1:13" ht="20.25" x14ac:dyDescent="0.3">
      <c r="A2" s="52" t="s">
        <v>96</v>
      </c>
      <c r="B2" s="47"/>
      <c r="C2" s="48"/>
      <c r="D2" s="48"/>
      <c r="E2" s="48"/>
      <c r="F2" s="48"/>
      <c r="G2" s="48"/>
      <c r="H2" s="48"/>
      <c r="I2" s="48"/>
      <c r="J2" s="48"/>
      <c r="K2" s="48"/>
      <c r="L2" s="48"/>
      <c r="M2" s="48"/>
    </row>
    <row r="3" spans="1:13" ht="18.75" x14ac:dyDescent="0.3">
      <c r="A3" s="49" t="s">
        <v>97</v>
      </c>
      <c r="B3" s="48"/>
      <c r="C3" s="48"/>
      <c r="D3" s="48"/>
      <c r="E3" s="48"/>
      <c r="F3" s="48"/>
      <c r="G3" s="48"/>
      <c r="H3" s="48"/>
      <c r="I3" s="48"/>
      <c r="J3" s="48"/>
      <c r="K3" s="48"/>
      <c r="L3" s="48"/>
      <c r="M3" s="48"/>
    </row>
    <row r="4" spans="1:13" ht="18.75" x14ac:dyDescent="0.3">
      <c r="A4" s="54" t="s">
        <v>393</v>
      </c>
      <c r="B4" s="74"/>
      <c r="C4" s="86"/>
      <c r="D4" s="87"/>
      <c r="E4" s="48"/>
      <c r="F4" s="55"/>
      <c r="G4" s="56"/>
      <c r="H4" s="57"/>
      <c r="I4" s="48"/>
      <c r="J4" s="55"/>
      <c r="K4" s="56"/>
      <c r="L4" s="57"/>
      <c r="M4" s="48"/>
    </row>
    <row r="5" spans="1:13" ht="18.75" x14ac:dyDescent="0.3">
      <c r="A5" s="88"/>
      <c r="B5" s="556" t="s">
        <v>0</v>
      </c>
      <c r="C5" s="557"/>
      <c r="D5" s="558"/>
      <c r="E5" s="61"/>
      <c r="F5" s="556" t="s">
        <v>1</v>
      </c>
      <c r="G5" s="557"/>
      <c r="H5" s="558"/>
      <c r="I5" s="89"/>
      <c r="J5" s="556" t="s">
        <v>98</v>
      </c>
      <c r="K5" s="557"/>
      <c r="L5" s="558"/>
      <c r="M5" s="48"/>
    </row>
    <row r="6" spans="1:13" ht="18.75" x14ac:dyDescent="0.3">
      <c r="A6" s="90"/>
      <c r="B6" s="91"/>
      <c r="C6" s="92"/>
      <c r="D6" s="66" t="s">
        <v>99</v>
      </c>
      <c r="E6" s="72"/>
      <c r="F6" s="91"/>
      <c r="G6" s="92"/>
      <c r="H6" s="66" t="s">
        <v>99</v>
      </c>
      <c r="I6" s="93"/>
      <c r="J6" s="91"/>
      <c r="K6" s="92"/>
      <c r="L6" s="66" t="s">
        <v>99</v>
      </c>
      <c r="M6" s="48"/>
    </row>
    <row r="7" spans="1:13" ht="18.75" x14ac:dyDescent="0.3">
      <c r="A7" s="94" t="s">
        <v>100</v>
      </c>
      <c r="B7" s="95">
        <v>2024</v>
      </c>
      <c r="C7" s="139">
        <v>2025</v>
      </c>
      <c r="D7" s="71" t="s">
        <v>78</v>
      </c>
      <c r="E7" s="72"/>
      <c r="F7" s="69">
        <v>2024</v>
      </c>
      <c r="G7" s="95">
        <v>2025</v>
      </c>
      <c r="H7" s="71" t="s">
        <v>78</v>
      </c>
      <c r="I7" s="96"/>
      <c r="J7" s="138">
        <v>2024</v>
      </c>
      <c r="K7" s="139">
        <v>2025</v>
      </c>
      <c r="L7" s="71" t="s">
        <v>78</v>
      </c>
      <c r="M7" s="48"/>
    </row>
    <row r="8" spans="1:13" ht="22.5" x14ac:dyDescent="0.3">
      <c r="A8" s="144" t="s">
        <v>101</v>
      </c>
      <c r="B8" s="179"/>
      <c r="C8" s="152"/>
      <c r="D8" s="152"/>
      <c r="E8" s="136"/>
      <c r="F8" s="152"/>
      <c r="G8" s="152"/>
      <c r="H8" s="152"/>
      <c r="I8" s="153"/>
      <c r="J8" s="152"/>
      <c r="K8" s="152"/>
      <c r="L8" s="152"/>
      <c r="M8" s="48"/>
    </row>
    <row r="9" spans="1:13" ht="18.75" x14ac:dyDescent="0.3">
      <c r="A9" s="77" t="s">
        <v>102</v>
      </c>
      <c r="B9" s="76">
        <f>'Skjema total MA'!B7</f>
        <v>1916181.7461182389</v>
      </c>
      <c r="C9" s="76">
        <f>'Skjema total MA'!C7</f>
        <v>2007693.8526482559</v>
      </c>
      <c r="D9" s="180">
        <f>IF(B9=0, "    ---- ", IF(ABS(ROUND(100/B9*C9-100,1))&lt;999,ROUND(100/B9*C9-100,1),IF(ROUND(100/B9*C9-100,1)&gt;999,999,-999)))</f>
        <v>4.8</v>
      </c>
      <c r="E9" s="136"/>
      <c r="F9" s="147">
        <f>'Skjema total MA'!E7</f>
        <v>3913241.6555799996</v>
      </c>
      <c r="G9" s="147">
        <f>'Skjema total MA'!F7</f>
        <v>2988485.3559699999</v>
      </c>
      <c r="H9" s="180">
        <f>IF(F9=0, "    ---- ", IF(ABS(ROUND(100/F9*G9-100,1))&lt;999,ROUND(100/F9*G9-100,1),IF(ROUND(100/F9*G9-100,1)&gt;999,999,-999)))</f>
        <v>-23.6</v>
      </c>
      <c r="I9" s="136"/>
      <c r="J9" s="147">
        <f t="shared" ref="J9:K60" si="0">SUM(B9+F9)</f>
        <v>5829423.4016982382</v>
      </c>
      <c r="K9" s="147">
        <f t="shared" si="0"/>
        <v>4996179.2086182553</v>
      </c>
      <c r="L9" s="178">
        <f>IF(J9=0, "    ---- ", IF(ABS(ROUND(100/J9*K9-100,1))&lt;999,ROUND(100/J9*K9-100,1),IF(ROUND(100/J9*K9-100,1)&gt;999,999,-999)))</f>
        <v>-14.3</v>
      </c>
      <c r="M9" s="48"/>
    </row>
    <row r="10" spans="1:13" ht="18.75" x14ac:dyDescent="0.3">
      <c r="A10" s="77" t="s">
        <v>103</v>
      </c>
      <c r="B10" s="76">
        <f>'Skjema total MA'!B22</f>
        <v>883833.84994250839</v>
      </c>
      <c r="C10" s="76">
        <f>'Skjema total MA'!C22</f>
        <v>992677.89621248806</v>
      </c>
      <c r="D10" s="180">
        <f t="shared" ref="D10:D17" si="1">IF(B10=0, "    ---- ", IF(ABS(ROUND(100/B10*C10-100,1))&lt;999,ROUND(100/B10*C10-100,1),IF(ROUND(100/B10*C10-100,1)&gt;999,999,-999)))</f>
        <v>12.3</v>
      </c>
      <c r="E10" s="136"/>
      <c r="F10" s="147">
        <f>'Skjema total MA'!E22</f>
        <v>254221.83717000001</v>
      </c>
      <c r="G10" s="147">
        <f>'Skjema total MA'!F22</f>
        <v>287527.38150000002</v>
      </c>
      <c r="H10" s="180">
        <f t="shared" ref="H10:H57" si="2">IF(F10=0, "    ---- ", IF(ABS(ROUND(100/F10*G10-100,1))&lt;999,ROUND(100/F10*G10-100,1),IF(ROUND(100/F10*G10-100,1)&gt;999,999,-999)))</f>
        <v>13.1</v>
      </c>
      <c r="I10" s="136"/>
      <c r="J10" s="147">
        <f t="shared" si="0"/>
        <v>1138055.6871125083</v>
      </c>
      <c r="K10" s="147">
        <f t="shared" si="0"/>
        <v>1280205.2777124881</v>
      </c>
      <c r="L10" s="178">
        <f t="shared" ref="L10:L60" si="3">IF(J10=0, "    ---- ", IF(ABS(ROUND(100/J10*K10-100,1))&lt;999,ROUND(100/J10*K10-100,1),IF(ROUND(100/J10*K10-100,1)&gt;999,999,-999)))</f>
        <v>12.5</v>
      </c>
      <c r="M10" s="48"/>
    </row>
    <row r="11" spans="1:13" ht="18.75" x14ac:dyDescent="0.3">
      <c r="A11" s="77" t="s">
        <v>104</v>
      </c>
      <c r="B11" s="76">
        <f>'Skjema total MA'!B47</f>
        <v>4118428.1644899994</v>
      </c>
      <c r="C11" s="76">
        <f>'Skjema total MA'!C47</f>
        <v>4431216.3140400006</v>
      </c>
      <c r="D11" s="180">
        <f t="shared" si="1"/>
        <v>7.6</v>
      </c>
      <c r="E11" s="136"/>
      <c r="F11" s="147"/>
      <c r="G11" s="147"/>
      <c r="H11" s="180"/>
      <c r="I11" s="136"/>
      <c r="J11" s="147">
        <f t="shared" si="0"/>
        <v>4118428.1644899994</v>
      </c>
      <c r="K11" s="147">
        <f t="shared" si="0"/>
        <v>4431216.3140400006</v>
      </c>
      <c r="L11" s="178">
        <f t="shared" si="3"/>
        <v>7.6</v>
      </c>
      <c r="M11" s="48"/>
    </row>
    <row r="12" spans="1:13" ht="18.75" x14ac:dyDescent="0.3">
      <c r="A12" s="77" t="s">
        <v>105</v>
      </c>
      <c r="B12" s="76">
        <f>'Skjema total MA'!B66</f>
        <v>2949518.7670700001</v>
      </c>
      <c r="C12" s="76">
        <f>'Skjema total MA'!C66</f>
        <v>2945251.8256099997</v>
      </c>
      <c r="D12" s="180">
        <f t="shared" si="1"/>
        <v>-0.1</v>
      </c>
      <c r="E12" s="136"/>
      <c r="F12" s="147">
        <f>'Skjema total MA'!E66</f>
        <v>12674715.022740001</v>
      </c>
      <c r="G12" s="147">
        <f>'Skjema total MA'!F66</f>
        <v>14574699.89064</v>
      </c>
      <c r="H12" s="180">
        <f t="shared" si="2"/>
        <v>15</v>
      </c>
      <c r="I12" s="136"/>
      <c r="J12" s="147">
        <f t="shared" si="0"/>
        <v>15624233.789810002</v>
      </c>
      <c r="K12" s="147">
        <f t="shared" si="0"/>
        <v>17519951.716249999</v>
      </c>
      <c r="L12" s="178">
        <f t="shared" si="3"/>
        <v>12.1</v>
      </c>
      <c r="M12" s="48"/>
    </row>
    <row r="13" spans="1:13" ht="18.75" x14ac:dyDescent="0.3">
      <c r="A13" s="77" t="s">
        <v>106</v>
      </c>
      <c r="B13" s="76">
        <f>'Skjema total MA'!B68</f>
        <v>9689.0630199999996</v>
      </c>
      <c r="C13" s="76">
        <f>'Skjema total MA'!C68</f>
        <v>8248.00252</v>
      </c>
      <c r="D13" s="180">
        <f t="shared" si="1"/>
        <v>-14.9</v>
      </c>
      <c r="E13" s="136"/>
      <c r="F13" s="147">
        <f>'Skjema total MA'!E68</f>
        <v>12155093.40521</v>
      </c>
      <c r="G13" s="147">
        <f>'Skjema total MA'!F68</f>
        <v>14040757.27189</v>
      </c>
      <c r="H13" s="180">
        <f t="shared" si="2"/>
        <v>15.5</v>
      </c>
      <c r="I13" s="136"/>
      <c r="J13" s="147">
        <f t="shared" si="0"/>
        <v>12164782.46823</v>
      </c>
      <c r="K13" s="147">
        <f t="shared" si="0"/>
        <v>14049005.27441</v>
      </c>
      <c r="L13" s="178">
        <f t="shared" si="3"/>
        <v>15.5</v>
      </c>
      <c r="M13" s="48"/>
    </row>
    <row r="14" spans="1:13" s="100" customFormat="1" ht="18.75" x14ac:dyDescent="0.3">
      <c r="A14" s="145" t="s">
        <v>107</v>
      </c>
      <c r="B14" s="99">
        <f>'Skjema total MA'!B75+'Skjema total MA'!B76</f>
        <v>959833.18502373109</v>
      </c>
      <c r="C14" s="99">
        <f>'Skjema total MA'!C75+'Skjema total MA'!C76</f>
        <v>1106397.0180926381</v>
      </c>
      <c r="D14" s="180">
        <f t="shared" si="1"/>
        <v>15.3</v>
      </c>
      <c r="E14" s="137"/>
      <c r="F14" s="148">
        <f>'Skjema total MA'!E75+'Skjema total MA'!E76</f>
        <v>519621.61753000005</v>
      </c>
      <c r="G14" s="148">
        <f>'Skjema total MA'!F75+'Skjema total MA'!F76</f>
        <v>533942.61875000002</v>
      </c>
      <c r="H14" s="180">
        <f t="shared" si="2"/>
        <v>2.8</v>
      </c>
      <c r="I14" s="137"/>
      <c r="J14" s="147">
        <f t="shared" si="0"/>
        <v>1479454.802553731</v>
      </c>
      <c r="K14" s="147">
        <f t="shared" si="0"/>
        <v>1640339.6368426383</v>
      </c>
      <c r="L14" s="178">
        <f t="shared" si="3"/>
        <v>10.9</v>
      </c>
      <c r="M14" s="50"/>
    </row>
    <row r="15" spans="1:13" ht="22.5" x14ac:dyDescent="0.3">
      <c r="A15" s="77" t="s">
        <v>313</v>
      </c>
      <c r="B15" s="76">
        <f>'Skjema total MA'!B134</f>
        <v>9005792.8037100006</v>
      </c>
      <c r="C15" s="76">
        <f>'Skjema total MA'!C134</f>
        <v>9379924.6689600013</v>
      </c>
      <c r="D15" s="180">
        <f t="shared" si="1"/>
        <v>4.2</v>
      </c>
      <c r="E15" s="136"/>
      <c r="F15" s="147">
        <f>'Skjema total MA'!E134</f>
        <v>22688.987000000001</v>
      </c>
      <c r="G15" s="147">
        <f>'Skjema total MA'!F134</f>
        <v>20929.275000000001</v>
      </c>
      <c r="H15" s="180">
        <f t="shared" si="2"/>
        <v>-7.8</v>
      </c>
      <c r="I15" s="136"/>
      <c r="J15" s="147">
        <f t="shared" si="0"/>
        <v>9028481.7907100003</v>
      </c>
      <c r="K15" s="147">
        <f t="shared" si="0"/>
        <v>9400853.9439600017</v>
      </c>
      <c r="L15" s="178">
        <f t="shared" si="3"/>
        <v>4.0999999999999996</v>
      </c>
      <c r="M15" s="48"/>
    </row>
    <row r="16" spans="1:13" ht="18.75" x14ac:dyDescent="0.3">
      <c r="A16" s="77" t="s">
        <v>108</v>
      </c>
      <c r="B16" s="76">
        <f>'Skjema total MA'!B36</f>
        <v>548.72699999999998</v>
      </c>
      <c r="C16" s="76">
        <f>'Skjema total MA'!C36</f>
        <v>607</v>
      </c>
      <c r="D16" s="180">
        <f t="shared" si="1"/>
        <v>10.6</v>
      </c>
      <c r="E16" s="136"/>
      <c r="F16" s="147">
        <f>'Skjema total MA'!E36</f>
        <v>0</v>
      </c>
      <c r="G16" s="147">
        <f>'Skjema total MA'!F36</f>
        <v>0</v>
      </c>
      <c r="H16" s="180"/>
      <c r="I16" s="136"/>
      <c r="J16" s="147">
        <f t="shared" si="0"/>
        <v>548.72699999999998</v>
      </c>
      <c r="K16" s="147">
        <f t="shared" si="0"/>
        <v>607</v>
      </c>
      <c r="L16" s="178">
        <f t="shared" si="3"/>
        <v>10.6</v>
      </c>
      <c r="M16" s="48"/>
    </row>
    <row r="17" spans="1:15" s="102" customFormat="1" ht="18.75" customHeight="1" x14ac:dyDescent="0.3">
      <c r="A17" s="103" t="s">
        <v>109</v>
      </c>
      <c r="B17" s="79">
        <f>'Tabel 1.1'!B32</f>
        <v>18874304.058330748</v>
      </c>
      <c r="C17" s="149">
        <f>'Tabel 1.1'!C32</f>
        <v>19757371.557470743</v>
      </c>
      <c r="D17" s="180">
        <f t="shared" si="1"/>
        <v>4.7</v>
      </c>
      <c r="E17" s="104"/>
      <c r="F17" s="149">
        <f>'Tabel 1.1'!B41</f>
        <v>16864867.502489999</v>
      </c>
      <c r="G17" s="149">
        <f>'Tabel 1.1'!C41</f>
        <v>17871641.903109998</v>
      </c>
      <c r="H17" s="180">
        <f t="shared" si="2"/>
        <v>6</v>
      </c>
      <c r="I17" s="104"/>
      <c r="J17" s="149">
        <f t="shared" si="0"/>
        <v>35739171.560820743</v>
      </c>
      <c r="K17" s="149">
        <f t="shared" si="0"/>
        <v>37629013.460580736</v>
      </c>
      <c r="L17" s="178">
        <f t="shared" si="3"/>
        <v>5.3</v>
      </c>
      <c r="M17" s="49"/>
      <c r="N17" s="101"/>
      <c r="O17" s="101"/>
    </row>
    <row r="18" spans="1:15" ht="18.75" customHeight="1" x14ac:dyDescent="0.3">
      <c r="A18" s="103"/>
      <c r="B18" s="76"/>
      <c r="C18" s="147"/>
      <c r="D18" s="147"/>
      <c r="E18" s="136"/>
      <c r="F18" s="147"/>
      <c r="G18" s="147"/>
      <c r="H18" s="180"/>
      <c r="I18" s="136"/>
      <c r="J18" s="147"/>
      <c r="K18" s="147"/>
      <c r="L18" s="178"/>
      <c r="M18" s="48"/>
    </row>
    <row r="19" spans="1:15" ht="18.75" customHeight="1" x14ac:dyDescent="0.3">
      <c r="A19" s="144" t="s">
        <v>314</v>
      </c>
      <c r="B19" s="151"/>
      <c r="C19" s="154"/>
      <c r="D19" s="147"/>
      <c r="E19" s="136"/>
      <c r="F19" s="154"/>
      <c r="G19" s="154"/>
      <c r="H19" s="180"/>
      <c r="I19" s="136"/>
      <c r="J19" s="147"/>
      <c r="K19" s="147"/>
      <c r="L19" s="178"/>
      <c r="M19" s="48"/>
    </row>
    <row r="20" spans="1:15" ht="18.75" customHeight="1" x14ac:dyDescent="0.3">
      <c r="A20" s="77" t="s">
        <v>102</v>
      </c>
      <c r="B20" s="76">
        <f>'Skjema total MA'!B10</f>
        <v>13529692.333618596</v>
      </c>
      <c r="C20" s="76">
        <f>'Skjema total MA'!C10</f>
        <v>12653191.192621982</v>
      </c>
      <c r="D20" s="180">
        <f>IF(B20=0, "    ---- ", IF(ABS(ROUND(100/B20*C20-100,1))&lt;999,ROUND(100/B20*C20-100,1),IF(ROUND(100/B20*C20-100,1)&gt;999,999,-999)))</f>
        <v>-6.5</v>
      </c>
      <c r="E20" s="136"/>
      <c r="F20" s="147">
        <f>'Skjema total MA'!E10</f>
        <v>90274205.698259994</v>
      </c>
      <c r="G20" s="147">
        <f>'Skjema total MA'!F10</f>
        <v>94510190.04756251</v>
      </c>
      <c r="H20" s="180">
        <f t="shared" si="2"/>
        <v>4.7</v>
      </c>
      <c r="I20" s="136"/>
      <c r="J20" s="147">
        <f t="shared" si="0"/>
        <v>103803898.03187859</v>
      </c>
      <c r="K20" s="147">
        <f t="shared" si="0"/>
        <v>107163381.24018449</v>
      </c>
      <c r="L20" s="178">
        <f t="shared" si="3"/>
        <v>3.2</v>
      </c>
      <c r="M20" s="48"/>
    </row>
    <row r="21" spans="1:15" ht="18.75" customHeight="1" x14ac:dyDescent="0.3">
      <c r="A21" s="77" t="s">
        <v>103</v>
      </c>
      <c r="B21" s="76">
        <f>'Skjema total MA'!B29</f>
        <v>44018626.137501307</v>
      </c>
      <c r="C21" s="76">
        <f>'Skjema total MA'!C29</f>
        <v>44006076.134077512</v>
      </c>
      <c r="D21" s="180">
        <f t="shared" ref="D21:D27" si="4">IF(B21=0, "    ---- ", IF(ABS(ROUND(100/B21*C21-100,1))&lt;999,ROUND(100/B21*C21-100,1),IF(ROUND(100/B21*C21-100,1)&gt;999,999,-999)))</f>
        <v>0</v>
      </c>
      <c r="E21" s="136"/>
      <c r="F21" s="147">
        <f>'Skjema total MA'!E29</f>
        <v>28100932.139699999</v>
      </c>
      <c r="G21" s="147">
        <f>'Skjema total MA'!F29</f>
        <v>28605602.015649192</v>
      </c>
      <c r="H21" s="180">
        <f t="shared" si="2"/>
        <v>1.8</v>
      </c>
      <c r="I21" s="136"/>
      <c r="J21" s="147">
        <f t="shared" si="0"/>
        <v>72119558.27720131</v>
      </c>
      <c r="K21" s="147">
        <f t="shared" si="0"/>
        <v>72611678.149726704</v>
      </c>
      <c r="L21" s="178">
        <f t="shared" si="3"/>
        <v>0.7</v>
      </c>
      <c r="M21" s="48"/>
    </row>
    <row r="22" spans="1:15" ht="18.75" x14ac:dyDescent="0.3">
      <c r="A22" s="77" t="s">
        <v>105</v>
      </c>
      <c r="B22" s="76">
        <f>'Skjema total MA'!B87</f>
        <v>403296727.56463414</v>
      </c>
      <c r="C22" s="76">
        <f>'Skjema total MA'!C87</f>
        <v>406587314.16967237</v>
      </c>
      <c r="D22" s="180">
        <f t="shared" si="4"/>
        <v>0.8</v>
      </c>
      <c r="E22" s="136"/>
      <c r="F22" s="147">
        <f>'Skjema total MA'!E87</f>
        <v>588018205.22291994</v>
      </c>
      <c r="G22" s="147">
        <f>'Skjema total MA'!F87</f>
        <v>665340565.92370605</v>
      </c>
      <c r="H22" s="180">
        <f t="shared" si="2"/>
        <v>13.1</v>
      </c>
      <c r="I22" s="136"/>
      <c r="J22" s="147">
        <f t="shared" si="0"/>
        <v>991314932.78755403</v>
      </c>
      <c r="K22" s="147">
        <f t="shared" si="0"/>
        <v>1071927880.0933784</v>
      </c>
      <c r="L22" s="178">
        <f t="shared" si="3"/>
        <v>8.1</v>
      </c>
      <c r="M22" s="48"/>
    </row>
    <row r="23" spans="1:15" ht="22.5" x14ac:dyDescent="0.3">
      <c r="A23" s="77" t="s">
        <v>110</v>
      </c>
      <c r="B23" s="76">
        <f>'Skjema total MA'!B89</f>
        <v>2341369.6937462203</v>
      </c>
      <c r="C23" s="76">
        <f>'Skjema total MA'!C89</f>
        <v>2369244.5086599998</v>
      </c>
      <c r="D23" s="180">
        <f t="shared" si="4"/>
        <v>1.2</v>
      </c>
      <c r="E23" s="136"/>
      <c r="F23" s="147">
        <f>'Skjema total MA'!E89</f>
        <v>579321404.25250983</v>
      </c>
      <c r="G23" s="147">
        <f>'Skjema total MA'!F89</f>
        <v>655108168.52648604</v>
      </c>
      <c r="H23" s="180">
        <f t="shared" si="2"/>
        <v>13.1</v>
      </c>
      <c r="I23" s="136"/>
      <c r="J23" s="147">
        <f t="shared" si="0"/>
        <v>581662773.94625604</v>
      </c>
      <c r="K23" s="147">
        <f t="shared" si="0"/>
        <v>657477413.035146</v>
      </c>
      <c r="L23" s="178">
        <f t="shared" si="3"/>
        <v>13</v>
      </c>
      <c r="M23" s="48"/>
    </row>
    <row r="24" spans="1:15" ht="18.75" x14ac:dyDescent="0.3">
      <c r="A24" s="145" t="s">
        <v>107</v>
      </c>
      <c r="B24" s="76">
        <f>'Skjema total MA'!B96+'Skjema total MA'!B97</f>
        <v>16811937.282910001</v>
      </c>
      <c r="C24" s="76">
        <f>'Skjema total MA'!C96+'Skjema total MA'!C97</f>
        <v>19970825.652520001</v>
      </c>
      <c r="D24" s="180">
        <f t="shared" si="4"/>
        <v>18.8</v>
      </c>
      <c r="E24" s="136"/>
      <c r="F24" s="147">
        <f>'Skjema total MA'!E96+'Skjema total MA'!E97</f>
        <v>8696800.9704100005</v>
      </c>
      <c r="G24" s="147">
        <f>'Skjema total MA'!F96+'Skjema total MA'!F97</f>
        <v>10232397.397220001</v>
      </c>
      <c r="H24" s="180">
        <f t="shared" si="2"/>
        <v>17.7</v>
      </c>
      <c r="I24" s="136"/>
      <c r="J24" s="147">
        <f t="shared" si="0"/>
        <v>25508738.253320001</v>
      </c>
      <c r="K24" s="147">
        <f t="shared" si="0"/>
        <v>30203223.049740002</v>
      </c>
      <c r="L24" s="178">
        <f t="shared" si="3"/>
        <v>18.399999999999999</v>
      </c>
      <c r="M24" s="48"/>
    </row>
    <row r="25" spans="1:15" ht="22.5" x14ac:dyDescent="0.3">
      <c r="A25" s="77" t="s">
        <v>313</v>
      </c>
      <c r="B25" s="76">
        <f>'Skjema total MA'!B135</f>
        <v>858986766.87336993</v>
      </c>
      <c r="C25" s="76">
        <f>'Skjema total MA'!C135</f>
        <v>920369575.27947998</v>
      </c>
      <c r="D25" s="180">
        <f t="shared" si="4"/>
        <v>7.1</v>
      </c>
      <c r="E25" s="136"/>
      <c r="F25" s="147">
        <f>'Skjema total MA'!E135</f>
        <v>2764463.4104599999</v>
      </c>
      <c r="G25" s="147">
        <f>'Skjema total MA'!F135</f>
        <v>2888738.0707899998</v>
      </c>
      <c r="H25" s="180">
        <f t="shared" si="2"/>
        <v>4.5</v>
      </c>
      <c r="I25" s="136"/>
      <c r="J25" s="147">
        <f t="shared" si="0"/>
        <v>861751230.28382993</v>
      </c>
      <c r="K25" s="147">
        <f t="shared" si="0"/>
        <v>923258313.35027003</v>
      </c>
      <c r="L25" s="178">
        <f t="shared" si="3"/>
        <v>7.1</v>
      </c>
      <c r="M25" s="48"/>
    </row>
    <row r="26" spans="1:15" ht="18.75" x14ac:dyDescent="0.3">
      <c r="A26" s="77" t="s">
        <v>108</v>
      </c>
      <c r="B26" s="76">
        <f>'Skjema total MA'!B37</f>
        <v>2634206.4802200003</v>
      </c>
      <c r="C26" s="76">
        <f>'Skjema total MA'!C37</f>
        <v>2445944.2662300002</v>
      </c>
      <c r="D26" s="180">
        <f t="shared" si="4"/>
        <v>-7.1</v>
      </c>
      <c r="E26" s="136"/>
      <c r="F26" s="147"/>
      <c r="G26" s="147"/>
      <c r="H26" s="180"/>
      <c r="I26" s="136"/>
      <c r="J26" s="147">
        <f t="shared" si="0"/>
        <v>2634206.4802200003</v>
      </c>
      <c r="K26" s="147">
        <f t="shared" si="0"/>
        <v>2445944.2662300002</v>
      </c>
      <c r="L26" s="178">
        <f t="shared" si="3"/>
        <v>-7.1</v>
      </c>
      <c r="M26" s="48"/>
    </row>
    <row r="27" spans="1:15" s="102" customFormat="1" ht="18.75" x14ac:dyDescent="0.3">
      <c r="A27" s="103" t="s">
        <v>111</v>
      </c>
      <c r="B27" s="79">
        <f>'Tabel 1.1'!G32</f>
        <v>1322466019.389344</v>
      </c>
      <c r="C27" s="149">
        <f>'Tabel 1.1'!H32</f>
        <v>1386062101.0420818</v>
      </c>
      <c r="D27" s="180">
        <f t="shared" si="4"/>
        <v>4.8</v>
      </c>
      <c r="E27" s="104"/>
      <c r="F27" s="149">
        <f>'Tabel 1.1'!G41</f>
        <v>709157806.47133994</v>
      </c>
      <c r="G27" s="149">
        <f>'Tabel 1.1'!H41</f>
        <v>791345096.05770779</v>
      </c>
      <c r="H27" s="180">
        <f t="shared" si="2"/>
        <v>11.6</v>
      </c>
      <c r="I27" s="104"/>
      <c r="J27" s="149">
        <f t="shared" si="0"/>
        <v>2031623825.8606839</v>
      </c>
      <c r="K27" s="149">
        <f t="shared" si="0"/>
        <v>2177407197.0997896</v>
      </c>
      <c r="L27" s="178">
        <f t="shared" si="3"/>
        <v>7.2</v>
      </c>
      <c r="M27" s="49"/>
      <c r="N27" s="101"/>
      <c r="O27" s="101"/>
    </row>
    <row r="28" spans="1:15" ht="18.75" x14ac:dyDescent="0.3">
      <c r="A28" s="103"/>
      <c r="B28" s="76"/>
      <c r="C28" s="147"/>
      <c r="D28" s="180"/>
      <c r="E28" s="136"/>
      <c r="F28" s="147"/>
      <c r="G28" s="147"/>
      <c r="H28" s="180"/>
      <c r="I28" s="136"/>
      <c r="J28" s="147">
        <f t="shared" si="0"/>
        <v>0</v>
      </c>
      <c r="K28" s="147">
        <f t="shared" si="0"/>
        <v>0</v>
      </c>
      <c r="L28" s="178"/>
      <c r="M28" s="48"/>
    </row>
    <row r="29" spans="1:15" ht="22.5" x14ac:dyDescent="0.3">
      <c r="A29" s="144" t="s">
        <v>315</v>
      </c>
      <c r="B29" s="151"/>
      <c r="C29" s="154"/>
      <c r="D29" s="147"/>
      <c r="E29" s="136"/>
      <c r="F29" s="147"/>
      <c r="G29" s="147"/>
      <c r="H29" s="180"/>
      <c r="I29" s="136"/>
      <c r="J29" s="147"/>
      <c r="K29" s="147"/>
      <c r="L29" s="178"/>
      <c r="M29" s="48"/>
    </row>
    <row r="30" spans="1:15" ht="18.75" x14ac:dyDescent="0.3">
      <c r="A30" s="77" t="s">
        <v>102</v>
      </c>
      <c r="B30" s="76"/>
      <c r="C30" s="76"/>
      <c r="D30" s="180"/>
      <c r="E30" s="136"/>
      <c r="F30" s="147">
        <f>'Skjema total MA'!E11</f>
        <v>104411.79521000001</v>
      </c>
      <c r="G30" s="147">
        <f>'Skjema total MA'!F11</f>
        <v>162532.77116999999</v>
      </c>
      <c r="H30" s="180">
        <f t="shared" si="2"/>
        <v>55.7</v>
      </c>
      <c r="I30" s="136"/>
      <c r="J30" s="147">
        <f t="shared" si="0"/>
        <v>104411.79521000001</v>
      </c>
      <c r="K30" s="147">
        <f t="shared" si="0"/>
        <v>162532.77116999999</v>
      </c>
      <c r="L30" s="178">
        <f t="shared" si="3"/>
        <v>55.7</v>
      </c>
      <c r="M30" s="48"/>
    </row>
    <row r="31" spans="1:15" ht="18.75" x14ac:dyDescent="0.3">
      <c r="A31" s="77" t="s">
        <v>103</v>
      </c>
      <c r="B31" s="76">
        <f>'Skjema total MA'!B34</f>
        <v>5321.1620000000003</v>
      </c>
      <c r="C31" s="76">
        <f>'Skjema total MA'!C34</f>
        <v>5797.2493300000006</v>
      </c>
      <c r="D31" s="180">
        <f t="shared" ref="D31:D38" si="5">IF(B31=0, "    ---- ", IF(ABS(ROUND(100/B31*C31-100,1))&lt;999,ROUND(100/B31*C31-100,1),IF(ROUND(100/B31*C31-100,1)&gt;999,999,-999)))</f>
        <v>8.9</v>
      </c>
      <c r="E31" s="136"/>
      <c r="F31" s="147">
        <f>'Skjema total MA'!E34</f>
        <v>-10032.075399999998</v>
      </c>
      <c r="G31" s="147">
        <f>'Skjema total MA'!F34</f>
        <v>-104367.89246</v>
      </c>
      <c r="H31" s="180">
        <f t="shared" si="2"/>
        <v>940.3</v>
      </c>
      <c r="I31" s="136"/>
      <c r="J31" s="147">
        <f t="shared" si="0"/>
        <v>-4710.9133999999976</v>
      </c>
      <c r="K31" s="147">
        <f t="shared" si="0"/>
        <v>-98570.643129999997</v>
      </c>
      <c r="L31" s="178">
        <f t="shared" si="3"/>
        <v>999</v>
      </c>
      <c r="M31" s="48"/>
    </row>
    <row r="32" spans="1:15" ht="18.75" x14ac:dyDescent="0.3">
      <c r="A32" s="77" t="s">
        <v>105</v>
      </c>
      <c r="B32" s="76">
        <f>'Skjema total MA'!B111</f>
        <v>221664.91381</v>
      </c>
      <c r="C32" s="76">
        <f>'Skjema total MA'!C111</f>
        <v>1135493.62424</v>
      </c>
      <c r="D32" s="180">
        <f t="shared" si="5"/>
        <v>412.3</v>
      </c>
      <c r="E32" s="136"/>
      <c r="F32" s="147">
        <f>'Skjema total MA'!E111</f>
        <v>13895686.955789998</v>
      </c>
      <c r="G32" s="147">
        <f>'Skjema total MA'!F111</f>
        <v>19977944.200959999</v>
      </c>
      <c r="H32" s="180">
        <f t="shared" si="2"/>
        <v>43.8</v>
      </c>
      <c r="I32" s="136"/>
      <c r="J32" s="147">
        <f t="shared" si="0"/>
        <v>14117351.869599998</v>
      </c>
      <c r="K32" s="147">
        <f t="shared" si="0"/>
        <v>21113437.825199999</v>
      </c>
      <c r="L32" s="178">
        <f t="shared" si="3"/>
        <v>49.6</v>
      </c>
      <c r="M32" s="48"/>
    </row>
    <row r="33" spans="1:15" ht="22.5" x14ac:dyDescent="0.3">
      <c r="A33" s="77" t="s">
        <v>313</v>
      </c>
      <c r="B33" s="76">
        <f>'Skjema total MA'!B136</f>
        <v>2390808.298</v>
      </c>
      <c r="C33" s="76">
        <f>'Skjema total MA'!C136</f>
        <v>3241225.6810000003</v>
      </c>
      <c r="D33" s="180">
        <f t="shared" si="5"/>
        <v>35.6</v>
      </c>
      <c r="E33" s="136"/>
      <c r="F33" s="147">
        <f>'Skjema total MA'!E136</f>
        <v>-182.05500000000001</v>
      </c>
      <c r="G33" s="147">
        <f>'Skjema total MA'!F136</f>
        <v>0</v>
      </c>
      <c r="H33" s="180">
        <f t="shared" si="2"/>
        <v>-100</v>
      </c>
      <c r="I33" s="136"/>
      <c r="J33" s="147">
        <f t="shared" si="0"/>
        <v>2390626.2429999998</v>
      </c>
      <c r="K33" s="147">
        <f t="shared" si="0"/>
        <v>3241225.6810000003</v>
      </c>
      <c r="L33" s="178">
        <f t="shared" si="3"/>
        <v>35.6</v>
      </c>
      <c r="M33" s="48"/>
    </row>
    <row r="34" spans="1:15" ht="18.75" x14ac:dyDescent="0.3">
      <c r="A34" s="77" t="s">
        <v>108</v>
      </c>
      <c r="B34" s="76"/>
      <c r="C34" s="76"/>
      <c r="D34" s="180"/>
      <c r="E34" s="136"/>
      <c r="F34" s="147"/>
      <c r="G34" s="147"/>
      <c r="H34" s="180"/>
      <c r="I34" s="136"/>
      <c r="J34" s="147"/>
      <c r="K34" s="147"/>
      <c r="L34" s="178"/>
      <c r="M34" s="48"/>
    </row>
    <row r="35" spans="1:15" s="102" customFormat="1" ht="18.75" x14ac:dyDescent="0.3">
      <c r="A35" s="103" t="s">
        <v>112</v>
      </c>
      <c r="B35" s="79">
        <f>SUM(B30:B34)</f>
        <v>2617794.3738099998</v>
      </c>
      <c r="C35" s="149">
        <f>SUM(C30:C34)</f>
        <v>4382516.5545700006</v>
      </c>
      <c r="D35" s="180">
        <f t="shared" si="5"/>
        <v>67.400000000000006</v>
      </c>
      <c r="E35" s="104"/>
      <c r="F35" s="149">
        <f>SUM(F30:F34)</f>
        <v>13989884.620599998</v>
      </c>
      <c r="G35" s="149">
        <f>SUM(G30:G34)</f>
        <v>20036109.079670001</v>
      </c>
      <c r="H35" s="180">
        <f t="shared" si="2"/>
        <v>43.2</v>
      </c>
      <c r="I35" s="104"/>
      <c r="J35" s="149">
        <f t="shared" si="0"/>
        <v>16607678.994409997</v>
      </c>
      <c r="K35" s="149">
        <f t="shared" si="0"/>
        <v>24418625.634240001</v>
      </c>
      <c r="L35" s="178">
        <f t="shared" si="3"/>
        <v>47</v>
      </c>
      <c r="M35" s="49"/>
    </row>
    <row r="36" spans="1:15" ht="18.75" x14ac:dyDescent="0.3">
      <c r="A36" s="103"/>
      <c r="B36" s="79"/>
      <c r="C36" s="149"/>
      <c r="D36" s="180"/>
      <c r="E36" s="104"/>
      <c r="F36" s="149"/>
      <c r="G36" s="149"/>
      <c r="H36" s="180"/>
      <c r="I36" s="104"/>
      <c r="J36" s="147"/>
      <c r="K36" s="147"/>
      <c r="L36" s="178"/>
      <c r="M36" s="48"/>
    </row>
    <row r="37" spans="1:15" ht="22.5" x14ac:dyDescent="0.3">
      <c r="A37" s="103" t="s">
        <v>316</v>
      </c>
      <c r="B37" s="79"/>
      <c r="C37" s="149"/>
      <c r="D37" s="147"/>
      <c r="E37" s="104"/>
      <c r="F37" s="149"/>
      <c r="G37" s="149"/>
      <c r="H37" s="180"/>
      <c r="I37" s="104"/>
      <c r="J37" s="147"/>
      <c r="K37" s="147"/>
      <c r="L37" s="178"/>
      <c r="M37" s="48"/>
    </row>
    <row r="38" spans="1:15" s="102" customFormat="1" ht="18.75" x14ac:dyDescent="0.3">
      <c r="A38" s="103" t="s">
        <v>104</v>
      </c>
      <c r="B38" s="79">
        <f>'Skjema total MA'!B53</f>
        <v>102107.47899999999</v>
      </c>
      <c r="C38" s="79">
        <f>'Skjema total MA'!C53</f>
        <v>174311.73699999999</v>
      </c>
      <c r="D38" s="180">
        <f t="shared" si="5"/>
        <v>70.7</v>
      </c>
      <c r="E38" s="104"/>
      <c r="F38" s="149"/>
      <c r="G38" s="149"/>
      <c r="H38" s="180"/>
      <c r="I38" s="104"/>
      <c r="J38" s="149">
        <f t="shared" si="0"/>
        <v>102107.47899999999</v>
      </c>
      <c r="K38" s="149">
        <f t="shared" si="0"/>
        <v>174311.73699999999</v>
      </c>
      <c r="L38" s="178">
        <f t="shared" si="3"/>
        <v>70.7</v>
      </c>
      <c r="M38" s="49"/>
    </row>
    <row r="39" spans="1:15" ht="18.75" x14ac:dyDescent="0.3">
      <c r="A39" s="103"/>
      <c r="B39" s="79"/>
      <c r="C39" s="149"/>
      <c r="D39" s="147"/>
      <c r="E39" s="104"/>
      <c r="F39" s="149"/>
      <c r="G39" s="149"/>
      <c r="H39" s="180"/>
      <c r="I39" s="104"/>
      <c r="J39" s="147"/>
      <c r="K39" s="147"/>
      <c r="L39" s="178"/>
      <c r="M39" s="48"/>
    </row>
    <row r="40" spans="1:15" ht="22.5" x14ac:dyDescent="0.3">
      <c r="A40" s="144" t="s">
        <v>317</v>
      </c>
      <c r="B40" s="151"/>
      <c r="C40" s="154"/>
      <c r="D40" s="147"/>
      <c r="E40" s="136"/>
      <c r="F40" s="147"/>
      <c r="G40" s="147"/>
      <c r="H40" s="180"/>
      <c r="I40" s="136"/>
      <c r="J40" s="147"/>
      <c r="K40" s="147"/>
      <c r="L40" s="178"/>
      <c r="M40" s="48"/>
    </row>
    <row r="41" spans="1:15" ht="18.75" x14ac:dyDescent="0.3">
      <c r="A41" s="77" t="s">
        <v>102</v>
      </c>
      <c r="B41" s="76"/>
      <c r="C41" s="76"/>
      <c r="D41" s="180"/>
      <c r="E41" s="136"/>
      <c r="F41" s="147">
        <f>'Skjema total MA'!E12</f>
        <v>107010.88516999999</v>
      </c>
      <c r="G41" s="147">
        <f>'Skjema total MA'!F12</f>
        <v>217906.62864000001</v>
      </c>
      <c r="H41" s="180">
        <f t="shared" si="2"/>
        <v>103.6</v>
      </c>
      <c r="I41" s="136"/>
      <c r="J41" s="147">
        <f t="shared" si="0"/>
        <v>107010.88516999999</v>
      </c>
      <c r="K41" s="147">
        <f t="shared" si="0"/>
        <v>217906.62864000001</v>
      </c>
      <c r="L41" s="178">
        <f t="shared" si="3"/>
        <v>103.6</v>
      </c>
      <c r="M41" s="48"/>
    </row>
    <row r="42" spans="1:15" ht="18.75" x14ac:dyDescent="0.3">
      <c r="A42" s="77" t="s">
        <v>103</v>
      </c>
      <c r="B42" s="76">
        <f>'Skjema total MA'!B35</f>
        <v>-57567.2425</v>
      </c>
      <c r="C42" s="76">
        <f>'Skjema total MA'!C35</f>
        <v>-149053.81912</v>
      </c>
      <c r="D42" s="180">
        <f t="shared" ref="D42:D46" si="6">IF(B42=0, "    ---- ", IF(ABS(ROUND(100/B42*C42-100,1))&lt;999,ROUND(100/B42*C42-100,1),IF(ROUND(100/B42*C42-100,1)&gt;999,999,-999)))</f>
        <v>158.9</v>
      </c>
      <c r="E42" s="136"/>
      <c r="F42" s="147">
        <f>'Skjema total MA'!E35</f>
        <v>58871.71516</v>
      </c>
      <c r="G42" s="147">
        <f>'Skjema total MA'!F35</f>
        <v>68852.985529999991</v>
      </c>
      <c r="H42" s="180">
        <f t="shared" si="2"/>
        <v>17</v>
      </c>
      <c r="I42" s="136"/>
      <c r="J42" s="147">
        <f t="shared" si="0"/>
        <v>1304.4726599999995</v>
      </c>
      <c r="K42" s="147">
        <f t="shared" si="0"/>
        <v>-80200.833590000009</v>
      </c>
      <c r="L42" s="178">
        <f t="shared" si="3"/>
        <v>-999</v>
      </c>
      <c r="M42" s="48"/>
    </row>
    <row r="43" spans="1:15" ht="18.75" x14ac:dyDescent="0.3">
      <c r="A43" s="77" t="s">
        <v>105</v>
      </c>
      <c r="B43" s="76">
        <f>'Skjema total MA'!B119</f>
        <v>104825.06533000006</v>
      </c>
      <c r="C43" s="76">
        <f>'Skjema total MA'!C119</f>
        <v>215315.51566</v>
      </c>
      <c r="D43" s="180">
        <f t="shared" si="6"/>
        <v>105.4</v>
      </c>
      <c r="E43" s="136"/>
      <c r="F43" s="147">
        <f>'Skjema total MA'!E119</f>
        <v>15328502.457100002</v>
      </c>
      <c r="G43" s="147">
        <f>'Skjema total MA'!F119</f>
        <v>21023794.571490001</v>
      </c>
      <c r="H43" s="180">
        <f t="shared" si="2"/>
        <v>37.200000000000003</v>
      </c>
      <c r="I43" s="136"/>
      <c r="J43" s="147">
        <f t="shared" si="0"/>
        <v>15433327.522430003</v>
      </c>
      <c r="K43" s="147">
        <f t="shared" si="0"/>
        <v>21239110.08715</v>
      </c>
      <c r="L43" s="178">
        <f t="shared" si="3"/>
        <v>37.6</v>
      </c>
      <c r="M43" s="48"/>
    </row>
    <row r="44" spans="1:15" ht="22.5" x14ac:dyDescent="0.3">
      <c r="A44" s="77" t="s">
        <v>313</v>
      </c>
      <c r="B44" s="76">
        <f>'Skjema total MA'!B137</f>
        <v>2455531.2259999998</v>
      </c>
      <c r="C44" s="76">
        <f>'Skjema total MA'!C137</f>
        <v>4289073.5640000002</v>
      </c>
      <c r="D44" s="180">
        <f t="shared" si="6"/>
        <v>74.7</v>
      </c>
      <c r="E44" s="136"/>
      <c r="F44" s="147"/>
      <c r="G44" s="147"/>
      <c r="H44" s="180"/>
      <c r="I44" s="136"/>
      <c r="J44" s="147">
        <f t="shared" si="0"/>
        <v>2455531.2259999998</v>
      </c>
      <c r="K44" s="147">
        <f t="shared" si="0"/>
        <v>4289073.5640000002</v>
      </c>
      <c r="L44" s="178">
        <f t="shared" si="3"/>
        <v>74.7</v>
      </c>
      <c r="M44" s="48"/>
    </row>
    <row r="45" spans="1:15" ht="18.75" x14ac:dyDescent="0.3">
      <c r="A45" s="77" t="s">
        <v>108</v>
      </c>
      <c r="B45" s="76">
        <f>'Skjema total MA'!B39</f>
        <v>0</v>
      </c>
      <c r="C45" s="76">
        <f>'Skjema total MA'!C39</f>
        <v>1</v>
      </c>
      <c r="D45" s="180" t="str">
        <f t="shared" si="6"/>
        <v xml:space="preserve">    ---- </v>
      </c>
      <c r="E45" s="136"/>
      <c r="F45" s="147"/>
      <c r="G45" s="147"/>
      <c r="H45" s="180"/>
      <c r="I45" s="136"/>
      <c r="J45" s="147">
        <f t="shared" si="0"/>
        <v>0</v>
      </c>
      <c r="K45" s="147">
        <f t="shared" si="0"/>
        <v>1</v>
      </c>
      <c r="L45" s="178" t="str">
        <f t="shared" si="3"/>
        <v xml:space="preserve">    ---- </v>
      </c>
      <c r="M45" s="48"/>
    </row>
    <row r="46" spans="1:15" s="102" customFormat="1" ht="18.75" x14ac:dyDescent="0.3">
      <c r="A46" s="103" t="s">
        <v>113</v>
      </c>
      <c r="B46" s="79">
        <f>SUM(B41:B45)</f>
        <v>2502789.0488299998</v>
      </c>
      <c r="C46" s="149">
        <f>SUM(C41:C45)</f>
        <v>4355336.2605400002</v>
      </c>
      <c r="D46" s="180">
        <f t="shared" si="6"/>
        <v>74</v>
      </c>
      <c r="E46" s="104"/>
      <c r="F46" s="149">
        <f>SUM(F41:F45)</f>
        <v>15494385.057430003</v>
      </c>
      <c r="G46" s="149">
        <f>SUM(G41:G45)</f>
        <v>21310554.185660001</v>
      </c>
      <c r="H46" s="180">
        <f t="shared" si="2"/>
        <v>37.5</v>
      </c>
      <c r="I46" s="104"/>
      <c r="J46" s="149">
        <f t="shared" si="0"/>
        <v>17997174.106260002</v>
      </c>
      <c r="K46" s="149">
        <f t="shared" si="0"/>
        <v>25665890.446200002</v>
      </c>
      <c r="L46" s="178">
        <f t="shared" si="3"/>
        <v>42.6</v>
      </c>
      <c r="M46" s="49"/>
      <c r="N46" s="101"/>
      <c r="O46" s="101"/>
    </row>
    <row r="47" spans="1:15" ht="18.75" x14ac:dyDescent="0.3">
      <c r="A47" s="103"/>
      <c r="B47" s="79"/>
      <c r="C47" s="149"/>
      <c r="D47" s="147"/>
      <c r="E47" s="104"/>
      <c r="F47" s="149"/>
      <c r="G47" s="149"/>
      <c r="H47" s="180"/>
      <c r="I47" s="104"/>
      <c r="J47" s="147"/>
      <c r="K47" s="147"/>
      <c r="L47" s="178"/>
      <c r="M47" s="48"/>
    </row>
    <row r="48" spans="1:15" ht="22.5" x14ac:dyDescent="0.3">
      <c r="A48" s="103" t="s">
        <v>318</v>
      </c>
      <c r="B48" s="79"/>
      <c r="C48" s="149"/>
      <c r="D48" s="147"/>
      <c r="E48" s="104"/>
      <c r="F48" s="149"/>
      <c r="G48" s="149"/>
      <c r="H48" s="180"/>
      <c r="I48" s="104"/>
      <c r="J48" s="147"/>
      <c r="K48" s="147"/>
      <c r="L48" s="178"/>
      <c r="M48" s="48"/>
    </row>
    <row r="49" spans="1:15" s="102" customFormat="1" ht="18.75" x14ac:dyDescent="0.3">
      <c r="A49" s="103" t="s">
        <v>104</v>
      </c>
      <c r="B49" s="79">
        <f>'Skjema total MA'!B56</f>
        <v>96012.878999999986</v>
      </c>
      <c r="C49" s="79">
        <f>'Skjema total MA'!C56</f>
        <v>32730.544000000002</v>
      </c>
      <c r="D49" s="180">
        <f t="shared" ref="D49" si="7">IF(B49=0, "    ---- ", IF(ABS(ROUND(100/B49*C49-100,1))&lt;999,ROUND(100/B49*C49-100,1),IF(ROUND(100/B49*C49-100,1)&gt;999,999,-999)))</f>
        <v>-65.900000000000006</v>
      </c>
      <c r="E49" s="104"/>
      <c r="F49" s="149"/>
      <c r="G49" s="149"/>
      <c r="H49" s="180"/>
      <c r="I49" s="104"/>
      <c r="J49" s="149">
        <f>SUM(B49+F49)</f>
        <v>96012.878999999986</v>
      </c>
      <c r="K49" s="149">
        <f>SUM(C49+G49)</f>
        <v>32730.544000000002</v>
      </c>
      <c r="L49" s="178">
        <f t="shared" si="3"/>
        <v>-65.900000000000006</v>
      </c>
      <c r="M49" s="49"/>
    </row>
    <row r="50" spans="1:15" ht="18.75" x14ac:dyDescent="0.3">
      <c r="A50" s="103"/>
      <c r="B50" s="76"/>
      <c r="C50" s="147"/>
      <c r="D50" s="147"/>
      <c r="E50" s="136"/>
      <c r="F50" s="147"/>
      <c r="G50" s="147"/>
      <c r="H50" s="180"/>
      <c r="I50" s="136"/>
      <c r="J50" s="147"/>
      <c r="K50" s="147"/>
      <c r="L50" s="178"/>
      <c r="M50" s="48"/>
    </row>
    <row r="51" spans="1:15" ht="21.75" x14ac:dyDescent="0.3">
      <c r="A51" s="144" t="s">
        <v>319</v>
      </c>
      <c r="B51" s="76"/>
      <c r="C51" s="147"/>
      <c r="D51" s="147"/>
      <c r="E51" s="136"/>
      <c r="F51" s="147"/>
      <c r="G51" s="147"/>
      <c r="H51" s="180"/>
      <c r="I51" s="136"/>
      <c r="J51" s="147"/>
      <c r="K51" s="147"/>
      <c r="L51" s="178"/>
      <c r="M51" s="48"/>
    </row>
    <row r="52" spans="1:15" ht="18.75" x14ac:dyDescent="0.3">
      <c r="A52" s="77" t="s">
        <v>102</v>
      </c>
      <c r="B52" s="76"/>
      <c r="C52" s="147"/>
      <c r="D52" s="180"/>
      <c r="E52" s="136"/>
      <c r="F52" s="147">
        <f>F30-F41</f>
        <v>-2599.089959999983</v>
      </c>
      <c r="G52" s="147">
        <f>G30-G41</f>
        <v>-55373.857470000017</v>
      </c>
      <c r="H52" s="180">
        <f t="shared" si="2"/>
        <v>999</v>
      </c>
      <c r="I52" s="136"/>
      <c r="J52" s="147">
        <f t="shared" si="0"/>
        <v>-2599.089959999983</v>
      </c>
      <c r="K52" s="147">
        <f t="shared" si="0"/>
        <v>-55373.857470000017</v>
      </c>
      <c r="L52" s="178">
        <f t="shared" si="3"/>
        <v>999</v>
      </c>
      <c r="M52" s="48"/>
    </row>
    <row r="53" spans="1:15" ht="18.75" x14ac:dyDescent="0.3">
      <c r="A53" s="77" t="s">
        <v>103</v>
      </c>
      <c r="B53" s="76">
        <f t="shared" ref="B53:C56" si="8">B31-B42</f>
        <v>62888.404500000004</v>
      </c>
      <c r="C53" s="147">
        <f t="shared" si="8"/>
        <v>154851.06844999999</v>
      </c>
      <c r="D53" s="180">
        <f t="shared" ref="D53:D60" si="9">IF(B53=0, "    ---- ", IF(ABS(ROUND(100/B53*C53-100,1))&lt;999,ROUND(100/B53*C53-100,1),IF(ROUND(100/B53*C53-100,1)&gt;999,999,-999)))</f>
        <v>146.19999999999999</v>
      </c>
      <c r="E53" s="136"/>
      <c r="F53" s="147">
        <f t="shared" ref="F53:G55" si="10">F31-F42</f>
        <v>-68903.790559999994</v>
      </c>
      <c r="G53" s="147">
        <f t="shared" si="10"/>
        <v>-173220.87799000001</v>
      </c>
      <c r="H53" s="180">
        <f t="shared" si="2"/>
        <v>151.4</v>
      </c>
      <c r="I53" s="136"/>
      <c r="J53" s="147">
        <f t="shared" si="0"/>
        <v>-6015.3860599999898</v>
      </c>
      <c r="K53" s="147">
        <f t="shared" si="0"/>
        <v>-18369.809540000017</v>
      </c>
      <c r="L53" s="178">
        <f t="shared" si="3"/>
        <v>205.4</v>
      </c>
      <c r="M53" s="48"/>
    </row>
    <row r="54" spans="1:15" ht="18.75" x14ac:dyDescent="0.3">
      <c r="A54" s="77" t="s">
        <v>105</v>
      </c>
      <c r="B54" s="76">
        <f t="shared" si="8"/>
        <v>116839.84847999994</v>
      </c>
      <c r="C54" s="147">
        <f t="shared" si="8"/>
        <v>920178.10858</v>
      </c>
      <c r="D54" s="180">
        <f t="shared" si="9"/>
        <v>687.6</v>
      </c>
      <c r="E54" s="136"/>
      <c r="F54" s="147">
        <f t="shared" si="10"/>
        <v>-1432815.5013100039</v>
      </c>
      <c r="G54" s="147">
        <f t="shared" si="10"/>
        <v>-1045850.3705300018</v>
      </c>
      <c r="H54" s="180">
        <f t="shared" si="2"/>
        <v>-27</v>
      </c>
      <c r="I54" s="136"/>
      <c r="J54" s="147">
        <f t="shared" si="0"/>
        <v>-1315975.652830004</v>
      </c>
      <c r="K54" s="147">
        <f t="shared" si="0"/>
        <v>-125672.26195000182</v>
      </c>
      <c r="L54" s="178">
        <f t="shared" si="3"/>
        <v>-90.5</v>
      </c>
      <c r="M54" s="48"/>
    </row>
    <row r="55" spans="1:15" ht="22.5" x14ac:dyDescent="0.3">
      <c r="A55" s="77" t="s">
        <v>313</v>
      </c>
      <c r="B55" s="76">
        <f t="shared" si="8"/>
        <v>-64722.92799999984</v>
      </c>
      <c r="C55" s="147">
        <f t="shared" si="8"/>
        <v>-1047847.8829999999</v>
      </c>
      <c r="D55" s="180">
        <f t="shared" si="9"/>
        <v>999</v>
      </c>
      <c r="E55" s="136"/>
      <c r="F55" s="147">
        <f t="shared" si="10"/>
        <v>-182.05500000000001</v>
      </c>
      <c r="G55" s="147">
        <f t="shared" si="10"/>
        <v>0</v>
      </c>
      <c r="H55" s="180">
        <f t="shared" si="2"/>
        <v>-100</v>
      </c>
      <c r="I55" s="136"/>
      <c r="J55" s="147">
        <f t="shared" si="0"/>
        <v>-64904.98299999984</v>
      </c>
      <c r="K55" s="147">
        <f t="shared" si="0"/>
        <v>-1047847.8829999999</v>
      </c>
      <c r="L55" s="178">
        <f t="shared" si="3"/>
        <v>999</v>
      </c>
      <c r="M55" s="48"/>
    </row>
    <row r="56" spans="1:15" ht="18.75" x14ac:dyDescent="0.3">
      <c r="A56" s="77" t="s">
        <v>108</v>
      </c>
      <c r="B56" s="76">
        <f t="shared" si="8"/>
        <v>0</v>
      </c>
      <c r="C56" s="147">
        <f t="shared" si="8"/>
        <v>-1</v>
      </c>
      <c r="D56" s="180" t="str">
        <f t="shared" si="9"/>
        <v xml:space="preserve">    ---- </v>
      </c>
      <c r="E56" s="136"/>
      <c r="F56" s="147"/>
      <c r="G56" s="147"/>
      <c r="H56" s="180"/>
      <c r="I56" s="136"/>
      <c r="J56" s="147">
        <f t="shared" si="0"/>
        <v>0</v>
      </c>
      <c r="K56" s="147">
        <f t="shared" si="0"/>
        <v>-1</v>
      </c>
      <c r="L56" s="178" t="str">
        <f t="shared" si="3"/>
        <v xml:space="preserve">    ---- </v>
      </c>
      <c r="M56" s="48"/>
    </row>
    <row r="57" spans="1:15" s="102" customFormat="1" ht="18.75" x14ac:dyDescent="0.3">
      <c r="A57" s="103" t="s">
        <v>114</v>
      </c>
      <c r="B57" s="79">
        <f>SUM(B52:B56)</f>
        <v>115005.32498000009</v>
      </c>
      <c r="C57" s="149">
        <f>SUM(C52:C56)</f>
        <v>27180.29402999999</v>
      </c>
      <c r="D57" s="180">
        <f>IF(B57=0, "    ---- ", IF(ABS(ROUND(100/B57*C57-100,1))&lt;999,ROUND(100/B57*C57-100,1),IF(ROUND(100/B57*C57-100,1)&gt;999,999,-999)))</f>
        <v>-76.400000000000006</v>
      </c>
      <c r="E57" s="104"/>
      <c r="F57" s="149">
        <f>SUM(F52:F56)</f>
        <v>-1504500.4368300037</v>
      </c>
      <c r="G57" s="149">
        <f>SUM(G52:G56)</f>
        <v>-1274445.1059900019</v>
      </c>
      <c r="H57" s="180">
        <f t="shared" si="2"/>
        <v>-15.3</v>
      </c>
      <c r="I57" s="104"/>
      <c r="J57" s="149">
        <f t="shared" si="0"/>
        <v>-1389495.1118500037</v>
      </c>
      <c r="K57" s="147">
        <f t="shared" si="0"/>
        <v>-1247264.8119600019</v>
      </c>
      <c r="L57" s="178">
        <f t="shared" si="3"/>
        <v>-10.199999999999999</v>
      </c>
      <c r="M57" s="49"/>
      <c r="N57" s="101"/>
      <c r="O57" s="101"/>
    </row>
    <row r="58" spans="1:15" ht="18.75" x14ac:dyDescent="0.3">
      <c r="A58" s="103"/>
      <c r="B58" s="79"/>
      <c r="C58" s="149"/>
      <c r="D58" s="180"/>
      <c r="E58" s="104"/>
      <c r="F58" s="149"/>
      <c r="G58" s="149"/>
      <c r="H58" s="180"/>
      <c r="I58" s="104"/>
      <c r="J58" s="149"/>
      <c r="K58" s="147"/>
      <c r="L58" s="178"/>
      <c r="M58" s="48"/>
    </row>
    <row r="59" spans="1:15" ht="22.5" x14ac:dyDescent="0.3">
      <c r="A59" s="103" t="s">
        <v>320</v>
      </c>
      <c r="B59" s="79"/>
      <c r="C59" s="149"/>
      <c r="D59" s="180"/>
      <c r="E59" s="104"/>
      <c r="F59" s="149"/>
      <c r="G59" s="149"/>
      <c r="H59" s="180"/>
      <c r="I59" s="104"/>
      <c r="J59" s="149"/>
      <c r="K59" s="147"/>
      <c r="L59" s="178"/>
      <c r="M59" s="48"/>
    </row>
    <row r="60" spans="1:15" s="102" customFormat="1" ht="18.75" x14ac:dyDescent="0.3">
      <c r="A60" s="103" t="s">
        <v>104</v>
      </c>
      <c r="B60" s="79">
        <f>B38-B49</f>
        <v>6094.6000000000058</v>
      </c>
      <c r="C60" s="149">
        <f>C38-C49</f>
        <v>141581.193</v>
      </c>
      <c r="D60" s="180">
        <f t="shared" si="9"/>
        <v>999</v>
      </c>
      <c r="E60" s="104"/>
      <c r="F60" s="149">
        <f>F38-F49</f>
        <v>0</v>
      </c>
      <c r="G60" s="149">
        <f>G38-G49</f>
        <v>0</v>
      </c>
      <c r="H60" s="180"/>
      <c r="I60" s="104"/>
      <c r="J60" s="149">
        <f t="shared" si="0"/>
        <v>6094.6000000000058</v>
      </c>
      <c r="K60" s="147">
        <f t="shared" si="0"/>
        <v>141581.193</v>
      </c>
      <c r="L60" s="178">
        <f t="shared" si="3"/>
        <v>999</v>
      </c>
      <c r="M60" s="49"/>
    </row>
    <row r="61" spans="1:15" s="102" customFormat="1" ht="18.75" x14ac:dyDescent="0.3">
      <c r="A61" s="146"/>
      <c r="B61" s="83"/>
      <c r="C61" s="150"/>
      <c r="D61" s="155"/>
      <c r="E61" s="104"/>
      <c r="F61" s="150"/>
      <c r="G61" s="150"/>
      <c r="H61" s="155"/>
      <c r="I61" s="104"/>
      <c r="J61" s="155"/>
      <c r="K61" s="155"/>
      <c r="L61" s="155"/>
      <c r="M61" s="49"/>
    </row>
    <row r="62" spans="1:15" ht="18.75" x14ac:dyDescent="0.3">
      <c r="A62" s="48" t="s">
        <v>115</v>
      </c>
      <c r="C62" s="51"/>
      <c r="D62" s="51"/>
      <c r="E62" s="51"/>
      <c r="F62" s="51"/>
      <c r="G62" s="48"/>
      <c r="H62" s="48"/>
      <c r="I62" s="48"/>
      <c r="J62" s="48"/>
      <c r="K62" s="48"/>
      <c r="L62" s="48"/>
      <c r="M62" s="48"/>
    </row>
    <row r="63" spans="1:15" ht="18.75" x14ac:dyDescent="0.3">
      <c r="A63" s="48" t="s">
        <v>116</v>
      </c>
      <c r="C63" s="51"/>
      <c r="D63" s="51"/>
      <c r="E63" s="51"/>
      <c r="F63" s="51"/>
      <c r="G63" s="48"/>
      <c r="H63" s="48"/>
      <c r="I63" s="48"/>
      <c r="J63" s="48"/>
      <c r="K63" s="48"/>
      <c r="L63" s="48"/>
      <c r="M63" s="48"/>
    </row>
    <row r="64" spans="1:15" ht="18.75" x14ac:dyDescent="0.3">
      <c r="A64" s="48" t="s">
        <v>95</v>
      </c>
      <c r="B64" s="48"/>
      <c r="C64" s="48"/>
      <c r="D64" s="48"/>
      <c r="E64" s="48"/>
      <c r="F64" s="48"/>
      <c r="G64" s="48"/>
      <c r="H64" s="48"/>
      <c r="I64" s="48"/>
      <c r="J64" s="48"/>
      <c r="K64" s="48"/>
      <c r="L64" s="48"/>
      <c r="M64" s="48"/>
    </row>
    <row r="65" spans="1:13" ht="18.75" x14ac:dyDescent="0.3">
      <c r="A65" s="48"/>
      <c r="C65" s="48"/>
      <c r="D65" s="48"/>
      <c r="E65" s="48"/>
      <c r="F65" s="48"/>
      <c r="G65" s="48"/>
      <c r="H65" s="48"/>
      <c r="I65" s="48"/>
      <c r="J65" s="48"/>
      <c r="K65" s="48"/>
      <c r="L65" s="48"/>
      <c r="M65" s="48"/>
    </row>
    <row r="66" spans="1:13" ht="18.75" x14ac:dyDescent="0.3">
      <c r="A66" s="48"/>
      <c r="B66" s="48"/>
      <c r="C66" s="48"/>
      <c r="D66" s="48"/>
      <c r="E66" s="48"/>
      <c r="F66" s="48"/>
      <c r="G66" s="48"/>
      <c r="H66" s="48"/>
      <c r="I66" s="48"/>
      <c r="J66" s="48"/>
      <c r="K66" s="48"/>
      <c r="L66" s="48"/>
      <c r="M66" s="48"/>
    </row>
    <row r="67" spans="1:13" ht="18.75" x14ac:dyDescent="0.3">
      <c r="A67" s="48"/>
      <c r="B67" s="48"/>
      <c r="C67" s="48"/>
      <c r="D67" s="48"/>
      <c r="E67" s="48"/>
      <c r="F67" s="48"/>
      <c r="G67" s="48"/>
      <c r="H67" s="48"/>
      <c r="I67" s="48"/>
      <c r="J67" s="48"/>
      <c r="K67" s="48"/>
      <c r="L67" s="48"/>
      <c r="M67" s="48"/>
    </row>
    <row r="68" spans="1:13" ht="18.75" x14ac:dyDescent="0.3">
      <c r="A68" s="48"/>
      <c r="B68" s="48"/>
      <c r="C68" s="48"/>
      <c r="D68" s="48"/>
      <c r="E68" s="48"/>
      <c r="F68" s="48"/>
      <c r="G68" s="48"/>
      <c r="H68" s="48"/>
      <c r="I68" s="48"/>
      <c r="J68" s="48"/>
      <c r="K68" s="48"/>
      <c r="L68" s="48"/>
      <c r="M68" s="48"/>
    </row>
    <row r="69" spans="1:13" ht="18.75" x14ac:dyDescent="0.3">
      <c r="A69" s="48"/>
      <c r="B69" s="48"/>
      <c r="C69" s="48"/>
      <c r="D69" s="48"/>
      <c r="E69" s="48"/>
      <c r="F69" s="48"/>
      <c r="G69" s="48"/>
      <c r="H69" s="48"/>
      <c r="I69" s="48"/>
      <c r="J69" s="48"/>
      <c r="K69" s="48"/>
      <c r="L69" s="48"/>
      <c r="M69" s="48"/>
    </row>
    <row r="70" spans="1:13" ht="18.75" x14ac:dyDescent="0.3">
      <c r="A70" s="48"/>
      <c r="B70" s="48"/>
      <c r="C70" s="48"/>
      <c r="D70" s="48"/>
      <c r="E70" s="48"/>
      <c r="F70" s="48"/>
      <c r="G70" s="48"/>
      <c r="H70" s="48"/>
      <c r="I70" s="48"/>
      <c r="J70" s="48"/>
      <c r="K70" s="48"/>
      <c r="L70" s="48"/>
      <c r="M70" s="48"/>
    </row>
    <row r="71" spans="1:13" ht="18.75" x14ac:dyDescent="0.3">
      <c r="A71" s="48"/>
      <c r="B71" s="48"/>
      <c r="C71" s="48"/>
      <c r="D71" s="48"/>
      <c r="E71" s="48"/>
      <c r="F71" s="48"/>
      <c r="G71" s="48"/>
      <c r="H71" s="48"/>
      <c r="I71" s="48"/>
      <c r="J71" s="48"/>
      <c r="K71" s="48"/>
      <c r="L71" s="48"/>
      <c r="M71" s="48"/>
    </row>
    <row r="72" spans="1:13" ht="18.75" x14ac:dyDescent="0.3">
      <c r="A72" s="48"/>
      <c r="B72" s="48"/>
      <c r="C72" s="48"/>
      <c r="D72" s="48"/>
      <c r="E72" s="48"/>
      <c r="F72" s="48"/>
      <c r="G72" s="48"/>
      <c r="H72" s="48"/>
      <c r="I72" s="48"/>
      <c r="J72" s="48"/>
      <c r="K72" s="48"/>
      <c r="L72" s="48"/>
      <c r="M72" s="48"/>
    </row>
    <row r="73" spans="1:13" ht="18.75" x14ac:dyDescent="0.3">
      <c r="A73" s="48"/>
      <c r="B73" s="48"/>
      <c r="C73" s="48"/>
      <c r="D73" s="48"/>
      <c r="E73" s="48"/>
      <c r="F73" s="48"/>
      <c r="G73" s="48"/>
      <c r="H73" s="48"/>
      <c r="I73" s="48"/>
      <c r="J73" s="48"/>
      <c r="K73" s="48"/>
      <c r="L73" s="48"/>
      <c r="M73" s="48"/>
    </row>
    <row r="74" spans="1:13" ht="18.75" x14ac:dyDescent="0.3">
      <c r="A74" s="48"/>
      <c r="B74" s="48"/>
      <c r="C74" s="48"/>
      <c r="D74" s="48"/>
      <c r="E74" s="48"/>
      <c r="F74" s="48"/>
      <c r="G74" s="48"/>
      <c r="H74" s="48"/>
      <c r="I74" s="48"/>
      <c r="J74" s="48"/>
      <c r="K74" s="48"/>
      <c r="L74" s="48"/>
      <c r="M74" s="48"/>
    </row>
    <row r="75" spans="1:13" ht="18.75" x14ac:dyDescent="0.3">
      <c r="A75" s="48"/>
      <c r="B75" s="48"/>
      <c r="C75" s="48"/>
      <c r="D75" s="48"/>
      <c r="E75" s="48"/>
      <c r="F75" s="48"/>
      <c r="G75" s="48"/>
      <c r="H75" s="48"/>
      <c r="I75" s="48"/>
      <c r="J75" s="48"/>
      <c r="K75" s="48"/>
      <c r="L75" s="48"/>
      <c r="M75" s="48"/>
    </row>
    <row r="76" spans="1:13" ht="18.75" x14ac:dyDescent="0.3">
      <c r="A76" s="48"/>
      <c r="B76" s="48"/>
      <c r="C76" s="48"/>
      <c r="D76" s="48"/>
      <c r="E76" s="48"/>
      <c r="F76" s="48"/>
      <c r="G76" s="48"/>
      <c r="H76" s="48"/>
      <c r="I76" s="48"/>
      <c r="J76" s="48"/>
      <c r="K76" s="48"/>
      <c r="L76" s="48"/>
      <c r="M76" s="48"/>
    </row>
    <row r="77" spans="1:13" ht="18.75" x14ac:dyDescent="0.3">
      <c r="A77" s="48"/>
      <c r="B77" s="48"/>
      <c r="C77" s="48"/>
      <c r="D77" s="48"/>
      <c r="E77" s="48"/>
      <c r="F77" s="48"/>
      <c r="G77" s="48"/>
      <c r="H77" s="48"/>
      <c r="I77" s="48"/>
      <c r="J77" s="48"/>
      <c r="K77" s="48"/>
      <c r="L77" s="48"/>
      <c r="M77" s="48"/>
    </row>
    <row r="78" spans="1:13" ht="18.75" x14ac:dyDescent="0.3">
      <c r="A78" s="48"/>
      <c r="B78" s="48"/>
      <c r="C78" s="48"/>
      <c r="D78" s="48"/>
      <c r="E78" s="48"/>
      <c r="F78" s="48"/>
      <c r="G78" s="48"/>
      <c r="H78" s="48"/>
      <c r="I78" s="48"/>
      <c r="J78" s="48"/>
      <c r="K78" s="48"/>
      <c r="L78" s="48"/>
      <c r="M78" s="48"/>
    </row>
    <row r="79" spans="1:13" ht="18.75" x14ac:dyDescent="0.3">
      <c r="A79" s="48"/>
      <c r="B79" s="48"/>
      <c r="C79" s="48"/>
      <c r="D79" s="48"/>
      <c r="E79" s="48"/>
      <c r="F79" s="48"/>
      <c r="G79" s="48"/>
      <c r="H79" s="48"/>
      <c r="I79" s="48"/>
      <c r="J79" s="48"/>
      <c r="K79" s="48"/>
      <c r="L79" s="48"/>
      <c r="M79" s="48"/>
    </row>
    <row r="80" spans="1:13" ht="18.75" x14ac:dyDescent="0.3">
      <c r="A80" s="48"/>
      <c r="B80" s="48"/>
      <c r="C80" s="48"/>
      <c r="D80" s="48"/>
      <c r="E80" s="48"/>
      <c r="F80" s="48"/>
      <c r="G80" s="48"/>
      <c r="H80" s="48"/>
      <c r="I80" s="48"/>
      <c r="J80" s="48"/>
      <c r="K80" s="48"/>
      <c r="L80" s="48"/>
      <c r="M80" s="48"/>
    </row>
    <row r="81" spans="1:13" ht="18.75" x14ac:dyDescent="0.3">
      <c r="A81" s="48"/>
      <c r="B81" s="48"/>
      <c r="C81" s="48"/>
      <c r="D81" s="48"/>
      <c r="E81" s="48"/>
      <c r="F81" s="48"/>
      <c r="G81" s="48"/>
      <c r="H81" s="48"/>
      <c r="I81" s="48"/>
      <c r="J81" s="48"/>
      <c r="K81" s="48"/>
      <c r="L81" s="48"/>
      <c r="M81" s="48"/>
    </row>
    <row r="82" spans="1:13" ht="18.75" x14ac:dyDescent="0.3">
      <c r="A82" s="48"/>
      <c r="B82" s="48"/>
      <c r="C82" s="48"/>
      <c r="D82" s="48"/>
      <c r="E82" s="48"/>
      <c r="F82" s="48"/>
      <c r="G82" s="48"/>
      <c r="H82" s="48"/>
      <c r="I82" s="48"/>
      <c r="J82" s="48"/>
      <c r="K82" s="48"/>
      <c r="L82" s="48"/>
      <c r="M82" s="48"/>
    </row>
    <row r="83" spans="1:13" ht="18.75" x14ac:dyDescent="0.3">
      <c r="A83" s="48"/>
      <c r="B83" s="48"/>
      <c r="C83" s="48"/>
      <c r="D83" s="48"/>
      <c r="E83" s="48"/>
      <c r="F83" s="48"/>
      <c r="G83" s="48"/>
      <c r="H83" s="48"/>
      <c r="I83" s="48"/>
      <c r="J83" s="48"/>
      <c r="K83" s="48"/>
      <c r="L83" s="48"/>
      <c r="M83" s="48"/>
    </row>
    <row r="84" spans="1:13" ht="18.75" x14ac:dyDescent="0.3">
      <c r="A84" s="48"/>
      <c r="B84" s="48"/>
      <c r="C84" s="48"/>
      <c r="D84" s="48"/>
      <c r="E84" s="48"/>
      <c r="F84" s="48"/>
      <c r="G84" s="48"/>
      <c r="H84" s="48"/>
      <c r="I84" s="48"/>
      <c r="J84" s="48"/>
      <c r="K84" s="48"/>
      <c r="L84" s="48"/>
      <c r="M84" s="48"/>
    </row>
    <row r="85" spans="1:13" ht="18.75" x14ac:dyDescent="0.3">
      <c r="A85" s="48"/>
      <c r="B85" s="48"/>
      <c r="C85" s="48"/>
      <c r="D85" s="48"/>
      <c r="E85" s="48"/>
      <c r="F85" s="48"/>
      <c r="G85" s="48"/>
      <c r="H85" s="48"/>
      <c r="I85" s="48"/>
      <c r="J85" s="48"/>
      <c r="K85" s="48"/>
      <c r="L85" s="48"/>
      <c r="M85" s="48"/>
    </row>
    <row r="86" spans="1:13" ht="18.75" x14ac:dyDescent="0.3">
      <c r="A86" s="48"/>
      <c r="B86" s="48"/>
      <c r="C86" s="48"/>
      <c r="D86" s="48"/>
      <c r="E86" s="48"/>
      <c r="F86" s="48"/>
      <c r="G86" s="48"/>
      <c r="H86" s="48"/>
      <c r="I86" s="48"/>
      <c r="J86" s="48"/>
      <c r="K86" s="48"/>
      <c r="L86" s="48"/>
      <c r="M86" s="48"/>
    </row>
    <row r="87" spans="1:13" ht="18.75" x14ac:dyDescent="0.3">
      <c r="A87" s="48"/>
      <c r="B87" s="48"/>
      <c r="C87" s="48"/>
      <c r="D87" s="48"/>
      <c r="E87" s="48"/>
      <c r="F87" s="48"/>
      <c r="G87" s="48"/>
      <c r="H87" s="48"/>
      <c r="I87" s="48"/>
      <c r="J87" s="48"/>
      <c r="K87" s="48"/>
      <c r="L87" s="48"/>
      <c r="M87" s="48"/>
    </row>
    <row r="88" spans="1:13" ht="18.75" x14ac:dyDescent="0.3">
      <c r="A88" s="48"/>
      <c r="B88" s="48"/>
      <c r="C88" s="48"/>
      <c r="D88" s="48"/>
      <c r="E88" s="48"/>
      <c r="F88" s="48"/>
      <c r="G88" s="48"/>
      <c r="H88" s="48"/>
      <c r="I88" s="48"/>
      <c r="J88" s="48"/>
      <c r="K88" s="48"/>
      <c r="L88" s="48"/>
      <c r="M88" s="48"/>
    </row>
    <row r="89" spans="1:13" ht="18.75" x14ac:dyDescent="0.3">
      <c r="A89" s="48"/>
      <c r="B89" s="48"/>
      <c r="C89" s="48"/>
      <c r="D89" s="48"/>
      <c r="E89" s="48"/>
      <c r="F89" s="48"/>
      <c r="G89" s="48"/>
      <c r="H89" s="48"/>
      <c r="I89" s="48"/>
      <c r="J89" s="48"/>
      <c r="K89" s="48"/>
      <c r="L89" s="48"/>
      <c r="M89" s="48"/>
    </row>
    <row r="90" spans="1:13" ht="18.75" x14ac:dyDescent="0.3">
      <c r="A90" s="48"/>
      <c r="B90" s="48"/>
      <c r="C90" s="48"/>
      <c r="D90" s="48"/>
      <c r="E90" s="48"/>
      <c r="F90" s="48"/>
      <c r="G90" s="48"/>
      <c r="H90" s="48"/>
      <c r="I90" s="48"/>
      <c r="J90" s="48"/>
      <c r="K90" s="48"/>
      <c r="L90" s="48"/>
      <c r="M90" s="48"/>
    </row>
    <row r="91" spans="1:13" ht="18.75" x14ac:dyDescent="0.3">
      <c r="A91" s="48"/>
      <c r="B91" s="48"/>
      <c r="C91" s="48"/>
      <c r="D91" s="48"/>
      <c r="E91" s="48"/>
      <c r="F91" s="48"/>
      <c r="G91" s="48"/>
      <c r="H91" s="48"/>
      <c r="I91" s="48"/>
      <c r="J91" s="48"/>
      <c r="K91" s="48"/>
      <c r="L91" s="48"/>
      <c r="M91" s="48"/>
    </row>
    <row r="92" spans="1:13" ht="18.75" x14ac:dyDescent="0.3">
      <c r="A92" s="48"/>
      <c r="B92" s="48"/>
      <c r="C92" s="48"/>
      <c r="D92" s="48"/>
      <c r="E92" s="48"/>
      <c r="F92" s="48"/>
      <c r="G92" s="48"/>
      <c r="H92" s="48"/>
      <c r="I92" s="48"/>
      <c r="J92" s="48"/>
      <c r="K92" s="48"/>
      <c r="L92" s="48"/>
      <c r="M92" s="48"/>
    </row>
    <row r="93" spans="1:13" ht="18.75" x14ac:dyDescent="0.3">
      <c r="A93" s="48"/>
      <c r="B93" s="48"/>
      <c r="C93" s="48"/>
      <c r="D93" s="48"/>
      <c r="E93" s="48"/>
      <c r="F93" s="48"/>
      <c r="G93" s="48"/>
      <c r="H93" s="48"/>
      <c r="I93" s="48"/>
      <c r="J93" s="48"/>
      <c r="K93" s="48"/>
      <c r="L93" s="48"/>
      <c r="M93" s="48"/>
    </row>
    <row r="94" spans="1:13" ht="18.75" x14ac:dyDescent="0.3">
      <c r="A94" s="48"/>
      <c r="B94" s="48"/>
      <c r="C94" s="48"/>
      <c r="D94" s="48"/>
      <c r="E94" s="48"/>
      <c r="F94" s="48"/>
      <c r="G94" s="48"/>
      <c r="H94" s="48"/>
      <c r="I94" s="48"/>
      <c r="J94" s="48"/>
      <c r="K94" s="48"/>
      <c r="L94" s="48"/>
      <c r="M94" s="48"/>
    </row>
    <row r="95" spans="1:13" ht="18.75" x14ac:dyDescent="0.3">
      <c r="A95" s="48"/>
      <c r="B95" s="48"/>
      <c r="C95" s="48"/>
      <c r="D95" s="48"/>
      <c r="E95" s="48"/>
      <c r="F95" s="48"/>
      <c r="G95" s="48"/>
      <c r="H95" s="48"/>
      <c r="I95" s="48"/>
      <c r="J95" s="48"/>
      <c r="K95" s="48"/>
      <c r="L95" s="48"/>
      <c r="M95" s="48"/>
    </row>
    <row r="96" spans="1:13" ht="18.75" x14ac:dyDescent="0.3">
      <c r="A96" s="48"/>
      <c r="B96" s="48"/>
      <c r="C96" s="48"/>
      <c r="D96" s="48"/>
      <c r="E96" s="48"/>
      <c r="F96" s="48"/>
      <c r="G96" s="48"/>
      <c r="H96" s="48"/>
      <c r="I96" s="48"/>
      <c r="J96" s="48"/>
      <c r="K96" s="48"/>
      <c r="L96" s="48"/>
      <c r="M96" s="48"/>
    </row>
    <row r="97" spans="1:13" ht="18.75" x14ac:dyDescent="0.3">
      <c r="A97" s="48"/>
      <c r="B97" s="48"/>
      <c r="C97" s="48"/>
      <c r="D97" s="48"/>
      <c r="E97" s="48"/>
      <c r="F97" s="48"/>
      <c r="G97" s="48"/>
      <c r="H97" s="48"/>
      <c r="I97" s="48"/>
      <c r="J97" s="48"/>
      <c r="K97" s="48"/>
      <c r="L97" s="48"/>
      <c r="M97" s="48"/>
    </row>
    <row r="98" spans="1:13" ht="18.75" x14ac:dyDescent="0.3">
      <c r="A98" s="48"/>
      <c r="B98" s="48"/>
      <c r="C98" s="48"/>
      <c r="D98" s="48"/>
      <c r="E98" s="48"/>
      <c r="F98" s="48"/>
      <c r="G98" s="48"/>
      <c r="H98" s="48"/>
      <c r="I98" s="48"/>
      <c r="J98" s="48"/>
      <c r="K98" s="48"/>
      <c r="L98" s="48"/>
      <c r="M98" s="48"/>
    </row>
    <row r="99" spans="1:13" ht="18.75" x14ac:dyDescent="0.3">
      <c r="A99" s="48"/>
      <c r="B99" s="48"/>
      <c r="C99" s="48"/>
      <c r="D99" s="48"/>
      <c r="E99" s="48"/>
      <c r="F99" s="48"/>
      <c r="G99" s="48"/>
      <c r="H99" s="48"/>
      <c r="I99" s="48"/>
      <c r="J99" s="48"/>
      <c r="K99" s="48"/>
      <c r="L99" s="48"/>
      <c r="M99" s="48"/>
    </row>
    <row r="100" spans="1:13" ht="18.75" x14ac:dyDescent="0.3">
      <c r="A100" s="48"/>
      <c r="B100" s="48"/>
      <c r="C100" s="48"/>
      <c r="D100" s="48"/>
      <c r="E100" s="48"/>
      <c r="F100" s="48"/>
      <c r="G100" s="48"/>
      <c r="H100" s="48"/>
      <c r="I100" s="48"/>
      <c r="J100" s="48"/>
      <c r="K100" s="48"/>
      <c r="L100" s="48"/>
      <c r="M100" s="48"/>
    </row>
    <row r="101" spans="1:13" ht="18.75" x14ac:dyDescent="0.3">
      <c r="A101" s="48"/>
      <c r="B101" s="48"/>
      <c r="C101" s="48"/>
      <c r="D101" s="48"/>
      <c r="E101" s="48"/>
      <c r="F101" s="48"/>
      <c r="G101" s="48"/>
      <c r="H101" s="48"/>
      <c r="I101" s="48"/>
      <c r="J101" s="48"/>
      <c r="K101" s="48"/>
      <c r="L101" s="48"/>
      <c r="M101" s="48"/>
    </row>
    <row r="102" spans="1:13" ht="18.75" x14ac:dyDescent="0.3">
      <c r="A102" s="48"/>
      <c r="B102" s="48"/>
      <c r="C102" s="48"/>
      <c r="D102" s="48"/>
      <c r="E102" s="48"/>
      <c r="F102" s="48"/>
      <c r="G102" s="48"/>
      <c r="H102" s="48"/>
      <c r="I102" s="48"/>
      <c r="J102" s="48"/>
      <c r="K102" s="48"/>
      <c r="L102" s="48"/>
      <c r="M102" s="48"/>
    </row>
    <row r="103" spans="1:13" ht="18.75" x14ac:dyDescent="0.3">
      <c r="A103" s="48"/>
      <c r="B103" s="48"/>
      <c r="C103" s="48"/>
      <c r="D103" s="48"/>
      <c r="E103" s="48"/>
      <c r="F103" s="48"/>
      <c r="G103" s="48"/>
      <c r="H103" s="48"/>
      <c r="I103" s="48"/>
      <c r="J103" s="48"/>
      <c r="K103" s="48"/>
      <c r="L103" s="48"/>
      <c r="M103" s="48"/>
    </row>
    <row r="104" spans="1:13" ht="18.75" x14ac:dyDescent="0.3">
      <c r="A104" s="48"/>
      <c r="B104" s="48"/>
      <c r="C104" s="48"/>
      <c r="D104" s="48"/>
      <c r="E104" s="48"/>
      <c r="F104" s="48"/>
      <c r="G104" s="48"/>
      <c r="H104" s="48"/>
      <c r="I104" s="48"/>
      <c r="J104" s="48"/>
      <c r="K104" s="48"/>
      <c r="L104" s="48"/>
      <c r="M104" s="48"/>
    </row>
    <row r="105" spans="1:13" ht="18.75" x14ac:dyDescent="0.3">
      <c r="A105" s="48"/>
      <c r="B105" s="48"/>
      <c r="C105" s="48"/>
      <c r="D105" s="48"/>
      <c r="E105" s="48"/>
      <c r="F105" s="48"/>
      <c r="G105" s="48"/>
      <c r="H105" s="48"/>
      <c r="I105" s="48"/>
      <c r="J105" s="48"/>
      <c r="K105" s="48"/>
      <c r="L105" s="48"/>
      <c r="M105" s="48"/>
    </row>
    <row r="106" spans="1:13" ht="18.75" x14ac:dyDescent="0.3">
      <c r="A106" s="48"/>
      <c r="B106" s="48"/>
      <c r="C106" s="48"/>
      <c r="D106" s="48"/>
      <c r="E106" s="48"/>
      <c r="F106" s="48"/>
      <c r="G106" s="48"/>
      <c r="H106" s="48"/>
      <c r="I106" s="48"/>
      <c r="J106" s="48"/>
      <c r="K106" s="48"/>
      <c r="L106" s="48"/>
      <c r="M106" s="48"/>
    </row>
    <row r="107" spans="1:13" ht="18.75" x14ac:dyDescent="0.3">
      <c r="A107" s="48"/>
      <c r="B107" s="48"/>
      <c r="C107" s="48"/>
      <c r="D107" s="48"/>
      <c r="E107" s="48"/>
      <c r="F107" s="48"/>
      <c r="G107" s="48"/>
      <c r="H107" s="48"/>
      <c r="I107" s="48"/>
      <c r="J107" s="48"/>
      <c r="K107" s="48"/>
      <c r="L107" s="48"/>
      <c r="M107" s="48"/>
    </row>
    <row r="108" spans="1:13" ht="18.75" x14ac:dyDescent="0.3">
      <c r="A108" s="48"/>
      <c r="B108" s="48"/>
      <c r="C108" s="48"/>
      <c r="D108" s="48"/>
      <c r="E108" s="48"/>
      <c r="F108" s="48"/>
      <c r="G108" s="48"/>
      <c r="H108" s="48"/>
      <c r="I108" s="48"/>
      <c r="J108" s="48"/>
      <c r="K108" s="48"/>
      <c r="L108" s="48"/>
      <c r="M108" s="48"/>
    </row>
    <row r="109" spans="1:13" ht="18.75" x14ac:dyDescent="0.3">
      <c r="A109" s="48"/>
      <c r="B109" s="48"/>
      <c r="C109" s="48"/>
      <c r="D109" s="48"/>
      <c r="E109" s="48"/>
      <c r="F109" s="48"/>
      <c r="G109" s="48"/>
      <c r="H109" s="48"/>
      <c r="I109" s="48"/>
      <c r="J109" s="48"/>
      <c r="K109" s="48"/>
      <c r="L109" s="48"/>
      <c r="M109" s="48"/>
    </row>
    <row r="110" spans="1:13" ht="18.75" x14ac:dyDescent="0.3">
      <c r="A110" s="48"/>
      <c r="B110" s="48"/>
      <c r="C110" s="48"/>
      <c r="D110" s="48"/>
      <c r="E110" s="48"/>
      <c r="F110" s="48"/>
      <c r="G110" s="48"/>
      <c r="H110" s="48"/>
      <c r="I110" s="48"/>
      <c r="J110" s="48"/>
      <c r="K110" s="48"/>
      <c r="L110" s="48"/>
      <c r="M110" s="48"/>
    </row>
    <row r="111" spans="1:13" ht="18.75" x14ac:dyDescent="0.3">
      <c r="A111" s="48"/>
      <c r="B111" s="48"/>
      <c r="C111" s="48"/>
      <c r="D111" s="48"/>
      <c r="E111" s="48"/>
      <c r="F111" s="48"/>
      <c r="G111" s="48"/>
      <c r="H111" s="48"/>
      <c r="I111" s="48"/>
      <c r="J111" s="48"/>
      <c r="K111" s="48"/>
      <c r="L111" s="48"/>
      <c r="M111" s="48"/>
    </row>
    <row r="112" spans="1:13" ht="18.75" x14ac:dyDescent="0.3">
      <c r="A112" s="48"/>
      <c r="B112" s="48"/>
      <c r="C112" s="48"/>
      <c r="D112" s="48"/>
      <c r="E112" s="48"/>
      <c r="F112" s="48"/>
      <c r="G112" s="48"/>
      <c r="H112" s="48"/>
      <c r="I112" s="48"/>
      <c r="J112" s="48"/>
      <c r="K112" s="48"/>
      <c r="L112" s="48"/>
      <c r="M112" s="48"/>
    </row>
    <row r="113" spans="1:13" ht="18.75" x14ac:dyDescent="0.3">
      <c r="A113" s="48"/>
      <c r="B113" s="48"/>
      <c r="C113" s="48"/>
      <c r="D113" s="48"/>
      <c r="E113" s="48"/>
      <c r="F113" s="48"/>
      <c r="G113" s="48"/>
      <c r="H113" s="48"/>
      <c r="I113" s="48"/>
      <c r="J113" s="48"/>
      <c r="K113" s="48"/>
      <c r="L113" s="48"/>
      <c r="M113" s="48"/>
    </row>
    <row r="114" spans="1:13" ht="18.75" x14ac:dyDescent="0.3">
      <c r="A114" s="48"/>
      <c r="B114" s="48"/>
      <c r="C114" s="48"/>
      <c r="D114" s="48"/>
      <c r="E114" s="48"/>
      <c r="F114" s="48"/>
      <c r="G114" s="48"/>
      <c r="H114" s="48"/>
      <c r="I114" s="48"/>
      <c r="J114" s="48"/>
      <c r="K114" s="48"/>
      <c r="L114" s="48"/>
      <c r="M114" s="48"/>
    </row>
    <row r="115" spans="1:13" ht="18.75" x14ac:dyDescent="0.3">
      <c r="A115" s="48"/>
      <c r="B115" s="48"/>
      <c r="C115" s="48"/>
      <c r="D115" s="48"/>
      <c r="E115" s="48"/>
      <c r="F115" s="48"/>
      <c r="G115" s="48"/>
      <c r="H115" s="48"/>
      <c r="I115" s="48"/>
      <c r="J115" s="48"/>
      <c r="K115" s="48"/>
      <c r="L115" s="48"/>
      <c r="M115" s="48"/>
    </row>
  </sheetData>
  <mergeCells count="3">
    <mergeCell ref="B5:D5"/>
    <mergeCell ref="F5:H5"/>
    <mergeCell ref="J5:L5"/>
  </mergeCells>
  <hyperlinks>
    <hyperlink ref="B1" location="Innhold!A1" display="Tilbake" xr:uid="{00000000-0004-0000-0400-000000000000}"/>
  </hyperlinks>
  <pageMargins left="0.7" right="0.7" top="0.78740157499999996" bottom="0.78740157499999996"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0"/>
  <dimension ref="A1:K92"/>
  <sheetViews>
    <sheetView showGridLines="0" zoomScale="80" zoomScaleNormal="80" workbookViewId="0">
      <pane xSplit="1" ySplit="7" topLeftCell="B8" activePane="bottomRight" state="frozen"/>
      <selection activeCell="H73" sqref="H73"/>
      <selection pane="topRight" activeCell="H73" sqref="H73"/>
      <selection pane="bottomLeft" activeCell="H73" sqref="H73"/>
      <selection pane="bottomRight" activeCell="A3" sqref="A3"/>
    </sheetView>
  </sheetViews>
  <sheetFormatPr baseColWidth="10" defaultColWidth="11.42578125" defaultRowHeight="18" x14ac:dyDescent="0.25"/>
  <cols>
    <col min="1" max="1" width="35.7109375" style="53" customWidth="1"/>
    <col min="2" max="2" width="18.28515625" style="53" customWidth="1"/>
    <col min="3" max="3" width="17.7109375" style="53" customWidth="1"/>
    <col min="4" max="4" width="11.7109375" style="53" customWidth="1"/>
    <col min="5" max="5" width="4.7109375" style="53" customWidth="1"/>
    <col min="6" max="7" width="13" style="53" customWidth="1"/>
    <col min="8" max="8" width="11.7109375" style="53" customWidth="1"/>
    <col min="9" max="9" width="12.42578125" style="53" customWidth="1"/>
    <col min="10" max="10" width="11.42578125" style="53"/>
    <col min="11" max="12" width="17.28515625" style="53" bestFit="1" customWidth="1"/>
    <col min="13" max="16384" width="11.42578125" style="53"/>
  </cols>
  <sheetData>
    <row r="1" spans="1:11" ht="18.75" customHeight="1" x14ac:dyDescent="0.3">
      <c r="A1" s="52" t="s">
        <v>72</v>
      </c>
      <c r="B1" s="47" t="s">
        <v>52</v>
      </c>
      <c r="C1" s="52"/>
      <c r="D1" s="52"/>
      <c r="E1" s="52"/>
      <c r="F1" s="48"/>
      <c r="G1" s="48"/>
      <c r="H1" s="48"/>
      <c r="I1" s="48"/>
      <c r="J1" s="48"/>
    </row>
    <row r="2" spans="1:11" ht="20.100000000000001" customHeight="1" x14ac:dyDescent="0.3">
      <c r="A2" s="52" t="s">
        <v>140</v>
      </c>
      <c r="B2" s="52"/>
      <c r="C2" s="507"/>
      <c r="D2" s="52"/>
      <c r="E2" s="52"/>
      <c r="F2" s="48"/>
      <c r="G2" s="48"/>
      <c r="H2" s="48"/>
      <c r="I2" s="48"/>
      <c r="J2" s="48"/>
    </row>
    <row r="3" spans="1:11" ht="20.100000000000001" customHeight="1" x14ac:dyDescent="0.3">
      <c r="A3" s="49"/>
      <c r="B3" s="49"/>
      <c r="C3" s="49"/>
      <c r="D3" s="49"/>
      <c r="E3" s="49"/>
      <c r="F3" s="48"/>
      <c r="G3" s="48"/>
      <c r="H3" s="48"/>
      <c r="I3" s="48"/>
      <c r="J3" s="48"/>
    </row>
    <row r="4" spans="1:11" ht="20.100000000000001" customHeight="1" x14ac:dyDescent="0.3">
      <c r="A4" s="206"/>
      <c r="B4" s="560" t="s">
        <v>141</v>
      </c>
      <c r="C4" s="560"/>
      <c r="D4" s="561"/>
      <c r="E4" s="61"/>
      <c r="F4" s="562" t="s">
        <v>141</v>
      </c>
      <c r="G4" s="560"/>
      <c r="H4" s="561"/>
      <c r="I4" s="48"/>
      <c r="J4" s="48"/>
    </row>
    <row r="5" spans="1:11" ht="18.75" customHeight="1" x14ac:dyDescent="0.3">
      <c r="A5" s="508" t="s">
        <v>393</v>
      </c>
      <c r="B5" s="563" t="s">
        <v>142</v>
      </c>
      <c r="C5" s="564"/>
      <c r="D5" s="565"/>
      <c r="E5" s="509"/>
      <c r="F5" s="566" t="s">
        <v>143</v>
      </c>
      <c r="G5" s="567"/>
      <c r="H5" s="568"/>
      <c r="I5" s="48"/>
      <c r="J5" s="48"/>
    </row>
    <row r="6" spans="1:11" ht="18.75" customHeight="1" x14ac:dyDescent="0.3">
      <c r="A6" s="90"/>
      <c r="B6" s="88"/>
      <c r="C6" s="144"/>
      <c r="D6" s="207" t="s">
        <v>76</v>
      </c>
      <c r="E6" s="207"/>
      <c r="F6" s="91"/>
      <c r="G6" s="92"/>
      <c r="H6" s="66" t="s">
        <v>76</v>
      </c>
      <c r="I6" s="72"/>
      <c r="J6" s="48"/>
    </row>
    <row r="7" spans="1:11" ht="18.75" customHeight="1" x14ac:dyDescent="0.3">
      <c r="A7" s="94"/>
      <c r="B7" s="69">
        <v>2024</v>
      </c>
      <c r="C7" s="69">
        <v>2025</v>
      </c>
      <c r="D7" s="208" t="s">
        <v>78</v>
      </c>
      <c r="E7" s="207"/>
      <c r="F7" s="69">
        <v>2023</v>
      </c>
      <c r="G7" s="95">
        <v>2024</v>
      </c>
      <c r="H7" s="209" t="s">
        <v>78</v>
      </c>
      <c r="I7" s="72"/>
      <c r="J7" s="48"/>
    </row>
    <row r="8" spans="1:11" ht="18.75" customHeight="1" x14ac:dyDescent="0.3">
      <c r="A8" s="73" t="s">
        <v>144</v>
      </c>
      <c r="B8" s="78">
        <f>SUM(B9:B14)</f>
        <v>201500.8167330093</v>
      </c>
      <c r="C8" s="78">
        <f>SUM(C9:C14)</f>
        <v>192369.67243861995</v>
      </c>
      <c r="D8" s="210">
        <f t="shared" ref="D8:D38" si="0">IF(B8=0, "    ---- ", IF(ABS(ROUND(100/B8*C8-100,1))&lt;999,ROUND(100/B8*C8-100,1),IF(ROUND(100/B8*C8-100,1)&gt;999,999,-999)))</f>
        <v>-4.5</v>
      </c>
      <c r="E8" s="211"/>
      <c r="F8" s="210">
        <f>SUM(F9:F14)</f>
        <v>100.00000021796934</v>
      </c>
      <c r="G8" s="210">
        <f>SUM(G9:G14)</f>
        <v>100.00000007053086</v>
      </c>
      <c r="H8" s="211">
        <f t="shared" ref="H8:H38" si="1">IF(F8=0, "    ---- ", IF(ABS(ROUND(100/F8*G8-100,1))&lt;999,ROUND(100/F8*G8-100,1),IF(ROUND(100/F8*G8-100,1)&gt;999,999,-999)))</f>
        <v>0</v>
      </c>
      <c r="I8" s="76"/>
      <c r="J8" s="48"/>
    </row>
    <row r="9" spans="1:11" ht="18.75" customHeight="1" x14ac:dyDescent="0.3">
      <c r="A9" s="58" t="s">
        <v>145</v>
      </c>
      <c r="B9" s="76">
        <f>'Tabell 6'!AI21</f>
        <v>5957.5439993974387</v>
      </c>
      <c r="C9" s="76">
        <f>'Tabell 6'!AJ21</f>
        <v>5212.1701051600003</v>
      </c>
      <c r="D9" s="212">
        <f t="shared" si="0"/>
        <v>-12.5</v>
      </c>
      <c r="E9" s="212"/>
      <c r="F9" s="212">
        <f>'Tabell 6'!AI21/'Tabell 6'!AI29*100</f>
        <v>2.9565855409295274</v>
      </c>
      <c r="G9" s="212">
        <f>'Tabell 6'!AJ21/'Tabell 6'!AJ29*100</f>
        <v>2.7094552081743823</v>
      </c>
      <c r="H9" s="213">
        <f t="shared" si="1"/>
        <v>-8.4</v>
      </c>
      <c r="I9" s="76"/>
      <c r="J9" s="51"/>
    </row>
    <row r="10" spans="1:11" ht="18.75" customHeight="1" x14ac:dyDescent="0.3">
      <c r="A10" s="77" t="s">
        <v>400</v>
      </c>
      <c r="B10" s="75">
        <f>'Tabell 6'!AI17+'Tabell 6'!AI22</f>
        <v>69216.581633737427</v>
      </c>
      <c r="C10" s="75">
        <f>'Tabell 6'!AJ17+'Tabell 6'!AJ22</f>
        <v>70428.053641350009</v>
      </c>
      <c r="D10" s="212">
        <f t="shared" si="0"/>
        <v>1.8</v>
      </c>
      <c r="E10" s="212"/>
      <c r="F10" s="212">
        <f>('Tabell 6'!AI17+'Tabell 6'!AI22)/'Tabell 6'!AI29*100</f>
        <v>34.350521703503098</v>
      </c>
      <c r="G10" s="212">
        <f>('Tabell 6'!AJ17+'Tabell 6'!AJ22)/'Tabell 6'!AJ29*100</f>
        <v>36.6107883837538</v>
      </c>
      <c r="H10" s="213">
        <f t="shared" si="1"/>
        <v>6.6</v>
      </c>
      <c r="I10" s="76"/>
      <c r="J10" s="48"/>
    </row>
    <row r="11" spans="1:11" ht="18.75" customHeight="1" x14ac:dyDescent="0.3">
      <c r="A11" s="58" t="s">
        <v>146</v>
      </c>
      <c r="B11" s="75">
        <f>'Tabell 6'!AI14</f>
        <v>1319.08072975</v>
      </c>
      <c r="C11" s="75">
        <f>'Tabell 6'!AJ14</f>
        <v>1347.1865066300002</v>
      </c>
      <c r="D11" s="212">
        <f t="shared" si="0"/>
        <v>2.1</v>
      </c>
      <c r="E11" s="212"/>
      <c r="F11" s="212">
        <f>'Tabell 6'!AI14/'Tabell 6'!AI29*100</f>
        <v>0.65462798315750137</v>
      </c>
      <c r="G11" s="212">
        <f>'Tabell 6'!AJ14/'Tabell 6'!AJ29*100</f>
        <v>0.70031127594191522</v>
      </c>
      <c r="H11" s="213">
        <f t="shared" si="1"/>
        <v>7</v>
      </c>
      <c r="I11" s="76"/>
      <c r="J11" s="48"/>
    </row>
    <row r="12" spans="1:11" ht="18.75" customHeight="1" x14ac:dyDescent="0.3">
      <c r="A12" s="77" t="s">
        <v>147</v>
      </c>
      <c r="B12" s="75">
        <f>'Tabell 6'!AI15</f>
        <v>26336.559198579998</v>
      </c>
      <c r="C12" s="75">
        <f>'Tabell 6'!AJ15</f>
        <v>27552.719292940001</v>
      </c>
      <c r="D12" s="212">
        <f t="shared" si="0"/>
        <v>4.5999999999999996</v>
      </c>
      <c r="E12" s="212"/>
      <c r="F12" s="212">
        <f>'Tabell 6'!AI15/'Tabell 6'!AI29*100</f>
        <v>13.070199755508604</v>
      </c>
      <c r="G12" s="212">
        <f>'Tabell 6'!AJ15/'Tabell 6'!AJ29*100</f>
        <v>14.322797852226167</v>
      </c>
      <c r="H12" s="213">
        <f t="shared" si="1"/>
        <v>9.6</v>
      </c>
      <c r="I12" s="76"/>
      <c r="J12" s="48"/>
      <c r="K12" s="102"/>
    </row>
    <row r="13" spans="1:11" ht="18.75" customHeight="1" x14ac:dyDescent="0.3">
      <c r="A13" s="58" t="s">
        <v>148</v>
      </c>
      <c r="B13" s="75">
        <f>'Tabell 6'!AI19+'Tabell 6'!AI23</f>
        <v>38790.712598360005</v>
      </c>
      <c r="C13" s="75">
        <f>'Tabell 6'!AJ19+'Tabell 6'!AJ23</f>
        <v>37728.420968979997</v>
      </c>
      <c r="D13" s="212">
        <f t="shared" si="0"/>
        <v>-2.7</v>
      </c>
      <c r="E13" s="212"/>
      <c r="F13" s="212">
        <f>('Tabell 6'!AI19+'Tabell 6'!AI23)/'Tabell 6'!AI29*100</f>
        <v>19.250896007190864</v>
      </c>
      <c r="G13" s="212">
        <f>('Tabell 6'!AJ19+'Tabell 6'!AJ23)/'Tabell 6'!AJ29*100</f>
        <v>19.612457887626913</v>
      </c>
      <c r="H13" s="213">
        <f t="shared" si="1"/>
        <v>1.9</v>
      </c>
      <c r="I13" s="76"/>
      <c r="J13" s="48"/>
    </row>
    <row r="14" spans="1:11" ht="18.75" customHeight="1" x14ac:dyDescent="0.3">
      <c r="A14" s="58" t="s">
        <v>149</v>
      </c>
      <c r="B14" s="133">
        <f>'Tabell 6'!AI24+'Tabell 6'!AI25+'Tabell 6'!AI26+'Tabell 6'!AI28</f>
        <v>59880.338573184425</v>
      </c>
      <c r="C14" s="133">
        <f>'Tabell 6'!AJ24+'Tabell 6'!AJ25+'Tabell 6'!AJ26+'Tabell 6'!AJ28</f>
        <v>50101.121923559964</v>
      </c>
      <c r="D14" s="212">
        <f t="shared" si="0"/>
        <v>-16.3</v>
      </c>
      <c r="E14" s="212"/>
      <c r="F14" s="212">
        <f>('Tabell 6'!AI24+'Tabell 6'!AI25+'Tabell 6'!AI26+'Tabell 6'!AI28)/'Tabell 6'!AI29*100</f>
        <v>29.717169227679751</v>
      </c>
      <c r="G14" s="212">
        <f>('Tabell 6'!AJ24+'Tabell 6'!AJ25+'Tabell 6'!AJ26+'Tabell 6'!AJ28)/'Tabell 6'!AJ29*100</f>
        <v>26.044189462807683</v>
      </c>
      <c r="H14" s="213">
        <f t="shared" si="1"/>
        <v>-12.4</v>
      </c>
      <c r="I14" s="76"/>
      <c r="J14" s="48"/>
    </row>
    <row r="15" spans="1:11" ht="18.75" customHeight="1" x14ac:dyDescent="0.3">
      <c r="A15" s="77"/>
      <c r="B15" s="75"/>
      <c r="C15" s="133"/>
      <c r="D15" s="213"/>
      <c r="E15" s="213"/>
      <c r="F15" s="213"/>
      <c r="G15" s="212"/>
      <c r="H15" s="213"/>
      <c r="I15" s="76"/>
      <c r="J15" s="48"/>
    </row>
    <row r="16" spans="1:11" s="102" customFormat="1" ht="18.75" customHeight="1" x14ac:dyDescent="0.3">
      <c r="A16" s="73" t="s">
        <v>150</v>
      </c>
      <c r="B16" s="78">
        <f>SUM(B17:B22)</f>
        <v>1386148.36645805</v>
      </c>
      <c r="C16" s="78">
        <f>SUM(C17:C22)</f>
        <v>1460225.5669680904</v>
      </c>
      <c r="D16" s="210">
        <f t="shared" si="0"/>
        <v>5.3</v>
      </c>
      <c r="E16" s="210"/>
      <c r="F16" s="210">
        <f>SUM(F17:F22)</f>
        <v>100.00000000000001</v>
      </c>
      <c r="G16" s="210">
        <f>SUM(G17:G22)</f>
        <v>100.00000000000001</v>
      </c>
      <c r="H16" s="211">
        <f t="shared" si="1"/>
        <v>0</v>
      </c>
      <c r="I16" s="79"/>
      <c r="J16" s="49"/>
    </row>
    <row r="17" spans="1:10" ht="18.75" customHeight="1" x14ac:dyDescent="0.3">
      <c r="A17" s="58" t="s">
        <v>145</v>
      </c>
      <c r="B17" s="75">
        <f>'Tabell 6'!AI40</f>
        <v>337952.95677410002</v>
      </c>
      <c r="C17" s="75">
        <f>'Tabell 6'!AJ40</f>
        <v>367048.23099268001</v>
      </c>
      <c r="D17" s="212">
        <f t="shared" si="0"/>
        <v>8.6</v>
      </c>
      <c r="E17" s="212"/>
      <c r="F17" s="212">
        <f>'Tabell 6'!AI40/('Tabell 6'!AI45+'Tabell 6'!AI46)*100</f>
        <v>24.380720343642071</v>
      </c>
      <c r="G17" s="212">
        <f>'Tabell 6'!AJ40/('Tabell 6'!AJ45+'Tabell 6'!AJ46)*100</f>
        <v>25.136406271449779</v>
      </c>
      <c r="H17" s="213">
        <f t="shared" si="1"/>
        <v>3.1</v>
      </c>
      <c r="I17" s="76"/>
      <c r="J17" s="48"/>
    </row>
    <row r="18" spans="1:10" ht="18.75" customHeight="1" x14ac:dyDescent="0.3">
      <c r="A18" s="77" t="s">
        <v>400</v>
      </c>
      <c r="B18" s="75">
        <f>'Tabell 6'!AI36+'Tabell 6'!AI41</f>
        <v>351505.80331659992</v>
      </c>
      <c r="C18" s="75">
        <f>'Tabell 6'!AJ36+'Tabell 6'!AJ41</f>
        <v>364395.74596237991</v>
      </c>
      <c r="D18" s="212">
        <f t="shared" si="0"/>
        <v>3.7</v>
      </c>
      <c r="E18" s="212"/>
      <c r="F18" s="212">
        <f>('Tabell 6'!AI36+'Tabell 6'!AI41)/('Tabell 6'!AI45+'Tabell 6'!AI46)*100</f>
        <v>25.358454536492637</v>
      </c>
      <c r="G18" s="212">
        <f>('Tabell 6'!AJ36+'Tabell 6'!AJ41)/('Tabell 6'!AJ45+'Tabell 6'!AJ46)*100</f>
        <v>24.954757278972021</v>
      </c>
      <c r="H18" s="213">
        <f t="shared" si="1"/>
        <v>-1.6</v>
      </c>
      <c r="I18" s="76"/>
      <c r="J18" s="48"/>
    </row>
    <row r="19" spans="1:10" ht="18.75" customHeight="1" x14ac:dyDescent="0.3">
      <c r="A19" s="58" t="s">
        <v>146</v>
      </c>
      <c r="B19" s="75">
        <f>'Tabell 6'!AI33</f>
        <v>14.22554581</v>
      </c>
      <c r="C19" s="75">
        <f>'Tabell 6'!AJ33</f>
        <v>14.226000000000001</v>
      </c>
      <c r="D19" s="212">
        <f t="shared" si="0"/>
        <v>0</v>
      </c>
      <c r="E19" s="212"/>
      <c r="F19" s="212">
        <f>'Tabell 6'!AI33/('Tabell 6'!AI45+'Tabell 6'!AI46)*100</f>
        <v>1.0262642985577198E-3</v>
      </c>
      <c r="G19" s="212">
        <f>'Tabell 6'!AJ33/('Tabell 6'!AJ45+'Tabell 6'!AJ46)*100</f>
        <v>9.7423304466157719E-4</v>
      </c>
      <c r="H19" s="213">
        <f t="shared" si="1"/>
        <v>-5.0999999999999996</v>
      </c>
      <c r="I19" s="76"/>
      <c r="J19" s="48"/>
    </row>
    <row r="20" spans="1:10" ht="18.75" customHeight="1" x14ac:dyDescent="0.3">
      <c r="A20" s="77" t="s">
        <v>147</v>
      </c>
      <c r="B20" s="75">
        <f>'Tabell 6'!AI34</f>
        <v>166398.65042570001</v>
      </c>
      <c r="C20" s="75">
        <f>'Tabell 6'!AJ34</f>
        <v>171108.62270604004</v>
      </c>
      <c r="D20" s="212">
        <f t="shared" si="0"/>
        <v>2.8</v>
      </c>
      <c r="E20" s="212"/>
      <c r="F20" s="212">
        <f>'Tabell 6'!AI34/('Tabell 6'!AI45+'Tabell 6'!AI46)*100</f>
        <v>12.004389605918556</v>
      </c>
      <c r="G20" s="212">
        <f>'Tabell 6'!AJ34/('Tabell 6'!AJ45+'Tabell 6'!AJ46)*100</f>
        <v>11.717958278276006</v>
      </c>
      <c r="H20" s="213">
        <f t="shared" si="1"/>
        <v>-2.4</v>
      </c>
      <c r="I20" s="76"/>
      <c r="J20" s="48"/>
    </row>
    <row r="21" spans="1:10" ht="18.75" customHeight="1" x14ac:dyDescent="0.3">
      <c r="A21" s="58" t="s">
        <v>148</v>
      </c>
      <c r="B21" s="75">
        <f>'Tabell 6'!AI38+'Tabell 6'!AI42</f>
        <v>524533.64770285005</v>
      </c>
      <c r="C21" s="75">
        <f>'Tabell 6'!AJ38+'Tabell 6'!AJ42</f>
        <v>539015.93688171019</v>
      </c>
      <c r="D21" s="212">
        <f t="shared" si="0"/>
        <v>2.8</v>
      </c>
      <c r="E21" s="212"/>
      <c r="F21" s="212">
        <f>('Tabell 6'!AI38+'Tabell 6'!AI42)/('Tabell 6'!AI45+'Tabell 6'!AI46)*100</f>
        <v>37.841089770437961</v>
      </c>
      <c r="G21" s="212">
        <f>('Tabell 6'!AJ38+'Tabell 6'!AJ42)/('Tabell 6'!AJ45+'Tabell 6'!AJ46)*100</f>
        <v>36.913196774172711</v>
      </c>
      <c r="H21" s="213">
        <f t="shared" si="1"/>
        <v>-2.5</v>
      </c>
      <c r="I21" s="76"/>
      <c r="J21" s="48"/>
    </row>
    <row r="22" spans="1:10" ht="18.75" customHeight="1" x14ac:dyDescent="0.3">
      <c r="A22" s="77" t="s">
        <v>149</v>
      </c>
      <c r="B22" s="133">
        <f>'Tabell 6'!AI43+'Tabell 6'!AI44+'Tabell 6'!AI46</f>
        <v>5743.0826929900004</v>
      </c>
      <c r="C22" s="133">
        <f>'Tabell 6'!AJ43+'Tabell 6'!AJ44+'Tabell 6'!AJ46</f>
        <v>18642.804425279999</v>
      </c>
      <c r="D22" s="212">
        <f t="shared" si="0"/>
        <v>224.6</v>
      </c>
      <c r="E22" s="212"/>
      <c r="F22" s="213">
        <f>('Tabell 6'!AI43+'Tabell 6'!AI44+'Tabell 6'!AI46)/('Tabell 6'!AI45+'Tabell 6'!AI46)*100</f>
        <v>0.41431947921022261</v>
      </c>
      <c r="G22" s="213">
        <f>('Tabell 6'!AJ43+'Tabell 6'!AJ44+'Tabell 6'!AJ46)/('Tabell 6'!AJ45+'Tabell 6'!AJ46)*100</f>
        <v>1.2767071640848346</v>
      </c>
      <c r="H22" s="213">
        <f t="shared" si="1"/>
        <v>208.1</v>
      </c>
      <c r="I22" s="76"/>
      <c r="J22" s="48"/>
    </row>
    <row r="23" spans="1:10" ht="18.75" customHeight="1" x14ac:dyDescent="0.3">
      <c r="A23" s="58"/>
      <c r="B23" s="133"/>
      <c r="C23" s="133"/>
      <c r="D23" s="213"/>
      <c r="E23" s="212"/>
      <c r="F23" s="212"/>
      <c r="G23" s="213"/>
      <c r="H23" s="213"/>
      <c r="I23" s="136"/>
      <c r="J23" s="48"/>
    </row>
    <row r="24" spans="1:10" ht="18.75" customHeight="1" x14ac:dyDescent="0.3">
      <c r="A24" s="103" t="s">
        <v>151</v>
      </c>
      <c r="B24" s="78">
        <f>SUM(B25:B30)</f>
        <v>709544.51504398126</v>
      </c>
      <c r="C24" s="78">
        <f>SUM(C25:C30)</f>
        <v>789361.91144398984</v>
      </c>
      <c r="D24" s="210">
        <f t="shared" si="0"/>
        <v>11.2</v>
      </c>
      <c r="E24" s="210"/>
      <c r="F24" s="211">
        <f>SUM(F25:F30)</f>
        <v>100</v>
      </c>
      <c r="G24" s="211">
        <f>SUM(G25:G30)</f>
        <v>99.999999999999972</v>
      </c>
      <c r="H24" s="213">
        <f t="shared" si="1"/>
        <v>0</v>
      </c>
      <c r="I24" s="136"/>
      <c r="J24" s="48"/>
    </row>
    <row r="25" spans="1:10" ht="18.75" customHeight="1" x14ac:dyDescent="0.3">
      <c r="A25" s="77" t="s">
        <v>145</v>
      </c>
      <c r="B25" s="75">
        <f>'Tabell 6'!AI55</f>
        <v>482077.95787312847</v>
      </c>
      <c r="C25" s="75">
        <f>'Tabell 6'!AJ55</f>
        <v>519907.74139872997</v>
      </c>
      <c r="D25" s="212">
        <f t="shared" si="0"/>
        <v>7.8</v>
      </c>
      <c r="E25" s="212"/>
      <c r="F25" s="212">
        <f>'Tabell 6'!AI55/('Tabell 6'!AI60+'Tabell 6'!AI61)*100</f>
        <v>67.94189055823324</v>
      </c>
      <c r="G25" s="212">
        <f>'Tabell 6'!AJ55/('Tabell 6'!AJ60+'Tabell 6'!AJ61)*100</f>
        <v>65.864305568995078</v>
      </c>
      <c r="H25" s="213">
        <f t="shared" si="1"/>
        <v>-3.1</v>
      </c>
      <c r="I25" s="136"/>
      <c r="J25" s="48"/>
    </row>
    <row r="26" spans="1:10" ht="18.75" customHeight="1" x14ac:dyDescent="0.3">
      <c r="A26" s="77" t="s">
        <v>400</v>
      </c>
      <c r="B26" s="75">
        <f>'Tabell 6'!AI51+'Tabell 6'!AI56</f>
        <v>204188.11473419794</v>
      </c>
      <c r="C26" s="75">
        <f>'Tabell 6'!AJ51+'Tabell 6'!AJ56</f>
        <v>235065.50908497995</v>
      </c>
      <c r="D26" s="212">
        <f t="shared" si="0"/>
        <v>15.1</v>
      </c>
      <c r="E26" s="212"/>
      <c r="F26" s="212">
        <f>('Tabell 6'!AI51+'Tabell 6'!AI56)/('Tabell 6'!AI60+'Tabell 6'!AI61)*100</f>
        <v>28.777350878618424</v>
      </c>
      <c r="G26" s="212">
        <f>('Tabell 6'!AJ51+'Tabell 6'!AJ56)/('Tabell 6'!AJ60+'Tabell 6'!AJ61)*100</f>
        <v>29.77918058586987</v>
      </c>
      <c r="H26" s="213">
        <f t="shared" si="1"/>
        <v>3.5</v>
      </c>
      <c r="I26" s="136"/>
      <c r="J26" s="48"/>
    </row>
    <row r="27" spans="1:10" ht="18.75" customHeight="1" x14ac:dyDescent="0.3">
      <c r="A27" s="77" t="s">
        <v>146</v>
      </c>
      <c r="B27" s="75">
        <f>'Tabell 6'!AI48</f>
        <v>0</v>
      </c>
      <c r="C27" s="75">
        <f>'Tabell 6'!AJ48</f>
        <v>0</v>
      </c>
      <c r="D27" s="212" t="str">
        <f t="shared" si="0"/>
        <v xml:space="preserve">    ---- </v>
      </c>
      <c r="E27" s="212"/>
      <c r="F27" s="212">
        <f>'Tabell 6'!AI48/('Tabell 6'!AI60+'Tabell 6'!AI61)*100</f>
        <v>0</v>
      </c>
      <c r="G27" s="212">
        <f>'Tabell 6'!AJ48/('Tabell 6'!AJ60+'Tabell 6'!AJ61)*100</f>
        <v>0</v>
      </c>
      <c r="H27" s="213" t="str">
        <f t="shared" si="1"/>
        <v xml:space="preserve">    ---- </v>
      </c>
      <c r="I27" s="136"/>
      <c r="J27" s="48"/>
    </row>
    <row r="28" spans="1:10" ht="18.75" customHeight="1" x14ac:dyDescent="0.3">
      <c r="A28" s="77" t="s">
        <v>147</v>
      </c>
      <c r="B28" s="75">
        <f>'Tabell 6'!AI49</f>
        <v>19263.615763852002</v>
      </c>
      <c r="C28" s="75">
        <f>'Tabell 6'!AJ49</f>
        <v>21127.973793249999</v>
      </c>
      <c r="D28" s="212">
        <f t="shared" si="0"/>
        <v>9.6999999999999993</v>
      </c>
      <c r="E28" s="212"/>
      <c r="F28" s="212">
        <f>'Tabell 6'!AI49/('Tabell 6'!AI60+'Tabell 6'!AI61)*100</f>
        <v>2.7149270208449074</v>
      </c>
      <c r="G28" s="212">
        <f>'Tabell 6'!AJ49/('Tabell 6'!AJ60+'Tabell 6'!AJ61)*100</f>
        <v>2.6765889621656971</v>
      </c>
      <c r="H28" s="213">
        <f t="shared" si="1"/>
        <v>-1.4</v>
      </c>
      <c r="I28" s="136"/>
      <c r="J28" s="48"/>
    </row>
    <row r="29" spans="1:10" ht="18.75" customHeight="1" x14ac:dyDescent="0.3">
      <c r="A29" s="77" t="s">
        <v>148</v>
      </c>
      <c r="B29" s="75">
        <f>'Tabell 6'!AI53+'Tabell 6'!AI57</f>
        <v>3552.5356479799993</v>
      </c>
      <c r="C29" s="75">
        <f>'Tabell 6'!AJ53+'Tabell 6'!AJ57</f>
        <v>5093.0474629200016</v>
      </c>
      <c r="D29" s="212">
        <f t="shared" si="0"/>
        <v>43.4</v>
      </c>
      <c r="E29" s="212"/>
      <c r="F29" s="212">
        <f>('Tabell 6'!AI53+'Tabell 6'!AI57)/('Tabell 6'!AI60+'Tabell 6'!AI61)*100</f>
        <v>0.50067833274136364</v>
      </c>
      <c r="G29" s="212">
        <f>('Tabell 6'!AJ53+'Tabell 6'!AJ57)/('Tabell 6'!AJ60+'Tabell 6'!AJ61)*100</f>
        <v>0.64521069348319893</v>
      </c>
      <c r="H29" s="213">
        <f t="shared" si="1"/>
        <v>28.9</v>
      </c>
      <c r="I29" s="136"/>
      <c r="J29" s="48"/>
    </row>
    <row r="30" spans="1:10" ht="18.75" customHeight="1" x14ac:dyDescent="0.3">
      <c r="A30" s="58" t="s">
        <v>149</v>
      </c>
      <c r="B30" s="133">
        <f>'Tabell 6'!AI58+'Tabell 6'!AI59+'Tabell 6'!AI61</f>
        <v>462.29102482275579</v>
      </c>
      <c r="C30" s="133">
        <f>'Tabell 6'!AJ58+'Tabell 6'!AJ59+'Tabell 6'!AJ61</f>
        <v>8167.6397041100026</v>
      </c>
      <c r="D30" s="213">
        <f t="shared" si="0"/>
        <v>999</v>
      </c>
      <c r="E30" s="213"/>
      <c r="F30" s="213">
        <f>('Tabell 6'!AI58+'Tabell 6'!AI59+'Tabell 6'!AI61)/('Tabell 6'!AI60+'Tabell 6'!AI61)*100</f>
        <v>6.5153209562066813E-2</v>
      </c>
      <c r="G30" s="213">
        <f>('Tabell 6'!AJ58+'Tabell 6'!AJ59+'Tabell 6'!AJ61)/('Tabell 6'!AJ60+'Tabell 6'!AJ61)*100</f>
        <v>1.0347141894861425</v>
      </c>
      <c r="H30" s="213">
        <f t="shared" si="1"/>
        <v>999</v>
      </c>
      <c r="I30" s="136"/>
      <c r="J30" s="48"/>
    </row>
    <row r="31" spans="1:10" ht="18.75" customHeight="1" x14ac:dyDescent="0.3">
      <c r="A31" s="77"/>
      <c r="B31" s="133"/>
      <c r="C31" s="133"/>
      <c r="D31" s="212"/>
      <c r="E31" s="212"/>
      <c r="F31" s="212"/>
      <c r="G31" s="213"/>
      <c r="H31" s="213"/>
      <c r="I31" s="136"/>
      <c r="J31" s="48"/>
    </row>
    <row r="32" spans="1:10" ht="18.75" customHeight="1" x14ac:dyDescent="0.3">
      <c r="A32" s="103" t="s">
        <v>2</v>
      </c>
      <c r="B32" s="78">
        <f>SUM(B33:B38)</f>
        <v>2297193.6982350405</v>
      </c>
      <c r="C32" s="78">
        <f>SUM(C33:C38)</f>
        <v>2441957.1508507002</v>
      </c>
      <c r="D32" s="210">
        <f t="shared" si="0"/>
        <v>6.3</v>
      </c>
      <c r="E32" s="210"/>
      <c r="F32" s="210">
        <f>SUM(F33:F38)</f>
        <v>100</v>
      </c>
      <c r="G32" s="210">
        <f>SUM(G33:G38)</f>
        <v>99.999999999999986</v>
      </c>
      <c r="H32" s="211">
        <f t="shared" si="1"/>
        <v>0</v>
      </c>
      <c r="I32" s="136"/>
      <c r="J32" s="48"/>
    </row>
    <row r="33" spans="1:10" ht="18.75" customHeight="1" x14ac:dyDescent="0.3">
      <c r="A33" s="77" t="s">
        <v>145</v>
      </c>
      <c r="B33" s="75">
        <f t="shared" ref="B33:C38" si="2">B9+B17+B25</f>
        <v>825988.45864662598</v>
      </c>
      <c r="C33" s="75">
        <f t="shared" si="2"/>
        <v>892168.14249657001</v>
      </c>
      <c r="D33" s="212">
        <f t="shared" si="0"/>
        <v>8</v>
      </c>
      <c r="E33" s="212"/>
      <c r="F33" s="212">
        <f>B33/B32*100</f>
        <v>35.956413221977847</v>
      </c>
      <c r="G33" s="212">
        <f>C33/C32*100</f>
        <v>36.534963039206772</v>
      </c>
      <c r="H33" s="213">
        <f t="shared" si="1"/>
        <v>1.6</v>
      </c>
      <c r="I33" s="136"/>
      <c r="J33" s="48"/>
    </row>
    <row r="34" spans="1:10" ht="18.75" customHeight="1" x14ac:dyDescent="0.3">
      <c r="A34" s="77" t="s">
        <v>400</v>
      </c>
      <c r="B34" s="75">
        <f t="shared" si="2"/>
        <v>624910.49968453532</v>
      </c>
      <c r="C34" s="75">
        <f t="shared" si="2"/>
        <v>669889.30868870986</v>
      </c>
      <c r="D34" s="212">
        <f t="shared" si="0"/>
        <v>7.2</v>
      </c>
      <c r="E34" s="212"/>
      <c r="F34" s="212">
        <f>B34/B32*100</f>
        <v>27.203213214656692</v>
      </c>
      <c r="G34" s="212">
        <f>C34/C32*100</f>
        <v>27.432475973435562</v>
      </c>
      <c r="H34" s="213">
        <f t="shared" si="1"/>
        <v>0.8</v>
      </c>
      <c r="I34" s="136"/>
      <c r="J34" s="48"/>
    </row>
    <row r="35" spans="1:10" ht="18.75" customHeight="1" x14ac:dyDescent="0.3">
      <c r="A35" s="77" t="s">
        <v>146</v>
      </c>
      <c r="B35" s="75">
        <f t="shared" si="2"/>
        <v>1333.3062755600001</v>
      </c>
      <c r="C35" s="75">
        <f t="shared" si="2"/>
        <v>1361.4125066300003</v>
      </c>
      <c r="D35" s="212">
        <f t="shared" si="0"/>
        <v>2.1</v>
      </c>
      <c r="E35" s="212"/>
      <c r="F35" s="212">
        <f>B35/B32*100</f>
        <v>5.8040655282329656E-2</v>
      </c>
      <c r="G35" s="212">
        <f>C35/C32*100</f>
        <v>5.5750876142758178E-2</v>
      </c>
      <c r="H35" s="213">
        <f t="shared" si="1"/>
        <v>-3.9</v>
      </c>
      <c r="I35" s="136"/>
      <c r="J35" s="48"/>
    </row>
    <row r="36" spans="1:10" ht="18.75" customHeight="1" x14ac:dyDescent="0.3">
      <c r="A36" s="77" t="s">
        <v>147</v>
      </c>
      <c r="B36" s="75">
        <f t="shared" si="2"/>
        <v>211998.82538813198</v>
      </c>
      <c r="C36" s="75">
        <f t="shared" si="2"/>
        <v>219789.31579223002</v>
      </c>
      <c r="D36" s="212">
        <f t="shared" si="0"/>
        <v>3.7</v>
      </c>
      <c r="E36" s="212"/>
      <c r="F36" s="212">
        <f>B36/B32*100</f>
        <v>9.2286003374906098</v>
      </c>
      <c r="G36" s="212">
        <f>C36/C32*100</f>
        <v>9.000539412235895</v>
      </c>
      <c r="H36" s="213">
        <f t="shared" si="1"/>
        <v>-2.5</v>
      </c>
      <c r="I36" s="136"/>
      <c r="J36" s="48"/>
    </row>
    <row r="37" spans="1:10" ht="18.75" customHeight="1" x14ac:dyDescent="0.3">
      <c r="A37" s="77" t="s">
        <v>148</v>
      </c>
      <c r="B37" s="75">
        <f t="shared" si="2"/>
        <v>566876.89594919013</v>
      </c>
      <c r="C37" s="75">
        <f t="shared" si="2"/>
        <v>581837.4053136101</v>
      </c>
      <c r="D37" s="212">
        <f t="shared" si="0"/>
        <v>2.6</v>
      </c>
      <c r="E37" s="212"/>
      <c r="F37" s="212">
        <f>B37/B32*100</f>
        <v>24.676930656075193</v>
      </c>
      <c r="G37" s="212">
        <f>C37/C32*100</f>
        <v>23.826683654580773</v>
      </c>
      <c r="H37" s="213">
        <f t="shared" si="1"/>
        <v>-3.4</v>
      </c>
      <c r="I37" s="136"/>
      <c r="J37" s="48"/>
    </row>
    <row r="38" spans="1:10" ht="18.75" customHeight="1" x14ac:dyDescent="0.3">
      <c r="A38" s="214" t="s">
        <v>149</v>
      </c>
      <c r="B38" s="215">
        <f t="shared" si="2"/>
        <v>66085.71229099718</v>
      </c>
      <c r="C38" s="215">
        <f t="shared" si="2"/>
        <v>76911.566052949958</v>
      </c>
      <c r="D38" s="216">
        <f t="shared" si="0"/>
        <v>16.399999999999999</v>
      </c>
      <c r="E38" s="212"/>
      <c r="F38" s="216">
        <f>B38/B32*100</f>
        <v>2.8768019145173334</v>
      </c>
      <c r="G38" s="216">
        <f>C38/C32*100</f>
        <v>3.1495870443982366</v>
      </c>
      <c r="H38" s="217">
        <f t="shared" si="1"/>
        <v>9.5</v>
      </c>
      <c r="I38" s="136"/>
      <c r="J38" s="48"/>
    </row>
    <row r="39" spans="1:10" ht="18.75" customHeight="1" x14ac:dyDescent="0.3">
      <c r="A39" s="48"/>
      <c r="B39" s="48"/>
      <c r="C39" s="48"/>
      <c r="D39" s="48"/>
      <c r="E39" s="48"/>
      <c r="F39" s="136"/>
      <c r="G39" s="136"/>
      <c r="H39" s="136"/>
      <c r="I39" s="136"/>
      <c r="J39" s="48"/>
    </row>
    <row r="40" spans="1:10" ht="18.75" customHeight="1" x14ac:dyDescent="0.3">
      <c r="A40" s="48" t="s">
        <v>152</v>
      </c>
      <c r="B40" s="48"/>
      <c r="C40" s="48"/>
      <c r="D40" s="48"/>
      <c r="E40" s="48"/>
      <c r="F40" s="136"/>
      <c r="G40" s="136"/>
      <c r="H40" s="136"/>
      <c r="I40" s="136"/>
      <c r="J40" s="48"/>
    </row>
    <row r="41" spans="1:10" ht="18.75" x14ac:dyDescent="0.3">
      <c r="A41" s="48" t="s">
        <v>95</v>
      </c>
      <c r="B41" s="48"/>
      <c r="C41" s="48"/>
      <c r="D41" s="48"/>
      <c r="E41" s="48"/>
      <c r="F41" s="48"/>
      <c r="G41" s="48"/>
      <c r="H41" s="48"/>
      <c r="I41" s="48"/>
      <c r="J41" s="48"/>
    </row>
    <row r="42" spans="1:10" ht="18.75" x14ac:dyDescent="0.3">
      <c r="A42" s="48"/>
      <c r="B42" s="48"/>
      <c r="C42" s="48"/>
      <c r="D42" s="48"/>
      <c r="E42" s="48"/>
      <c r="G42" s="48"/>
      <c r="H42" s="48"/>
      <c r="I42" s="48"/>
      <c r="J42" s="48"/>
    </row>
    <row r="43" spans="1:10" ht="18.75" x14ac:dyDescent="0.3">
      <c r="A43" s="48"/>
      <c r="B43" s="48"/>
      <c r="C43" s="48"/>
      <c r="D43" s="48"/>
      <c r="E43" s="48"/>
      <c r="F43" s="48"/>
      <c r="G43" s="48"/>
      <c r="H43" s="48"/>
      <c r="I43" s="48"/>
      <c r="J43" s="48"/>
    </row>
    <row r="44" spans="1:10" ht="18.75" x14ac:dyDescent="0.3">
      <c r="A44" s="48"/>
      <c r="B44" s="48"/>
      <c r="C44" s="48"/>
      <c r="D44" s="48"/>
      <c r="E44" s="48"/>
      <c r="F44" s="48"/>
      <c r="G44" s="48"/>
      <c r="H44" s="48"/>
      <c r="I44" s="48"/>
      <c r="J44" s="48"/>
    </row>
    <row r="45" spans="1:10" ht="18.75" x14ac:dyDescent="0.3">
      <c r="A45" s="48"/>
      <c r="B45" s="48"/>
      <c r="C45" s="48"/>
      <c r="D45" s="48"/>
      <c r="E45" s="48"/>
      <c r="F45" s="48"/>
      <c r="G45" s="48"/>
      <c r="H45" s="48"/>
      <c r="I45" s="48"/>
      <c r="J45" s="48"/>
    </row>
    <row r="46" spans="1:10" ht="18.75" x14ac:dyDescent="0.3">
      <c r="A46" s="48"/>
      <c r="B46" s="48"/>
      <c r="C46" s="48"/>
      <c r="D46" s="48"/>
      <c r="E46" s="48"/>
      <c r="F46" s="48"/>
      <c r="G46" s="48"/>
      <c r="H46" s="48"/>
      <c r="I46" s="48"/>
      <c r="J46" s="48"/>
    </row>
    <row r="47" spans="1:10" ht="18.75" x14ac:dyDescent="0.3">
      <c r="A47" s="48"/>
      <c r="B47" s="48"/>
      <c r="C47" s="48"/>
      <c r="D47" s="48"/>
      <c r="E47" s="48"/>
      <c r="F47" s="48"/>
      <c r="G47" s="48"/>
      <c r="H47" s="48"/>
      <c r="I47" s="48"/>
      <c r="J47" s="48"/>
    </row>
    <row r="48" spans="1:10" ht="18.75" x14ac:dyDescent="0.3">
      <c r="A48" s="48"/>
      <c r="B48" s="48"/>
      <c r="C48" s="48"/>
      <c r="D48" s="48"/>
      <c r="E48" s="48"/>
      <c r="F48" s="48"/>
      <c r="G48" s="48"/>
      <c r="H48" s="48"/>
      <c r="I48" s="48"/>
      <c r="J48" s="48"/>
    </row>
    <row r="49" spans="1:10" ht="18.75" x14ac:dyDescent="0.3">
      <c r="A49" s="48"/>
      <c r="B49" s="48"/>
      <c r="C49" s="48"/>
      <c r="D49" s="48"/>
      <c r="E49" s="48"/>
      <c r="F49" s="48"/>
      <c r="G49" s="48"/>
      <c r="H49" s="48"/>
      <c r="I49" s="48"/>
      <c r="J49" s="48"/>
    </row>
    <row r="50" spans="1:10" ht="18.75" x14ac:dyDescent="0.3">
      <c r="A50" s="48"/>
      <c r="B50" s="48"/>
      <c r="C50" s="48"/>
      <c r="D50" s="48"/>
      <c r="E50" s="48"/>
      <c r="F50" s="48"/>
      <c r="G50" s="48"/>
      <c r="H50" s="48"/>
      <c r="I50" s="48"/>
      <c r="J50" s="48"/>
    </row>
    <row r="51" spans="1:10" ht="18.75" x14ac:dyDescent="0.3">
      <c r="A51" s="48"/>
      <c r="B51" s="48"/>
      <c r="C51" s="48"/>
      <c r="D51" s="48"/>
      <c r="E51" s="48"/>
      <c r="F51" s="48"/>
      <c r="G51" s="48"/>
      <c r="H51" s="48"/>
      <c r="I51" s="48"/>
      <c r="J51" s="48"/>
    </row>
    <row r="52" spans="1:10" ht="18.75" x14ac:dyDescent="0.3">
      <c r="A52" s="48"/>
      <c r="B52" s="48"/>
      <c r="C52" s="48"/>
      <c r="D52" s="48"/>
      <c r="E52" s="48"/>
      <c r="F52" s="48"/>
      <c r="G52" s="48"/>
      <c r="H52" s="48"/>
      <c r="I52" s="48"/>
      <c r="J52" s="48"/>
    </row>
    <row r="53" spans="1:10" ht="18.75" x14ac:dyDescent="0.3">
      <c r="A53" s="48"/>
      <c r="B53" s="48"/>
      <c r="C53" s="48"/>
      <c r="D53" s="48"/>
      <c r="E53" s="48"/>
      <c r="F53" s="48"/>
      <c r="G53" s="48"/>
      <c r="H53" s="48"/>
      <c r="I53" s="48"/>
      <c r="J53" s="48"/>
    </row>
    <row r="54" spans="1:10" ht="18.75" x14ac:dyDescent="0.3">
      <c r="A54" s="48"/>
      <c r="B54" s="48"/>
      <c r="C54" s="48"/>
      <c r="D54" s="48"/>
      <c r="E54" s="48"/>
      <c r="F54" s="48"/>
      <c r="G54" s="48"/>
      <c r="H54" s="48"/>
      <c r="I54" s="48"/>
      <c r="J54" s="48"/>
    </row>
    <row r="55" spans="1:10" ht="18.75" x14ac:dyDescent="0.3">
      <c r="A55" s="48"/>
      <c r="B55" s="48"/>
      <c r="C55" s="48"/>
      <c r="D55" s="48"/>
      <c r="E55" s="48"/>
      <c r="F55" s="48"/>
      <c r="G55" s="48"/>
      <c r="H55" s="48"/>
      <c r="I55" s="48"/>
      <c r="J55" s="48"/>
    </row>
    <row r="56" spans="1:10" ht="18.75" x14ac:dyDescent="0.3">
      <c r="A56" s="48"/>
      <c r="B56" s="48"/>
      <c r="C56" s="48"/>
      <c r="D56" s="48"/>
      <c r="E56" s="48"/>
      <c r="F56" s="48"/>
      <c r="G56" s="48"/>
      <c r="H56" s="48"/>
      <c r="I56" s="48"/>
      <c r="J56" s="48"/>
    </row>
    <row r="57" spans="1:10" ht="18.75" x14ac:dyDescent="0.3">
      <c r="A57" s="48"/>
      <c r="B57" s="48"/>
      <c r="C57" s="48"/>
      <c r="D57" s="48"/>
      <c r="E57" s="48"/>
      <c r="F57" s="48"/>
      <c r="G57" s="48"/>
      <c r="H57" s="48"/>
      <c r="I57" s="48"/>
      <c r="J57" s="48"/>
    </row>
    <row r="58" spans="1:10" ht="18.75" x14ac:dyDescent="0.3">
      <c r="A58" s="48"/>
      <c r="B58" s="48"/>
      <c r="C58" s="48"/>
      <c r="D58" s="48"/>
      <c r="E58" s="48"/>
      <c r="F58" s="48"/>
      <c r="G58" s="48"/>
      <c r="H58" s="48"/>
      <c r="I58" s="48"/>
      <c r="J58" s="48"/>
    </row>
    <row r="59" spans="1:10" ht="18.75" x14ac:dyDescent="0.3">
      <c r="A59" s="48"/>
      <c r="B59" s="48"/>
      <c r="C59" s="48"/>
      <c r="D59" s="48"/>
      <c r="E59" s="48"/>
      <c r="F59" s="48"/>
      <c r="G59" s="48"/>
      <c r="H59" s="48"/>
      <c r="I59" s="48"/>
      <c r="J59" s="48"/>
    </row>
    <row r="60" spans="1:10" ht="18.75" x14ac:dyDescent="0.3">
      <c r="A60" s="48"/>
      <c r="B60" s="48"/>
      <c r="C60" s="48"/>
      <c r="D60" s="48"/>
      <c r="E60" s="48"/>
      <c r="F60" s="48"/>
      <c r="G60" s="48"/>
      <c r="H60" s="48"/>
      <c r="I60" s="48"/>
      <c r="J60" s="48"/>
    </row>
    <row r="61" spans="1:10" ht="18.75" x14ac:dyDescent="0.3">
      <c r="A61" s="48"/>
      <c r="B61" s="48"/>
      <c r="C61" s="48"/>
      <c r="D61" s="48"/>
      <c r="E61" s="48"/>
      <c r="F61" s="48"/>
      <c r="G61" s="48"/>
      <c r="H61" s="48"/>
      <c r="I61" s="48"/>
      <c r="J61" s="48"/>
    </row>
    <row r="62" spans="1:10" ht="18.75" x14ac:dyDescent="0.3">
      <c r="A62" s="48"/>
      <c r="B62" s="48"/>
      <c r="C62" s="48"/>
      <c r="D62" s="48"/>
      <c r="E62" s="48"/>
      <c r="F62" s="48"/>
      <c r="G62" s="48"/>
      <c r="H62" s="48"/>
      <c r="I62" s="48"/>
      <c r="J62" s="48"/>
    </row>
    <row r="63" spans="1:10" ht="18.75" x14ac:dyDescent="0.3">
      <c r="A63" s="48"/>
      <c r="B63" s="48"/>
      <c r="C63" s="48"/>
      <c r="D63" s="48"/>
      <c r="E63" s="48"/>
      <c r="F63" s="48"/>
      <c r="G63" s="48"/>
      <c r="H63" s="48"/>
      <c r="I63" s="48"/>
      <c r="J63" s="48"/>
    </row>
    <row r="64" spans="1:10" ht="18.75" x14ac:dyDescent="0.3">
      <c r="A64" s="48"/>
      <c r="B64" s="48"/>
      <c r="C64" s="48"/>
      <c r="D64" s="48"/>
      <c r="E64" s="48"/>
      <c r="F64" s="48"/>
      <c r="G64" s="48"/>
      <c r="H64" s="48"/>
      <c r="I64" s="48"/>
      <c r="J64" s="48"/>
    </row>
    <row r="65" spans="1:10" ht="18.75" x14ac:dyDescent="0.3">
      <c r="A65" s="48"/>
      <c r="B65" s="48"/>
      <c r="C65" s="48"/>
      <c r="D65" s="48"/>
      <c r="E65" s="48"/>
      <c r="F65" s="48"/>
      <c r="G65" s="48"/>
      <c r="H65" s="48"/>
      <c r="I65" s="48"/>
      <c r="J65" s="48"/>
    </row>
    <row r="66" spans="1:10" ht="18.75" x14ac:dyDescent="0.3">
      <c r="A66" s="48"/>
      <c r="B66" s="48"/>
      <c r="C66" s="48"/>
      <c r="D66" s="48"/>
      <c r="E66" s="48"/>
      <c r="F66" s="48"/>
      <c r="G66" s="48"/>
      <c r="H66" s="48"/>
      <c r="I66" s="48"/>
      <c r="J66" s="48"/>
    </row>
    <row r="67" spans="1:10" ht="18.75" x14ac:dyDescent="0.3">
      <c r="A67" s="48"/>
      <c r="B67" s="48"/>
      <c r="C67" s="48"/>
      <c r="D67" s="48"/>
      <c r="E67" s="48"/>
      <c r="F67" s="48"/>
      <c r="G67" s="48"/>
      <c r="H67" s="48"/>
      <c r="I67" s="48"/>
      <c r="J67" s="48"/>
    </row>
    <row r="68" spans="1:10" ht="18.75" x14ac:dyDescent="0.3">
      <c r="A68" s="48"/>
      <c r="B68" s="48"/>
      <c r="C68" s="48"/>
      <c r="D68" s="48"/>
      <c r="E68" s="48"/>
      <c r="F68" s="48"/>
      <c r="G68" s="48"/>
      <c r="H68" s="48"/>
      <c r="I68" s="48"/>
      <c r="J68" s="48"/>
    </row>
    <row r="69" spans="1:10" ht="18.75" x14ac:dyDescent="0.3">
      <c r="A69" s="48"/>
      <c r="B69" s="48"/>
      <c r="C69" s="48"/>
      <c r="D69" s="48"/>
      <c r="E69" s="48"/>
      <c r="F69" s="48"/>
      <c r="G69" s="48"/>
      <c r="H69" s="48"/>
      <c r="I69" s="48"/>
      <c r="J69" s="48"/>
    </row>
    <row r="70" spans="1:10" ht="18.75" x14ac:dyDescent="0.3">
      <c r="A70" s="48"/>
      <c r="B70" s="48"/>
      <c r="C70" s="48"/>
      <c r="D70" s="48"/>
      <c r="E70" s="48"/>
      <c r="F70" s="48"/>
      <c r="G70" s="48"/>
      <c r="H70" s="48"/>
      <c r="I70" s="48"/>
      <c r="J70" s="48"/>
    </row>
    <row r="71" spans="1:10" ht="18.75" x14ac:dyDescent="0.3">
      <c r="A71" s="48"/>
      <c r="B71" s="48"/>
      <c r="C71" s="48"/>
      <c r="D71" s="48"/>
      <c r="E71" s="48"/>
      <c r="F71" s="48"/>
      <c r="G71" s="48"/>
      <c r="H71" s="48"/>
      <c r="I71" s="48"/>
      <c r="J71" s="48"/>
    </row>
    <row r="72" spans="1:10" ht="18.75" x14ac:dyDescent="0.3">
      <c r="A72" s="48"/>
      <c r="B72" s="48"/>
      <c r="C72" s="48"/>
      <c r="D72" s="48"/>
      <c r="E72" s="48"/>
      <c r="F72" s="48"/>
      <c r="G72" s="48"/>
      <c r="H72" s="48"/>
      <c r="I72" s="48"/>
      <c r="J72" s="48"/>
    </row>
    <row r="73" spans="1:10" ht="18.75" x14ac:dyDescent="0.3">
      <c r="A73" s="48"/>
      <c r="B73" s="48"/>
      <c r="C73" s="48"/>
      <c r="D73" s="48"/>
      <c r="E73" s="48"/>
      <c r="F73" s="48"/>
      <c r="G73" s="48"/>
      <c r="H73" s="48"/>
      <c r="I73" s="48"/>
      <c r="J73" s="48"/>
    </row>
    <row r="74" spans="1:10" ht="18.75" x14ac:dyDescent="0.3">
      <c r="A74" s="48"/>
      <c r="B74" s="48"/>
      <c r="C74" s="48"/>
      <c r="D74" s="48"/>
      <c r="E74" s="48"/>
      <c r="F74" s="48"/>
      <c r="G74" s="48"/>
      <c r="H74" s="48"/>
      <c r="I74" s="48"/>
      <c r="J74" s="48"/>
    </row>
    <row r="75" spans="1:10" ht="18.75" x14ac:dyDescent="0.3">
      <c r="A75" s="48"/>
      <c r="B75" s="48"/>
      <c r="C75" s="48"/>
      <c r="D75" s="48"/>
      <c r="E75" s="48"/>
      <c r="F75" s="48"/>
      <c r="G75" s="48"/>
      <c r="H75" s="48"/>
      <c r="I75" s="48"/>
      <c r="J75" s="48"/>
    </row>
    <row r="76" spans="1:10" ht="18.75" x14ac:dyDescent="0.3">
      <c r="A76" s="48"/>
      <c r="B76" s="48"/>
      <c r="C76" s="48"/>
      <c r="D76" s="48"/>
      <c r="E76" s="48"/>
      <c r="F76" s="48"/>
      <c r="G76" s="48"/>
      <c r="H76" s="48"/>
      <c r="I76" s="48"/>
      <c r="J76" s="48"/>
    </row>
    <row r="77" spans="1:10" ht="18.75" x14ac:dyDescent="0.3">
      <c r="A77" s="48"/>
      <c r="B77" s="48"/>
      <c r="C77" s="48"/>
      <c r="D77" s="48"/>
      <c r="E77" s="48"/>
      <c r="F77" s="48"/>
      <c r="G77" s="48"/>
      <c r="H77" s="48"/>
      <c r="I77" s="48"/>
      <c r="J77" s="48"/>
    </row>
    <row r="78" spans="1:10" ht="18.75" x14ac:dyDescent="0.3">
      <c r="A78" s="48"/>
      <c r="B78" s="48"/>
      <c r="C78" s="48"/>
      <c r="D78" s="48"/>
      <c r="E78" s="48"/>
      <c r="F78" s="48"/>
      <c r="G78" s="48"/>
      <c r="H78" s="48"/>
      <c r="I78" s="48"/>
      <c r="J78" s="48"/>
    </row>
    <row r="79" spans="1:10" ht="18.75" x14ac:dyDescent="0.3">
      <c r="A79" s="48"/>
      <c r="B79" s="48"/>
      <c r="C79" s="48"/>
      <c r="D79" s="48"/>
      <c r="E79" s="48"/>
      <c r="F79" s="48"/>
      <c r="G79" s="48"/>
      <c r="H79" s="48"/>
      <c r="I79" s="48"/>
      <c r="J79" s="48"/>
    </row>
    <row r="80" spans="1:10" ht="18.75" x14ac:dyDescent="0.3">
      <c r="A80" s="48"/>
      <c r="B80" s="48"/>
      <c r="C80" s="48"/>
      <c r="D80" s="48"/>
      <c r="E80" s="48"/>
      <c r="F80" s="48"/>
      <c r="G80" s="48"/>
      <c r="H80" s="48"/>
      <c r="I80" s="48"/>
      <c r="J80" s="48"/>
    </row>
    <row r="81" spans="1:10" ht="18.75" x14ac:dyDescent="0.3">
      <c r="A81" s="48"/>
      <c r="B81" s="48"/>
      <c r="C81" s="48"/>
      <c r="D81" s="48"/>
      <c r="E81" s="48"/>
      <c r="F81" s="48"/>
      <c r="G81" s="48"/>
      <c r="H81" s="48"/>
      <c r="I81" s="48"/>
      <c r="J81" s="48"/>
    </row>
    <row r="82" spans="1:10" ht="18.75" x14ac:dyDescent="0.3">
      <c r="A82" s="48"/>
      <c r="B82" s="48"/>
      <c r="C82" s="48"/>
      <c r="D82" s="48"/>
      <c r="E82" s="48"/>
      <c r="F82" s="48"/>
      <c r="G82" s="48"/>
      <c r="H82" s="48"/>
      <c r="I82" s="48"/>
      <c r="J82" s="48"/>
    </row>
    <row r="83" spans="1:10" ht="18.75" x14ac:dyDescent="0.3">
      <c r="A83" s="48"/>
      <c r="B83" s="48"/>
      <c r="C83" s="48"/>
      <c r="D83" s="48"/>
      <c r="E83" s="48"/>
      <c r="F83" s="48"/>
      <c r="G83" s="48"/>
      <c r="H83" s="48"/>
      <c r="I83" s="48"/>
      <c r="J83" s="48"/>
    </row>
    <row r="84" spans="1:10" ht="18.75" x14ac:dyDescent="0.3">
      <c r="A84" s="48"/>
      <c r="B84" s="48"/>
      <c r="C84" s="48"/>
      <c r="D84" s="48"/>
      <c r="E84" s="48"/>
      <c r="F84" s="48"/>
      <c r="G84" s="48"/>
      <c r="H84" s="48"/>
      <c r="I84" s="48"/>
      <c r="J84" s="48"/>
    </row>
    <row r="85" spans="1:10" ht="18.75" x14ac:dyDescent="0.3">
      <c r="A85" s="48"/>
      <c r="B85" s="48"/>
      <c r="C85" s="48"/>
      <c r="D85" s="48"/>
      <c r="E85" s="48"/>
      <c r="F85" s="48"/>
      <c r="G85" s="48"/>
      <c r="H85" s="48"/>
      <c r="I85" s="48"/>
      <c r="J85" s="48"/>
    </row>
    <row r="86" spans="1:10" ht="18.75" x14ac:dyDescent="0.3">
      <c r="A86" s="48"/>
      <c r="B86" s="48"/>
      <c r="C86" s="48"/>
      <c r="D86" s="48"/>
      <c r="E86" s="48"/>
      <c r="F86" s="48"/>
      <c r="G86" s="48"/>
      <c r="H86" s="48"/>
      <c r="I86" s="48"/>
      <c r="J86" s="48"/>
    </row>
    <row r="87" spans="1:10" ht="18.75" x14ac:dyDescent="0.3">
      <c r="A87" s="48"/>
      <c r="B87" s="48"/>
      <c r="C87" s="48"/>
      <c r="D87" s="48"/>
      <c r="E87" s="48"/>
      <c r="F87" s="48"/>
      <c r="G87" s="48"/>
      <c r="H87" s="48"/>
      <c r="I87" s="48"/>
      <c r="J87" s="48"/>
    </row>
    <row r="88" spans="1:10" ht="18.75" x14ac:dyDescent="0.3">
      <c r="A88" s="48"/>
      <c r="B88" s="48"/>
      <c r="C88" s="48"/>
      <c r="D88" s="48"/>
      <c r="E88" s="48"/>
      <c r="F88" s="48"/>
      <c r="G88" s="48"/>
      <c r="H88" s="48"/>
      <c r="I88" s="48"/>
      <c r="J88" s="48"/>
    </row>
    <row r="89" spans="1:10" ht="18.75" x14ac:dyDescent="0.3">
      <c r="A89" s="48"/>
      <c r="B89" s="48"/>
      <c r="C89" s="48"/>
      <c r="D89" s="48"/>
      <c r="E89" s="48"/>
      <c r="F89" s="48"/>
      <c r="G89" s="48"/>
      <c r="H89" s="48"/>
      <c r="I89" s="48"/>
      <c r="J89" s="48"/>
    </row>
    <row r="90" spans="1:10" ht="18.75" x14ac:dyDescent="0.3">
      <c r="A90" s="48"/>
      <c r="B90" s="48"/>
      <c r="C90" s="48"/>
      <c r="D90" s="48"/>
      <c r="E90" s="48"/>
      <c r="F90" s="48"/>
      <c r="G90" s="48"/>
      <c r="H90" s="48"/>
      <c r="I90" s="48"/>
      <c r="J90" s="48"/>
    </row>
    <row r="91" spans="1:10" ht="18.75" x14ac:dyDescent="0.3">
      <c r="A91" s="48"/>
      <c r="B91" s="48"/>
      <c r="C91" s="48"/>
      <c r="D91" s="48"/>
      <c r="E91" s="48"/>
      <c r="F91" s="48"/>
      <c r="G91" s="48"/>
      <c r="H91" s="48"/>
      <c r="I91" s="48"/>
      <c r="J91" s="48"/>
    </row>
    <row r="92" spans="1:10" ht="18.75" x14ac:dyDescent="0.3">
      <c r="A92" s="48"/>
      <c r="B92" s="48"/>
      <c r="C92" s="48"/>
      <c r="D92" s="48"/>
      <c r="E92" s="48"/>
      <c r="F92" s="48"/>
      <c r="G92" s="48"/>
      <c r="H92" s="48"/>
      <c r="I92" s="48"/>
      <c r="J92" s="48"/>
    </row>
  </sheetData>
  <mergeCells count="4">
    <mergeCell ref="B4:D4"/>
    <mergeCell ref="F4:H4"/>
    <mergeCell ref="B5:D5"/>
    <mergeCell ref="F5:H5"/>
  </mergeCells>
  <hyperlinks>
    <hyperlink ref="B1" location="Innhold!A1" display="Tilbake" xr:uid="{F3E75261-2AE4-411B-B0FA-C74A0CB898BF}"/>
  </hyperlinks>
  <pageMargins left="0.70866141732283472" right="0.70866141732283472" top="0.74803149606299213" bottom="0.74803149606299213" header="0.31496062992125984" footer="0.31496062992125984"/>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M303"/>
  <sheetViews>
    <sheetView showGridLines="0" showZeros="0" zoomScaleNormal="100" zoomScaleSheetLayoutView="80" workbookViewId="0">
      <pane xSplit="1" ySplit="1" topLeftCell="B2" activePane="bottomRight" state="frozen"/>
      <selection activeCell="J44" sqref="J44"/>
      <selection pane="topRight" activeCell="J44" sqref="J44"/>
      <selection pane="bottomLeft" activeCell="J44" sqref="J44"/>
      <selection pane="bottomRight"/>
    </sheetView>
  </sheetViews>
  <sheetFormatPr baseColWidth="10" defaultColWidth="11.42578125" defaultRowHeight="12.75" x14ac:dyDescent="0.2"/>
  <cols>
    <col min="1" max="1" width="57.28515625" style="1" customWidth="1"/>
    <col min="2" max="3" width="10.7109375" style="1" customWidth="1"/>
    <col min="4" max="4" width="8.7109375" style="1" customWidth="1"/>
    <col min="5" max="6" width="10.7109375" style="1" customWidth="1"/>
    <col min="7" max="7" width="8.7109375" style="1" customWidth="1"/>
    <col min="8" max="8" width="10.7109375" style="1" customWidth="1"/>
    <col min="9" max="9" width="12.28515625" style="1" bestFit="1" customWidth="1"/>
    <col min="10" max="10" width="8.7109375" style="1" customWidth="1"/>
    <col min="11" max="16384" width="11.42578125" style="1"/>
  </cols>
  <sheetData>
    <row r="1" spans="1:13" ht="15.75" customHeight="1" x14ac:dyDescent="0.2">
      <c r="A1" s="284">
        <v>4</v>
      </c>
    </row>
    <row r="2" spans="1:13" ht="15.75" customHeight="1" x14ac:dyDescent="0.25">
      <c r="A2" s="110" t="s">
        <v>28</v>
      </c>
      <c r="B2" s="572"/>
      <c r="C2" s="572"/>
      <c r="D2" s="572"/>
      <c r="E2" s="572"/>
      <c r="F2" s="572"/>
      <c r="G2" s="572"/>
      <c r="H2" s="572"/>
      <c r="I2" s="572"/>
      <c r="J2" s="572"/>
    </row>
    <row r="3" spans="1:13" ht="15.75" customHeight="1" x14ac:dyDescent="0.25">
      <c r="A3" s="122"/>
      <c r="B3" s="239"/>
      <c r="C3" s="239"/>
      <c r="D3" s="239"/>
      <c r="E3" s="239"/>
      <c r="F3" s="239"/>
      <c r="G3" s="239"/>
      <c r="H3" s="239"/>
      <c r="I3" s="239"/>
      <c r="J3" s="239"/>
    </row>
    <row r="4" spans="1:13" ht="15.75" customHeight="1" x14ac:dyDescent="0.2">
      <c r="A4" s="108"/>
      <c r="B4" s="569" t="s">
        <v>0</v>
      </c>
      <c r="C4" s="570"/>
      <c r="D4" s="570"/>
      <c r="E4" s="569" t="s">
        <v>1</v>
      </c>
      <c r="F4" s="570"/>
      <c r="G4" s="570"/>
      <c r="H4" s="569" t="s">
        <v>2</v>
      </c>
      <c r="I4" s="570"/>
      <c r="J4" s="571"/>
    </row>
    <row r="5" spans="1:13" ht="15.75" customHeight="1" x14ac:dyDescent="0.2">
      <c r="A5" s="117"/>
      <c r="B5" s="17" t="s">
        <v>417</v>
      </c>
      <c r="C5" s="17" t="s">
        <v>418</v>
      </c>
      <c r="D5" s="196" t="s">
        <v>3</v>
      </c>
      <c r="E5" s="17" t="s">
        <v>417</v>
      </c>
      <c r="F5" s="17" t="s">
        <v>418</v>
      </c>
      <c r="G5" s="196" t="s">
        <v>3</v>
      </c>
      <c r="H5" s="17" t="s">
        <v>417</v>
      </c>
      <c r="I5" s="17" t="s">
        <v>418</v>
      </c>
      <c r="J5" s="196" t="s">
        <v>3</v>
      </c>
    </row>
    <row r="6" spans="1:13" ht="15.75" customHeight="1" x14ac:dyDescent="0.2">
      <c r="A6" s="549"/>
      <c r="B6" s="12"/>
      <c r="C6" s="12"/>
      <c r="D6" s="14" t="s">
        <v>4</v>
      </c>
      <c r="E6" s="13"/>
      <c r="F6" s="13"/>
      <c r="G6" s="12" t="s">
        <v>4</v>
      </c>
      <c r="H6" s="13"/>
      <c r="I6" s="13"/>
      <c r="J6" s="12" t="s">
        <v>4</v>
      </c>
      <c r="M6" s="269"/>
    </row>
    <row r="7" spans="1:13" s="35" customFormat="1" ht="15.75" customHeight="1" x14ac:dyDescent="0.2">
      <c r="A7" s="11" t="s">
        <v>23</v>
      </c>
      <c r="B7" s="183">
        <f>'Fremtind Livsforsikring'!B7+'DNB Livsforsikring'!B7+'Eika Forsikring AS'!B7+'Frende Livsforsikring'!B7+'Frende Skadeforsikring'!B7+'Gjensidige Forsikring'!B7+'Gjensidige Pensjon'!B7+'If Skadeforsikring NUF'!B7+KLP!B7+'KLP Skadeforsikring AS'!B7+'Landkreditt Forsikring'!B7+'Nordea Liv '!B7+'Oslo Pensjonsforsikring'!B7+'Protector Forsikring'!B7+'Sparebank 1 Fors.'!B7+'Storebrand Livsforsikring'!B7+'Telenor Forsikring'!B7+'Tryg Forsikring'!B7+'WaterCircles F'!B7+'Euro Accident'!B7+'Ly Forsikring'!B7+'Youplus Livsforsikring'!B7+'Oslo Forsikring'!B7</f>
        <v>1916181.7461182389</v>
      </c>
      <c r="C7" s="183">
        <f>'Fremtind Livsforsikring'!C7+'DNB Livsforsikring'!C7+'Eika Forsikring AS'!C7+'Frende Livsforsikring'!C7+'Frende Skadeforsikring'!C7+'Gjensidige Forsikring'!C7+'Gjensidige Pensjon'!C7+'If Skadeforsikring NUF'!C7+KLP!C7+'KLP Skadeforsikring AS'!C7+'Landkreditt Forsikring'!C7+'Nordea Liv '!C7+'Oslo Pensjonsforsikring'!C7+'Protector Forsikring'!C7+'Sparebank 1 Fors.'!C7+'Storebrand Livsforsikring'!C7+'Telenor Forsikring'!C7+'Tryg Forsikring'!C7+'WaterCircles F'!C7+'Euro Accident'!C7+'Ly Forsikring'!C7+'Youplus Livsforsikring'!C7+'Oslo Forsikring'!C7</f>
        <v>2007693.8526482559</v>
      </c>
      <c r="D7" s="119">
        <f t="shared" ref="D7:D10" si="0">IF(B7=0, "    ---- ", IF(ABS(ROUND(100/B7*C7-100,1))&lt;999,ROUND(100/B7*C7-100,1),IF(ROUND(100/B7*C7-100,1)&gt;999,999,-999)))</f>
        <v>4.8</v>
      </c>
      <c r="E7" s="183">
        <f>'Fremtind Livsforsikring'!F7+'DNB Livsforsikring'!F7+'Eika Forsikring AS'!F7+'Frende Livsforsikring'!F7+'Frende Skadeforsikring'!F7+'Gjensidige Forsikring'!F7+'Gjensidige Pensjon'!F7+'If Skadeforsikring NUF'!F7+KLP!F7+'KLP Skadeforsikring AS'!F7+'Landkreditt Forsikring'!F7+'Nordea Liv '!F7+'Oslo Pensjonsforsikring'!F7+'Protector Forsikring'!F7+'Sparebank 1 Fors.'!F7+'Storebrand Livsforsikring'!F7+'Telenor Forsikring'!F7+'Tryg Forsikring'!F7+'WaterCircles F'!F7+'Euro Accident'!F7+'Ly Forsikring'!F7+'Youplus Livsforsikring'!F7+'Oslo Forsikring'!F7</f>
        <v>3913241.6555799996</v>
      </c>
      <c r="F7" s="183">
        <f>'Fremtind Livsforsikring'!G7+'DNB Livsforsikring'!G7+'Eika Forsikring AS'!G7+'Frende Livsforsikring'!G7+'Frende Skadeforsikring'!G7+'Gjensidige Forsikring'!G7+'Gjensidige Pensjon'!G7+'If Skadeforsikring NUF'!G7+KLP!G7+'KLP Skadeforsikring AS'!G7+'Landkreditt Forsikring'!G7+'Nordea Liv '!G7+'Oslo Pensjonsforsikring'!G7+'Protector Forsikring'!G7+'Sparebank 1 Fors.'!G7+'Storebrand Livsforsikring'!G7+'Telenor Forsikring'!G7+'Tryg Forsikring'!G7+'WaterCircles F'!G7+'Euro Accident'!G7+'Ly Forsikring'!G7+'Youplus Livsforsikring'!G7+'Oslo Forsikring'!G7</f>
        <v>2988485.3559699999</v>
      </c>
      <c r="G7" s="119">
        <f t="shared" ref="G7:G12" si="1">IF(E7=0, "    ---- ", IF(ABS(ROUND(100/E7*F7-100,1))&lt;999,ROUND(100/E7*F7-100,1),IF(ROUND(100/E7*F7-100,1)&gt;999,999,-999)))</f>
        <v>-23.6</v>
      </c>
      <c r="H7" s="222">
        <f t="shared" ref="H7:H12" si="2">B7+E7</f>
        <v>5829423.4016982382</v>
      </c>
      <c r="I7" s="223">
        <f t="shared" ref="I7:I12" si="3">C7+F7</f>
        <v>4996179.2086182553</v>
      </c>
      <c r="J7" s="127">
        <f t="shared" ref="J7:J12" si="4">IF(H7=0, "    ---- ", IF(ABS(ROUND(100/H7*I7-100,1))&lt;999,ROUND(100/H7*I7-100,1),IF(ROUND(100/H7*I7-100,1)&gt;999,999,-999)))</f>
        <v>-14.3</v>
      </c>
    </row>
    <row r="8" spans="1:13" ht="15.75" customHeight="1" x14ac:dyDescent="0.2">
      <c r="A8" s="18" t="s">
        <v>25</v>
      </c>
      <c r="B8" s="36">
        <f>'Fremtind Livsforsikring'!B8+'DNB Livsforsikring'!B8+'Eika Forsikring AS'!B8+'Frende Livsforsikring'!B8+'Frende Skadeforsikring'!B8+'Gjensidige Forsikring'!B8+'Gjensidige Pensjon'!B8+'If Skadeforsikring NUF'!B8+KLP!B8+'KLP Skadeforsikring AS'!B8+'Landkreditt Forsikring'!B8+'Nordea Liv '!B8+'Oslo Pensjonsforsikring'!B8+'Protector Forsikring'!B8+'Sparebank 1 Fors.'!B8+'Storebrand Livsforsikring'!B8+'Telenor Forsikring'!B8+'Tryg Forsikring'!B8+'WaterCircles F'!B8+'Euro Accident'!B8+'Ly Forsikring'!B8+'Youplus Livsforsikring'!B8+'Oslo Forsikring'!B8</f>
        <v>1293781.4133283962</v>
      </c>
      <c r="C8" s="36">
        <f>'Fremtind Livsforsikring'!C8+'DNB Livsforsikring'!C8+'Eika Forsikring AS'!C8+'Frende Livsforsikring'!C8+'Frende Skadeforsikring'!C8+'Gjensidige Forsikring'!C8+'Gjensidige Pensjon'!C8+'If Skadeforsikring NUF'!C8+KLP!C8+'KLP Skadeforsikring AS'!C8+'Landkreditt Forsikring'!C8+'Nordea Liv '!C8+'Oslo Pensjonsforsikring'!C8+'Protector Forsikring'!C8+'Sparebank 1 Fors.'!C8+'Storebrand Livsforsikring'!C8+'Telenor Forsikring'!C8+'Tryg Forsikring'!C8+'WaterCircles F'!C8+'Euro Accident'!C8+'Ly Forsikring'!C8+'Youplus Livsforsikring'!C8+'Oslo Forsikring'!C8</f>
        <v>1372619.4870149069</v>
      </c>
      <c r="D8" s="123">
        <f t="shared" si="0"/>
        <v>6.1</v>
      </c>
      <c r="E8" s="140"/>
      <c r="F8" s="140"/>
      <c r="G8" s="132"/>
      <c r="H8" s="141">
        <f t="shared" si="2"/>
        <v>1293781.4133283962</v>
      </c>
      <c r="I8" s="142">
        <f t="shared" si="3"/>
        <v>1372619.4870149069</v>
      </c>
      <c r="J8" s="127">
        <f t="shared" si="4"/>
        <v>6.1</v>
      </c>
    </row>
    <row r="9" spans="1:13" ht="15.75" customHeight="1" x14ac:dyDescent="0.2">
      <c r="A9" s="18" t="s">
        <v>24</v>
      </c>
      <c r="B9" s="36">
        <f>'Fremtind Livsforsikring'!B9+'DNB Livsforsikring'!B9+'Eika Forsikring AS'!B9+'Frende Livsforsikring'!B9+'Frende Skadeforsikring'!B9+'Gjensidige Forsikring'!B9+'Gjensidige Pensjon'!B9+'If Skadeforsikring NUF'!B9+KLP!B9+'KLP Skadeforsikring AS'!B9+'Landkreditt Forsikring'!B9+'Nordea Liv '!B9+'Oslo Pensjonsforsikring'!B9+'Protector Forsikring'!B9+'Sparebank 1 Fors.'!B9+'Storebrand Livsforsikring'!B9+'Telenor Forsikring'!B9+'Tryg Forsikring'!B9+'WaterCircles F'!B9+'Euro Accident'!B9+'Ly Forsikring'!B9+'Youplus Livsforsikring'!B9+'Oslo Forsikring'!B9</f>
        <v>427647.49911893602</v>
      </c>
      <c r="C9" s="36">
        <f>'Fremtind Livsforsikring'!C9+'DNB Livsforsikring'!C9+'Eika Forsikring AS'!C9+'Frende Livsforsikring'!C9+'Frende Skadeforsikring'!C9+'Gjensidige Forsikring'!C9+'Gjensidige Pensjon'!C9+'If Skadeforsikring NUF'!C9+KLP!C9+'KLP Skadeforsikring AS'!C9+'Landkreditt Forsikring'!C9+'Nordea Liv '!C9+'Oslo Pensjonsforsikring'!C9+'Protector Forsikring'!C9+'Sparebank 1 Fors.'!C9+'Storebrand Livsforsikring'!C9+'Telenor Forsikring'!C9+'Tryg Forsikring'!C9+'WaterCircles F'!C9+'Euro Accident'!C9+'Ly Forsikring'!C9+'Youplus Livsforsikring'!C9+'Oslo Forsikring'!C9</f>
        <v>426012.06868028198</v>
      </c>
      <c r="D9" s="132">
        <f t="shared" si="0"/>
        <v>-0.4</v>
      </c>
      <c r="E9" s="140"/>
      <c r="F9" s="140"/>
      <c r="G9" s="132"/>
      <c r="H9" s="141">
        <f t="shared" si="2"/>
        <v>427647.49911893602</v>
      </c>
      <c r="I9" s="142">
        <f t="shared" si="3"/>
        <v>426012.06868028198</v>
      </c>
      <c r="J9" s="127">
        <f t="shared" si="4"/>
        <v>-0.4</v>
      </c>
    </row>
    <row r="10" spans="1:13" s="35" customFormat="1" ht="15.75" customHeight="1" x14ac:dyDescent="0.2">
      <c r="A10" s="10" t="s">
        <v>323</v>
      </c>
      <c r="B10" s="183">
        <f>'Fremtind Livsforsikring'!B10+'DNB Livsforsikring'!B10+'Eika Forsikring AS'!B10+'Frende Livsforsikring'!B10+'Frende Skadeforsikring'!B10+'Gjensidige Forsikring'!B10+'Gjensidige Pensjon'!B10+'If Skadeforsikring NUF'!B10+KLP!B10+'KLP Skadeforsikring AS'!B10+'Landkreditt Forsikring'!B10+'Nordea Liv '!B10+'Oslo Pensjonsforsikring'!B10+'Protector Forsikring'!B10+'Sparebank 1 Fors.'!B10+'Storebrand Livsforsikring'!B10+'Telenor Forsikring'!B10+'Tryg Forsikring'!B10+'WaterCircles F'!B10+'Euro Accident'!B10+'Ly Forsikring'!B10+'Youplus Livsforsikring'!B10+'Oslo Forsikring'!B10</f>
        <v>13529692.333618596</v>
      </c>
      <c r="C10" s="183">
        <f>'Fremtind Livsforsikring'!C10+'DNB Livsforsikring'!C10+'Eika Forsikring AS'!C10+'Frende Livsforsikring'!C10+'Frende Skadeforsikring'!C10+'Gjensidige Forsikring'!C10+'Gjensidige Pensjon'!C10+'If Skadeforsikring NUF'!C10+KLP!C10+'KLP Skadeforsikring AS'!C10+'Landkreditt Forsikring'!C10+'Nordea Liv '!C10+'Oslo Pensjonsforsikring'!C10+'Protector Forsikring'!C10+'Sparebank 1 Fors.'!C10+'Storebrand Livsforsikring'!C10+'Telenor Forsikring'!C10+'Tryg Forsikring'!C10+'WaterCircles F'!C10+'Euro Accident'!C10+'Ly Forsikring'!C10+'Youplus Livsforsikring'!C10+'Oslo Forsikring'!C10</f>
        <v>12653191.192621982</v>
      </c>
      <c r="D10" s="119">
        <f t="shared" si="0"/>
        <v>-6.5</v>
      </c>
      <c r="E10" s="183">
        <f>'Fremtind Livsforsikring'!F10+'DNB Livsforsikring'!F10+'Eika Forsikring AS'!F10+'Frende Livsforsikring'!F10+'Frende Skadeforsikring'!F10+'Gjensidige Forsikring'!F10+'Gjensidige Pensjon'!F10+'If Skadeforsikring NUF'!F10+KLP!F10+'KLP Skadeforsikring AS'!F10+'Landkreditt Forsikring'!F10+'Nordea Liv '!F10+'Oslo Pensjonsforsikring'!F10+'Protector Forsikring'!F10+'Sparebank 1 Fors.'!F10+'Storebrand Livsforsikring'!F10+'Telenor Forsikring'!F10+'Tryg Forsikring'!F10+'WaterCircles F'!F10+'Euro Accident'!F10+'Ly Forsikring'!F10+'Youplus Livsforsikring'!F10+'Oslo Forsikring'!F10</f>
        <v>90274205.698259994</v>
      </c>
      <c r="F10" s="183">
        <f>'Fremtind Livsforsikring'!G10+'DNB Livsforsikring'!G10+'Eika Forsikring AS'!G10+'Frende Livsforsikring'!G10+'Frende Skadeforsikring'!G10+'Gjensidige Forsikring'!G10+'Gjensidige Pensjon'!G10+'If Skadeforsikring NUF'!G10+KLP!G10+'KLP Skadeforsikring AS'!G10+'Landkreditt Forsikring'!G10+'Nordea Liv '!G10+'Oslo Pensjonsforsikring'!G10+'Protector Forsikring'!G10+'Sparebank 1 Fors.'!G10+'Storebrand Livsforsikring'!G10+'Telenor Forsikring'!G10+'Tryg Forsikring'!G10+'WaterCircles F'!G10+'Euro Accident'!G10+'Ly Forsikring'!G10+'Youplus Livsforsikring'!G10+'Oslo Forsikring'!G10</f>
        <v>94510190.04756251</v>
      </c>
      <c r="G10" s="119">
        <f t="shared" si="1"/>
        <v>4.7</v>
      </c>
      <c r="H10" s="222">
        <f t="shared" si="2"/>
        <v>103803898.03187859</v>
      </c>
      <c r="I10" s="223">
        <f t="shared" si="3"/>
        <v>107163381.24018449</v>
      </c>
      <c r="J10" s="127">
        <f t="shared" si="4"/>
        <v>3.2</v>
      </c>
    </row>
    <row r="11" spans="1:13" s="35" customFormat="1" ht="15.75" customHeight="1" x14ac:dyDescent="0.2">
      <c r="A11" s="10" t="s">
        <v>324</v>
      </c>
      <c r="B11" s="183"/>
      <c r="C11" s="183"/>
      <c r="D11" s="127"/>
      <c r="E11" s="183">
        <f>'Fremtind Livsforsikring'!F11+'DNB Livsforsikring'!F11+'Eika Forsikring AS'!F11+'Frende Livsforsikring'!F11+'Frende Skadeforsikring'!F11+'Gjensidige Forsikring'!F11+'Gjensidige Pensjon'!F11+'If Skadeforsikring NUF'!F11+KLP!F11+'KLP Skadeforsikring AS'!F11+'Landkreditt Forsikring'!F11+'Nordea Liv '!F11+'Oslo Pensjonsforsikring'!F11+'Protector Forsikring'!F11+'Sparebank 1 Fors.'!F11+'Storebrand Livsforsikring'!F11+'Telenor Forsikring'!F11+'Tryg Forsikring'!F11+'WaterCircles F'!F11+'Euro Accident'!F11+'Ly Forsikring'!F11+'Youplus Livsforsikring'!F11+'Oslo Forsikring'!F11</f>
        <v>104411.79521000001</v>
      </c>
      <c r="F11" s="183">
        <f>'Fremtind Livsforsikring'!G11+'DNB Livsforsikring'!G11+'Eika Forsikring AS'!G11+'Frende Livsforsikring'!G11+'Frende Skadeforsikring'!G11+'Gjensidige Forsikring'!G11+'Gjensidige Pensjon'!G11+'If Skadeforsikring NUF'!G11+KLP!G11+'KLP Skadeforsikring AS'!G11+'Landkreditt Forsikring'!G11+'Nordea Liv '!G11+'Oslo Pensjonsforsikring'!G11+'Protector Forsikring'!G11+'Sparebank 1 Fors.'!G11+'Storebrand Livsforsikring'!G11+'Telenor Forsikring'!G11+'Tryg Forsikring'!G11+'WaterCircles F'!G11+'Euro Accident'!G11+'Ly Forsikring'!G11+'Youplus Livsforsikring'!G11+'Oslo Forsikring'!G11</f>
        <v>162532.77116999999</v>
      </c>
      <c r="G11" s="127">
        <f t="shared" si="1"/>
        <v>55.7</v>
      </c>
      <c r="H11" s="222">
        <f t="shared" si="2"/>
        <v>104411.79521000001</v>
      </c>
      <c r="I11" s="223">
        <f t="shared" si="3"/>
        <v>162532.77116999999</v>
      </c>
      <c r="J11" s="127">
        <f t="shared" si="4"/>
        <v>55.7</v>
      </c>
    </row>
    <row r="12" spans="1:13" s="35" customFormat="1" ht="15.75" customHeight="1" x14ac:dyDescent="0.2">
      <c r="A12" s="33" t="s">
        <v>325</v>
      </c>
      <c r="B12" s="221"/>
      <c r="C12" s="221"/>
      <c r="D12" s="126"/>
      <c r="E12" s="221">
        <f>'Fremtind Livsforsikring'!F12+'DNB Livsforsikring'!F12+'Eika Forsikring AS'!F12+'Frende Livsforsikring'!F12+'Frende Skadeforsikring'!F12+'Gjensidige Forsikring'!F12+'Gjensidige Pensjon'!F12+'If Skadeforsikring NUF'!F12+KLP!F12+'KLP Skadeforsikring AS'!F12+'Landkreditt Forsikring'!F12+'Nordea Liv '!F12+'Oslo Pensjonsforsikring'!F12+'Protector Forsikring'!F12+'Sparebank 1 Fors.'!F12+'Storebrand Livsforsikring'!F12+'Telenor Forsikring'!F12+'Tryg Forsikring'!F12+'WaterCircles F'!F12+'Euro Accident'!F12+'Ly Forsikring'!F12+'Youplus Livsforsikring'!F12+'Oslo Forsikring'!F12</f>
        <v>107010.88516999999</v>
      </c>
      <c r="F12" s="221">
        <f>'Fremtind Livsforsikring'!G12+'DNB Livsforsikring'!G12+'Eika Forsikring AS'!G12+'Frende Livsforsikring'!G12+'Frende Skadeforsikring'!G12+'Gjensidige Forsikring'!G12+'Gjensidige Pensjon'!G12+'If Skadeforsikring NUF'!G12+KLP!G12+'KLP Skadeforsikring AS'!G12+'Landkreditt Forsikring'!G12+'Nordea Liv '!G12+'Oslo Pensjonsforsikring'!G12+'Protector Forsikring'!G12+'Sparebank 1 Fors.'!G12+'Storebrand Livsforsikring'!G12+'Telenor Forsikring'!G12+'Tryg Forsikring'!G12+'WaterCircles F'!G12+'Euro Accident'!G12+'Ly Forsikring'!G12+'Youplus Livsforsikring'!G12+'Oslo Forsikring'!G12</f>
        <v>217906.62864000001</v>
      </c>
      <c r="G12" s="125">
        <f t="shared" si="1"/>
        <v>103.6</v>
      </c>
      <c r="H12" s="224">
        <f t="shared" si="2"/>
        <v>107010.88516999999</v>
      </c>
      <c r="I12" s="225">
        <f t="shared" si="3"/>
        <v>217906.62864000001</v>
      </c>
      <c r="J12" s="125">
        <f t="shared" si="4"/>
        <v>103.6</v>
      </c>
    </row>
    <row r="13" spans="1:13" s="35" customFormat="1" ht="15.75" customHeight="1" x14ac:dyDescent="0.2">
      <c r="A13" s="107"/>
      <c r="B13" s="29"/>
      <c r="C13" s="3"/>
      <c r="D13" s="26"/>
      <c r="E13" s="29"/>
      <c r="F13" s="3"/>
      <c r="G13" s="26"/>
      <c r="H13" s="38"/>
      <c r="I13" s="38"/>
      <c r="J13" s="26"/>
    </row>
    <row r="14" spans="1:13" ht="15.75" customHeight="1" x14ac:dyDescent="0.2">
      <c r="A14" s="114" t="s">
        <v>246</v>
      </c>
    </row>
    <row r="15" spans="1:13" ht="15.75" customHeight="1" x14ac:dyDescent="0.2">
      <c r="A15" s="22"/>
    </row>
    <row r="16" spans="1:13" ht="15.75" customHeight="1" x14ac:dyDescent="0.25">
      <c r="A16" s="115"/>
      <c r="C16" s="24"/>
      <c r="D16" s="24"/>
      <c r="E16" s="24"/>
      <c r="F16" s="24"/>
      <c r="G16" s="24"/>
      <c r="H16" s="24"/>
      <c r="I16" s="24"/>
      <c r="J16" s="24"/>
    </row>
    <row r="17" spans="1:10" ht="15.75" customHeight="1" x14ac:dyDescent="0.25">
      <c r="A17" s="110" t="s">
        <v>243</v>
      </c>
      <c r="B17" s="24"/>
      <c r="C17" s="24"/>
      <c r="D17" s="25"/>
      <c r="E17" s="24"/>
      <c r="F17" s="24"/>
      <c r="G17" s="24"/>
      <c r="H17" s="24"/>
      <c r="I17" s="24"/>
      <c r="J17" s="24"/>
    </row>
    <row r="18" spans="1:10" ht="15.75" customHeight="1" x14ac:dyDescent="0.25">
      <c r="A18" s="22"/>
      <c r="B18" s="572"/>
      <c r="C18" s="572"/>
      <c r="D18" s="572"/>
      <c r="E18" s="572"/>
      <c r="F18" s="572"/>
      <c r="G18" s="572"/>
      <c r="H18" s="572"/>
      <c r="I18" s="572"/>
      <c r="J18" s="572"/>
    </row>
    <row r="19" spans="1:10" ht="15.75" customHeight="1" x14ac:dyDescent="0.2">
      <c r="A19" s="108"/>
      <c r="B19" s="569" t="s">
        <v>0</v>
      </c>
      <c r="C19" s="570"/>
      <c r="D19" s="570"/>
      <c r="E19" s="569" t="s">
        <v>1</v>
      </c>
      <c r="F19" s="570"/>
      <c r="G19" s="571"/>
      <c r="H19" s="570" t="s">
        <v>2</v>
      </c>
      <c r="I19" s="570"/>
      <c r="J19" s="571"/>
    </row>
    <row r="20" spans="1:10" ht="15.75" customHeight="1" x14ac:dyDescent="0.2">
      <c r="A20" s="105" t="s">
        <v>5</v>
      </c>
      <c r="B20" s="17" t="s">
        <v>417</v>
      </c>
      <c r="C20" s="17" t="s">
        <v>418</v>
      </c>
      <c r="D20" s="196" t="s">
        <v>3</v>
      </c>
      <c r="E20" s="17" t="s">
        <v>417</v>
      </c>
      <c r="F20" s="17" t="s">
        <v>418</v>
      </c>
      <c r="G20" s="196" t="s">
        <v>3</v>
      </c>
      <c r="H20" s="17" t="s">
        <v>417</v>
      </c>
      <c r="I20" s="17" t="s">
        <v>418</v>
      </c>
      <c r="J20" s="196" t="s">
        <v>3</v>
      </c>
    </row>
    <row r="21" spans="1:10" ht="15.75" customHeight="1" x14ac:dyDescent="0.2">
      <c r="A21" s="548"/>
      <c r="B21" s="12"/>
      <c r="C21" s="12"/>
      <c r="D21" s="14" t="s">
        <v>4</v>
      </c>
      <c r="E21" s="13"/>
      <c r="F21" s="13"/>
      <c r="G21" s="12" t="s">
        <v>4</v>
      </c>
      <c r="H21" s="13"/>
      <c r="I21" s="13"/>
      <c r="J21" s="12" t="s">
        <v>4</v>
      </c>
    </row>
    <row r="22" spans="1:10" s="35" customFormat="1" ht="15.75" customHeight="1" x14ac:dyDescent="0.2">
      <c r="A22" s="11" t="s">
        <v>23</v>
      </c>
      <c r="B22" s="183">
        <f>'Fremtind Livsforsikring'!B22+'DNB Livsforsikring'!B22+'Eika Forsikring AS'!B22+'Frende Livsforsikring'!B22+'Frende Skadeforsikring'!B22+'Gjensidige Forsikring'!B22+'Gjensidige Pensjon'!B22+'If Skadeforsikring NUF'!B22+KLP!B22+'KLP Skadeforsikring AS'!B22+'Landkreditt Forsikring'!B22+'Nordea Liv '!B22+'Oslo Pensjonsforsikring'!B22+'Protector Forsikring'!B22+'Sparebank 1 Fors.'!B22+'Storebrand Livsforsikring'!B22+'Telenor Forsikring'!B22+'Tryg Forsikring'!B22+'WaterCircles F'!B22+'Euro Accident'!B22+'Ly Forsikring'!B22+'Youplus Livsforsikring'!B22+'Oslo Forsikring'!B22</f>
        <v>883833.84994250839</v>
      </c>
      <c r="C22" s="183">
        <f>'Fremtind Livsforsikring'!C22+'DNB Livsforsikring'!C22+'Eika Forsikring AS'!C22+'Frende Livsforsikring'!C22+'Frende Skadeforsikring'!C22+'Gjensidige Forsikring'!C22+'Gjensidige Pensjon'!C22+'If Skadeforsikring NUF'!C22+KLP!C22+'KLP Skadeforsikring AS'!C22+'Landkreditt Forsikring'!C22+'Nordea Liv '!C22+'Oslo Pensjonsforsikring'!C22+'Protector Forsikring'!C22+'Sparebank 1 Fors.'!C22+'Storebrand Livsforsikring'!C22+'Telenor Forsikring'!C22+'Tryg Forsikring'!C22+'WaterCircles F'!C22+'Euro Accident'!C22+'Ly Forsikring'!C22+'Youplus Livsforsikring'!C22+'Oslo Forsikring'!C22</f>
        <v>992677.89621248806</v>
      </c>
      <c r="D22" s="8">
        <f t="shared" ref="D22:D39" si="5">IF(B22=0, "    ---- ", IF(ABS(ROUND(100/B22*C22-100,1))&lt;999,ROUND(100/B22*C22-100,1),IF(ROUND(100/B22*C22-100,1)&gt;999,999,-999)))</f>
        <v>12.3</v>
      </c>
      <c r="E22" s="183">
        <f>'Fremtind Livsforsikring'!F22+'DNB Livsforsikring'!F22+'Eika Forsikring AS'!F22+'Frende Livsforsikring'!F22+'Frende Skadeforsikring'!F22+'Gjensidige Forsikring'!F22+'Gjensidige Pensjon'!F22+'If Skadeforsikring NUF'!F22+KLP!F22+'KLP Skadeforsikring AS'!F22+'Landkreditt Forsikring'!F22+'Nordea Liv '!F22+'Oslo Pensjonsforsikring'!F22+'Protector Forsikring'!F22+'Sparebank 1 Fors.'!F22+'Storebrand Livsforsikring'!F22+'Telenor Forsikring'!F22+'Tryg Forsikring'!F22+'WaterCircles F'!F22+'Euro Accident'!F22+'Ly Forsikring'!F22+'Youplus Livsforsikring'!F22+'Oslo Forsikring'!F22</f>
        <v>254221.83717000001</v>
      </c>
      <c r="F22" s="183">
        <f>'Fremtind Livsforsikring'!G22+'DNB Livsforsikring'!G22+'Eika Forsikring AS'!G22+'Frende Livsforsikring'!G22+'Frende Skadeforsikring'!G22+'Gjensidige Forsikring'!G22+'Gjensidige Pensjon'!G22+'If Skadeforsikring NUF'!G22+KLP!G22+'KLP Skadeforsikring AS'!G22+'Landkreditt Forsikring'!G22+'Nordea Liv '!G22+'Oslo Pensjonsforsikring'!G22+'Protector Forsikring'!G22+'Sparebank 1 Fors.'!G22+'Storebrand Livsforsikring'!G22+'Telenor Forsikring'!G22+'Tryg Forsikring'!G22+'WaterCircles F'!G22+'Euro Accident'!G22+'Ly Forsikring'!G22+'Youplus Livsforsikring'!G22+'Oslo Forsikring'!G22</f>
        <v>287527.38150000002</v>
      </c>
      <c r="G22" s="283">
        <f t="shared" ref="G22:G35" si="6">IF(E22=0, "    ---- ", IF(ABS(ROUND(100/E22*F22-100,1))&lt;999,ROUND(100/E22*F22-100,1),IF(ROUND(100/E22*F22-100,1)&gt;999,999,-999)))</f>
        <v>13.1</v>
      </c>
      <c r="H22" s="248">
        <f>SUM(B22,E22)</f>
        <v>1138055.6871125083</v>
      </c>
      <c r="I22" s="183">
        <f t="shared" ref="I22:I39" si="7">SUM(C22,F22)</f>
        <v>1280205.2777124881</v>
      </c>
      <c r="J22" s="21">
        <f t="shared" ref="J22:J39" si="8">IF(H22=0, "    ---- ", IF(ABS(ROUND(100/H22*I22-100,1))&lt;999,ROUND(100/H22*I22-100,1),IF(ROUND(100/H22*I22-100,1)&gt;999,999,-999)))</f>
        <v>12.5</v>
      </c>
    </row>
    <row r="23" spans="1:10" ht="15.75" customHeight="1" x14ac:dyDescent="0.2">
      <c r="A23" s="382" t="s">
        <v>326</v>
      </c>
      <c r="B23" s="36">
        <f>'Fremtind Livsforsikring'!B23+'DNB Livsforsikring'!B23+'Eika Forsikring AS'!B23+'Frende Livsforsikring'!B23+'Frende Skadeforsikring'!B23+'Gjensidige Forsikring'!B23+'Gjensidige Pensjon'!B23+'If Skadeforsikring NUF'!B23+KLP!B23+'KLP Skadeforsikring AS'!B23+'Landkreditt Forsikring'!B23+'Nordea Liv '!B23+'Oslo Pensjonsforsikring'!B23+'Protector Forsikring'!B23+'Sparebank 1 Fors.'!B23+'Storebrand Livsforsikring'!B23+'Telenor Forsikring'!B23+'Tryg Forsikring'!B23+'WaterCircles F'!B23+'Euro Accident'!B23+'Ly Forsikring'!B23+'Youplus Livsforsikring'!B23+'Oslo Forsikring'!B23</f>
        <v>635540.96123256348</v>
      </c>
      <c r="C23" s="36">
        <f>'Fremtind Livsforsikring'!C23+'DNB Livsforsikring'!C23+'Eika Forsikring AS'!C23+'Frende Livsforsikring'!C23+'Frende Skadeforsikring'!C23+'Gjensidige Forsikring'!C23+'Gjensidige Pensjon'!C23+'If Skadeforsikring NUF'!C23+KLP!C23+'KLP Skadeforsikring AS'!C23+'Landkreditt Forsikring'!C23+'Nordea Liv '!C23+'Oslo Pensjonsforsikring'!C23+'Protector Forsikring'!C23+'Sparebank 1 Fors.'!C23+'Storebrand Livsforsikring'!C23+'Telenor Forsikring'!C23+'Tryg Forsikring'!C23+'WaterCircles F'!C23+'Euro Accident'!C23+'Ly Forsikring'!C23+'Youplus Livsforsikring'!C23+'Oslo Forsikring'!C23</f>
        <v>729855.98136066901</v>
      </c>
      <c r="D23" s="23">
        <f>IF($A$1=4,IF(B23=0, "    ---- ", IF(ABS(ROUND(100/B23*C23-100,1))&lt;999,ROUND(100/B23*C23-100,1),IF(ROUND(100/B23*C23-100,1)&gt;999,999,-999))),"")</f>
        <v>14.8</v>
      </c>
      <c r="E23" s="36">
        <f>'Fremtind Livsforsikring'!F23+'DNB Livsforsikring'!F23+'Eika Forsikring AS'!F23+'Frende Livsforsikring'!F23+'Frende Skadeforsikring'!F23+'Gjensidige Forsikring'!F23+'Gjensidige Pensjon'!F23+'If Skadeforsikring NUF'!F23+KLP!F23+'KLP Skadeforsikring AS'!F23+'Landkreditt Forsikring'!F23+'Nordea Liv '!F23+'Oslo Pensjonsforsikring'!F23+'Protector Forsikring'!F23+'Sparebank 1 Fors.'!F23+'Storebrand Livsforsikring'!F23+'Telenor Forsikring'!F23+'Tryg Forsikring'!F23+'WaterCircles F'!F23+'Euro Accident'!F23+'Ly Forsikring'!F23+'Youplus Livsforsikring'!F23+'Oslo Forsikring'!F23</f>
        <v>17887.55905</v>
      </c>
      <c r="F23" s="36">
        <f>'Fremtind Livsforsikring'!G23+'DNB Livsforsikring'!G23+'Eika Forsikring AS'!G23+'Frende Livsforsikring'!G23+'Frende Skadeforsikring'!G23+'Gjensidige Forsikring'!G23+'Gjensidige Pensjon'!G23+'If Skadeforsikring NUF'!G23+KLP!G23+'KLP Skadeforsikring AS'!G23+'Landkreditt Forsikring'!G23+'Nordea Liv '!G23+'Oslo Pensjonsforsikring'!G23+'Protector Forsikring'!G23+'Sparebank 1 Fors.'!G23+'Storebrand Livsforsikring'!G23+'Telenor Forsikring'!G23+'Tryg Forsikring'!G23+'WaterCircles F'!G23+'Euro Accident'!G23+'Ly Forsikring'!G23+'Youplus Livsforsikring'!G23+'Oslo Forsikring'!G23</f>
        <v>10635.979090000001</v>
      </c>
      <c r="G23" s="123">
        <f>IF($A$1=4,IF(E23=0, "    ---- ", IF(ABS(ROUND(100/E23*F23-100,1))&lt;999,ROUND(100/E23*F23-100,1),IF(ROUND(100/E23*F23-100,1)&gt;999,999,-999))),"")</f>
        <v>-40.5</v>
      </c>
      <c r="H23" s="181">
        <f t="shared" ref="H23:H39" si="9">SUM(B23,E23)</f>
        <v>653428.52028256352</v>
      </c>
      <c r="I23" s="36">
        <f t="shared" si="7"/>
        <v>740491.96045066905</v>
      </c>
      <c r="J23" s="20">
        <f t="shared" si="8"/>
        <v>13.3</v>
      </c>
    </row>
    <row r="24" spans="1:10" ht="15.75" customHeight="1" x14ac:dyDescent="0.2">
      <c r="A24" s="382" t="s">
        <v>327</v>
      </c>
      <c r="B24" s="36">
        <f>'Fremtind Livsforsikring'!B24+'DNB Livsforsikring'!B24+'Eika Forsikring AS'!B24+'Frende Livsforsikring'!B24+'Frende Skadeforsikring'!B24+'Gjensidige Forsikring'!B24+'Gjensidige Pensjon'!B24+'If Skadeforsikring NUF'!B24+KLP!B24+'KLP Skadeforsikring AS'!B24+'Landkreditt Forsikring'!B24+'Nordea Liv '!B24+'Oslo Pensjonsforsikring'!B24+'Protector Forsikring'!B24+'Sparebank 1 Fors.'!B24+'Storebrand Livsforsikring'!B24+'Telenor Forsikring'!B24+'Tryg Forsikring'!B24+'WaterCircles F'!B24+'Euro Accident'!B24+'Ly Forsikring'!B24+'Youplus Livsforsikring'!B24+'Oslo Forsikring'!B24</f>
        <v>3075.6953017330097</v>
      </c>
      <c r="C24" s="36">
        <f>'Fremtind Livsforsikring'!C24+'DNB Livsforsikring'!C24+'Eika Forsikring AS'!C24+'Frende Livsforsikring'!C24+'Frende Skadeforsikring'!C24+'Gjensidige Forsikring'!C24+'Gjensidige Pensjon'!C24+'If Skadeforsikring NUF'!C24+KLP!C24+'KLP Skadeforsikring AS'!C24+'Landkreditt Forsikring'!C24+'Nordea Liv '!C24+'Oslo Pensjonsforsikring'!C24+'Protector Forsikring'!C24+'Sparebank 1 Fors.'!C24+'Storebrand Livsforsikring'!C24+'Telenor Forsikring'!C24+'Tryg Forsikring'!C24+'WaterCircles F'!C24+'Euro Accident'!C24+'Ly Forsikring'!C24+'Youplus Livsforsikring'!C24+'Oslo Forsikring'!C24</f>
        <v>4749.9182818187574</v>
      </c>
      <c r="D24" s="23">
        <f t="shared" ref="D24:D25" si="10">IF($A$1=4,IF(B24=0, "    ---- ", IF(ABS(ROUND(100/B24*C24-100,1))&lt;999,ROUND(100/B24*C24-100,1),IF(ROUND(100/B24*C24-100,1)&gt;999,999,-999))),"")</f>
        <v>54.4</v>
      </c>
      <c r="E24" s="36">
        <f>'Fremtind Livsforsikring'!F24+'DNB Livsforsikring'!F24+'Eika Forsikring AS'!F24+'Frende Livsforsikring'!F24+'Frende Skadeforsikring'!F24+'Gjensidige Forsikring'!F24+'Gjensidige Pensjon'!F24+'If Skadeforsikring NUF'!F24+KLP!F24+'KLP Skadeforsikring AS'!F24+'Landkreditt Forsikring'!F24+'Nordea Liv '!F24+'Oslo Pensjonsforsikring'!F24+'Protector Forsikring'!F24+'Sparebank 1 Fors.'!F24+'Storebrand Livsforsikring'!F24+'Telenor Forsikring'!F24+'Tryg Forsikring'!F24+'WaterCircles F'!F24+'Euro Accident'!F24+'Ly Forsikring'!F24+'Youplus Livsforsikring'!F24+'Oslo Forsikring'!F24</f>
        <v>850.28484000000003</v>
      </c>
      <c r="F24" s="36">
        <f>'Fremtind Livsforsikring'!G24+'DNB Livsforsikring'!G24+'Eika Forsikring AS'!G24+'Frende Livsforsikring'!G24+'Frende Skadeforsikring'!G24+'Gjensidige Forsikring'!G24+'Gjensidige Pensjon'!G24+'If Skadeforsikring NUF'!G24+KLP!G24+'KLP Skadeforsikring AS'!G24+'Landkreditt Forsikring'!G24+'Nordea Liv '!G24+'Oslo Pensjonsforsikring'!G24+'Protector Forsikring'!G24+'Sparebank 1 Fors.'!G24+'Storebrand Livsforsikring'!G24+'Telenor Forsikring'!G24+'Tryg Forsikring'!G24+'WaterCircles F'!G24+'Euro Accident'!G24+'Ly Forsikring'!G24+'Youplus Livsforsikring'!G24+'Oslo Forsikring'!G24</f>
        <v>6.6549700000000005</v>
      </c>
      <c r="G24" s="123">
        <f t="shared" ref="G24:G25" si="11">IF($A$1=4,IF(E24=0, "    ---- ", IF(ABS(ROUND(100/E24*F24-100,1))&lt;999,ROUND(100/E24*F24-100,1),IF(ROUND(100/E24*F24-100,1)&gt;999,999,-999))),"")</f>
        <v>-99.2</v>
      </c>
      <c r="H24" s="181">
        <f t="shared" si="9"/>
        <v>3925.98014173301</v>
      </c>
      <c r="I24" s="36">
        <f t="shared" si="7"/>
        <v>4756.5732518187569</v>
      </c>
      <c r="J24" s="8">
        <f t="shared" si="8"/>
        <v>21.2</v>
      </c>
    </row>
    <row r="25" spans="1:10" ht="15.75" customHeight="1" x14ac:dyDescent="0.2">
      <c r="A25" s="382" t="s">
        <v>328</v>
      </c>
      <c r="B25" s="36">
        <f>'Fremtind Livsforsikring'!B25+'DNB Livsforsikring'!B25+'Eika Forsikring AS'!B25+'Frende Livsforsikring'!B25+'Frende Skadeforsikring'!B25+'Gjensidige Forsikring'!B25+'Gjensidige Pensjon'!B25+'If Skadeforsikring NUF'!B25+KLP!B25+'KLP Skadeforsikring AS'!B25+'Landkreditt Forsikring'!B25+'Nordea Liv '!B25+'Oslo Pensjonsforsikring'!B25+'Protector Forsikring'!B25+'Sparebank 1 Fors.'!B25+'Storebrand Livsforsikring'!B25+'Telenor Forsikring'!B25+'Tryg Forsikring'!B25+'WaterCircles F'!B25+'Euro Accident'!B25+'Ly Forsikring'!B25+'Youplus Livsforsikring'!B25+'Oslo Forsikring'!B25</f>
        <v>5092.9672382118797</v>
      </c>
      <c r="C25" s="36">
        <f>'Fremtind Livsforsikring'!C25+'DNB Livsforsikring'!C25+'Eika Forsikring AS'!C25+'Frende Livsforsikring'!C25+'Frende Skadeforsikring'!C25+'Gjensidige Forsikring'!C25+'Gjensidige Pensjon'!C25+'If Skadeforsikring NUF'!C25+KLP!C25+'KLP Skadeforsikring AS'!C25+'Landkreditt Forsikring'!C25+'Nordea Liv '!C25+'Oslo Pensjonsforsikring'!C25+'Protector Forsikring'!C25+'Sparebank 1 Fors.'!C25+'Storebrand Livsforsikring'!C25+'Telenor Forsikring'!C25+'Tryg Forsikring'!C25+'WaterCircles F'!C25+'Euro Accident'!C25+'Ly Forsikring'!C25+'Youplus Livsforsikring'!C25+'Oslo Forsikring'!C25</f>
        <v>5630.85</v>
      </c>
      <c r="D25" s="23">
        <f t="shared" si="10"/>
        <v>10.6</v>
      </c>
      <c r="E25" s="36">
        <f>'Fremtind Livsforsikring'!F25+'DNB Livsforsikring'!F25+'Eika Forsikring AS'!F25+'Frende Livsforsikring'!F25+'Frende Skadeforsikring'!F25+'Gjensidige Forsikring'!F25+'Gjensidige Pensjon'!F25+'If Skadeforsikring NUF'!F25+KLP!F25+'KLP Skadeforsikring AS'!F25+'Landkreditt Forsikring'!F25+'Nordea Liv '!F25+'Oslo Pensjonsforsikring'!F25+'Protector Forsikring'!F25+'Sparebank 1 Fors.'!F25+'Storebrand Livsforsikring'!F25+'Telenor Forsikring'!F25+'Tryg Forsikring'!F25+'WaterCircles F'!F25+'Euro Accident'!F25+'Ly Forsikring'!F25+'Youplus Livsforsikring'!F25+'Oslo Forsikring'!F25</f>
        <v>3463.0536900000002</v>
      </c>
      <c r="F25" s="36">
        <f>'Fremtind Livsforsikring'!G25+'DNB Livsforsikring'!G25+'Eika Forsikring AS'!G25+'Frende Livsforsikring'!G25+'Frende Skadeforsikring'!G25+'Gjensidige Forsikring'!G25+'Gjensidige Pensjon'!G25+'If Skadeforsikring NUF'!G25+KLP!G25+'KLP Skadeforsikring AS'!G25+'Landkreditt Forsikring'!G25+'Nordea Liv '!G25+'Oslo Pensjonsforsikring'!G25+'Protector Forsikring'!G25+'Sparebank 1 Fors.'!G25+'Storebrand Livsforsikring'!G25+'Telenor Forsikring'!G25+'Tryg Forsikring'!G25+'WaterCircles F'!G25+'Euro Accident'!G25+'Ly Forsikring'!G25+'Youplus Livsforsikring'!G25+'Oslo Forsikring'!G25</f>
        <v>3394.6292899999999</v>
      </c>
      <c r="G25" s="123">
        <f t="shared" si="11"/>
        <v>-2</v>
      </c>
      <c r="H25" s="181">
        <f t="shared" si="9"/>
        <v>8556.0209282118794</v>
      </c>
      <c r="I25" s="36">
        <f t="shared" si="7"/>
        <v>9025.4792899999993</v>
      </c>
      <c r="J25" s="23">
        <f t="shared" si="8"/>
        <v>5.5</v>
      </c>
    </row>
    <row r="26" spans="1:10" ht="15.75" customHeight="1" x14ac:dyDescent="0.2">
      <c r="A26" s="382" t="s">
        <v>329</v>
      </c>
      <c r="B26" s="36"/>
      <c r="C26" s="36"/>
      <c r="D26" s="23"/>
      <c r="E26" s="36">
        <f>'Fremtind Livsforsikring'!F26+'DNB Livsforsikring'!F26+'Eika Forsikring AS'!F26+'Frende Livsforsikring'!F26+'Frende Skadeforsikring'!F26+'Gjensidige Forsikring'!F26+'Gjensidige Pensjon'!F26+'If Skadeforsikring NUF'!F26+KLP!F26+'KLP Skadeforsikring AS'!F26+'Landkreditt Forsikring'!F26+'Nordea Liv '!F26+'Oslo Pensjonsforsikring'!F26+'Protector Forsikring'!F26+'Sparebank 1 Fors.'!F26+'Storebrand Livsforsikring'!F26+'Telenor Forsikring'!F26+'Tryg Forsikring'!F26+'WaterCircles F'!F26+'Euro Accident'!F26+'Ly Forsikring'!F26+'Youplus Livsforsikring'!F26+'Oslo Forsikring'!F26</f>
        <v>232020.93959000002</v>
      </c>
      <c r="F26" s="36">
        <f>'Fremtind Livsforsikring'!G26+'DNB Livsforsikring'!G26+'Eika Forsikring AS'!G26+'Frende Livsforsikring'!G26+'Frende Skadeforsikring'!G26+'Gjensidige Forsikring'!G26+'Gjensidige Pensjon'!G26+'If Skadeforsikring NUF'!G26+KLP!G26+'KLP Skadeforsikring AS'!G26+'Landkreditt Forsikring'!G26+'Nordea Liv '!G26+'Oslo Pensjonsforsikring'!G26+'Protector Forsikring'!G26+'Sparebank 1 Fors.'!G26+'Storebrand Livsforsikring'!G26+'Telenor Forsikring'!G26+'Tryg Forsikring'!G26+'WaterCircles F'!G26+'Euro Accident'!G26+'Ly Forsikring'!G26+'Youplus Livsforsikring'!G26+'Oslo Forsikring'!G26</f>
        <v>273490.11814999999</v>
      </c>
      <c r="G26" s="123">
        <f t="shared" ref="G26" si="12">IF($A$1=4,IF(E26=0, "    ---- ", IF(ABS(ROUND(100/E26*F26-100,1))&lt;999,ROUND(100/E26*F26-100,1),IF(ROUND(100/E26*F26-100,1)&gt;999,999,-999))),"")</f>
        <v>17.899999999999999</v>
      </c>
      <c r="H26" s="181">
        <f t="shared" ref="H26" si="13">SUM(B26,E26)</f>
        <v>232020.93959000002</v>
      </c>
      <c r="I26" s="36">
        <f t="shared" ref="I26" si="14">SUM(C26,F26)</f>
        <v>273490.11814999999</v>
      </c>
      <c r="J26" s="23">
        <f t="shared" ref="J26" si="15">IF(H26=0, "    ---- ", IF(ABS(ROUND(100/H26*I26-100,1))&lt;999,ROUND(100/H26*I26-100,1),IF(ROUND(100/H26*I26-100,1)&gt;999,999,-999)))</f>
        <v>17.899999999999999</v>
      </c>
    </row>
    <row r="27" spans="1:10" ht="15.75" customHeight="1" x14ac:dyDescent="0.2">
      <c r="A27" s="381" t="s">
        <v>11</v>
      </c>
      <c r="B27" s="36"/>
      <c r="C27" s="36"/>
      <c r="D27" s="23"/>
      <c r="E27" s="36"/>
      <c r="F27" s="36"/>
      <c r="G27" s="123"/>
      <c r="H27" s="181"/>
      <c r="I27" s="36"/>
      <c r="J27" s="23"/>
    </row>
    <row r="28" spans="1:10" ht="15.75" customHeight="1" x14ac:dyDescent="0.2">
      <c r="A28" s="39" t="s">
        <v>247</v>
      </c>
      <c r="B28" s="36">
        <f>'Fremtind Livsforsikring'!B28+'DNB Livsforsikring'!B28+'Eika Forsikring AS'!B28+'Frende Livsforsikring'!B28+'Frende Skadeforsikring'!B28+'Gjensidige Forsikring'!B28+'Gjensidige Pensjon'!B28+'If Skadeforsikring NUF'!B28+KLP!B28+'KLP Skadeforsikring AS'!B28+'Landkreditt Forsikring'!B28+'Nordea Liv '!B28+'Oslo Pensjonsforsikring'!B28+'Protector Forsikring'!B28+'Sparebank 1 Fors.'!B28+'Storebrand Livsforsikring'!B28+'Telenor Forsikring'!B28+'Tryg Forsikring'!B28+'WaterCircles F'!B28+'Euro Accident'!B28+'Ly Forsikring'!B28+'Youplus Livsforsikring'!B28+'Oslo Forsikring'!B28</f>
        <v>1055377.0519123292</v>
      </c>
      <c r="C28" s="36">
        <f>'Fremtind Livsforsikring'!C28+'DNB Livsforsikring'!C28+'Eika Forsikring AS'!C28+'Frende Livsforsikring'!C28+'Frende Skadeforsikring'!C28+'Gjensidige Forsikring'!C28+'Gjensidige Pensjon'!C28+'If Skadeforsikring NUF'!C28+KLP!C28+'KLP Skadeforsikring AS'!C28+'Landkreditt Forsikring'!C28+'Nordea Liv '!C28+'Oslo Pensjonsforsikring'!C28+'Protector Forsikring'!C28+'Sparebank 1 Fors.'!C28+'Storebrand Livsforsikring'!C28+'Telenor Forsikring'!C28+'Tryg Forsikring'!C28+'WaterCircles F'!C28+'Euro Accident'!C28+'Ly Forsikring'!C28+'Youplus Livsforsikring'!C28+'Oslo Forsikring'!C28</f>
        <v>1191160.7944078627</v>
      </c>
      <c r="D28" s="20">
        <f t="shared" si="5"/>
        <v>12.9</v>
      </c>
      <c r="E28" s="140"/>
      <c r="F28" s="140"/>
      <c r="G28" s="123"/>
      <c r="H28" s="181">
        <f t="shared" si="9"/>
        <v>1055377.0519123292</v>
      </c>
      <c r="I28" s="36">
        <f t="shared" si="7"/>
        <v>1191160.7944078627</v>
      </c>
      <c r="J28" s="20">
        <f t="shared" si="8"/>
        <v>12.9</v>
      </c>
    </row>
    <row r="29" spans="1:10" s="35" customFormat="1" ht="15.75" customHeight="1" x14ac:dyDescent="0.2">
      <c r="A29" s="10" t="s">
        <v>330</v>
      </c>
      <c r="B29" s="183">
        <f>'Fremtind Livsforsikring'!B29+'DNB Livsforsikring'!B29+'Eika Forsikring AS'!B29+'Frende Livsforsikring'!B29+'Frende Skadeforsikring'!B29+'Gjensidige Forsikring'!B29+'Gjensidige Pensjon'!B29+'If Skadeforsikring NUF'!B29+KLP!B29+'KLP Skadeforsikring AS'!B29+'Landkreditt Forsikring'!B29+'Nordea Liv '!B29+'Oslo Pensjonsforsikring'!B29+'Protector Forsikring'!B29+'Sparebank 1 Fors.'!B29+'Storebrand Livsforsikring'!B29+'Telenor Forsikring'!B29+'Tryg Forsikring'!B29+'WaterCircles F'!B29+'Euro Accident'!B29+'Ly Forsikring'!B29+'Youplus Livsforsikring'!B29+'Oslo Forsikring'!B29</f>
        <v>44018626.137501307</v>
      </c>
      <c r="C29" s="183">
        <f>'Fremtind Livsforsikring'!C29+'DNB Livsforsikring'!C29+'Eika Forsikring AS'!C29+'Frende Livsforsikring'!C29+'Frende Skadeforsikring'!C29+'Gjensidige Forsikring'!C29+'Gjensidige Pensjon'!C29+'If Skadeforsikring NUF'!C29+KLP!C29+'KLP Skadeforsikring AS'!C29+'Landkreditt Forsikring'!C29+'Nordea Liv '!C29+'Oslo Pensjonsforsikring'!C29+'Protector Forsikring'!C29+'Sparebank 1 Fors.'!C29+'Storebrand Livsforsikring'!C29+'Telenor Forsikring'!C29+'Tryg Forsikring'!C29+'WaterCircles F'!C29+'Euro Accident'!C29+'Ly Forsikring'!C29+'Youplus Livsforsikring'!C29+'Oslo Forsikring'!C29</f>
        <v>44006076.134077512</v>
      </c>
      <c r="D29" s="21">
        <f t="shared" si="5"/>
        <v>0</v>
      </c>
      <c r="E29" s="248">
        <f>'Fremtind Livsforsikring'!F29+'DNB Livsforsikring'!F29+'Eika Forsikring AS'!F29+'Frende Livsforsikring'!F29+'Frende Skadeforsikring'!F29+'Gjensidige Forsikring'!F29+'Gjensidige Pensjon'!F29+'If Skadeforsikring NUF'!F29+KLP!F29+'KLP Skadeforsikring AS'!F29+'Landkreditt Forsikring'!F29+'Nordea Liv '!F29+'Oslo Pensjonsforsikring'!F29+'Protector Forsikring'!F29+'Sparebank 1 Fors.'!F29+'Storebrand Livsforsikring'!F29+'Telenor Forsikring'!F29+'Tryg Forsikring'!F29+'WaterCircles F'!F29+'Euro Accident'!F29+'Ly Forsikring'!F29+'Youplus Livsforsikring'!F29+'Oslo Forsikring'!F29</f>
        <v>28100932.139699999</v>
      </c>
      <c r="F29" s="248">
        <f>'Fremtind Livsforsikring'!G29+'DNB Livsforsikring'!G29+'Eika Forsikring AS'!G29+'Frende Livsforsikring'!G29+'Frende Skadeforsikring'!G29+'Gjensidige Forsikring'!G29+'Gjensidige Pensjon'!G29+'If Skadeforsikring NUF'!G29+KLP!G29+'KLP Skadeforsikring AS'!G29+'Landkreditt Forsikring'!G29+'Nordea Liv '!G29+'Oslo Pensjonsforsikring'!G29+'Protector Forsikring'!G29+'Sparebank 1 Fors.'!G29+'Storebrand Livsforsikring'!G29+'Telenor Forsikring'!G29+'Tryg Forsikring'!G29+'WaterCircles F'!G29+'Euro Accident'!G29+'Ly Forsikring'!G29+'Youplus Livsforsikring'!G29+'Oslo Forsikring'!G29</f>
        <v>28605602.015649192</v>
      </c>
      <c r="G29" s="127">
        <f t="shared" si="6"/>
        <v>1.8</v>
      </c>
      <c r="H29" s="248">
        <f t="shared" si="9"/>
        <v>72119558.27720131</v>
      </c>
      <c r="I29" s="183">
        <f t="shared" si="7"/>
        <v>72611678.149726704</v>
      </c>
      <c r="J29" s="21">
        <f t="shared" si="8"/>
        <v>0.7</v>
      </c>
    </row>
    <row r="30" spans="1:10" ht="15.75" customHeight="1" x14ac:dyDescent="0.2">
      <c r="A30" s="382" t="s">
        <v>326</v>
      </c>
      <c r="B30" s="36">
        <f>'Fremtind Livsforsikring'!B30+'DNB Livsforsikring'!B30+'Eika Forsikring AS'!B30+'Frende Livsforsikring'!B30+'Frende Skadeforsikring'!B30+'Gjensidige Forsikring'!B30+'Gjensidige Pensjon'!B30+'If Skadeforsikring NUF'!B30+KLP!B30+'KLP Skadeforsikring AS'!B30+'Landkreditt Forsikring'!B30+'Nordea Liv '!B30+'Oslo Pensjonsforsikring'!B30+'Protector Forsikring'!B30+'Sparebank 1 Fors.'!B30+'Storebrand Livsforsikring'!B30+'Telenor Forsikring'!B30+'Tryg Forsikring'!B30+'WaterCircles F'!B30+'Euro Accident'!B30+'Ly Forsikring'!B30+'Youplus Livsforsikring'!B30+'Oslo Forsikring'!B30</f>
        <v>17880141.398295753</v>
      </c>
      <c r="C30" s="36">
        <f>'Fremtind Livsforsikring'!C30+'DNB Livsforsikring'!C30+'Eika Forsikring AS'!C30+'Frende Livsforsikring'!C30+'Frende Skadeforsikring'!C30+'Gjensidige Forsikring'!C30+'Gjensidige Pensjon'!C30+'If Skadeforsikring NUF'!C30+KLP!C30+'KLP Skadeforsikring AS'!C30+'Landkreditt Forsikring'!C30+'Nordea Liv '!C30+'Oslo Pensjonsforsikring'!C30+'Protector Forsikring'!C30+'Sparebank 1 Fors.'!C30+'Storebrand Livsforsikring'!C30+'Telenor Forsikring'!C30+'Tryg Forsikring'!C30+'WaterCircles F'!C30+'Euro Accident'!C30+'Ly Forsikring'!C30+'Youplus Livsforsikring'!C30+'Oslo Forsikring'!C30</f>
        <v>18757047.829261642</v>
      </c>
      <c r="D30" s="23">
        <f t="shared" ref="D30:D37" si="16">IF($A$1=4,IF(B30=0, "    ---- ", IF(ABS(ROUND(100/B30*C30-100,1))&lt;999,ROUND(100/B30*C30-100,1),IF(ROUND(100/B30*C30-100,1)&gt;999,999,-999))),"")</f>
        <v>4.9000000000000004</v>
      </c>
      <c r="E30" s="36">
        <f>'Fremtind Livsforsikring'!F30+'DNB Livsforsikring'!F30+'Eika Forsikring AS'!F30+'Frende Livsforsikring'!F30+'Frende Skadeforsikring'!F30+'Gjensidige Forsikring'!F30+'Gjensidige Pensjon'!F30+'If Skadeforsikring NUF'!F30+KLP!F30+'KLP Skadeforsikring AS'!F30+'Landkreditt Forsikring'!F30+'Nordea Liv '!F30+'Oslo Pensjonsforsikring'!F30+'Protector Forsikring'!F30+'Sparebank 1 Fors.'!F30+'Storebrand Livsforsikring'!F30+'Telenor Forsikring'!F30+'Tryg Forsikring'!F30+'WaterCircles F'!F30+'Euro Accident'!F30+'Ly Forsikring'!F30+'Youplus Livsforsikring'!F30+'Oslo Forsikring'!F30</f>
        <v>3775651.52847456</v>
      </c>
      <c r="F30" s="36">
        <f>'Fremtind Livsforsikring'!G30+'DNB Livsforsikring'!G30+'Eika Forsikring AS'!G30+'Frende Livsforsikring'!G30+'Frende Skadeforsikring'!G30+'Gjensidige Forsikring'!G30+'Gjensidige Pensjon'!G30+'If Skadeforsikring NUF'!G30+KLP!G30+'KLP Skadeforsikring AS'!G30+'Landkreditt Forsikring'!G30+'Nordea Liv '!G30+'Oslo Pensjonsforsikring'!G30+'Protector Forsikring'!G30+'Sparebank 1 Fors.'!G30+'Storebrand Livsforsikring'!G30+'Telenor Forsikring'!G30+'Tryg Forsikring'!G30+'WaterCircles F'!G30+'Euro Accident'!G30+'Ly Forsikring'!G30+'Youplus Livsforsikring'!G30+'Oslo Forsikring'!G30</f>
        <v>3565011.4280892941</v>
      </c>
      <c r="G30" s="123">
        <f t="shared" ref="G30:G32" si="17">IF($A$1=4,IF(E30=0, "    ---- ", IF(ABS(ROUND(100/E30*F30-100,1))&lt;999,ROUND(100/E30*F30-100,1),IF(ROUND(100/E30*F30-100,1)&gt;999,999,-999))),"")</f>
        <v>-5.6</v>
      </c>
      <c r="H30" s="181">
        <f t="shared" si="9"/>
        <v>21655792.926770315</v>
      </c>
      <c r="I30" s="36">
        <f t="shared" si="7"/>
        <v>22322059.257350937</v>
      </c>
      <c r="J30" s="20">
        <f t="shared" si="8"/>
        <v>3.1</v>
      </c>
    </row>
    <row r="31" spans="1:10" ht="15.75" customHeight="1" x14ac:dyDescent="0.2">
      <c r="A31" s="382" t="s">
        <v>327</v>
      </c>
      <c r="B31" s="36">
        <f>'Fremtind Livsforsikring'!B31+'DNB Livsforsikring'!B31+'Eika Forsikring AS'!B31+'Frende Livsforsikring'!B31+'Frende Skadeforsikring'!B31+'Gjensidige Forsikring'!B31+'Gjensidige Pensjon'!B31+'If Skadeforsikring NUF'!B31+KLP!B31+'KLP Skadeforsikring AS'!B31+'Landkreditt Forsikring'!B31+'Nordea Liv '!B31+'Oslo Pensjonsforsikring'!B31+'Protector Forsikring'!B31+'Sparebank 1 Fors.'!B31+'Storebrand Livsforsikring'!B31+'Telenor Forsikring'!B31+'Tryg Forsikring'!B31+'WaterCircles F'!B31+'Euro Accident'!B31+'Ly Forsikring'!B31+'Youplus Livsforsikring'!B31+'Oslo Forsikring'!B31</f>
        <v>23772726.961981021</v>
      </c>
      <c r="C31" s="36">
        <f>'Fremtind Livsforsikring'!C31+'DNB Livsforsikring'!C31+'Eika Forsikring AS'!C31+'Frende Livsforsikring'!C31+'Frende Skadeforsikring'!C31+'Gjensidige Forsikring'!C31+'Gjensidige Pensjon'!C31+'If Skadeforsikring NUF'!C31+KLP!C31+'KLP Skadeforsikring AS'!C31+'Landkreditt Forsikring'!C31+'Nordea Liv '!C31+'Oslo Pensjonsforsikring'!C31+'Protector Forsikring'!C31+'Sparebank 1 Fors.'!C31+'Storebrand Livsforsikring'!C31+'Telenor Forsikring'!C31+'Tryg Forsikring'!C31+'WaterCircles F'!C31+'Euro Accident'!C31+'Ly Forsikring'!C31+'Youplus Livsforsikring'!C31+'Oslo Forsikring'!C31</f>
        <v>22754346.53195408</v>
      </c>
      <c r="D31" s="23">
        <f t="shared" si="16"/>
        <v>-4.3</v>
      </c>
      <c r="E31" s="36">
        <f>'Fremtind Livsforsikring'!F31+'DNB Livsforsikring'!F31+'Eika Forsikring AS'!F31+'Frende Livsforsikring'!F31+'Frende Skadeforsikring'!F31+'Gjensidige Forsikring'!F31+'Gjensidige Pensjon'!F31+'If Skadeforsikring NUF'!F31+KLP!F31+'KLP Skadeforsikring AS'!F31+'Landkreditt Forsikring'!F31+'Nordea Liv '!F31+'Oslo Pensjonsforsikring'!F31+'Protector Forsikring'!F31+'Sparebank 1 Fors.'!F31+'Storebrand Livsforsikring'!F31+'Telenor Forsikring'!F31+'Tryg Forsikring'!F31+'WaterCircles F'!F31+'Euro Accident'!F31+'Ly Forsikring'!F31+'Youplus Livsforsikring'!F31+'Oslo Forsikring'!F31</f>
        <v>7823603.2492529117</v>
      </c>
      <c r="F31" s="36">
        <f>'Fremtind Livsforsikring'!G31+'DNB Livsforsikring'!G31+'Eika Forsikring AS'!G31+'Frende Livsforsikring'!G31+'Frende Skadeforsikring'!G31+'Gjensidige Forsikring'!G31+'Gjensidige Pensjon'!G31+'If Skadeforsikring NUF'!G31+KLP!G31+'KLP Skadeforsikring AS'!G31+'Landkreditt Forsikring'!G31+'Nordea Liv '!G31+'Oslo Pensjonsforsikring'!G31+'Protector Forsikring'!G31+'Sparebank 1 Fors.'!G31+'Storebrand Livsforsikring'!G31+'Telenor Forsikring'!G31+'Tryg Forsikring'!G31+'WaterCircles F'!G31+'Euro Accident'!G31+'Ly Forsikring'!G31+'Youplus Livsforsikring'!G31+'Oslo Forsikring'!G31</f>
        <v>7119709.8593687583</v>
      </c>
      <c r="G31" s="123">
        <f t="shared" si="17"/>
        <v>-9</v>
      </c>
      <c r="H31" s="181">
        <f t="shared" si="9"/>
        <v>31596330.211233933</v>
      </c>
      <c r="I31" s="36">
        <f t="shared" si="7"/>
        <v>29874056.391322836</v>
      </c>
      <c r="J31" s="20">
        <f t="shared" si="8"/>
        <v>-5.5</v>
      </c>
    </row>
    <row r="32" spans="1:10" ht="15.75" customHeight="1" x14ac:dyDescent="0.2">
      <c r="A32" s="382" t="s">
        <v>328</v>
      </c>
      <c r="B32" s="36">
        <f>'Fremtind Livsforsikring'!B32+'DNB Livsforsikring'!B32+'Eika Forsikring AS'!B32+'Frende Livsforsikring'!B32+'Frende Skadeforsikring'!B32+'Gjensidige Forsikring'!B32+'Gjensidige Pensjon'!B32+'If Skadeforsikring NUF'!B32+KLP!B32+'KLP Skadeforsikring AS'!B32+'Landkreditt Forsikring'!B32+'Nordea Liv '!B32+'Oslo Pensjonsforsikring'!B32+'Protector Forsikring'!B32+'Sparebank 1 Fors.'!B32+'Storebrand Livsforsikring'!B32+'Telenor Forsikring'!B32+'Tryg Forsikring'!B32+'WaterCircles F'!B32+'Euro Accident'!B32+'Ly Forsikring'!B32+'Youplus Livsforsikring'!B32+'Oslo Forsikring'!B32</f>
        <v>2247341.6002245368</v>
      </c>
      <c r="C32" s="36">
        <f>'Fremtind Livsforsikring'!C32+'DNB Livsforsikring'!C32+'Eika Forsikring AS'!C32+'Frende Livsforsikring'!C32+'Frende Skadeforsikring'!C32+'Gjensidige Forsikring'!C32+'Gjensidige Pensjon'!C32+'If Skadeforsikring NUF'!C32+KLP!C32+'KLP Skadeforsikring AS'!C32+'Landkreditt Forsikring'!C32+'Nordea Liv '!C32+'Oslo Pensjonsforsikring'!C32+'Protector Forsikring'!C32+'Sparebank 1 Fors.'!C32+'Storebrand Livsforsikring'!C32+'Telenor Forsikring'!C32+'Tryg Forsikring'!C32+'WaterCircles F'!C32+'Euro Accident'!C32+'Ly Forsikring'!C32+'Youplus Livsforsikring'!C32+'Oslo Forsikring'!C32</f>
        <v>2348242.3398618102</v>
      </c>
      <c r="D32" s="23">
        <f t="shared" si="16"/>
        <v>4.5</v>
      </c>
      <c r="E32" s="36">
        <f>'Fremtind Livsforsikring'!F32+'DNB Livsforsikring'!F32+'Eika Forsikring AS'!F32+'Frende Livsforsikring'!F32+'Frende Skadeforsikring'!F32+'Gjensidige Forsikring'!F32+'Gjensidige Pensjon'!F32+'If Skadeforsikring NUF'!F32+KLP!F32+'KLP Skadeforsikring AS'!F32+'Landkreditt Forsikring'!F32+'Nordea Liv '!F32+'Oslo Pensjonsforsikring'!F32+'Protector Forsikring'!F32+'Sparebank 1 Fors.'!F32+'Storebrand Livsforsikring'!F32+'Telenor Forsikring'!F32+'Tryg Forsikring'!F32+'WaterCircles F'!F32+'Euro Accident'!F32+'Ly Forsikring'!F32+'Youplus Livsforsikring'!F32+'Oslo Forsikring'!F32</f>
        <v>6325074.6596653005</v>
      </c>
      <c r="F32" s="36">
        <f>'Fremtind Livsforsikring'!G32+'DNB Livsforsikring'!G32+'Eika Forsikring AS'!G32+'Frende Livsforsikring'!G32+'Frende Skadeforsikring'!G32+'Gjensidige Forsikring'!G32+'Gjensidige Pensjon'!G32+'If Skadeforsikring NUF'!G32+KLP!G32+'KLP Skadeforsikring AS'!G32+'Landkreditt Forsikring'!G32+'Nordea Liv '!G32+'Oslo Pensjonsforsikring'!G32+'Protector Forsikring'!G32+'Sparebank 1 Fors.'!G32+'Storebrand Livsforsikring'!G32+'Telenor Forsikring'!G32+'Tryg Forsikring'!G32+'WaterCircles F'!G32+'Euro Accident'!G32+'Ly Forsikring'!G32+'Youplus Livsforsikring'!G32+'Oslo Forsikring'!G32</f>
        <v>6547963.3887224458</v>
      </c>
      <c r="G32" s="123">
        <f t="shared" si="17"/>
        <v>3.5</v>
      </c>
      <c r="H32" s="181">
        <f t="shared" si="9"/>
        <v>8572416.2598898374</v>
      </c>
      <c r="I32" s="36">
        <f t="shared" si="7"/>
        <v>8896205.728584256</v>
      </c>
      <c r="J32" s="21">
        <f t="shared" si="8"/>
        <v>3.8</v>
      </c>
    </row>
    <row r="33" spans="1:10" ht="15.75" customHeight="1" x14ac:dyDescent="0.2">
      <c r="A33" s="382" t="s">
        <v>329</v>
      </c>
      <c r="B33" s="36"/>
      <c r="C33" s="36"/>
      <c r="D33" s="23"/>
      <c r="E33" s="36">
        <f>'Fremtind Livsforsikring'!F33+'DNB Livsforsikring'!F33+'Eika Forsikring AS'!F33+'Frende Livsforsikring'!F33+'Frende Skadeforsikring'!F33+'Gjensidige Forsikring'!F33+'Gjensidige Pensjon'!F33+'If Skadeforsikring NUF'!F33+KLP!F33+'KLP Skadeforsikring AS'!F33+'Landkreditt Forsikring'!F33+'Nordea Liv '!F33+'Oslo Pensjonsforsikring'!F33+'Protector Forsikring'!F33+'Sparebank 1 Fors.'!F33+'Storebrand Livsforsikring'!F33+'Telenor Forsikring'!F33+'Tryg Forsikring'!F33+'WaterCircles F'!F33+'Euro Accident'!F33+'Ly Forsikring'!F33+'Youplus Livsforsikring'!F33+'Oslo Forsikring'!F33</f>
        <v>10176602.70230723</v>
      </c>
      <c r="F33" s="36">
        <f>'Fremtind Livsforsikring'!G33+'DNB Livsforsikring'!G33+'Eika Forsikring AS'!G33+'Frende Livsforsikring'!G33+'Frende Skadeforsikring'!G33+'Gjensidige Forsikring'!G33+'Gjensidige Pensjon'!G33+'If Skadeforsikring NUF'!G33+KLP!G33+'KLP Skadeforsikring AS'!G33+'Landkreditt Forsikring'!G33+'Nordea Liv '!G33+'Oslo Pensjonsforsikring'!G33+'Protector Forsikring'!G33+'Sparebank 1 Fors.'!G33+'Storebrand Livsforsikring'!G33+'Telenor Forsikring'!G33+'Tryg Forsikring'!G33+'WaterCircles F'!G33+'Euro Accident'!G33+'Ly Forsikring'!G33+'Youplus Livsforsikring'!G33+'Oslo Forsikring'!G33</f>
        <v>11372917.33946868</v>
      </c>
      <c r="G33" s="123">
        <f t="shared" ref="G33" si="18">IF($A$1=4,IF(E33=0, "    ---- ", IF(ABS(ROUND(100/E33*F33-100,1))&lt;999,ROUND(100/E33*F33-100,1),IF(ROUND(100/E33*F33-100,1)&gt;999,999,-999))),"")</f>
        <v>11.8</v>
      </c>
      <c r="H33" s="181">
        <f t="shared" ref="H33" si="19">SUM(B33,E33)</f>
        <v>10176602.70230723</v>
      </c>
      <c r="I33" s="36">
        <f t="shared" ref="I33" si="20">SUM(C33,F33)</f>
        <v>11372917.33946868</v>
      </c>
      <c r="J33" s="21">
        <f t="shared" ref="J33" si="21">IF(H33=0, "    ---- ", IF(ABS(ROUND(100/H33*I33-100,1))&lt;999,ROUND(100/H33*I33-100,1),IF(ROUND(100/H33*I33-100,1)&gt;999,999,-999)))</f>
        <v>11.8</v>
      </c>
    </row>
    <row r="34" spans="1:10" s="35" customFormat="1" ht="15.75" customHeight="1" x14ac:dyDescent="0.2">
      <c r="A34" s="10" t="s">
        <v>324</v>
      </c>
      <c r="B34" s="183">
        <f>'Fremtind Livsforsikring'!B34+'DNB Livsforsikring'!B34+'Eika Forsikring AS'!B34+'Frende Livsforsikring'!B34+'Frende Skadeforsikring'!B34+'Gjensidige Forsikring'!B34+'Gjensidige Pensjon'!B34+'If Skadeforsikring NUF'!B34+KLP!B34+'KLP Skadeforsikring AS'!B34+'Landkreditt Forsikring'!B34+'Nordea Liv '!B34+'Oslo Pensjonsforsikring'!B34+'Protector Forsikring'!B34+'Sparebank 1 Fors.'!B34+'Storebrand Livsforsikring'!B34+'Telenor Forsikring'!B34+'Tryg Forsikring'!B34+'WaterCircles F'!B34+'Euro Accident'!B34+'Ly Forsikring'!B34+'Youplus Livsforsikring'!B34+'Oslo Forsikring'!B34</f>
        <v>5321.1620000000003</v>
      </c>
      <c r="C34" s="183">
        <f>'Fremtind Livsforsikring'!C34+'DNB Livsforsikring'!C34+'Eika Forsikring AS'!C34+'Frende Livsforsikring'!C34+'Frende Skadeforsikring'!C34+'Gjensidige Forsikring'!C34+'Gjensidige Pensjon'!C34+'If Skadeforsikring NUF'!C34+KLP!C34+'KLP Skadeforsikring AS'!C34+'Landkreditt Forsikring'!C34+'Nordea Liv '!C34+'Oslo Pensjonsforsikring'!C34+'Protector Forsikring'!C34+'Sparebank 1 Fors.'!C34+'Storebrand Livsforsikring'!C34+'Telenor Forsikring'!C34+'Tryg Forsikring'!C34+'WaterCircles F'!C34+'Euro Accident'!C34+'Ly Forsikring'!C34+'Youplus Livsforsikring'!C34+'Oslo Forsikring'!C34</f>
        <v>5797.2493300000006</v>
      </c>
      <c r="D34" s="21">
        <f t="shared" si="16"/>
        <v>8.9</v>
      </c>
      <c r="E34" s="248">
        <f>'Fremtind Livsforsikring'!F34+'DNB Livsforsikring'!F34+'Eika Forsikring AS'!F34+'Frende Livsforsikring'!F34+'Frende Skadeforsikring'!F34+'Gjensidige Forsikring'!F34+'Gjensidige Pensjon'!F34+'If Skadeforsikring NUF'!F34+KLP!F34+'KLP Skadeforsikring AS'!F34+'Landkreditt Forsikring'!F34+'Nordea Liv '!F34+'Oslo Pensjonsforsikring'!F34+'Protector Forsikring'!F34+'Sparebank 1 Fors.'!F34+'Storebrand Livsforsikring'!F34+'Telenor Forsikring'!F34+'Tryg Forsikring'!F34+'WaterCircles F'!F34+'Euro Accident'!F34+'Ly Forsikring'!F34+'Youplus Livsforsikring'!F34+'Oslo Forsikring'!F34</f>
        <v>-10032.075399999998</v>
      </c>
      <c r="F34" s="248">
        <f>'Fremtind Livsforsikring'!G34+'DNB Livsforsikring'!G34+'Eika Forsikring AS'!G34+'Frende Livsforsikring'!G34+'Frende Skadeforsikring'!G34+'Gjensidige Forsikring'!G34+'Gjensidige Pensjon'!G34+'If Skadeforsikring NUF'!G34+KLP!G34+'KLP Skadeforsikring AS'!G34+'Landkreditt Forsikring'!G34+'Nordea Liv '!G34+'Oslo Pensjonsforsikring'!G34+'Protector Forsikring'!G34+'Sparebank 1 Fors.'!G34+'Storebrand Livsforsikring'!G34+'Telenor Forsikring'!G34+'Tryg Forsikring'!G34+'WaterCircles F'!G34+'Euro Accident'!G34+'Ly Forsikring'!G34+'Youplus Livsforsikring'!G34+'Oslo Forsikring'!G34</f>
        <v>-104367.89246</v>
      </c>
      <c r="G34" s="127">
        <f t="shared" si="6"/>
        <v>940.3</v>
      </c>
      <c r="H34" s="248">
        <f t="shared" si="9"/>
        <v>-4710.9133999999976</v>
      </c>
      <c r="I34" s="183">
        <f t="shared" si="7"/>
        <v>-98570.643129999997</v>
      </c>
      <c r="J34" s="21">
        <f t="shared" si="8"/>
        <v>999</v>
      </c>
    </row>
    <row r="35" spans="1:10" s="35" customFormat="1" ht="15.75" customHeight="1" x14ac:dyDescent="0.2">
      <c r="A35" s="10" t="s">
        <v>325</v>
      </c>
      <c r="B35" s="183">
        <f>'Fremtind Livsforsikring'!B35+'DNB Livsforsikring'!B35+'Eika Forsikring AS'!B35+'Frende Livsforsikring'!B35+'Frende Skadeforsikring'!B35+'Gjensidige Forsikring'!B35+'Gjensidige Pensjon'!B35+'If Skadeforsikring NUF'!B35+KLP!B35+'KLP Skadeforsikring AS'!B35+'Landkreditt Forsikring'!B35+'Nordea Liv '!B35+'Oslo Pensjonsforsikring'!B35+'Protector Forsikring'!B35+'Sparebank 1 Fors.'!B35+'Storebrand Livsforsikring'!B35+'Telenor Forsikring'!B35+'Tryg Forsikring'!B35+'WaterCircles F'!B35+'Euro Accident'!B35+'Ly Forsikring'!B35+'Youplus Livsforsikring'!B35+'Oslo Forsikring'!B35</f>
        <v>-57567.2425</v>
      </c>
      <c r="C35" s="183">
        <f>'Fremtind Livsforsikring'!C35+'DNB Livsforsikring'!C35+'Eika Forsikring AS'!C35+'Frende Livsforsikring'!C35+'Frende Skadeforsikring'!C35+'Gjensidige Forsikring'!C35+'Gjensidige Pensjon'!C35+'If Skadeforsikring NUF'!C35+KLP!C35+'KLP Skadeforsikring AS'!C35+'Landkreditt Forsikring'!C35+'Nordea Liv '!C35+'Oslo Pensjonsforsikring'!C35+'Protector Forsikring'!C35+'Sparebank 1 Fors.'!C35+'Storebrand Livsforsikring'!C35+'Telenor Forsikring'!C35+'Tryg Forsikring'!C35+'WaterCircles F'!C35+'Euro Accident'!C35+'Ly Forsikring'!C35+'Youplus Livsforsikring'!C35+'Oslo Forsikring'!C35</f>
        <v>-149053.81912</v>
      </c>
      <c r="D35" s="21">
        <f t="shared" si="16"/>
        <v>158.9</v>
      </c>
      <c r="E35" s="248">
        <f>'Fremtind Livsforsikring'!F35+'DNB Livsforsikring'!F35+'Eika Forsikring AS'!F35+'Frende Livsforsikring'!F35+'Frende Skadeforsikring'!F35+'Gjensidige Forsikring'!F35+'Gjensidige Pensjon'!F35+'If Skadeforsikring NUF'!F35+KLP!F35+'KLP Skadeforsikring AS'!F35+'Landkreditt Forsikring'!F35+'Nordea Liv '!F35+'Oslo Pensjonsforsikring'!F35+'Protector Forsikring'!F35+'Sparebank 1 Fors.'!F35+'Storebrand Livsforsikring'!F35+'Telenor Forsikring'!F35+'Tryg Forsikring'!F35+'WaterCircles F'!F35+'Euro Accident'!F35+'Ly Forsikring'!F35+'Youplus Livsforsikring'!F35+'Oslo Forsikring'!F35</f>
        <v>58871.71516</v>
      </c>
      <c r="F35" s="248">
        <f>'Fremtind Livsforsikring'!G35+'DNB Livsforsikring'!G35+'Eika Forsikring AS'!G35+'Frende Livsforsikring'!G35+'Frende Skadeforsikring'!G35+'Gjensidige Forsikring'!G35+'Gjensidige Pensjon'!G35+'If Skadeforsikring NUF'!G35+KLP!G35+'KLP Skadeforsikring AS'!G35+'Landkreditt Forsikring'!G35+'Nordea Liv '!G35+'Oslo Pensjonsforsikring'!G35+'Protector Forsikring'!G35+'Sparebank 1 Fors.'!G35+'Storebrand Livsforsikring'!G35+'Telenor Forsikring'!G35+'Tryg Forsikring'!G35+'WaterCircles F'!G35+'Euro Accident'!G35+'Ly Forsikring'!G35+'Youplus Livsforsikring'!G35+'Oslo Forsikring'!G35</f>
        <v>68852.985529999991</v>
      </c>
      <c r="G35" s="127">
        <f t="shared" si="6"/>
        <v>17</v>
      </c>
      <c r="H35" s="248">
        <f t="shared" si="9"/>
        <v>1304.4726599999995</v>
      </c>
      <c r="I35" s="183">
        <f t="shared" si="7"/>
        <v>-80200.833590000009</v>
      </c>
      <c r="J35" s="21">
        <f t="shared" si="8"/>
        <v>-999</v>
      </c>
    </row>
    <row r="36" spans="1:10" s="35" customFormat="1" ht="15.75" customHeight="1" x14ac:dyDescent="0.2">
      <c r="A36" s="9" t="s">
        <v>255</v>
      </c>
      <c r="B36" s="183">
        <f>'Fremtind Livsforsikring'!B36+'DNB Livsforsikring'!B36+'Eika Forsikring AS'!B36+'Frende Livsforsikring'!B36+'Frende Skadeforsikring'!B36+'Gjensidige Forsikring'!B36+'Gjensidige Pensjon'!B36+'If Skadeforsikring NUF'!B36+KLP!B36+'KLP Skadeforsikring AS'!B36+'Landkreditt Forsikring'!B36+'Nordea Liv '!B36+'Oslo Pensjonsforsikring'!B36+'Protector Forsikring'!B36+'Sparebank 1 Fors.'!B36+'Storebrand Livsforsikring'!B36+'Telenor Forsikring'!B36+'Tryg Forsikring'!B36+'WaterCircles F'!B36+'Euro Accident'!B36+'Ly Forsikring'!B36+'Youplus Livsforsikring'!B36+'Oslo Forsikring'!B36</f>
        <v>548.72699999999998</v>
      </c>
      <c r="C36" s="183">
        <f>'Fremtind Livsforsikring'!C36+'DNB Livsforsikring'!C36+'Eika Forsikring AS'!C36+'Frende Livsforsikring'!C36+'Frende Skadeforsikring'!C36+'Gjensidige Forsikring'!C36+'Gjensidige Pensjon'!C36+'If Skadeforsikring NUF'!C36+KLP!C36+'KLP Skadeforsikring AS'!C36+'Landkreditt Forsikring'!C36+'Nordea Liv '!C36+'Oslo Pensjonsforsikring'!C36+'Protector Forsikring'!C36+'Sparebank 1 Fors.'!C36+'Storebrand Livsforsikring'!C36+'Telenor Forsikring'!C36+'Tryg Forsikring'!C36+'WaterCircles F'!C36+'Euro Accident'!C36+'Ly Forsikring'!C36+'Youplus Livsforsikring'!C36+'Oslo Forsikring'!C36</f>
        <v>607</v>
      </c>
      <c r="D36" s="8">
        <f t="shared" si="16"/>
        <v>10.6</v>
      </c>
      <c r="E36" s="259"/>
      <c r="F36" s="259"/>
      <c r="G36" s="127"/>
      <c r="H36" s="248">
        <f t="shared" si="9"/>
        <v>548.72699999999998</v>
      </c>
      <c r="I36" s="183">
        <f t="shared" si="7"/>
        <v>607</v>
      </c>
      <c r="J36" s="8">
        <f t="shared" si="8"/>
        <v>10.6</v>
      </c>
    </row>
    <row r="37" spans="1:10" s="35" customFormat="1" ht="15.75" customHeight="1" x14ac:dyDescent="0.2">
      <c r="A37" s="9" t="s">
        <v>331</v>
      </c>
      <c r="B37" s="183">
        <f>'Fremtind Livsforsikring'!B37+'DNB Livsforsikring'!B37+'Eika Forsikring AS'!B37+'Frende Livsforsikring'!B37+'Frende Skadeforsikring'!B37+'Gjensidige Forsikring'!B37+'Gjensidige Pensjon'!B37+'If Skadeforsikring NUF'!B37+KLP!B37+'KLP Skadeforsikring AS'!B37+'Landkreditt Forsikring'!B37+'Nordea Liv '!B37+'Oslo Pensjonsforsikring'!B37+'Protector Forsikring'!B37+'Sparebank 1 Fors.'!B37+'Storebrand Livsforsikring'!B37+'Telenor Forsikring'!B37+'Tryg Forsikring'!B37+'WaterCircles F'!B37+'Euro Accident'!B37+'Ly Forsikring'!B37+'Youplus Livsforsikring'!B37+'Oslo Forsikring'!B37</f>
        <v>2634206.4802200003</v>
      </c>
      <c r="C37" s="183">
        <f>'Fremtind Livsforsikring'!C37+'DNB Livsforsikring'!C37+'Eika Forsikring AS'!C37+'Frende Livsforsikring'!C37+'Frende Skadeforsikring'!C37+'Gjensidige Forsikring'!C37+'Gjensidige Pensjon'!C37+'If Skadeforsikring NUF'!C37+KLP!C37+'KLP Skadeforsikring AS'!C37+'Landkreditt Forsikring'!C37+'Nordea Liv '!C37+'Oslo Pensjonsforsikring'!C37+'Protector Forsikring'!C37+'Sparebank 1 Fors.'!C37+'Storebrand Livsforsikring'!C37+'Telenor Forsikring'!C37+'Tryg Forsikring'!C37+'WaterCircles F'!C37+'Euro Accident'!C37+'Ly Forsikring'!C37+'Youplus Livsforsikring'!C37+'Oslo Forsikring'!C37</f>
        <v>2445944.2662300002</v>
      </c>
      <c r="D37" s="21">
        <f t="shared" si="16"/>
        <v>-7.1</v>
      </c>
      <c r="E37" s="264"/>
      <c r="F37" s="264"/>
      <c r="G37" s="127"/>
      <c r="H37" s="248">
        <f t="shared" si="9"/>
        <v>2634206.4802200003</v>
      </c>
      <c r="I37" s="183">
        <f t="shared" si="7"/>
        <v>2445944.2662300002</v>
      </c>
      <c r="J37" s="21">
        <f t="shared" si="8"/>
        <v>-7.1</v>
      </c>
    </row>
    <row r="38" spans="1:10" s="35" customFormat="1" ht="15.75" customHeight="1" x14ac:dyDescent="0.2">
      <c r="A38" s="9" t="s">
        <v>332</v>
      </c>
      <c r="B38" s="183"/>
      <c r="C38" s="183"/>
      <c r="D38" s="21"/>
      <c r="E38" s="259"/>
      <c r="F38" s="259"/>
      <c r="G38" s="127"/>
      <c r="H38" s="248"/>
      <c r="I38" s="183"/>
      <c r="J38" s="21"/>
    </row>
    <row r="39" spans="1:10" s="35" customFormat="1" ht="15.75" customHeight="1" x14ac:dyDescent="0.2">
      <c r="A39" s="15" t="s">
        <v>333</v>
      </c>
      <c r="B39" s="221">
        <f>'Fremtind Livsforsikring'!B39+'DNB Livsforsikring'!B39+'Eika Forsikring AS'!B39+'Frende Livsforsikring'!B39+'Frende Skadeforsikring'!B39+'Gjensidige Forsikring'!B39+'Gjensidige Pensjon'!B39+'If Skadeforsikring NUF'!B39+KLP!B39+'KLP Skadeforsikring AS'!B39+'Landkreditt Forsikring'!B39+'Nordea Liv '!B39+'Oslo Pensjonsforsikring'!B39+'Protector Forsikring'!B39+'Sparebank 1 Fors.'!B39+'Storebrand Livsforsikring'!B39+'Telenor Forsikring'!B39+'Tryg Forsikring'!B39+'WaterCircles F'!B39+'Euro Accident'!B39+'Ly Forsikring'!B39+'Youplus Livsforsikring'!B39+'Oslo Forsikring'!B39</f>
        <v>0</v>
      </c>
      <c r="C39" s="221">
        <f>'Fremtind Livsforsikring'!C39+'DNB Livsforsikring'!C39+'Eika Forsikring AS'!C39+'Frende Livsforsikring'!C39+'Frende Skadeforsikring'!C39+'Gjensidige Forsikring'!C39+'Gjensidige Pensjon'!C39+'If Skadeforsikring NUF'!C39+KLP!C39+'KLP Skadeforsikring AS'!C39+'Landkreditt Forsikring'!C39+'Nordea Liv '!C39+'Oslo Pensjonsforsikring'!C39+'Protector Forsikring'!C39+'Sparebank 1 Fors.'!C39+'Storebrand Livsforsikring'!C39+'Telenor Forsikring'!C39+'Tryg Forsikring'!C39+'WaterCircles F'!C39+'Euro Accident'!C39+'Ly Forsikring'!C39+'Youplus Livsforsikring'!C39+'Oslo Forsikring'!C39</f>
        <v>1</v>
      </c>
      <c r="D39" s="30" t="str">
        <f t="shared" si="5"/>
        <v xml:space="preserve">    ---- </v>
      </c>
      <c r="E39" s="265"/>
      <c r="F39" s="265"/>
      <c r="G39" s="125"/>
      <c r="H39" s="254">
        <f t="shared" si="9"/>
        <v>0</v>
      </c>
      <c r="I39" s="221">
        <f t="shared" si="7"/>
        <v>1</v>
      </c>
      <c r="J39" s="30" t="str">
        <f t="shared" si="8"/>
        <v xml:space="preserve">    ---- </v>
      </c>
    </row>
    <row r="40" spans="1:10" ht="15.75" customHeight="1" x14ac:dyDescent="0.2">
      <c r="A40" s="35"/>
    </row>
    <row r="41" spans="1:10" ht="15.75" customHeight="1" x14ac:dyDescent="0.2">
      <c r="A41" s="115"/>
    </row>
    <row r="42" spans="1:10" ht="15.75" customHeight="1" x14ac:dyDescent="0.25">
      <c r="A42" s="110" t="s">
        <v>244</v>
      </c>
      <c r="B42" s="572"/>
      <c r="C42" s="572"/>
      <c r="D42" s="572"/>
      <c r="E42" s="572"/>
      <c r="F42" s="572"/>
      <c r="G42" s="572"/>
      <c r="H42" s="572"/>
      <c r="I42" s="572"/>
      <c r="J42" s="572"/>
    </row>
    <row r="43" spans="1:10" ht="15.75" customHeight="1" x14ac:dyDescent="0.25">
      <c r="A43" s="122"/>
      <c r="B43" s="239"/>
      <c r="C43" s="239"/>
      <c r="D43" s="239"/>
      <c r="E43" s="239"/>
      <c r="F43" s="239"/>
      <c r="G43" s="239"/>
      <c r="H43" s="239"/>
      <c r="I43" s="239"/>
      <c r="J43" s="239"/>
    </row>
    <row r="44" spans="1:10" ht="15.75" customHeight="1" x14ac:dyDescent="0.25">
      <c r="A44" s="194"/>
      <c r="B44" s="266" t="s">
        <v>0</v>
      </c>
      <c r="C44" s="267"/>
      <c r="D44" s="202"/>
      <c r="E44" s="34"/>
      <c r="F44" s="34"/>
      <c r="G44" s="32"/>
      <c r="H44" s="34"/>
      <c r="I44" s="34"/>
      <c r="J44" s="32"/>
    </row>
    <row r="45" spans="1:10" ht="15.75" customHeight="1" x14ac:dyDescent="0.2">
      <c r="A45" s="105"/>
      <c r="B45" s="199" t="s">
        <v>417</v>
      </c>
      <c r="C45" s="200" t="s">
        <v>418</v>
      </c>
      <c r="D45" s="197" t="s">
        <v>3</v>
      </c>
      <c r="E45" s="34"/>
      <c r="F45" s="34"/>
      <c r="G45" s="32"/>
      <c r="H45" s="34"/>
      <c r="I45" s="34"/>
      <c r="J45" s="32"/>
    </row>
    <row r="46" spans="1:10" ht="15.75" customHeight="1" x14ac:dyDescent="0.2">
      <c r="A46" s="548"/>
      <c r="B46" s="7"/>
      <c r="C46" s="201"/>
      <c r="D46" s="14" t="s">
        <v>4</v>
      </c>
      <c r="E46" s="32"/>
      <c r="F46" s="32"/>
      <c r="G46" s="32"/>
      <c r="H46" s="32"/>
      <c r="I46" s="32"/>
      <c r="J46" s="32"/>
    </row>
    <row r="47" spans="1:10" s="35" customFormat="1" ht="15.75" customHeight="1" x14ac:dyDescent="0.2">
      <c r="A47" s="11" t="s">
        <v>23</v>
      </c>
      <c r="B47" s="183">
        <f>'Fremtind Livsforsikring'!B47+'DNB Livsforsikring'!B47+'Eika Forsikring AS'!B47+'Frende Livsforsikring'!B47+'Frende Skadeforsikring'!B47+'Gjensidige Forsikring'!B47+'Gjensidige Pensjon'!B47+'If Skadeforsikring NUF'!B47+KLP!B47+'KLP Skadeforsikring AS'!B47+'Landkreditt Forsikring'!B47+'Nordea Liv '!B47+'Oslo Pensjonsforsikring'!B47+'Protector Forsikring'!B47+'Sparebank 1 Fors.'!B47+'Storebrand Livsforsikring'!B47+'Telenor Forsikring'!B47+'Tryg Forsikring'!B47+'WaterCircles F'!B47+'Euro Accident'!B47+'Ly Forsikring'!B47+'Youplus Livsforsikring'!B47+'Oslo Forsikring'!B47</f>
        <v>4118428.1644899994</v>
      </c>
      <c r="C47" s="183">
        <f>'Fremtind Livsforsikring'!C47+'DNB Livsforsikring'!C47+'Eika Forsikring AS'!C47+'Frende Livsforsikring'!C47+'Frende Skadeforsikring'!C47+'Gjensidige Forsikring'!C47+'Gjensidige Pensjon'!C47+'If Skadeforsikring NUF'!C47+KLP!C47+'KLP Skadeforsikring AS'!C47+'Landkreditt Forsikring'!C47+'Nordea Liv '!C47+'Oslo Pensjonsforsikring'!C47+'Protector Forsikring'!C47+'Sparebank 1 Fors.'!C47+'Storebrand Livsforsikring'!C47+'Telenor Forsikring'!C47+'Tryg Forsikring'!C47+'WaterCircles F'!C47+'Euro Accident'!C47+'Ly Forsikring'!C47+'Youplus Livsforsikring'!C47+'Oslo Forsikring'!C47</f>
        <v>4431216.3140400006</v>
      </c>
      <c r="D47" s="21">
        <f t="shared" ref="D47:D57" si="22">IF(B47=0, "    ---- ", IF(ABS(ROUND(100/B47*C47-100,1))&lt;999,ROUND(100/B47*C47-100,1),IF(ROUND(100/B47*C47-100,1)&gt;999,999,-999)))</f>
        <v>7.6</v>
      </c>
      <c r="E47" s="335"/>
      <c r="F47" s="336"/>
      <c r="G47" s="26"/>
      <c r="H47" s="337"/>
      <c r="I47" s="337"/>
      <c r="J47" s="26"/>
    </row>
    <row r="48" spans="1:10" ht="15.75" customHeight="1" x14ac:dyDescent="0.2">
      <c r="A48" s="18" t="s">
        <v>334</v>
      </c>
      <c r="B48" s="36">
        <f>'Fremtind Livsforsikring'!B48+'DNB Livsforsikring'!B48+'Eika Forsikring AS'!B48+'Frende Livsforsikring'!B48+'Frende Skadeforsikring'!B48+'Gjensidige Forsikring'!B48+'Gjensidige Pensjon'!B48+'If Skadeforsikring NUF'!B48+KLP!B48+'KLP Skadeforsikring AS'!B48+'Landkreditt Forsikring'!B48+'Nordea Liv '!B48+'Oslo Pensjonsforsikring'!B48+'Protector Forsikring'!B48+'Sparebank 1 Fors.'!B48+'Storebrand Livsforsikring'!B48+'Telenor Forsikring'!B48+'Tryg Forsikring'!B48+'WaterCircles F'!B48+'Euro Accident'!B48+'Ly Forsikring'!B48+'Youplus Livsforsikring'!B48+'Oslo Forsikring'!B48</f>
        <v>2200669.1947999997</v>
      </c>
      <c r="C48" s="36">
        <f>'Fremtind Livsforsikring'!C48+'DNB Livsforsikring'!C48+'Eika Forsikring AS'!C48+'Frende Livsforsikring'!C48+'Frende Skadeforsikring'!C48+'Gjensidige Forsikring'!C48+'Gjensidige Pensjon'!C48+'If Skadeforsikring NUF'!C48+KLP!C48+'KLP Skadeforsikring AS'!C48+'Landkreditt Forsikring'!C48+'Nordea Liv '!C48+'Oslo Pensjonsforsikring'!C48+'Protector Forsikring'!C48+'Sparebank 1 Fors.'!C48+'Storebrand Livsforsikring'!C48+'Telenor Forsikring'!C48+'Tryg Forsikring'!C48+'WaterCircles F'!C48+'Euro Accident'!C48+'Ly Forsikring'!C48+'Youplus Livsforsikring'!C48+'Oslo Forsikring'!C48</f>
        <v>2405620.12934</v>
      </c>
      <c r="D48" s="21">
        <f t="shared" si="22"/>
        <v>9.3000000000000007</v>
      </c>
      <c r="E48" s="29"/>
      <c r="F48" s="3"/>
      <c r="G48" s="28"/>
      <c r="H48" s="27"/>
      <c r="I48" s="27"/>
      <c r="J48" s="26"/>
    </row>
    <row r="49" spans="1:10" ht="15.75" customHeight="1" x14ac:dyDescent="0.2">
      <c r="A49" s="18" t="s">
        <v>335</v>
      </c>
      <c r="B49" s="143">
        <f>'Fremtind Livsforsikring'!B49+'DNB Livsforsikring'!B49+'Eika Forsikring AS'!B49+'Frende Livsforsikring'!B49+'Frende Skadeforsikring'!B49+'Gjensidige Forsikring'!B49+'Gjensidige Pensjon'!B49+'If Skadeforsikring NUF'!B49+KLP!B49+'KLP Skadeforsikring AS'!B49+'Landkreditt Forsikring'!B49+'Nordea Liv '!B49+'Oslo Pensjonsforsikring'!B49+'Protector Forsikring'!B49+'Sparebank 1 Fors.'!B49+'Storebrand Livsforsikring'!B49+'Telenor Forsikring'!B49+'Tryg Forsikring'!B49+'WaterCircles F'!B49+'Euro Accident'!B49+'Ly Forsikring'!B49+'Youplus Livsforsikring'!B49+'Oslo Forsikring'!B49</f>
        <v>1917758.9696900002</v>
      </c>
      <c r="C49" s="143">
        <f>'Fremtind Livsforsikring'!C49+'DNB Livsforsikring'!C49+'Eika Forsikring AS'!C49+'Frende Livsforsikring'!C49+'Frende Skadeforsikring'!C49+'Gjensidige Forsikring'!C49+'Gjensidige Pensjon'!C49+'If Skadeforsikring NUF'!C49+KLP!C49+'KLP Skadeforsikring AS'!C49+'Landkreditt Forsikring'!C49+'Nordea Liv '!C49+'Oslo Pensjonsforsikring'!C49+'Protector Forsikring'!C49+'Sparebank 1 Fors.'!C49+'Storebrand Livsforsikring'!C49+'Telenor Forsikring'!C49+'Tryg Forsikring'!C49+'WaterCircles F'!C49+'Euro Accident'!C49+'Ly Forsikring'!C49+'Youplus Livsforsikring'!C49+'Oslo Forsikring'!C49</f>
        <v>2025596.1847000001</v>
      </c>
      <c r="D49" s="21">
        <f t="shared" si="22"/>
        <v>5.6</v>
      </c>
      <c r="E49" s="29"/>
      <c r="F49" s="3"/>
      <c r="G49" s="28"/>
      <c r="H49" s="31"/>
      <c r="I49" s="31"/>
      <c r="J49" s="26"/>
    </row>
    <row r="50" spans="1:10" ht="15.75" customHeight="1" x14ac:dyDescent="0.2">
      <c r="A50" s="238" t="s">
        <v>6</v>
      </c>
      <c r="B50" s="259"/>
      <c r="C50" s="259"/>
      <c r="D50" s="23"/>
      <c r="E50" s="29"/>
      <c r="F50" s="3"/>
      <c r="G50" s="28"/>
      <c r="H50" s="27"/>
      <c r="I50" s="27"/>
      <c r="J50" s="26"/>
    </row>
    <row r="51" spans="1:10" ht="15.75" customHeight="1" x14ac:dyDescent="0.2">
      <c r="A51" s="238" t="s">
        <v>7</v>
      </c>
      <c r="B51" s="259"/>
      <c r="C51" s="259"/>
      <c r="D51" s="23"/>
      <c r="E51" s="29"/>
      <c r="F51" s="3"/>
      <c r="G51" s="28"/>
      <c r="H51" s="27"/>
      <c r="I51" s="27"/>
      <c r="J51" s="26"/>
    </row>
    <row r="52" spans="1:10" ht="15.75" customHeight="1" x14ac:dyDescent="0.2">
      <c r="A52" s="238" t="s">
        <v>8</v>
      </c>
      <c r="B52" s="259"/>
      <c r="C52" s="259"/>
      <c r="D52" s="23"/>
      <c r="E52" s="29"/>
      <c r="F52" s="3"/>
      <c r="G52" s="28"/>
      <c r="H52" s="27"/>
      <c r="I52" s="27"/>
      <c r="J52" s="26"/>
    </row>
    <row r="53" spans="1:10" s="35" customFormat="1" ht="15.75" customHeight="1" x14ac:dyDescent="0.2">
      <c r="A53" s="10" t="s">
        <v>336</v>
      </c>
      <c r="B53" s="183">
        <f>'Fremtind Livsforsikring'!B53+'DNB Livsforsikring'!B53+'Eika Forsikring AS'!B53+'Frende Livsforsikring'!B53+'Frende Skadeforsikring'!B53+'Gjensidige Forsikring'!B53+'Gjensidige Pensjon'!B53+'If Skadeforsikring NUF'!B53+KLP!B53+'KLP Skadeforsikring AS'!B53+'Landkreditt Forsikring'!B53+'Nordea Liv '!B53+'Oslo Pensjonsforsikring'!B53+'Protector Forsikring'!B53+'Sparebank 1 Fors.'!B53+'Storebrand Livsforsikring'!B53+'Telenor Forsikring'!B53+'Tryg Forsikring'!B53+'WaterCircles F'!B53+'Euro Accident'!B53+'Ly Forsikring'!B53+'Youplus Livsforsikring'!B53+'Oslo Forsikring'!B53</f>
        <v>102107.47899999999</v>
      </c>
      <c r="C53" s="183">
        <f>'Fremtind Livsforsikring'!C53+'DNB Livsforsikring'!C53+'Eika Forsikring AS'!C53+'Frende Livsforsikring'!C53+'Frende Skadeforsikring'!C53+'Gjensidige Forsikring'!C53+'Gjensidige Pensjon'!C53+'If Skadeforsikring NUF'!C53+KLP!C53+'KLP Skadeforsikring AS'!C53+'Landkreditt Forsikring'!C53+'Nordea Liv '!C53+'Oslo Pensjonsforsikring'!C53+'Protector Forsikring'!C53+'Sparebank 1 Fors.'!C53+'Storebrand Livsforsikring'!C53+'Telenor Forsikring'!C53+'Tryg Forsikring'!C53+'WaterCircles F'!C53+'Euro Accident'!C53+'Ly Forsikring'!C53+'Youplus Livsforsikring'!C53+'Oslo Forsikring'!C53</f>
        <v>174311.73699999999</v>
      </c>
      <c r="D53" s="21">
        <f t="shared" si="22"/>
        <v>70.7</v>
      </c>
      <c r="E53" s="335"/>
      <c r="F53" s="336"/>
      <c r="G53" s="26"/>
      <c r="H53" s="130"/>
      <c r="I53" s="130"/>
      <c r="J53" s="26"/>
    </row>
    <row r="54" spans="1:10" ht="15.75" customHeight="1" x14ac:dyDescent="0.2">
      <c r="A54" s="18" t="s">
        <v>334</v>
      </c>
      <c r="B54" s="36">
        <f>'Fremtind Livsforsikring'!B54+'DNB Livsforsikring'!B54+'Eika Forsikring AS'!B54+'Frende Livsforsikring'!B54+'Frende Skadeforsikring'!B54+'Gjensidige Forsikring'!B54+'Gjensidige Pensjon'!B54+'If Skadeforsikring NUF'!B54+KLP!B54+'KLP Skadeforsikring AS'!B54+'Landkreditt Forsikring'!B54+'Nordea Liv '!B54+'Oslo Pensjonsforsikring'!B54+'Protector Forsikring'!B54+'Sparebank 1 Fors.'!B54+'Storebrand Livsforsikring'!B54+'Telenor Forsikring'!B54+'Tryg Forsikring'!B54+'WaterCircles F'!B54+'Euro Accident'!B54+'Ly Forsikring'!B54+'Youplus Livsforsikring'!B54+'Oslo Forsikring'!B54</f>
        <v>101118.47899999999</v>
      </c>
      <c r="C54" s="36">
        <f>'Fremtind Livsforsikring'!C54+'DNB Livsforsikring'!C54+'Eika Forsikring AS'!C54+'Frende Livsforsikring'!C54+'Frende Skadeforsikring'!C54+'Gjensidige Forsikring'!C54+'Gjensidige Pensjon'!C54+'If Skadeforsikring NUF'!C54+KLP!C54+'KLP Skadeforsikring AS'!C54+'Landkreditt Forsikring'!C54+'Nordea Liv '!C54+'Oslo Pensjonsforsikring'!C54+'Protector Forsikring'!C54+'Sparebank 1 Fors.'!C54+'Storebrand Livsforsikring'!C54+'Telenor Forsikring'!C54+'Tryg Forsikring'!C54+'WaterCircles F'!C54+'Euro Accident'!C54+'Ly Forsikring'!C54+'Youplus Livsforsikring'!C54+'Oslo Forsikring'!C54</f>
        <v>174045.73699999999</v>
      </c>
      <c r="D54" s="21">
        <f t="shared" si="22"/>
        <v>72.099999999999994</v>
      </c>
      <c r="E54" s="29"/>
      <c r="F54" s="3"/>
      <c r="G54" s="28"/>
      <c r="H54" s="27"/>
      <c r="I54" s="27"/>
      <c r="J54" s="26"/>
    </row>
    <row r="55" spans="1:10" ht="15.75" customHeight="1" x14ac:dyDescent="0.2">
      <c r="A55" s="18" t="s">
        <v>335</v>
      </c>
      <c r="B55" s="36">
        <f>'Fremtind Livsforsikring'!B55+'DNB Livsforsikring'!B55+'Eika Forsikring AS'!B55+'Frende Livsforsikring'!B55+'Frende Skadeforsikring'!B55+'Gjensidige Forsikring'!B55+'Gjensidige Pensjon'!B55+'If Skadeforsikring NUF'!B55+KLP!B55+'KLP Skadeforsikring AS'!B55+'Landkreditt Forsikring'!B55+'Nordea Liv '!B55+'Oslo Pensjonsforsikring'!B55+'Protector Forsikring'!B55+'Sparebank 1 Fors.'!B55+'Storebrand Livsforsikring'!B55+'Telenor Forsikring'!B55+'Tryg Forsikring'!B55+'WaterCircles F'!B55+'Euro Accident'!B55+'Ly Forsikring'!B55+'Youplus Livsforsikring'!B55+'Oslo Forsikring'!B55</f>
        <v>989</v>
      </c>
      <c r="C55" s="36">
        <f>'Fremtind Livsforsikring'!C55+'DNB Livsforsikring'!C55+'Eika Forsikring AS'!C55+'Frende Livsforsikring'!C55+'Frende Skadeforsikring'!C55+'Gjensidige Forsikring'!C55+'Gjensidige Pensjon'!C55+'If Skadeforsikring NUF'!C55+KLP!C55+'KLP Skadeforsikring AS'!C55+'Landkreditt Forsikring'!C55+'Nordea Liv '!C55+'Oslo Pensjonsforsikring'!C55+'Protector Forsikring'!C55+'Sparebank 1 Fors.'!C55+'Storebrand Livsforsikring'!C55+'Telenor Forsikring'!C55+'Tryg Forsikring'!C55+'WaterCircles F'!C55+'Euro Accident'!C55+'Ly Forsikring'!C55+'Youplus Livsforsikring'!C55+'Oslo Forsikring'!C55</f>
        <v>266</v>
      </c>
      <c r="D55" s="21">
        <f t="shared" si="22"/>
        <v>-73.099999999999994</v>
      </c>
      <c r="E55" s="29"/>
      <c r="F55" s="3"/>
      <c r="G55" s="28"/>
      <c r="H55" s="27"/>
      <c r="I55" s="27"/>
      <c r="J55" s="26"/>
    </row>
    <row r="56" spans="1:10" s="35" customFormat="1" ht="15.75" customHeight="1" x14ac:dyDescent="0.2">
      <c r="A56" s="10" t="s">
        <v>337</v>
      </c>
      <c r="B56" s="183">
        <f>'Fremtind Livsforsikring'!B56+'DNB Livsforsikring'!B56+'Eika Forsikring AS'!B56+'Frende Livsforsikring'!B56+'Frende Skadeforsikring'!B56+'Gjensidige Forsikring'!B56+'Gjensidige Pensjon'!B56+'If Skadeforsikring NUF'!B56+KLP!B56+'KLP Skadeforsikring AS'!B56+'Landkreditt Forsikring'!B56+'Nordea Liv '!B56+'Oslo Pensjonsforsikring'!B56+'Protector Forsikring'!B56+'Sparebank 1 Fors.'!B56+'Storebrand Livsforsikring'!B56+'Telenor Forsikring'!B56+'Tryg Forsikring'!B56+'WaterCircles F'!B56+'Euro Accident'!B56+'Ly Forsikring'!B56+'Youplus Livsforsikring'!B56+'Oslo Forsikring'!B56</f>
        <v>96012.878999999986</v>
      </c>
      <c r="C56" s="183">
        <f>'Fremtind Livsforsikring'!C56+'DNB Livsforsikring'!C56+'Eika Forsikring AS'!C56+'Frende Livsforsikring'!C56+'Frende Skadeforsikring'!C56+'Gjensidige Forsikring'!C56+'Gjensidige Pensjon'!C56+'If Skadeforsikring NUF'!C56+KLP!C56+'KLP Skadeforsikring AS'!C56+'Landkreditt Forsikring'!C56+'Nordea Liv '!C56+'Oslo Pensjonsforsikring'!C56+'Protector Forsikring'!C56+'Sparebank 1 Fors.'!C56+'Storebrand Livsforsikring'!C56+'Telenor Forsikring'!C56+'Tryg Forsikring'!C56+'WaterCircles F'!C56+'Euro Accident'!C56+'Ly Forsikring'!C56+'Youplus Livsforsikring'!C56+'Oslo Forsikring'!C56</f>
        <v>32730.544000000002</v>
      </c>
      <c r="D56" s="21">
        <f t="shared" si="22"/>
        <v>-65.900000000000006</v>
      </c>
      <c r="E56" s="335"/>
      <c r="F56" s="336"/>
      <c r="G56" s="26"/>
      <c r="H56" s="130"/>
      <c r="I56" s="130"/>
      <c r="J56" s="26"/>
    </row>
    <row r="57" spans="1:10" ht="15.75" customHeight="1" x14ac:dyDescent="0.2">
      <c r="A57" s="18" t="s">
        <v>334</v>
      </c>
      <c r="B57" s="36">
        <f>'Fremtind Livsforsikring'!B57+'DNB Livsforsikring'!B57+'Eika Forsikring AS'!B57+'Frende Livsforsikring'!B57+'Frende Skadeforsikring'!B57+'Gjensidige Forsikring'!B57+'Gjensidige Pensjon'!B57+'If Skadeforsikring NUF'!B57+KLP!B57+'KLP Skadeforsikring AS'!B57+'Landkreditt Forsikring'!B57+'Nordea Liv '!B57+'Oslo Pensjonsforsikring'!B57+'Protector Forsikring'!B57+'Sparebank 1 Fors.'!B57+'Storebrand Livsforsikring'!B57+'Telenor Forsikring'!B57+'Tryg Forsikring'!B57+'WaterCircles F'!B57+'Euro Accident'!B57+'Ly Forsikring'!B57+'Youplus Livsforsikring'!B57+'Oslo Forsikring'!B57</f>
        <v>96012.878999999986</v>
      </c>
      <c r="C57" s="36">
        <f>'Fremtind Livsforsikring'!C57+'DNB Livsforsikring'!C57+'Eika Forsikring AS'!C57+'Frende Livsforsikring'!C57+'Frende Skadeforsikring'!C57+'Gjensidige Forsikring'!C57+'Gjensidige Pensjon'!C57+'If Skadeforsikring NUF'!C57+KLP!C57+'KLP Skadeforsikring AS'!C57+'Landkreditt Forsikring'!C57+'Nordea Liv '!C57+'Oslo Pensjonsforsikring'!C57+'Protector Forsikring'!C57+'Sparebank 1 Fors.'!C57+'Storebrand Livsforsikring'!C57+'Telenor Forsikring'!C57+'Tryg Forsikring'!C57+'WaterCircles F'!C57+'Euro Accident'!C57+'Ly Forsikring'!C57+'Youplus Livsforsikring'!C57+'Oslo Forsikring'!C57</f>
        <v>32730.544000000002</v>
      </c>
      <c r="D57" s="21">
        <f t="shared" si="22"/>
        <v>-65.900000000000006</v>
      </c>
      <c r="E57" s="29"/>
      <c r="F57" s="3"/>
      <c r="G57" s="28"/>
      <c r="H57" s="27"/>
      <c r="I57" s="27"/>
      <c r="J57" s="26"/>
    </row>
    <row r="58" spans="1:10" ht="15.75" customHeight="1" x14ac:dyDescent="0.2">
      <c r="A58" s="18" t="s">
        <v>335</v>
      </c>
      <c r="B58" s="37"/>
      <c r="C58" s="37"/>
      <c r="D58" s="30"/>
      <c r="E58" s="29"/>
      <c r="F58" s="3"/>
      <c r="G58" s="28"/>
      <c r="H58" s="27"/>
      <c r="I58" s="27"/>
      <c r="J58" s="26"/>
    </row>
    <row r="59" spans="1:10" ht="15.75" customHeight="1" x14ac:dyDescent="0.25">
      <c r="A59" s="115"/>
      <c r="B59" s="24"/>
      <c r="C59" s="24"/>
      <c r="D59" s="24"/>
      <c r="E59" s="24"/>
      <c r="F59" s="24"/>
      <c r="G59" s="24"/>
      <c r="H59" s="24"/>
      <c r="I59" s="24"/>
      <c r="J59" s="24"/>
    </row>
    <row r="60" spans="1:10" ht="15.75" customHeight="1" x14ac:dyDescent="0.2">
      <c r="A60" s="115"/>
    </row>
    <row r="61" spans="1:10" ht="15.75" customHeight="1" x14ac:dyDescent="0.25">
      <c r="A61" s="110" t="s">
        <v>245</v>
      </c>
      <c r="C61" s="22"/>
      <c r="D61" s="4"/>
      <c r="E61" s="22"/>
      <c r="F61" s="22"/>
      <c r="G61" s="4"/>
      <c r="H61" s="22"/>
      <c r="I61" s="22"/>
      <c r="J61" s="4"/>
    </row>
    <row r="62" spans="1:10" ht="20.100000000000001" customHeight="1" x14ac:dyDescent="0.25">
      <c r="A62" s="22"/>
      <c r="B62" s="572"/>
      <c r="C62" s="572"/>
      <c r="D62" s="572"/>
      <c r="E62" s="572"/>
      <c r="F62" s="572"/>
      <c r="G62" s="572"/>
      <c r="H62" s="572"/>
      <c r="I62" s="572"/>
      <c r="J62" s="572"/>
    </row>
    <row r="63" spans="1:10" ht="15.75" customHeight="1" x14ac:dyDescent="0.2">
      <c r="A63" s="108"/>
      <c r="B63" s="569" t="s">
        <v>0</v>
      </c>
      <c r="C63" s="570"/>
      <c r="D63" s="570"/>
      <c r="E63" s="569" t="s">
        <v>1</v>
      </c>
      <c r="F63" s="570"/>
      <c r="G63" s="571"/>
      <c r="H63" s="570" t="s">
        <v>2</v>
      </c>
      <c r="I63" s="570"/>
      <c r="J63" s="571"/>
    </row>
    <row r="64" spans="1:10" ht="15.75" customHeight="1" x14ac:dyDescent="0.2">
      <c r="A64" s="105"/>
      <c r="B64" s="198" t="s">
        <v>417</v>
      </c>
      <c r="C64" s="198" t="s">
        <v>418</v>
      </c>
      <c r="D64" s="16" t="s">
        <v>3</v>
      </c>
      <c r="E64" s="198" t="s">
        <v>417</v>
      </c>
      <c r="F64" s="198" t="s">
        <v>418</v>
      </c>
      <c r="G64" s="16" t="s">
        <v>3</v>
      </c>
      <c r="H64" s="198" t="s">
        <v>417</v>
      </c>
      <c r="I64" s="198" t="s">
        <v>418</v>
      </c>
      <c r="J64" s="16" t="s">
        <v>3</v>
      </c>
    </row>
    <row r="65" spans="1:10" ht="15.75" customHeight="1" x14ac:dyDescent="0.2">
      <c r="A65" s="548"/>
      <c r="B65" s="12"/>
      <c r="C65" s="12"/>
      <c r="D65" s="14" t="s">
        <v>4</v>
      </c>
      <c r="E65" s="13"/>
      <c r="F65" s="13"/>
      <c r="G65" s="12" t="s">
        <v>4</v>
      </c>
      <c r="H65" s="13"/>
      <c r="I65" s="13"/>
      <c r="J65" s="12" t="s">
        <v>4</v>
      </c>
    </row>
    <row r="66" spans="1:10" s="35" customFormat="1" ht="15.75" customHeight="1" x14ac:dyDescent="0.2">
      <c r="A66" s="11" t="s">
        <v>23</v>
      </c>
      <c r="B66" s="268">
        <f>'Fremtind Livsforsikring'!B66+'DNB Livsforsikring'!B66+'Eika Forsikring AS'!B66+'Frende Livsforsikring'!B66+'Frende Skadeforsikring'!B66+'Gjensidige Forsikring'!B66+'Gjensidige Pensjon'!B66+'If Skadeforsikring NUF'!B66+KLP!B66+'KLP Skadeforsikring AS'!B66+'Landkreditt Forsikring'!B66+'Nordea Liv '!B66+'Oslo Pensjonsforsikring'!B66+'Protector Forsikring'!B66+'Sparebank 1 Fors.'!B66+'Storebrand Livsforsikring'!B66+'Telenor Forsikring'!B66+'Tryg Forsikring'!B66+'WaterCircles F'!B66+'Euro Accident'!B66+'Ly Forsikring'!B66+'Youplus Livsforsikring'!B66+'Oslo Forsikring'!B66</f>
        <v>2949518.7670700001</v>
      </c>
      <c r="C66" s="268">
        <f>'Fremtind Livsforsikring'!C66+'DNB Livsforsikring'!C66+'Eika Forsikring AS'!C66+'Frende Livsforsikring'!C66+'Frende Skadeforsikring'!C66+'Gjensidige Forsikring'!C66+'Gjensidige Pensjon'!C66+'If Skadeforsikring NUF'!C66+KLP!C66+'KLP Skadeforsikring AS'!C66+'Landkreditt Forsikring'!C66+'Nordea Liv '!C66+'Oslo Pensjonsforsikring'!C66+'Protector Forsikring'!C66+'Sparebank 1 Fors.'!C66+'Storebrand Livsforsikring'!C66+'Telenor Forsikring'!C66+'Tryg Forsikring'!C66+'WaterCircles F'!C66+'Euro Accident'!C66+'Ly Forsikring'!C66+'Youplus Livsforsikring'!C66+'Oslo Forsikring'!C66</f>
        <v>2945251.8256099997</v>
      </c>
      <c r="D66" s="21">
        <f t="shared" ref="D66:D111" si="23">IF(B66=0, "    ---- ", IF(ABS(ROUND(100/B66*C66-100,1))&lt;999,ROUND(100/B66*C66-100,1),IF(ROUND(100/B66*C66-100,1)&gt;999,999,-999)))</f>
        <v>-0.1</v>
      </c>
      <c r="E66" s="183">
        <f>'Fremtind Livsforsikring'!F66+'DNB Livsforsikring'!F66+'Eika Forsikring AS'!F66+'Frende Livsforsikring'!F66+'Frende Skadeforsikring'!F66+'Gjensidige Forsikring'!F66+'Gjensidige Pensjon'!F66+'If Skadeforsikring NUF'!F66+KLP!F66+'KLP Skadeforsikring AS'!F66+'Landkreditt Forsikring'!F66+'Nordea Liv '!F66+'Oslo Pensjonsforsikring'!F66+'Protector Forsikring'!F66+'Sparebank 1 Fors.'!F66+'Storebrand Livsforsikring'!F66+'Telenor Forsikring'!F66+'Tryg Forsikring'!F66+'WaterCircles F'!F66+'Euro Accident'!F66+'Ly Forsikring'!F66+'Youplus Livsforsikring'!F66+'Oslo Forsikring'!F66</f>
        <v>12674715.022740001</v>
      </c>
      <c r="F66" s="183">
        <f>'Fremtind Livsforsikring'!G66+'DNB Livsforsikring'!G66+'Eika Forsikring AS'!G66+'Frende Livsforsikring'!G66+'Frende Skadeforsikring'!G66+'Gjensidige Forsikring'!G66+'Gjensidige Pensjon'!G66+'If Skadeforsikring NUF'!G66+KLP!G66+'KLP Skadeforsikring AS'!G66+'Landkreditt Forsikring'!G66+'Nordea Liv '!G66+'Oslo Pensjonsforsikring'!G66+'Protector Forsikring'!G66+'Sparebank 1 Fors.'!G66+'Storebrand Livsforsikring'!G66+'Telenor Forsikring'!G66+'Tryg Forsikring'!G66+'WaterCircles F'!G66+'Euro Accident'!G66+'Ly Forsikring'!G66+'Youplus Livsforsikring'!G66+'Oslo Forsikring'!G66</f>
        <v>14574699.89064</v>
      </c>
      <c r="G66" s="127">
        <f t="shared" ref="G66:G125" si="24">IF(E66=0, "    ---- ", IF(ABS(ROUND(100/E66*F66-100,1))&lt;999,ROUND(100/E66*F66-100,1),IF(ROUND(100/E66*F66-100,1)&gt;999,999,-999)))</f>
        <v>15</v>
      </c>
      <c r="H66" s="268">
        <f t="shared" ref="H66:H86" si="25">SUM(B66,E66)</f>
        <v>15624233.789810002</v>
      </c>
      <c r="I66" s="268">
        <f t="shared" ref="I66:I86" si="26">SUM(C66,F66)</f>
        <v>17519951.716249999</v>
      </c>
      <c r="J66" s="21">
        <f t="shared" ref="J66:J111" si="27">IF(H66=0, "    ---- ", IF(ABS(ROUND(100/H66*I66-100,1))&lt;999,ROUND(100/H66*I66-100,1),IF(ROUND(100/H66*I66-100,1)&gt;999,999,-999)))</f>
        <v>12.1</v>
      </c>
    </row>
    <row r="67" spans="1:10" ht="15.75" customHeight="1" x14ac:dyDescent="0.25">
      <c r="A67" s="18" t="s">
        <v>9</v>
      </c>
      <c r="B67" s="181">
        <f>'Fremtind Livsforsikring'!B67+'DNB Livsforsikring'!B67+'Eika Forsikring AS'!B67+'Frende Livsforsikring'!B67+'Frende Skadeforsikring'!B67+'Gjensidige Forsikring'!B67+'Gjensidige Pensjon'!B67+'If Skadeforsikring NUF'!B67+KLP!B67+'KLP Skadeforsikring AS'!B67+'Landkreditt Forsikring'!B67+'Nordea Liv '!B67+'Oslo Pensjonsforsikring'!B67+'Protector Forsikring'!B67+'Sparebank 1 Fors.'!B67+'Storebrand Livsforsikring'!B67+'Telenor Forsikring'!B67+'Tryg Forsikring'!B67+'WaterCircles F'!B67+'Euro Accident'!B67+'Ly Forsikring'!B67+'Youplus Livsforsikring'!B67+'Oslo Forsikring'!B67</f>
        <v>1979996.5190262692</v>
      </c>
      <c r="C67" s="181">
        <f>'Fremtind Livsforsikring'!C67+'DNB Livsforsikring'!C67+'Eika Forsikring AS'!C67+'Frende Livsforsikring'!C67+'Frende Skadeforsikring'!C67+'Gjensidige Forsikring'!C67+'Gjensidige Pensjon'!C67+'If Skadeforsikring NUF'!C67+KLP!C67+'KLP Skadeforsikring AS'!C67+'Landkreditt Forsikring'!C67+'Nordea Liv '!C67+'Oslo Pensjonsforsikring'!C67+'Protector Forsikring'!C67+'Sparebank 1 Fors.'!C67+'Storebrand Livsforsikring'!C67+'Telenor Forsikring'!C67+'Tryg Forsikring'!C67+'WaterCircles F'!C67+'Euro Accident'!C67+'Ly Forsikring'!C67+'Youplus Livsforsikring'!C67+'Oslo Forsikring'!C67</f>
        <v>1830606.8049973622</v>
      </c>
      <c r="D67" s="188">
        <f t="shared" si="23"/>
        <v>-7.5</v>
      </c>
      <c r="E67" s="36"/>
      <c r="F67" s="36"/>
      <c r="G67" s="123"/>
      <c r="H67" s="184">
        <f t="shared" si="25"/>
        <v>1979996.5190262692</v>
      </c>
      <c r="I67" s="184">
        <f t="shared" si="26"/>
        <v>1830606.8049973622</v>
      </c>
      <c r="J67" s="20">
        <f t="shared" si="27"/>
        <v>-7.5</v>
      </c>
    </row>
    <row r="68" spans="1:10" ht="15.75" customHeight="1" x14ac:dyDescent="0.25">
      <c r="A68" s="18" t="s">
        <v>10</v>
      </c>
      <c r="B68" s="181">
        <f>'Fremtind Livsforsikring'!B68+'DNB Livsforsikring'!B68+'Eika Forsikring AS'!B68+'Frende Livsforsikring'!B68+'Frende Skadeforsikring'!B68+'Gjensidige Forsikring'!B68+'Gjensidige Pensjon'!B68+'If Skadeforsikring NUF'!B68+KLP!B68+'KLP Skadeforsikring AS'!B68+'Landkreditt Forsikring'!B68+'Nordea Liv '!B68+'Oslo Pensjonsforsikring'!B68+'Protector Forsikring'!B68+'Sparebank 1 Fors.'!B68+'Storebrand Livsforsikring'!B68+'Telenor Forsikring'!B68+'Tryg Forsikring'!B68+'WaterCircles F'!B68+'Euro Accident'!B68+'Ly Forsikring'!B68+'Youplus Livsforsikring'!B68+'Oslo Forsikring'!B68</f>
        <v>9689.0630199999996</v>
      </c>
      <c r="C68" s="181">
        <f>'Fremtind Livsforsikring'!C68+'DNB Livsforsikring'!C68+'Eika Forsikring AS'!C68+'Frende Livsforsikring'!C68+'Frende Skadeforsikring'!C68+'Gjensidige Forsikring'!C68+'Gjensidige Pensjon'!C68+'If Skadeforsikring NUF'!C68+KLP!C68+'KLP Skadeforsikring AS'!C68+'Landkreditt Forsikring'!C68+'Nordea Liv '!C68+'Oslo Pensjonsforsikring'!C68+'Protector Forsikring'!C68+'Sparebank 1 Fors.'!C68+'Storebrand Livsforsikring'!C68+'Telenor Forsikring'!C68+'Tryg Forsikring'!C68+'WaterCircles F'!C68+'Euro Accident'!C68+'Ly Forsikring'!C68+'Youplus Livsforsikring'!C68+'Oslo Forsikring'!C68</f>
        <v>8248.00252</v>
      </c>
      <c r="D68" s="188">
        <f t="shared" si="23"/>
        <v>-14.9</v>
      </c>
      <c r="E68" s="36">
        <f>'Fremtind Livsforsikring'!F68+'DNB Livsforsikring'!F68+'Eika Forsikring AS'!F68+'Frende Livsforsikring'!F68+'Frende Skadeforsikring'!F68+'Gjensidige Forsikring'!F68+'Gjensidige Pensjon'!F68+'If Skadeforsikring NUF'!F68+KLP!F68+'KLP Skadeforsikring AS'!F68+'Landkreditt Forsikring'!F68+'Nordea Liv '!F68+'Oslo Pensjonsforsikring'!F68+'Protector Forsikring'!F68+'Sparebank 1 Fors.'!F68+'Storebrand Livsforsikring'!F68+'Telenor Forsikring'!F68+'Tryg Forsikring'!F68+'WaterCircles F'!F68+'Euro Accident'!F68+'Ly Forsikring'!F68+'Youplus Livsforsikring'!F68+'Oslo Forsikring'!F68</f>
        <v>12155093.40521</v>
      </c>
      <c r="F68" s="36">
        <f>'Fremtind Livsforsikring'!G68+'DNB Livsforsikring'!G68+'Eika Forsikring AS'!G68+'Frende Livsforsikring'!G68+'Frende Skadeforsikring'!G68+'Gjensidige Forsikring'!G68+'Gjensidige Pensjon'!G68+'If Skadeforsikring NUF'!G68+KLP!G68+'KLP Skadeforsikring AS'!G68+'Landkreditt Forsikring'!G68+'Nordea Liv '!G68+'Oslo Pensjonsforsikring'!G68+'Protector Forsikring'!G68+'Sparebank 1 Fors.'!G68+'Storebrand Livsforsikring'!G68+'Telenor Forsikring'!G68+'Tryg Forsikring'!G68+'WaterCircles F'!G68+'Euro Accident'!G68+'Ly Forsikring'!G68+'Youplus Livsforsikring'!G68+'Oslo Forsikring'!G68</f>
        <v>14040757.27189</v>
      </c>
      <c r="G68" s="123">
        <f t="shared" si="24"/>
        <v>15.5</v>
      </c>
      <c r="H68" s="184">
        <f t="shared" si="25"/>
        <v>12164782.46823</v>
      </c>
      <c r="I68" s="184">
        <f t="shared" si="26"/>
        <v>14049005.27441</v>
      </c>
      <c r="J68" s="20">
        <f t="shared" si="27"/>
        <v>15.5</v>
      </c>
    </row>
    <row r="69" spans="1:10" ht="15.75" customHeight="1" x14ac:dyDescent="0.2">
      <c r="A69" s="238" t="s">
        <v>338</v>
      </c>
      <c r="B69" s="259"/>
      <c r="C69" s="259"/>
      <c r="D69" s="23"/>
      <c r="E69" s="259"/>
      <c r="F69" s="259"/>
      <c r="G69" s="123"/>
      <c r="H69" s="259"/>
      <c r="I69" s="259"/>
      <c r="J69" s="20"/>
    </row>
    <row r="70" spans="1:10" ht="15.75" customHeight="1" x14ac:dyDescent="0.2">
      <c r="A70" s="238" t="s">
        <v>12</v>
      </c>
      <c r="B70" s="259"/>
      <c r="C70" s="259"/>
      <c r="D70" s="23"/>
      <c r="E70" s="259"/>
      <c r="F70" s="259"/>
      <c r="G70" s="123"/>
      <c r="H70" s="259"/>
      <c r="I70" s="259"/>
      <c r="J70" s="20"/>
    </row>
    <row r="71" spans="1:10" ht="15.75" customHeight="1" x14ac:dyDescent="0.2">
      <c r="A71" s="238" t="s">
        <v>13</v>
      </c>
      <c r="B71" s="259"/>
      <c r="C71" s="259"/>
      <c r="D71" s="23"/>
      <c r="E71" s="259"/>
      <c r="F71" s="259"/>
      <c r="G71" s="123"/>
      <c r="H71" s="259"/>
      <c r="I71" s="259"/>
      <c r="J71" s="20"/>
    </row>
    <row r="72" spans="1:10" ht="15.75" customHeight="1" x14ac:dyDescent="0.2">
      <c r="A72" s="238" t="s">
        <v>339</v>
      </c>
      <c r="B72" s="259"/>
      <c r="C72" s="259"/>
      <c r="D72" s="23"/>
      <c r="E72" s="259"/>
      <c r="F72" s="259"/>
      <c r="G72" s="123"/>
      <c r="H72" s="259"/>
      <c r="I72" s="259"/>
      <c r="J72" s="21"/>
    </row>
    <row r="73" spans="1:10" ht="15.75" customHeight="1" x14ac:dyDescent="0.2">
      <c r="A73" s="238" t="s">
        <v>12</v>
      </c>
      <c r="B73" s="259"/>
      <c r="C73" s="259"/>
      <c r="D73" s="23"/>
      <c r="E73" s="259"/>
      <c r="F73" s="259"/>
      <c r="G73" s="123"/>
      <c r="H73" s="259"/>
      <c r="I73" s="259"/>
      <c r="J73" s="20"/>
    </row>
    <row r="74" spans="1:10" ht="15.75" customHeight="1" x14ac:dyDescent="0.2">
      <c r="A74" s="238" t="s">
        <v>13</v>
      </c>
      <c r="B74" s="259"/>
      <c r="C74" s="259"/>
      <c r="D74" s="23"/>
      <c r="E74" s="259"/>
      <c r="F74" s="259"/>
      <c r="G74" s="123"/>
      <c r="H74" s="259"/>
      <c r="I74" s="259"/>
      <c r="J74" s="20"/>
    </row>
    <row r="75" spans="1:10" ht="15.75" customHeight="1" x14ac:dyDescent="0.2">
      <c r="A75" s="18" t="s">
        <v>310</v>
      </c>
      <c r="B75" s="36">
        <f>'Fremtind Livsforsikring'!B75+'DNB Livsforsikring'!B75+'Eika Forsikring AS'!B75+'Frende Livsforsikring'!B75+'Frende Skadeforsikring'!B75+'Gjensidige Forsikring'!B75+'Gjensidige Pensjon'!B75+'If Skadeforsikring NUF'!B75+KLP!B75+'KLP Skadeforsikring AS'!B75+'Landkreditt Forsikring'!B75+'Nordea Liv '!B75+'Oslo Pensjonsforsikring'!B75+'Protector Forsikring'!B75+'Sparebank 1 Fors.'!B75+'Storebrand Livsforsikring'!B75+'Telenor Forsikring'!B75+'Tryg Forsikring'!B75+'WaterCircles F'!B75+'Euro Accident'!B75+'Ly Forsikring'!B75+'Youplus Livsforsikring'!B75+'Oslo Forsikring'!B75</f>
        <v>170820.53499000001</v>
      </c>
      <c r="C75" s="36">
        <f>'Fremtind Livsforsikring'!C75+'DNB Livsforsikring'!C75+'Eika Forsikring AS'!C75+'Frende Livsforsikring'!C75+'Frende Skadeforsikring'!C75+'Gjensidige Forsikring'!C75+'Gjensidige Pensjon'!C75+'If Skadeforsikring NUF'!C75+KLP!C75+'KLP Skadeforsikring AS'!C75+'Landkreditt Forsikring'!C75+'Nordea Liv '!C75+'Oslo Pensjonsforsikring'!C75+'Protector Forsikring'!C75+'Sparebank 1 Fors.'!C75+'Storebrand Livsforsikring'!C75+'Telenor Forsikring'!C75+'Tryg Forsikring'!C75+'WaterCircles F'!C75+'Euro Accident'!C75+'Ly Forsikring'!C75+'Youplus Livsforsikring'!C75+'Oslo Forsikring'!C75</f>
        <v>200046.06127999999</v>
      </c>
      <c r="D75" s="20">
        <f t="shared" si="23"/>
        <v>17.100000000000001</v>
      </c>
      <c r="E75" s="36">
        <f>'Fremtind Livsforsikring'!F75+'DNB Livsforsikring'!F75+'Eika Forsikring AS'!F75+'Frende Livsforsikring'!F75+'Frende Skadeforsikring'!F75+'Gjensidige Forsikring'!F75+'Gjensidige Pensjon'!F75+'If Skadeforsikring NUF'!F75+KLP!F75+'KLP Skadeforsikring AS'!F75+'Landkreditt Forsikring'!F75+'Nordea Liv '!F75+'Oslo Pensjonsforsikring'!F75+'Protector Forsikring'!F75+'Sparebank 1 Fors.'!F75+'Storebrand Livsforsikring'!F75+'Telenor Forsikring'!F75+'Tryg Forsikring'!F75+'WaterCircles F'!F75+'Euro Accident'!F75+'Ly Forsikring'!F75+'Youplus Livsforsikring'!F75+'Oslo Forsikring'!F75</f>
        <v>519621.61753000005</v>
      </c>
      <c r="F75" s="36">
        <f>'Fremtind Livsforsikring'!G75+'DNB Livsforsikring'!G75+'Eika Forsikring AS'!G75+'Frende Livsforsikring'!G75+'Frende Skadeforsikring'!G75+'Gjensidige Forsikring'!G75+'Gjensidige Pensjon'!G75+'If Skadeforsikring NUF'!G75+KLP!G75+'KLP Skadeforsikring AS'!G75+'Landkreditt Forsikring'!G75+'Nordea Liv '!G75+'Oslo Pensjonsforsikring'!G75+'Protector Forsikring'!G75+'Sparebank 1 Fors.'!G75+'Storebrand Livsforsikring'!G75+'Telenor Forsikring'!G75+'Tryg Forsikring'!G75+'WaterCircles F'!G75+'Euro Accident'!G75+'Ly Forsikring'!G75+'Youplus Livsforsikring'!G75+'Oslo Forsikring'!G75</f>
        <v>533942.61875000002</v>
      </c>
      <c r="G75" s="123">
        <f t="shared" si="24"/>
        <v>2.8</v>
      </c>
      <c r="H75" s="184">
        <f t="shared" si="25"/>
        <v>690442.15252</v>
      </c>
      <c r="I75" s="184">
        <f t="shared" si="26"/>
        <v>733988.68003000005</v>
      </c>
      <c r="J75" s="20">
        <f t="shared" si="27"/>
        <v>6.3</v>
      </c>
    </row>
    <row r="76" spans="1:10" ht="15.75" customHeight="1" x14ac:dyDescent="0.2">
      <c r="A76" s="18" t="s">
        <v>309</v>
      </c>
      <c r="B76" s="36">
        <f>'Fremtind Livsforsikring'!B76+'DNB Livsforsikring'!B76+'Eika Forsikring AS'!B76+'Frende Livsforsikring'!B76+'Frende Skadeforsikring'!B76+'Gjensidige Forsikring'!B76+'Gjensidige Pensjon'!B76+'If Skadeforsikring NUF'!B76+KLP!B76+'KLP Skadeforsikring AS'!B76+'Landkreditt Forsikring'!B76+'Nordea Liv '!B76+'Oslo Pensjonsforsikring'!B76+'Protector Forsikring'!B76+'Sparebank 1 Fors.'!B76+'Storebrand Livsforsikring'!B76+'Telenor Forsikring'!B76+'Tryg Forsikring'!B76+'WaterCircles F'!B76+'Euro Accident'!B76+'Ly Forsikring'!B76+'Youplus Livsforsikring'!B76+'Oslo Forsikring'!B76</f>
        <v>789012.65003373101</v>
      </c>
      <c r="C76" s="36">
        <f>'Fremtind Livsforsikring'!C76+'DNB Livsforsikring'!C76+'Eika Forsikring AS'!C76+'Frende Livsforsikring'!C76+'Frende Skadeforsikring'!C76+'Gjensidige Forsikring'!C76+'Gjensidige Pensjon'!C76+'If Skadeforsikring NUF'!C76+KLP!C76+'KLP Skadeforsikring AS'!C76+'Landkreditt Forsikring'!C76+'Nordea Liv '!C76+'Oslo Pensjonsforsikring'!C76+'Protector Forsikring'!C76+'Sparebank 1 Fors.'!C76+'Storebrand Livsforsikring'!C76+'Telenor Forsikring'!C76+'Tryg Forsikring'!C76+'WaterCircles F'!C76+'Euro Accident'!C76+'Ly Forsikring'!C76+'Youplus Livsforsikring'!C76+'Oslo Forsikring'!C76</f>
        <v>906350.95681263809</v>
      </c>
      <c r="D76" s="20">
        <f t="shared" ref="D76" si="28">IF(B76=0, "    ---- ", IF(ABS(ROUND(100/B76*C76-100,1))&lt;999,ROUND(100/B76*C76-100,1),IF(ROUND(100/B76*C76-100,1)&gt;999,999,-999)))</f>
        <v>14.9</v>
      </c>
      <c r="E76" s="36"/>
      <c r="F76" s="36"/>
      <c r="G76" s="123"/>
      <c r="H76" s="184">
        <f t="shared" ref="H76" si="29">SUM(B76,E76)</f>
        <v>789012.65003373101</v>
      </c>
      <c r="I76" s="184">
        <f t="shared" ref="I76" si="30">SUM(C76,F76)</f>
        <v>906350.95681263809</v>
      </c>
      <c r="J76" s="20">
        <f t="shared" ref="J76" si="31">IF(H76=0, "    ---- ", IF(ABS(ROUND(100/H76*I76-100,1))&lt;999,ROUND(100/H76*I76-100,1),IF(ROUND(100/H76*I76-100,1)&gt;999,999,-999)))</f>
        <v>14.9</v>
      </c>
    </row>
    <row r="77" spans="1:10" ht="15.75" customHeight="1" x14ac:dyDescent="0.2">
      <c r="A77" s="18" t="s">
        <v>340</v>
      </c>
      <c r="B77" s="36">
        <f>'Fremtind Livsforsikring'!B77+'DNB Livsforsikring'!B77+'Eika Forsikring AS'!B77+'Frende Livsforsikring'!B77+'Frende Skadeforsikring'!B77+'Gjensidige Forsikring'!B77+'Gjensidige Pensjon'!B77+'If Skadeforsikring NUF'!B77+KLP!B77+'KLP Skadeforsikring AS'!B77+'Landkreditt Forsikring'!B77+'Nordea Liv '!B77+'Oslo Pensjonsforsikring'!B77+'Protector Forsikring'!B77+'Sparebank 1 Fors.'!B77+'Storebrand Livsforsikring'!B77+'Telenor Forsikring'!B77+'Tryg Forsikring'!B77+'WaterCircles F'!B77+'Euro Accident'!B77+'Ly Forsikring'!B77+'Youplus Livsforsikring'!B77+'Oslo Forsikring'!B77</f>
        <v>1911790.2730462691</v>
      </c>
      <c r="C77" s="36">
        <f>'Fremtind Livsforsikring'!C77+'DNB Livsforsikring'!C77+'Eika Forsikring AS'!C77+'Frende Livsforsikring'!C77+'Frende Skadeforsikring'!C77+'Gjensidige Forsikring'!C77+'Gjensidige Pensjon'!C77+'If Skadeforsikring NUF'!C77+KLP!C77+'KLP Skadeforsikring AS'!C77+'Landkreditt Forsikring'!C77+'Nordea Liv '!C77+'Oslo Pensjonsforsikring'!C77+'Protector Forsikring'!C77+'Sparebank 1 Fors.'!C77+'Storebrand Livsforsikring'!C77+'Telenor Forsikring'!C77+'Tryg Forsikring'!C77+'WaterCircles F'!C77+'Euro Accident'!C77+'Ly Forsikring'!C77+'Youplus Livsforsikring'!C77+'Oslo Forsikring'!C77</f>
        <v>1764702.1615173619</v>
      </c>
      <c r="D77" s="20">
        <f t="shared" si="23"/>
        <v>-7.7</v>
      </c>
      <c r="E77" s="36">
        <f>'Fremtind Livsforsikring'!F77+'DNB Livsforsikring'!F77+'Eika Forsikring AS'!F77+'Frende Livsforsikring'!F77+'Frende Skadeforsikring'!F77+'Gjensidige Forsikring'!F77+'Gjensidige Pensjon'!F77+'If Skadeforsikring NUF'!F77+KLP!F77+'KLP Skadeforsikring AS'!F77+'Landkreditt Forsikring'!F77+'Nordea Liv '!F77+'Oslo Pensjonsforsikring'!F77+'Protector Forsikring'!F77+'Sparebank 1 Fors.'!F77+'Storebrand Livsforsikring'!F77+'Telenor Forsikring'!F77+'Tryg Forsikring'!F77+'WaterCircles F'!F77+'Euro Accident'!F77+'Ly Forsikring'!F77+'Youplus Livsforsikring'!F77+'Oslo Forsikring'!F77</f>
        <v>12151470.790210001</v>
      </c>
      <c r="F77" s="36">
        <f>'Fremtind Livsforsikring'!G77+'DNB Livsforsikring'!G77+'Eika Forsikring AS'!G77+'Frende Livsforsikring'!G77+'Frende Skadeforsikring'!G77+'Gjensidige Forsikring'!G77+'Gjensidige Pensjon'!G77+'If Skadeforsikring NUF'!G77+KLP!G77+'KLP Skadeforsikring AS'!G77+'Landkreditt Forsikring'!G77+'Nordea Liv '!G77+'Oslo Pensjonsforsikring'!G77+'Protector Forsikring'!G77+'Sparebank 1 Fors.'!G77+'Storebrand Livsforsikring'!G77+'Telenor Forsikring'!G77+'Tryg Forsikring'!G77+'WaterCircles F'!G77+'Euro Accident'!G77+'Ly Forsikring'!G77+'Youplus Livsforsikring'!G77+'Oslo Forsikring'!G77</f>
        <v>14037162.651890002</v>
      </c>
      <c r="G77" s="123">
        <f t="shared" si="24"/>
        <v>15.5</v>
      </c>
      <c r="H77" s="184">
        <f t="shared" si="25"/>
        <v>14063261.063256271</v>
      </c>
      <c r="I77" s="184">
        <f t="shared" si="26"/>
        <v>15801864.813407363</v>
      </c>
      <c r="J77" s="20">
        <f t="shared" si="27"/>
        <v>12.4</v>
      </c>
    </row>
    <row r="78" spans="1:10" ht="15.75" customHeight="1" x14ac:dyDescent="0.2">
      <c r="A78" s="18" t="s">
        <v>9</v>
      </c>
      <c r="B78" s="36">
        <f>'Fremtind Livsforsikring'!B78+'DNB Livsforsikring'!B78+'Eika Forsikring AS'!B78+'Frende Livsforsikring'!B78+'Frende Skadeforsikring'!B78+'Gjensidige Forsikring'!B78+'Gjensidige Pensjon'!B78+'If Skadeforsikring NUF'!B78+KLP!B78+'KLP Skadeforsikring AS'!B78+'Landkreditt Forsikring'!B78+'Nordea Liv '!B78+'Oslo Pensjonsforsikring'!B78+'Protector Forsikring'!B78+'Sparebank 1 Fors.'!B78+'Storebrand Livsforsikring'!B78+'Telenor Forsikring'!B78+'Tryg Forsikring'!B78+'WaterCircles F'!B78+'Euro Accident'!B78+'Ly Forsikring'!B78+'Youplus Livsforsikring'!B78+'Oslo Forsikring'!B78</f>
        <v>1902101.2100262691</v>
      </c>
      <c r="C78" s="36">
        <f>'Fremtind Livsforsikring'!C78+'DNB Livsforsikring'!C78+'Eika Forsikring AS'!C78+'Frende Livsforsikring'!C78+'Frende Skadeforsikring'!C78+'Gjensidige Forsikring'!C78+'Gjensidige Pensjon'!C78+'If Skadeforsikring NUF'!C78+KLP!C78+'KLP Skadeforsikring AS'!C78+'Landkreditt Forsikring'!C78+'Nordea Liv '!C78+'Oslo Pensjonsforsikring'!C78+'Protector Forsikring'!C78+'Sparebank 1 Fors.'!C78+'Storebrand Livsforsikring'!C78+'Telenor Forsikring'!C78+'Tryg Forsikring'!C78+'WaterCircles F'!C78+'Euro Accident'!C78+'Ly Forsikring'!C78+'Youplus Livsforsikring'!C78+'Oslo Forsikring'!C78</f>
        <v>1756454.1589973618</v>
      </c>
      <c r="D78" s="20">
        <f t="shared" si="23"/>
        <v>-7.7</v>
      </c>
      <c r="E78" s="36"/>
      <c r="F78" s="36"/>
      <c r="G78" s="123"/>
      <c r="H78" s="184">
        <f t="shared" si="25"/>
        <v>1902101.2100262691</v>
      </c>
      <c r="I78" s="184">
        <f t="shared" si="26"/>
        <v>1756454.1589973618</v>
      </c>
      <c r="J78" s="20">
        <f t="shared" si="27"/>
        <v>-7.7</v>
      </c>
    </row>
    <row r="79" spans="1:10" ht="15.75" customHeight="1" x14ac:dyDescent="0.2">
      <c r="A79" s="18" t="s">
        <v>368</v>
      </c>
      <c r="B79" s="36">
        <f>'Fremtind Livsforsikring'!B79+'DNB Livsforsikring'!B79+'Eika Forsikring AS'!B79+'Frende Livsforsikring'!B79+'Frende Skadeforsikring'!B79+'Gjensidige Forsikring'!B79+'Gjensidige Pensjon'!B79+'If Skadeforsikring NUF'!B79+KLP!B79+'KLP Skadeforsikring AS'!B79+'Landkreditt Forsikring'!B79+'Nordea Liv '!B79+'Oslo Pensjonsforsikring'!B79+'Protector Forsikring'!B79+'Sparebank 1 Fors.'!B79+'Storebrand Livsforsikring'!B79+'Telenor Forsikring'!B79+'Tryg Forsikring'!B79+'WaterCircles F'!B79+'Euro Accident'!B79+'Ly Forsikring'!B79+'Youplus Livsforsikring'!B79+'Oslo Forsikring'!B79</f>
        <v>9689.0630199999996</v>
      </c>
      <c r="C79" s="36">
        <f>'Fremtind Livsforsikring'!C79+'DNB Livsforsikring'!C79+'Eika Forsikring AS'!C79+'Frende Livsforsikring'!C79+'Frende Skadeforsikring'!C79+'Gjensidige Forsikring'!C79+'Gjensidige Pensjon'!C79+'If Skadeforsikring NUF'!C79+KLP!C79+'KLP Skadeforsikring AS'!C79+'Landkreditt Forsikring'!C79+'Nordea Liv '!C79+'Oslo Pensjonsforsikring'!C79+'Protector Forsikring'!C79+'Sparebank 1 Fors.'!C79+'Storebrand Livsforsikring'!C79+'Telenor Forsikring'!C79+'Tryg Forsikring'!C79+'WaterCircles F'!C79+'Euro Accident'!C79+'Ly Forsikring'!C79+'Youplus Livsforsikring'!C79+'Oslo Forsikring'!C79</f>
        <v>8248.00252</v>
      </c>
      <c r="D79" s="20">
        <f t="shared" si="23"/>
        <v>-14.9</v>
      </c>
      <c r="E79" s="36">
        <f>'Fremtind Livsforsikring'!F79+'DNB Livsforsikring'!F79+'Eika Forsikring AS'!F79+'Frende Livsforsikring'!F79+'Frende Skadeforsikring'!F79+'Gjensidige Forsikring'!F79+'Gjensidige Pensjon'!F79+'If Skadeforsikring NUF'!F79+KLP!F79+'KLP Skadeforsikring AS'!F79+'Landkreditt Forsikring'!F79+'Nordea Liv '!F79+'Oslo Pensjonsforsikring'!F79+'Protector Forsikring'!F79+'Sparebank 1 Fors.'!F79+'Storebrand Livsforsikring'!F79+'Telenor Forsikring'!F79+'Tryg Forsikring'!F79+'WaterCircles F'!F79+'Euro Accident'!F79+'Ly Forsikring'!F79+'Youplus Livsforsikring'!F79+'Oslo Forsikring'!F79</f>
        <v>12151470.790210001</v>
      </c>
      <c r="F79" s="36">
        <f>'Fremtind Livsforsikring'!G79+'DNB Livsforsikring'!G79+'Eika Forsikring AS'!G79+'Frende Livsforsikring'!G79+'Frende Skadeforsikring'!G79+'Gjensidige Forsikring'!G79+'Gjensidige Pensjon'!G79+'If Skadeforsikring NUF'!G79+KLP!G79+'KLP Skadeforsikring AS'!G79+'Landkreditt Forsikring'!G79+'Nordea Liv '!G79+'Oslo Pensjonsforsikring'!G79+'Protector Forsikring'!G79+'Sparebank 1 Fors.'!G79+'Storebrand Livsforsikring'!G79+'Telenor Forsikring'!G79+'Tryg Forsikring'!G79+'WaterCircles F'!G79+'Euro Accident'!G79+'Ly Forsikring'!G79+'Youplus Livsforsikring'!G79+'Oslo Forsikring'!G79</f>
        <v>14037162.651890002</v>
      </c>
      <c r="G79" s="123">
        <f t="shared" si="24"/>
        <v>15.5</v>
      </c>
      <c r="H79" s="184">
        <f t="shared" si="25"/>
        <v>12161159.853230001</v>
      </c>
      <c r="I79" s="184">
        <f t="shared" si="26"/>
        <v>14045410.654410003</v>
      </c>
      <c r="J79" s="20">
        <f t="shared" si="27"/>
        <v>15.5</v>
      </c>
    </row>
    <row r="80" spans="1:10" ht="15.75" customHeight="1" x14ac:dyDescent="0.2">
      <c r="A80" s="238" t="s">
        <v>338</v>
      </c>
      <c r="B80" s="259"/>
      <c r="C80" s="259"/>
      <c r="D80" s="23"/>
      <c r="E80" s="259"/>
      <c r="F80" s="259"/>
      <c r="G80" s="123"/>
      <c r="H80" s="259"/>
      <c r="I80" s="259"/>
      <c r="J80" s="20"/>
    </row>
    <row r="81" spans="1:12" ht="15.75" customHeight="1" x14ac:dyDescent="0.2">
      <c r="A81" s="238" t="s">
        <v>12</v>
      </c>
      <c r="B81" s="259"/>
      <c r="C81" s="259"/>
      <c r="D81" s="23"/>
      <c r="E81" s="259"/>
      <c r="F81" s="259"/>
      <c r="G81" s="123"/>
      <c r="H81" s="259"/>
      <c r="I81" s="259"/>
      <c r="J81" s="20"/>
    </row>
    <row r="82" spans="1:12" ht="15.75" customHeight="1" x14ac:dyDescent="0.2">
      <c r="A82" s="238" t="s">
        <v>13</v>
      </c>
      <c r="B82" s="259"/>
      <c r="C82" s="259"/>
      <c r="D82" s="23"/>
      <c r="E82" s="259"/>
      <c r="F82" s="259"/>
      <c r="G82" s="123"/>
      <c r="H82" s="259"/>
      <c r="I82" s="259"/>
      <c r="J82" s="20"/>
    </row>
    <row r="83" spans="1:12" ht="15.75" customHeight="1" x14ac:dyDescent="0.2">
      <c r="A83" s="238" t="s">
        <v>339</v>
      </c>
      <c r="B83" s="259"/>
      <c r="C83" s="259"/>
      <c r="D83" s="23"/>
      <c r="E83" s="259"/>
      <c r="F83" s="259"/>
      <c r="G83" s="123"/>
      <c r="H83" s="259"/>
      <c r="I83" s="259"/>
      <c r="J83" s="21"/>
    </row>
    <row r="84" spans="1:12" ht="15.75" customHeight="1" x14ac:dyDescent="0.2">
      <c r="A84" s="238" t="s">
        <v>12</v>
      </c>
      <c r="B84" s="259"/>
      <c r="C84" s="259"/>
      <c r="D84" s="23"/>
      <c r="E84" s="259"/>
      <c r="F84" s="259"/>
      <c r="G84" s="123"/>
      <c r="H84" s="259"/>
      <c r="I84" s="259"/>
      <c r="J84" s="20"/>
    </row>
    <row r="85" spans="1:12" ht="15.75" customHeight="1" x14ac:dyDescent="0.2">
      <c r="A85" s="238" t="s">
        <v>13</v>
      </c>
      <c r="B85" s="259"/>
      <c r="C85" s="259"/>
      <c r="D85" s="23"/>
      <c r="E85" s="259"/>
      <c r="F85" s="259"/>
      <c r="G85" s="123"/>
      <c r="H85" s="259"/>
      <c r="I85" s="259"/>
      <c r="J85" s="20"/>
    </row>
    <row r="86" spans="1:12" ht="15.75" customHeight="1" x14ac:dyDescent="0.2">
      <c r="A86" s="18" t="s">
        <v>341</v>
      </c>
      <c r="B86" s="181">
        <f>'Fremtind Livsforsikring'!B86+'DNB Livsforsikring'!B86+'Eika Forsikring AS'!B86+'Frende Livsforsikring'!B86+'Frende Skadeforsikring'!B86+'Gjensidige Forsikring'!B86+'Gjensidige Pensjon'!B86+'If Skadeforsikring NUF'!B86+KLP!B86+'KLP Skadeforsikring AS'!B86+'Landkreditt Forsikring'!B86+'Nordea Liv '!B86+'Oslo Pensjonsforsikring'!B86+'Protector Forsikring'!B86+'Sparebank 1 Fors.'!B86+'Storebrand Livsforsikring'!B86+'Telenor Forsikring'!B86+'Tryg Forsikring'!B86+'WaterCircles F'!B86+'Euro Accident'!B86+'Ly Forsikring'!B86+'Youplus Livsforsikring'!B86+'Oslo Forsikring'!B86</f>
        <v>77895.804999999993</v>
      </c>
      <c r="C86" s="181">
        <f>'Fremtind Livsforsikring'!C86+'DNB Livsforsikring'!C86+'Eika Forsikring AS'!C86+'Frende Livsforsikring'!C86+'Frende Skadeforsikring'!C86+'Gjensidige Forsikring'!C86+'Gjensidige Pensjon'!C86+'If Skadeforsikring NUF'!C86+KLP!C86+'KLP Skadeforsikring AS'!C86+'Landkreditt Forsikring'!C86+'Nordea Liv '!C86+'Oslo Pensjonsforsikring'!C86+'Protector Forsikring'!C86+'Sparebank 1 Fors.'!C86+'Storebrand Livsforsikring'!C86+'Telenor Forsikring'!C86+'Tryg Forsikring'!C86+'WaterCircles F'!C86+'Euro Accident'!C86+'Ly Forsikring'!C86+'Youplus Livsforsikring'!C86+'Oslo Forsikring'!C86</f>
        <v>74152.603999999992</v>
      </c>
      <c r="D86" s="20">
        <f t="shared" si="23"/>
        <v>-4.8</v>
      </c>
      <c r="E86" s="36">
        <f>'Fremtind Livsforsikring'!F86+'DNB Livsforsikring'!F86+'Eika Forsikring AS'!F86+'Frende Livsforsikring'!F86+'Frende Skadeforsikring'!F86+'Gjensidige Forsikring'!F86+'Gjensidige Pensjon'!F86+'If Skadeforsikring NUF'!F86+KLP!F86+'KLP Skadeforsikring AS'!F86+'Landkreditt Forsikring'!F86+'Nordea Liv '!F86+'Oslo Pensjonsforsikring'!F86+'Protector Forsikring'!F86+'Sparebank 1 Fors.'!F86+'Storebrand Livsforsikring'!F86+'Telenor Forsikring'!F86+'Tryg Forsikring'!F86+'WaterCircles F'!F86+'Euro Accident'!F86+'Ly Forsikring'!F86+'Youplus Livsforsikring'!F86+'Oslo Forsikring'!F86</f>
        <v>3622.6149999999998</v>
      </c>
      <c r="F86" s="36">
        <f>'Fremtind Livsforsikring'!G86+'DNB Livsforsikring'!G86+'Eika Forsikring AS'!G86+'Frende Livsforsikring'!G86+'Frende Skadeforsikring'!G86+'Gjensidige Forsikring'!G86+'Gjensidige Pensjon'!G86+'If Skadeforsikring NUF'!G86+KLP!G86+'KLP Skadeforsikring AS'!G86+'Landkreditt Forsikring'!G86+'Nordea Liv '!G86+'Oslo Pensjonsforsikring'!G86+'Protector Forsikring'!G86+'Sparebank 1 Fors.'!G86+'Storebrand Livsforsikring'!G86+'Telenor Forsikring'!G86+'Tryg Forsikring'!G86+'WaterCircles F'!G86+'Euro Accident'!G86+'Ly Forsikring'!G86+'Youplus Livsforsikring'!G86+'Oslo Forsikring'!G86</f>
        <v>3594.73</v>
      </c>
      <c r="G86" s="123">
        <f t="shared" si="24"/>
        <v>-0.8</v>
      </c>
      <c r="H86" s="184">
        <f t="shared" si="25"/>
        <v>81518.42</v>
      </c>
      <c r="I86" s="184">
        <f t="shared" si="26"/>
        <v>77747.333999999988</v>
      </c>
      <c r="J86" s="20">
        <f t="shared" si="27"/>
        <v>-4.5999999999999996</v>
      </c>
    </row>
    <row r="87" spans="1:12" s="35" customFormat="1" ht="15.75" customHeight="1" x14ac:dyDescent="0.2">
      <c r="A87" s="10" t="s">
        <v>323</v>
      </c>
      <c r="B87" s="248">
        <f>'Fremtind Livsforsikring'!B87+'DNB Livsforsikring'!B87+'Eika Forsikring AS'!B87+'Frende Livsforsikring'!B87+'Frende Skadeforsikring'!B87+'Gjensidige Forsikring'!B87+'Gjensidige Pensjon'!B87+'If Skadeforsikring NUF'!B87+KLP!B87+'KLP Skadeforsikring AS'!B87+'Landkreditt Forsikring'!B87+'Nordea Liv '!B87+'Oslo Pensjonsforsikring'!B87+'Protector Forsikring'!B87+'Sparebank 1 Fors.'!B87+'Storebrand Livsforsikring'!B87+'Telenor Forsikring'!B87+'Tryg Forsikring'!B87+'WaterCircles F'!B87+'Euro Accident'!B87+'Ly Forsikring'!B87+'Youplus Livsforsikring'!B87+'Oslo Forsikring'!B87</f>
        <v>403296727.56463414</v>
      </c>
      <c r="C87" s="248">
        <f>'Fremtind Livsforsikring'!C87+'DNB Livsforsikring'!C87+'Eika Forsikring AS'!C87+'Frende Livsforsikring'!C87+'Frende Skadeforsikring'!C87+'Gjensidige Forsikring'!C87+'Gjensidige Pensjon'!C87+'If Skadeforsikring NUF'!C87+KLP!C87+'KLP Skadeforsikring AS'!C87+'Landkreditt Forsikring'!C87+'Nordea Liv '!C87+'Oslo Pensjonsforsikring'!C87+'Protector Forsikring'!C87+'Sparebank 1 Fors.'!C87+'Storebrand Livsforsikring'!C87+'Telenor Forsikring'!C87+'Tryg Forsikring'!C87+'WaterCircles F'!C87+'Euro Accident'!C87+'Ly Forsikring'!C87+'Youplus Livsforsikring'!C87+'Oslo Forsikring'!C87</f>
        <v>406587314.16967237</v>
      </c>
      <c r="D87" s="21">
        <f t="shared" si="23"/>
        <v>0.8</v>
      </c>
      <c r="E87" s="183">
        <f>'Fremtind Livsforsikring'!F87+'DNB Livsforsikring'!F87+'Eika Forsikring AS'!F87+'Frende Livsforsikring'!F87+'Frende Skadeforsikring'!F87+'Gjensidige Forsikring'!F87+'Gjensidige Pensjon'!F87+'If Skadeforsikring NUF'!F87+KLP!F87+'KLP Skadeforsikring AS'!F87+'Landkreditt Forsikring'!F87+'Nordea Liv '!F87+'Oslo Pensjonsforsikring'!F87+'Protector Forsikring'!F87+'Sparebank 1 Fors.'!F87+'Storebrand Livsforsikring'!F87+'Telenor Forsikring'!F87+'Tryg Forsikring'!F87+'WaterCircles F'!F87+'Euro Accident'!F87+'Ly Forsikring'!F87+'Youplus Livsforsikring'!F87+'Oslo Forsikring'!F87</f>
        <v>588018205.22291994</v>
      </c>
      <c r="F87" s="183">
        <f>'Fremtind Livsforsikring'!G87+'DNB Livsforsikring'!G87+'Eika Forsikring AS'!G87+'Frende Livsforsikring'!G87+'Frende Skadeforsikring'!G87+'Gjensidige Forsikring'!G87+'Gjensidige Pensjon'!G87+'If Skadeforsikring NUF'!G87+KLP!G87+'KLP Skadeforsikring AS'!G87+'Landkreditt Forsikring'!G87+'Nordea Liv '!G87+'Oslo Pensjonsforsikring'!G87+'Protector Forsikring'!G87+'Sparebank 1 Fors.'!G87+'Storebrand Livsforsikring'!G87+'Telenor Forsikring'!G87+'Tryg Forsikring'!G87+'WaterCircles F'!G87+'Euro Accident'!G87+'Ly Forsikring'!G87+'Youplus Livsforsikring'!G87+'Oslo Forsikring'!G87</f>
        <v>665340565.92370605</v>
      </c>
      <c r="G87" s="127">
        <f t="shared" si="24"/>
        <v>13.1</v>
      </c>
      <c r="H87" s="268">
        <f t="shared" ref="H87:H111" si="32">SUM(B87,E87)</f>
        <v>991314932.78755403</v>
      </c>
      <c r="I87" s="268">
        <f t="shared" ref="I87:I111" si="33">SUM(C87,F87)</f>
        <v>1071927880.0933784</v>
      </c>
      <c r="J87" s="21">
        <f t="shared" si="27"/>
        <v>8.1</v>
      </c>
    </row>
    <row r="88" spans="1:12" ht="15.75" customHeight="1" x14ac:dyDescent="0.2">
      <c r="A88" s="18" t="s">
        <v>9</v>
      </c>
      <c r="B88" s="181">
        <f>'Fremtind Livsforsikring'!B88+'DNB Livsforsikring'!B88+'Eika Forsikring AS'!B88+'Frende Livsforsikring'!B88+'Frende Skadeforsikring'!B88+'Gjensidige Forsikring'!B88+'Gjensidige Pensjon'!B88+'If Skadeforsikring NUF'!B88+KLP!B88+'KLP Skadeforsikring AS'!B88+'Landkreditt Forsikring'!B88+'Nordea Liv '!B88+'Oslo Pensjonsforsikring'!B88+'Protector Forsikring'!B88+'Sparebank 1 Fors.'!B88+'Storebrand Livsforsikring'!B88+'Telenor Forsikring'!B88+'Tryg Forsikring'!B88+'WaterCircles F'!B88+'Euro Accident'!B88+'Ly Forsikring'!B88+'Youplus Livsforsikring'!B88+'Oslo Forsikring'!B88</f>
        <v>384143420.58797789</v>
      </c>
      <c r="C88" s="181">
        <f>'Fremtind Livsforsikring'!C88+'DNB Livsforsikring'!C88+'Eika Forsikring AS'!C88+'Frende Livsforsikring'!C88+'Frende Skadeforsikring'!C88+'Gjensidige Forsikring'!C88+'Gjensidige Pensjon'!C88+'If Skadeforsikring NUF'!C88+KLP!C88+'KLP Skadeforsikring AS'!C88+'Landkreditt Forsikring'!C88+'Nordea Liv '!C88+'Oslo Pensjonsforsikring'!C88+'Protector Forsikring'!C88+'Sparebank 1 Fors.'!C88+'Storebrand Livsforsikring'!C88+'Telenor Forsikring'!C88+'Tryg Forsikring'!C88+'WaterCircles F'!C88+'Euro Accident'!C88+'Ly Forsikring'!C88+'Youplus Livsforsikring'!C88+'Oslo Forsikring'!C88</f>
        <v>384247244.00849229</v>
      </c>
      <c r="D88" s="20">
        <f t="shared" si="23"/>
        <v>0</v>
      </c>
      <c r="E88" s="36"/>
      <c r="F88" s="36"/>
      <c r="G88" s="123"/>
      <c r="H88" s="184">
        <f t="shared" si="32"/>
        <v>384143420.58797789</v>
      </c>
      <c r="I88" s="184">
        <f t="shared" si="33"/>
        <v>384247244.00849229</v>
      </c>
      <c r="J88" s="20">
        <f t="shared" si="27"/>
        <v>0</v>
      </c>
      <c r="L88" s="22"/>
    </row>
    <row r="89" spans="1:12" ht="15.75" customHeight="1" x14ac:dyDescent="0.2">
      <c r="A89" s="18" t="s">
        <v>10</v>
      </c>
      <c r="B89" s="181">
        <f>'Fremtind Livsforsikring'!B89+'DNB Livsforsikring'!B89+'Eika Forsikring AS'!B89+'Frende Livsforsikring'!B89+'Frende Skadeforsikring'!B89+'Gjensidige Forsikring'!B89+'Gjensidige Pensjon'!B89+'If Skadeforsikring NUF'!B89+KLP!B89+'KLP Skadeforsikring AS'!B89+'Landkreditt Forsikring'!B89+'Nordea Liv '!B89+'Oslo Pensjonsforsikring'!B89+'Protector Forsikring'!B89+'Sparebank 1 Fors.'!B89+'Storebrand Livsforsikring'!B89+'Telenor Forsikring'!B89+'Tryg Forsikring'!B89+'WaterCircles F'!B89+'Euro Accident'!B89+'Ly Forsikring'!B89+'Youplus Livsforsikring'!B89+'Oslo Forsikring'!B89</f>
        <v>2341369.6937462203</v>
      </c>
      <c r="C89" s="181">
        <f>'Fremtind Livsforsikring'!C89+'DNB Livsforsikring'!C89+'Eika Forsikring AS'!C89+'Frende Livsforsikring'!C89+'Frende Skadeforsikring'!C89+'Gjensidige Forsikring'!C89+'Gjensidige Pensjon'!C89+'If Skadeforsikring NUF'!C89+KLP!C89+'KLP Skadeforsikring AS'!C89+'Landkreditt Forsikring'!C89+'Nordea Liv '!C89+'Oslo Pensjonsforsikring'!C89+'Protector Forsikring'!C89+'Sparebank 1 Fors.'!C89+'Storebrand Livsforsikring'!C89+'Telenor Forsikring'!C89+'Tryg Forsikring'!C89+'WaterCircles F'!C89+'Euro Accident'!C89+'Ly Forsikring'!C89+'Youplus Livsforsikring'!C89+'Oslo Forsikring'!C89</f>
        <v>2369244.5086599998</v>
      </c>
      <c r="D89" s="20">
        <f t="shared" si="23"/>
        <v>1.2</v>
      </c>
      <c r="E89" s="36">
        <f>'Fremtind Livsforsikring'!F89+'DNB Livsforsikring'!F89+'Eika Forsikring AS'!F89+'Frende Livsforsikring'!F89+'Frende Skadeforsikring'!F89+'Gjensidige Forsikring'!F89+'Gjensidige Pensjon'!F89+'If Skadeforsikring NUF'!F89+KLP!F89+'KLP Skadeforsikring AS'!F89+'Landkreditt Forsikring'!F89+'Nordea Liv '!F89+'Oslo Pensjonsforsikring'!F89+'Protector Forsikring'!F89+'Sparebank 1 Fors.'!F89+'Storebrand Livsforsikring'!F89+'Telenor Forsikring'!F89+'Tryg Forsikring'!F89+'WaterCircles F'!F89+'Euro Accident'!F89+'Ly Forsikring'!F89+'Youplus Livsforsikring'!F89+'Oslo Forsikring'!F89</f>
        <v>579321404.25250983</v>
      </c>
      <c r="F89" s="36">
        <f>'Fremtind Livsforsikring'!G89+'DNB Livsforsikring'!G89+'Eika Forsikring AS'!G89+'Frende Livsforsikring'!G89+'Frende Skadeforsikring'!G89+'Gjensidige Forsikring'!G89+'Gjensidige Pensjon'!G89+'If Skadeforsikring NUF'!G89+KLP!G89+'KLP Skadeforsikring AS'!G89+'Landkreditt Forsikring'!G89+'Nordea Liv '!G89+'Oslo Pensjonsforsikring'!G89+'Protector Forsikring'!G89+'Sparebank 1 Fors.'!G89+'Storebrand Livsforsikring'!G89+'Telenor Forsikring'!G89+'Tryg Forsikring'!G89+'WaterCircles F'!G89+'Euro Accident'!G89+'Ly Forsikring'!G89+'Youplus Livsforsikring'!G89+'Oslo Forsikring'!G89</f>
        <v>655108168.52648604</v>
      </c>
      <c r="G89" s="123">
        <f t="shared" si="24"/>
        <v>13.1</v>
      </c>
      <c r="H89" s="184">
        <f t="shared" si="32"/>
        <v>581662773.94625604</v>
      </c>
      <c r="I89" s="184">
        <f t="shared" si="33"/>
        <v>657477413.035146</v>
      </c>
      <c r="J89" s="20">
        <f t="shared" si="27"/>
        <v>13</v>
      </c>
      <c r="L89" s="22"/>
    </row>
    <row r="90" spans="1:12" ht="15.75" customHeight="1" x14ac:dyDescent="0.2">
      <c r="A90" s="238" t="s">
        <v>338</v>
      </c>
      <c r="B90" s="259"/>
      <c r="C90" s="259"/>
      <c r="D90" s="23"/>
      <c r="E90" s="259"/>
      <c r="F90" s="259"/>
      <c r="G90" s="123"/>
      <c r="H90" s="259"/>
      <c r="I90" s="259"/>
      <c r="J90" s="20"/>
    </row>
    <row r="91" spans="1:12" ht="15.75" customHeight="1" x14ac:dyDescent="0.2">
      <c r="A91" s="238" t="s">
        <v>12</v>
      </c>
      <c r="B91" s="259"/>
      <c r="C91" s="259"/>
      <c r="D91" s="23"/>
      <c r="E91" s="259"/>
      <c r="F91" s="259"/>
      <c r="G91" s="123"/>
      <c r="H91" s="259"/>
      <c r="I91" s="259"/>
      <c r="J91" s="20"/>
    </row>
    <row r="92" spans="1:12" ht="15.75" customHeight="1" x14ac:dyDescent="0.2">
      <c r="A92" s="238" t="s">
        <v>13</v>
      </c>
      <c r="B92" s="259"/>
      <c r="C92" s="259"/>
      <c r="D92" s="23"/>
      <c r="E92" s="259"/>
      <c r="F92" s="259"/>
      <c r="G92" s="123"/>
      <c r="H92" s="259"/>
      <c r="I92" s="259"/>
      <c r="J92" s="20"/>
    </row>
    <row r="93" spans="1:12" ht="15.75" customHeight="1" x14ac:dyDescent="0.2">
      <c r="A93" s="238" t="s">
        <v>339</v>
      </c>
      <c r="B93" s="259"/>
      <c r="C93" s="259"/>
      <c r="D93" s="23"/>
      <c r="E93" s="259"/>
      <c r="F93" s="259"/>
      <c r="G93" s="123"/>
      <c r="H93" s="259"/>
      <c r="I93" s="259"/>
      <c r="J93" s="20"/>
    </row>
    <row r="94" spans="1:12" ht="15.75" customHeight="1" x14ac:dyDescent="0.2">
      <c r="A94" s="238" t="s">
        <v>12</v>
      </c>
      <c r="B94" s="259"/>
      <c r="C94" s="259"/>
      <c r="D94" s="23"/>
      <c r="E94" s="259"/>
      <c r="F94" s="259"/>
      <c r="G94" s="123"/>
      <c r="H94" s="259"/>
      <c r="I94" s="259"/>
      <c r="J94" s="20"/>
    </row>
    <row r="95" spans="1:12" ht="15.75" customHeight="1" x14ac:dyDescent="0.2">
      <c r="A95" s="238" t="s">
        <v>13</v>
      </c>
      <c r="B95" s="259"/>
      <c r="C95" s="259"/>
      <c r="D95" s="23"/>
      <c r="E95" s="259"/>
      <c r="F95" s="259"/>
      <c r="G95" s="123"/>
      <c r="H95" s="259"/>
      <c r="I95" s="259"/>
      <c r="J95" s="20"/>
    </row>
    <row r="96" spans="1:12" ht="15.75" customHeight="1" x14ac:dyDescent="0.2">
      <c r="A96" s="18" t="s">
        <v>310</v>
      </c>
      <c r="B96" s="181">
        <f>'Fremtind Livsforsikring'!B96+'DNB Livsforsikring'!B96+'Eika Forsikring AS'!B96+'Frende Livsforsikring'!B96+'Frende Skadeforsikring'!B96+'Gjensidige Forsikring'!B96+'Gjensidige Pensjon'!B96+'If Skadeforsikring NUF'!B96+KLP!B96+'KLP Skadeforsikring AS'!B96+'Landkreditt Forsikring'!B96+'Nordea Liv '!B96+'Oslo Pensjonsforsikring'!B96+'Protector Forsikring'!B96+'Sparebank 1 Fors.'!B96+'Storebrand Livsforsikring'!B96+'Telenor Forsikring'!B96+'Tryg Forsikring'!B96+'WaterCircles F'!B96+'Euro Accident'!B96+'Ly Forsikring'!B96+'Youplus Livsforsikring'!B96+'Oslo Forsikring'!B96</f>
        <v>5645075.0129700005</v>
      </c>
      <c r="C96" s="181">
        <f>'Fremtind Livsforsikring'!C96+'DNB Livsforsikring'!C96+'Eika Forsikring AS'!C96+'Frende Livsforsikring'!C96+'Frende Skadeforsikring'!C96+'Gjensidige Forsikring'!C96+'Gjensidige Pensjon'!C96+'If Skadeforsikring NUF'!C96+KLP!C96+'KLP Skadeforsikring AS'!C96+'Landkreditt Forsikring'!C96+'Nordea Liv '!C96+'Oslo Pensjonsforsikring'!C96+'Protector Forsikring'!C96+'Sparebank 1 Fors.'!C96+'Storebrand Livsforsikring'!C96+'Telenor Forsikring'!C96+'Tryg Forsikring'!C96+'WaterCircles F'!C96+'Euro Accident'!C96+'Ly Forsikring'!C96+'Youplus Livsforsikring'!C96+'Oslo Forsikring'!C96</f>
        <v>7409666.6989399996</v>
      </c>
      <c r="D96" s="20">
        <f t="shared" si="23"/>
        <v>31.3</v>
      </c>
      <c r="E96" s="36">
        <f>'Fremtind Livsforsikring'!F96+'DNB Livsforsikring'!F96+'Eika Forsikring AS'!F96+'Frende Livsforsikring'!F96+'Frende Skadeforsikring'!F96+'Gjensidige Forsikring'!F96+'Gjensidige Pensjon'!F96+'If Skadeforsikring NUF'!F96+KLP!F96+'KLP Skadeforsikring AS'!F96+'Landkreditt Forsikring'!F96+'Nordea Liv '!F96+'Oslo Pensjonsforsikring'!F96+'Protector Forsikring'!F96+'Sparebank 1 Fors.'!F96+'Storebrand Livsforsikring'!F96+'Telenor Forsikring'!F96+'Tryg Forsikring'!F96+'WaterCircles F'!F96+'Euro Accident'!F96+'Ly Forsikring'!F96+'Youplus Livsforsikring'!F96+'Oslo Forsikring'!F96</f>
        <v>8696800.9704100005</v>
      </c>
      <c r="F96" s="36">
        <f>'Fremtind Livsforsikring'!G96+'DNB Livsforsikring'!G96+'Eika Forsikring AS'!G96+'Frende Livsforsikring'!G96+'Frende Skadeforsikring'!G96+'Gjensidige Forsikring'!G96+'Gjensidige Pensjon'!G96+'If Skadeforsikring NUF'!G96+KLP!G96+'KLP Skadeforsikring AS'!G96+'Landkreditt Forsikring'!G96+'Nordea Liv '!G96+'Oslo Pensjonsforsikring'!G96+'Protector Forsikring'!G96+'Sparebank 1 Fors.'!G96+'Storebrand Livsforsikring'!G96+'Telenor Forsikring'!G96+'Tryg Forsikring'!G96+'WaterCircles F'!G96+'Euro Accident'!G96+'Ly Forsikring'!G96+'Youplus Livsforsikring'!G96+'Oslo Forsikring'!G96</f>
        <v>10232397.397220001</v>
      </c>
      <c r="G96" s="123">
        <f t="shared" si="24"/>
        <v>17.7</v>
      </c>
      <c r="H96" s="184">
        <f t="shared" si="32"/>
        <v>14341875.983380001</v>
      </c>
      <c r="I96" s="184">
        <f t="shared" si="33"/>
        <v>17642064.096160002</v>
      </c>
      <c r="J96" s="20">
        <f t="shared" si="27"/>
        <v>23</v>
      </c>
    </row>
    <row r="97" spans="1:10" ht="15.75" customHeight="1" x14ac:dyDescent="0.2">
      <c r="A97" s="18" t="s">
        <v>309</v>
      </c>
      <c r="B97" s="181">
        <f>'Fremtind Livsforsikring'!B97+'DNB Livsforsikring'!B97+'Eika Forsikring AS'!B97+'Frende Livsforsikring'!B97+'Frende Skadeforsikring'!B97+'Gjensidige Forsikring'!B97+'Gjensidige Pensjon'!B97+'If Skadeforsikring NUF'!B97+KLP!B97+'KLP Skadeforsikring AS'!B97+'Landkreditt Forsikring'!B97+'Nordea Liv '!B97+'Oslo Pensjonsforsikring'!B97+'Protector Forsikring'!B97+'Sparebank 1 Fors.'!B97+'Storebrand Livsforsikring'!B97+'Telenor Forsikring'!B97+'Tryg Forsikring'!B97+'WaterCircles F'!B97+'Euro Accident'!B97+'Ly Forsikring'!B97+'Youplus Livsforsikring'!B97+'Oslo Forsikring'!B97</f>
        <v>11166862.26994</v>
      </c>
      <c r="C97" s="181">
        <f>'Fremtind Livsforsikring'!C97+'DNB Livsforsikring'!C97+'Eika Forsikring AS'!C97+'Frende Livsforsikring'!C97+'Frende Skadeforsikring'!C97+'Gjensidige Forsikring'!C97+'Gjensidige Pensjon'!C97+'If Skadeforsikring NUF'!C97+KLP!C97+'KLP Skadeforsikring AS'!C97+'Landkreditt Forsikring'!C97+'Nordea Liv '!C97+'Oslo Pensjonsforsikring'!C97+'Protector Forsikring'!C97+'Sparebank 1 Fors.'!C97+'Storebrand Livsforsikring'!C97+'Telenor Forsikring'!C97+'Tryg Forsikring'!C97+'WaterCircles F'!C97+'Euro Accident'!C97+'Ly Forsikring'!C97+'Youplus Livsforsikring'!C97+'Oslo Forsikring'!C97</f>
        <v>12561158.95358</v>
      </c>
      <c r="D97" s="20">
        <f t="shared" ref="D97" si="34">IF(B97=0, "    ---- ", IF(ABS(ROUND(100/B97*C97-100,1))&lt;999,ROUND(100/B97*C97-100,1),IF(ROUND(100/B97*C97-100,1)&gt;999,999,-999)))</f>
        <v>12.5</v>
      </c>
      <c r="E97" s="36"/>
      <c r="F97" s="36"/>
      <c r="G97" s="123"/>
      <c r="H97" s="184">
        <f t="shared" ref="H97" si="35">SUM(B97,E97)</f>
        <v>11166862.26994</v>
      </c>
      <c r="I97" s="184">
        <f t="shared" ref="I97" si="36">SUM(C97,F97)</f>
        <v>12561158.95358</v>
      </c>
      <c r="J97" s="20">
        <f t="shared" ref="J97" si="37">IF(H97=0, "    ---- ", IF(ABS(ROUND(100/H97*I97-100,1))&lt;999,ROUND(100/H97*I97-100,1),IF(ROUND(100/H97*I97-100,1)&gt;999,999,-999)))</f>
        <v>12.5</v>
      </c>
    </row>
    <row r="98" spans="1:10" ht="15.75" customHeight="1" x14ac:dyDescent="0.2">
      <c r="A98" s="18" t="s">
        <v>340</v>
      </c>
      <c r="B98" s="181">
        <f>'Fremtind Livsforsikring'!B98+'DNB Livsforsikring'!B98+'Eika Forsikring AS'!B98+'Frende Livsforsikring'!B98+'Frende Skadeforsikring'!B98+'Gjensidige Forsikring'!B98+'Gjensidige Pensjon'!B98+'If Skadeforsikring NUF'!B98+KLP!B98+'KLP Skadeforsikring AS'!B98+'Landkreditt Forsikring'!B98+'Nordea Liv '!B98+'Oslo Pensjonsforsikring'!B98+'Protector Forsikring'!B98+'Sparebank 1 Fors.'!B98+'Storebrand Livsforsikring'!B98+'Telenor Forsikring'!B98+'Tryg Forsikring'!B98+'WaterCircles F'!B98+'Euro Accident'!B98+'Ly Forsikring'!B98+'Youplus Livsforsikring'!B98+'Oslo Forsikring'!B98</f>
        <v>382144696.30372411</v>
      </c>
      <c r="C98" s="181">
        <f>'Fremtind Livsforsikring'!C98+'DNB Livsforsikring'!C98+'Eika Forsikring AS'!C98+'Frende Livsforsikring'!C98+'Frende Skadeforsikring'!C98+'Gjensidige Forsikring'!C98+'Gjensidige Pensjon'!C98+'If Skadeforsikring NUF'!C98+KLP!C98+'KLP Skadeforsikring AS'!C98+'Landkreditt Forsikring'!C98+'Nordea Liv '!C98+'Oslo Pensjonsforsikring'!C98+'Protector Forsikring'!C98+'Sparebank 1 Fors.'!C98+'Storebrand Livsforsikring'!C98+'Telenor Forsikring'!C98+'Tryg Forsikring'!C98+'WaterCircles F'!C98+'Euro Accident'!C98+'Ly Forsikring'!C98+'Youplus Livsforsikring'!C98+'Oslo Forsikring'!C98</f>
        <v>382451924.30115235</v>
      </c>
      <c r="D98" s="20">
        <f t="shared" si="23"/>
        <v>0.1</v>
      </c>
      <c r="E98" s="36">
        <f>'Fremtind Livsforsikring'!F98+'DNB Livsforsikring'!F98+'Eika Forsikring AS'!F98+'Frende Livsforsikring'!F98+'Frende Skadeforsikring'!F98+'Gjensidige Forsikring'!F98+'Gjensidige Pensjon'!F98+'If Skadeforsikring NUF'!F98+KLP!F98+'KLP Skadeforsikring AS'!F98+'Landkreditt Forsikring'!F98+'Nordea Liv '!F98+'Oslo Pensjonsforsikring'!F98+'Protector Forsikring'!F98+'Sparebank 1 Fors.'!F98+'Storebrand Livsforsikring'!F98+'Telenor Forsikring'!F98+'Tryg Forsikring'!F98+'WaterCircles F'!F98+'Euro Accident'!F98+'Ly Forsikring'!F98+'Youplus Livsforsikring'!F98+'Oslo Forsikring'!F98</f>
        <v>578922732.48428988</v>
      </c>
      <c r="F98" s="36">
        <f>'Fremtind Livsforsikring'!G98+'DNB Livsforsikring'!G98+'Eika Forsikring AS'!G98+'Frende Livsforsikring'!G98+'Frende Skadeforsikring'!G98+'Gjensidige Forsikring'!G98+'Gjensidige Pensjon'!G98+'If Skadeforsikring NUF'!G98+KLP!G98+'KLP Skadeforsikring AS'!G98+'Landkreditt Forsikring'!G98+'Nordea Liv '!G98+'Oslo Pensjonsforsikring'!G98+'Protector Forsikring'!G98+'Sparebank 1 Fors.'!G98+'Storebrand Livsforsikring'!G98+'Telenor Forsikring'!G98+'Tryg Forsikring'!G98+'WaterCircles F'!G98+'Euro Accident'!G98+'Ly Forsikring'!G98+'Youplus Livsforsikring'!G98+'Oslo Forsikring'!G98</f>
        <v>654713222.16928506</v>
      </c>
      <c r="G98" s="123">
        <f t="shared" si="24"/>
        <v>13.1</v>
      </c>
      <c r="H98" s="184">
        <f t="shared" si="32"/>
        <v>961067428.78801394</v>
      </c>
      <c r="I98" s="184">
        <f t="shared" si="33"/>
        <v>1037165146.4704374</v>
      </c>
      <c r="J98" s="20">
        <f t="shared" si="27"/>
        <v>7.9</v>
      </c>
    </row>
    <row r="99" spans="1:10" ht="15.75" customHeight="1" x14ac:dyDescent="0.2">
      <c r="A99" s="18" t="s">
        <v>9</v>
      </c>
      <c r="B99" s="181">
        <f>'Fremtind Livsforsikring'!B99+'DNB Livsforsikring'!B99+'Eika Forsikring AS'!B99+'Frende Livsforsikring'!B99+'Frende Skadeforsikring'!B99+'Gjensidige Forsikring'!B99+'Gjensidige Pensjon'!B99+'If Skadeforsikring NUF'!B99+KLP!B99+'KLP Skadeforsikring AS'!B99+'Landkreditt Forsikring'!B99+'Nordea Liv '!B99+'Oslo Pensjonsforsikring'!B99+'Protector Forsikring'!B99+'Sparebank 1 Fors.'!B99+'Storebrand Livsforsikring'!B99+'Telenor Forsikring'!B99+'Tryg Forsikring'!B99+'WaterCircles F'!B99+'Euro Accident'!B99+'Ly Forsikring'!B99+'Youplus Livsforsikring'!B99+'Oslo Forsikring'!B99</f>
        <v>379803326.6099779</v>
      </c>
      <c r="C99" s="181">
        <f>'Fremtind Livsforsikring'!C99+'DNB Livsforsikring'!C99+'Eika Forsikring AS'!C99+'Frende Livsforsikring'!C99+'Frende Skadeforsikring'!C99+'Gjensidige Forsikring'!C99+'Gjensidige Pensjon'!C99+'If Skadeforsikring NUF'!C99+KLP!C99+'KLP Skadeforsikring AS'!C99+'Landkreditt Forsikring'!C99+'Nordea Liv '!C99+'Oslo Pensjonsforsikring'!C99+'Protector Forsikring'!C99+'Sparebank 1 Fors.'!C99+'Storebrand Livsforsikring'!C99+'Telenor Forsikring'!C99+'Tryg Forsikring'!C99+'WaterCircles F'!C99+'Euro Accident'!C99+'Ly Forsikring'!C99+'Youplus Livsforsikring'!C99+'Oslo Forsikring'!C99</f>
        <v>380082679.79249227</v>
      </c>
      <c r="D99" s="20">
        <f t="shared" si="23"/>
        <v>0.1</v>
      </c>
      <c r="E99" s="36"/>
      <c r="F99" s="36"/>
      <c r="G99" s="123"/>
      <c r="H99" s="184">
        <f t="shared" si="32"/>
        <v>379803326.6099779</v>
      </c>
      <c r="I99" s="184">
        <f t="shared" si="33"/>
        <v>380082679.79249227</v>
      </c>
      <c r="J99" s="20">
        <f t="shared" si="27"/>
        <v>0.1</v>
      </c>
    </row>
    <row r="100" spans="1:10" ht="15.75" customHeight="1" x14ac:dyDescent="0.2">
      <c r="A100" s="18" t="s">
        <v>368</v>
      </c>
      <c r="B100" s="181">
        <f>'Fremtind Livsforsikring'!B100+'DNB Livsforsikring'!B100+'Eika Forsikring AS'!B100+'Frende Livsforsikring'!B100+'Frende Skadeforsikring'!B100+'Gjensidige Forsikring'!B100+'Gjensidige Pensjon'!B100+'If Skadeforsikring NUF'!B100+KLP!B100+'KLP Skadeforsikring AS'!B100+'Landkreditt Forsikring'!B100+'Nordea Liv '!B100+'Oslo Pensjonsforsikring'!B100+'Protector Forsikring'!B100+'Sparebank 1 Fors.'!B100+'Storebrand Livsforsikring'!B100+'Telenor Forsikring'!B100+'Tryg Forsikring'!B100+'WaterCircles F'!B100+'Euro Accident'!B100+'Ly Forsikring'!B100+'Youplus Livsforsikring'!B100+'Oslo Forsikring'!B100</f>
        <v>2341369.6937462203</v>
      </c>
      <c r="C100" s="181">
        <f>'Fremtind Livsforsikring'!C100+'DNB Livsforsikring'!C100+'Eika Forsikring AS'!C100+'Frende Livsforsikring'!C100+'Frende Skadeforsikring'!C100+'Gjensidige Forsikring'!C100+'Gjensidige Pensjon'!C100+'If Skadeforsikring NUF'!C100+KLP!C100+'KLP Skadeforsikring AS'!C100+'Landkreditt Forsikring'!C100+'Nordea Liv '!C100+'Oslo Pensjonsforsikring'!C100+'Protector Forsikring'!C100+'Sparebank 1 Fors.'!C100+'Storebrand Livsforsikring'!C100+'Telenor Forsikring'!C100+'Tryg Forsikring'!C100+'WaterCircles F'!C100+'Euro Accident'!C100+'Ly Forsikring'!C100+'Youplus Livsforsikring'!C100+'Oslo Forsikring'!C100</f>
        <v>2369244.5086599998</v>
      </c>
      <c r="D100" s="20">
        <f t="shared" si="23"/>
        <v>1.2</v>
      </c>
      <c r="E100" s="36">
        <f>'Fremtind Livsforsikring'!F100+'DNB Livsforsikring'!F100+'Eika Forsikring AS'!F100+'Frende Livsforsikring'!F100+'Frende Skadeforsikring'!F100+'Gjensidige Forsikring'!F100+'Gjensidige Pensjon'!F100+'If Skadeforsikring NUF'!F100+KLP!F100+'KLP Skadeforsikring AS'!F100+'Landkreditt Forsikring'!F100+'Nordea Liv '!F100+'Oslo Pensjonsforsikring'!F100+'Protector Forsikring'!F100+'Sparebank 1 Fors.'!F100+'Storebrand Livsforsikring'!F100+'Telenor Forsikring'!F100+'Tryg Forsikring'!F100+'WaterCircles F'!F100+'Euro Accident'!F100+'Ly Forsikring'!F100+'Youplus Livsforsikring'!F100+'Oslo Forsikring'!F100</f>
        <v>578922732.48428988</v>
      </c>
      <c r="F100" s="36">
        <f>'Fremtind Livsforsikring'!G100+'DNB Livsforsikring'!G100+'Eika Forsikring AS'!G100+'Frende Livsforsikring'!G100+'Frende Skadeforsikring'!G100+'Gjensidige Forsikring'!G100+'Gjensidige Pensjon'!G100+'If Skadeforsikring NUF'!G100+KLP!G100+'KLP Skadeforsikring AS'!G100+'Landkreditt Forsikring'!G100+'Nordea Liv '!G100+'Oslo Pensjonsforsikring'!G100+'Protector Forsikring'!G100+'Sparebank 1 Fors.'!G100+'Storebrand Livsforsikring'!G100+'Telenor Forsikring'!G100+'Tryg Forsikring'!G100+'WaterCircles F'!G100+'Euro Accident'!G100+'Ly Forsikring'!G100+'Youplus Livsforsikring'!G100+'Oslo Forsikring'!G100</f>
        <v>654713222.16928506</v>
      </c>
      <c r="G100" s="123">
        <f t="shared" si="24"/>
        <v>13.1</v>
      </c>
      <c r="H100" s="184">
        <f t="shared" si="32"/>
        <v>581264102.17803609</v>
      </c>
      <c r="I100" s="184">
        <f t="shared" si="33"/>
        <v>657082466.67794502</v>
      </c>
      <c r="J100" s="20">
        <f t="shared" si="27"/>
        <v>13</v>
      </c>
    </row>
    <row r="101" spans="1:10" ht="15.75" customHeight="1" x14ac:dyDescent="0.2">
      <c r="A101" s="238" t="s">
        <v>338</v>
      </c>
      <c r="B101" s="259"/>
      <c r="C101" s="259"/>
      <c r="D101" s="23"/>
      <c r="E101" s="259"/>
      <c r="F101" s="259"/>
      <c r="G101" s="123"/>
      <c r="H101" s="259"/>
      <c r="I101" s="259"/>
      <c r="J101" s="20"/>
    </row>
    <row r="102" spans="1:10" ht="15.75" customHeight="1" x14ac:dyDescent="0.2">
      <c r="A102" s="238" t="s">
        <v>12</v>
      </c>
      <c r="B102" s="259"/>
      <c r="C102" s="259"/>
      <c r="D102" s="23"/>
      <c r="E102" s="259"/>
      <c r="F102" s="259"/>
      <c r="G102" s="123"/>
      <c r="H102" s="259"/>
      <c r="I102" s="259"/>
      <c r="J102" s="20"/>
    </row>
    <row r="103" spans="1:10" ht="15.75" customHeight="1" x14ac:dyDescent="0.2">
      <c r="A103" s="238" t="s">
        <v>13</v>
      </c>
      <c r="B103" s="259"/>
      <c r="C103" s="259"/>
      <c r="D103" s="23"/>
      <c r="E103" s="259"/>
      <c r="F103" s="259"/>
      <c r="G103" s="123"/>
      <c r="H103" s="259"/>
      <c r="I103" s="259"/>
      <c r="J103" s="20"/>
    </row>
    <row r="104" spans="1:10" ht="15.75" customHeight="1" x14ac:dyDescent="0.2">
      <c r="A104" s="238" t="s">
        <v>339</v>
      </c>
      <c r="B104" s="259"/>
      <c r="C104" s="259"/>
      <c r="D104" s="23"/>
      <c r="E104" s="259"/>
      <c r="F104" s="259"/>
      <c r="G104" s="123"/>
      <c r="H104" s="259"/>
      <c r="I104" s="259"/>
      <c r="J104" s="20"/>
    </row>
    <row r="105" spans="1:10" ht="15.75" customHeight="1" x14ac:dyDescent="0.2">
      <c r="A105" s="238" t="s">
        <v>12</v>
      </c>
      <c r="B105" s="259"/>
      <c r="C105" s="259"/>
      <c r="D105" s="23"/>
      <c r="E105" s="259"/>
      <c r="F105" s="259"/>
      <c r="G105" s="123"/>
      <c r="H105" s="259"/>
      <c r="I105" s="259"/>
      <c r="J105" s="20"/>
    </row>
    <row r="106" spans="1:10" ht="15.75" customHeight="1" x14ac:dyDescent="0.2">
      <c r="A106" s="238" t="s">
        <v>13</v>
      </c>
      <c r="B106" s="259"/>
      <c r="C106" s="259"/>
      <c r="D106" s="23"/>
      <c r="E106" s="259"/>
      <c r="F106" s="259"/>
      <c r="G106" s="123"/>
      <c r="H106" s="259"/>
      <c r="I106" s="259"/>
      <c r="J106" s="20"/>
    </row>
    <row r="107" spans="1:10" ht="15.75" customHeight="1" x14ac:dyDescent="0.2">
      <c r="A107" s="18" t="s">
        <v>341</v>
      </c>
      <c r="B107" s="181">
        <f>'Fremtind Livsforsikring'!B107+'DNB Livsforsikring'!B107+'Eika Forsikring AS'!B107+'Frende Livsforsikring'!B107+'Frende Skadeforsikring'!B107+'Gjensidige Forsikring'!B107+'Gjensidige Pensjon'!B107+'If Skadeforsikring NUF'!B107+KLP!B107+'KLP Skadeforsikring AS'!B107+'Landkreditt Forsikring'!B107+'Nordea Liv '!B107+'Oslo Pensjonsforsikring'!B107+'Protector Forsikring'!B107+'Sparebank 1 Fors.'!B107+'Storebrand Livsforsikring'!B107+'Telenor Forsikring'!B107+'Tryg Forsikring'!B107+'WaterCircles F'!B107+'Euro Accident'!B107+'Ly Forsikring'!B107+'Youplus Livsforsikring'!B107+'Oslo Forsikring'!B107</f>
        <v>4340093.9780000001</v>
      </c>
      <c r="C107" s="181">
        <f>'Fremtind Livsforsikring'!C107+'DNB Livsforsikring'!C107+'Eika Forsikring AS'!C107+'Frende Livsforsikring'!C107+'Frende Skadeforsikring'!C107+'Gjensidige Forsikring'!C107+'Gjensidige Pensjon'!C107+'If Skadeforsikring NUF'!C107+KLP!C107+'KLP Skadeforsikring AS'!C107+'Landkreditt Forsikring'!C107+'Nordea Liv '!C107+'Oslo Pensjonsforsikring'!C107+'Protector Forsikring'!C107+'Sparebank 1 Fors.'!C107+'Storebrand Livsforsikring'!C107+'Telenor Forsikring'!C107+'Tryg Forsikring'!C107+'WaterCircles F'!C107+'Euro Accident'!C107+'Ly Forsikring'!C107+'Youplus Livsforsikring'!C107+'Oslo Forsikring'!C107</f>
        <v>4164564.0870000003</v>
      </c>
      <c r="D107" s="20">
        <f t="shared" si="23"/>
        <v>-4</v>
      </c>
      <c r="E107" s="36">
        <f>'Fremtind Livsforsikring'!F107+'DNB Livsforsikring'!F107+'Eika Forsikring AS'!F107+'Frende Livsforsikring'!F107+'Frende Skadeforsikring'!F107+'Gjensidige Forsikring'!F107+'Gjensidige Pensjon'!F107+'If Skadeforsikring NUF'!F107+KLP!F107+'KLP Skadeforsikring AS'!F107+'Landkreditt Forsikring'!F107+'Nordea Liv '!F107+'Oslo Pensjonsforsikring'!F107+'Protector Forsikring'!F107+'Sparebank 1 Fors.'!F107+'Storebrand Livsforsikring'!F107+'Telenor Forsikring'!F107+'Tryg Forsikring'!F107+'WaterCircles F'!F107+'Euro Accident'!F107+'Ly Forsikring'!F107+'Youplus Livsforsikring'!F107+'Oslo Forsikring'!F107</f>
        <v>398672.08821999992</v>
      </c>
      <c r="F107" s="36">
        <f>'Fremtind Livsforsikring'!G107+'DNB Livsforsikring'!G107+'Eika Forsikring AS'!G107+'Frende Livsforsikring'!G107+'Frende Skadeforsikring'!G107+'Gjensidige Forsikring'!G107+'Gjensidige Pensjon'!G107+'If Skadeforsikring NUF'!G107+KLP!G107+'KLP Skadeforsikring AS'!G107+'Landkreditt Forsikring'!G107+'Nordea Liv '!G107+'Oslo Pensjonsforsikring'!G107+'Protector Forsikring'!G107+'Sparebank 1 Fors.'!G107+'Storebrand Livsforsikring'!G107+'Telenor Forsikring'!G107+'Tryg Forsikring'!G107+'WaterCircles F'!G107+'Euro Accident'!G107+'Ly Forsikring'!G107+'Youplus Livsforsikring'!G107+'Oslo Forsikring'!G107</f>
        <v>394946.35720098694</v>
      </c>
      <c r="G107" s="123">
        <f t="shared" si="24"/>
        <v>-0.9</v>
      </c>
      <c r="H107" s="184">
        <f t="shared" si="32"/>
        <v>4738766.0662200004</v>
      </c>
      <c r="I107" s="184">
        <f t="shared" si="33"/>
        <v>4559510.444200987</v>
      </c>
      <c r="J107" s="20">
        <f t="shared" si="27"/>
        <v>-3.8</v>
      </c>
    </row>
    <row r="108" spans="1:10" ht="15.75" customHeight="1" x14ac:dyDescent="0.2">
      <c r="A108" s="18" t="s">
        <v>342</v>
      </c>
      <c r="B108" s="181">
        <f>'Fremtind Livsforsikring'!B108+'DNB Livsforsikring'!B108+'Eika Forsikring AS'!B108+'Frende Livsforsikring'!B108+'Frende Skadeforsikring'!B108+'Gjensidige Forsikring'!B108+'Gjensidige Pensjon'!B108+'If Skadeforsikring NUF'!B108+KLP!B108+'KLP Skadeforsikring AS'!B108+'Landkreditt Forsikring'!B108+'Nordea Liv '!B108+'Oslo Pensjonsforsikring'!B108+'Protector Forsikring'!B108+'Sparebank 1 Fors.'!B108+'Storebrand Livsforsikring'!B108+'Telenor Forsikring'!B108+'Tryg Forsikring'!B108+'WaterCircles F'!B108+'Euro Accident'!B108+'Ly Forsikring'!B108+'Youplus Livsforsikring'!B108+'Oslo Forsikring'!B108</f>
        <v>331647229.39409208</v>
      </c>
      <c r="C108" s="181">
        <f>'Fremtind Livsforsikring'!C108+'DNB Livsforsikring'!C108+'Eika Forsikring AS'!C108+'Frende Livsforsikring'!C108+'Frende Skadeforsikring'!C108+'Gjensidige Forsikring'!C108+'Gjensidige Pensjon'!C108+'If Skadeforsikring NUF'!C108+KLP!C108+'KLP Skadeforsikring AS'!C108+'Landkreditt Forsikring'!C108+'Nordea Liv '!C108+'Oslo Pensjonsforsikring'!C108+'Protector Forsikring'!C108+'Sparebank 1 Fors.'!C108+'Storebrand Livsforsikring'!C108+'Telenor Forsikring'!C108+'Tryg Forsikring'!C108+'WaterCircles F'!C108+'Euro Accident'!C108+'Ly Forsikring'!C108+'Youplus Livsforsikring'!C108+'Oslo Forsikring'!C108</f>
        <v>330457899.48653722</v>
      </c>
      <c r="D108" s="20">
        <f t="shared" si="23"/>
        <v>-0.4</v>
      </c>
      <c r="E108" s="36">
        <f>'Fremtind Livsforsikring'!F108+'DNB Livsforsikring'!F108+'Eika Forsikring AS'!F108+'Frende Livsforsikring'!F108+'Frende Skadeforsikring'!F108+'Gjensidige Forsikring'!F108+'Gjensidige Pensjon'!F108+'If Skadeforsikring NUF'!F108+KLP!F108+'KLP Skadeforsikring AS'!F108+'Landkreditt Forsikring'!F108+'Nordea Liv '!F108+'Oslo Pensjonsforsikring'!F108+'Protector Forsikring'!F108+'Sparebank 1 Fors.'!F108+'Storebrand Livsforsikring'!F108+'Telenor Forsikring'!F108+'Tryg Forsikring'!F108+'WaterCircles F'!F108+'Euro Accident'!F108+'Ly Forsikring'!F108+'Youplus Livsforsikring'!F108+'Oslo Forsikring'!F108</f>
        <v>22094005.88084</v>
      </c>
      <c r="F108" s="36">
        <f>'Fremtind Livsforsikring'!G108+'DNB Livsforsikring'!G108+'Eika Forsikring AS'!G108+'Frende Livsforsikring'!G108+'Frende Skadeforsikring'!G108+'Gjensidige Forsikring'!G108+'Gjensidige Pensjon'!G108+'If Skadeforsikring NUF'!G108+KLP!G108+'KLP Skadeforsikring AS'!G108+'Landkreditt Forsikring'!G108+'Nordea Liv '!G108+'Oslo Pensjonsforsikring'!G108+'Protector Forsikring'!G108+'Sparebank 1 Fors.'!G108+'Storebrand Livsforsikring'!G108+'Telenor Forsikring'!G108+'Tryg Forsikring'!G108+'WaterCircles F'!G108+'Euro Accident'!G108+'Ly Forsikring'!G108+'Youplus Livsforsikring'!G108+'Oslo Forsikring'!G108</f>
        <v>23222155.307822309</v>
      </c>
      <c r="G108" s="123">
        <f t="shared" si="24"/>
        <v>5.0999999999999996</v>
      </c>
      <c r="H108" s="184">
        <f t="shared" si="32"/>
        <v>353741235.27493209</v>
      </c>
      <c r="I108" s="184">
        <f t="shared" si="33"/>
        <v>353680054.79435951</v>
      </c>
      <c r="J108" s="20">
        <f t="shared" si="27"/>
        <v>0</v>
      </c>
    </row>
    <row r="109" spans="1:10" ht="15.75" customHeight="1" x14ac:dyDescent="0.2">
      <c r="A109" s="18" t="s">
        <v>376</v>
      </c>
      <c r="B109" s="181">
        <f>'Fremtind Livsforsikring'!B109+'DNB Livsforsikring'!B109+'Eika Forsikring AS'!B109+'Frende Livsforsikring'!B109+'Frende Skadeforsikring'!B109+'Gjensidige Forsikring'!B109+'Gjensidige Pensjon'!B109+'If Skadeforsikring NUF'!B109+KLP!B109+'KLP Skadeforsikring AS'!B109+'Landkreditt Forsikring'!B109+'Nordea Liv '!B109+'Oslo Pensjonsforsikring'!B109+'Protector Forsikring'!B109+'Sparebank 1 Fors.'!B109+'Storebrand Livsforsikring'!B109+'Telenor Forsikring'!B109+'Tryg Forsikring'!B109+'WaterCircles F'!B109+'Euro Accident'!B109+'Ly Forsikring'!B109+'Youplus Livsforsikring'!B109+'Oslo Forsikring'!B109</f>
        <v>2452719.7451200499</v>
      </c>
      <c r="C109" s="181">
        <f>'Fremtind Livsforsikring'!C109+'DNB Livsforsikring'!C109+'Eika Forsikring AS'!C109+'Frende Livsforsikring'!C109+'Frende Skadeforsikring'!C109+'Gjensidige Forsikring'!C109+'Gjensidige Pensjon'!C109+'If Skadeforsikring NUF'!C109+KLP!C109+'KLP Skadeforsikring AS'!C109+'Landkreditt Forsikring'!C109+'Nordea Liv '!C109+'Oslo Pensjonsforsikring'!C109+'Protector Forsikring'!C109+'Sparebank 1 Fors.'!C109+'Storebrand Livsforsikring'!C109+'Telenor Forsikring'!C109+'Tryg Forsikring'!C109+'WaterCircles F'!C109+'Euro Accident'!C109+'Ly Forsikring'!C109+'Youplus Livsforsikring'!C109+'Oslo Forsikring'!C109</f>
        <v>2564583.3651173301</v>
      </c>
      <c r="D109" s="20">
        <f t="shared" si="23"/>
        <v>4.5999999999999996</v>
      </c>
      <c r="E109" s="36">
        <f>'Fremtind Livsforsikring'!F109+'DNB Livsforsikring'!F109+'Eika Forsikring AS'!F109+'Frende Livsforsikring'!F109+'Frende Skadeforsikring'!F109+'Gjensidige Forsikring'!F109+'Gjensidige Pensjon'!F109+'If Skadeforsikring NUF'!F109+KLP!F109+'KLP Skadeforsikring AS'!F109+'Landkreditt Forsikring'!F109+'Nordea Liv '!F109+'Oslo Pensjonsforsikring'!F109+'Protector Forsikring'!F109+'Sparebank 1 Fors.'!F109+'Storebrand Livsforsikring'!F109+'Telenor Forsikring'!F109+'Tryg Forsikring'!F109+'WaterCircles F'!F109+'Euro Accident'!F109+'Ly Forsikring'!F109+'Youplus Livsforsikring'!F109+'Oslo Forsikring'!F109</f>
        <v>217353381.23025</v>
      </c>
      <c r="F109" s="36">
        <f>'Fremtind Livsforsikring'!G109+'DNB Livsforsikring'!G109+'Eika Forsikring AS'!G109+'Frende Livsforsikring'!G109+'Frende Skadeforsikring'!G109+'Gjensidige Forsikring'!G109+'Gjensidige Pensjon'!G109+'If Skadeforsikring NUF'!G109+KLP!G109+'KLP Skadeforsikring AS'!G109+'Landkreditt Forsikring'!G109+'Nordea Liv '!G109+'Oslo Pensjonsforsikring'!G109+'Protector Forsikring'!G109+'Sparebank 1 Fors.'!G109+'Storebrand Livsforsikring'!G109+'Telenor Forsikring'!G109+'Tryg Forsikring'!G109+'WaterCircles F'!G109+'Euro Accident'!G109+'Ly Forsikring'!G109+'Youplus Livsforsikring'!G109+'Oslo Forsikring'!G109</f>
        <v>258106009.55182999</v>
      </c>
      <c r="G109" s="123">
        <f t="shared" si="24"/>
        <v>18.7</v>
      </c>
      <c r="H109" s="184">
        <f t="shared" si="32"/>
        <v>219806100.97537005</v>
      </c>
      <c r="I109" s="184">
        <f t="shared" si="33"/>
        <v>260670592.91694734</v>
      </c>
      <c r="J109" s="20">
        <f t="shared" si="27"/>
        <v>18.600000000000001</v>
      </c>
    </row>
    <row r="110" spans="1:10" ht="15.75" customHeight="1" x14ac:dyDescent="0.2">
      <c r="A110" s="18" t="s">
        <v>343</v>
      </c>
      <c r="B110" s="181">
        <f>'Fremtind Livsforsikring'!B110+'DNB Livsforsikring'!B110+'Eika Forsikring AS'!B110+'Frende Livsforsikring'!B110+'Frende Skadeforsikring'!B110+'Gjensidige Forsikring'!B110+'Gjensidige Pensjon'!B110+'If Skadeforsikring NUF'!B110+KLP!B110+'KLP Skadeforsikring AS'!B110+'Landkreditt Forsikring'!B110+'Nordea Liv '!B110+'Oslo Pensjonsforsikring'!B110+'Protector Forsikring'!B110+'Sparebank 1 Fors.'!B110+'Storebrand Livsforsikring'!B110+'Telenor Forsikring'!B110+'Tryg Forsikring'!B110+'WaterCircles F'!B110+'Euro Accident'!B110+'Ly Forsikring'!B110+'Youplus Livsforsikring'!B110+'Oslo Forsikring'!B110</f>
        <v>2649743.7932099998</v>
      </c>
      <c r="C110" s="181">
        <f>'Fremtind Livsforsikring'!C110+'DNB Livsforsikring'!C110+'Eika Forsikring AS'!C110+'Frende Livsforsikring'!C110+'Frende Skadeforsikring'!C110+'Gjensidige Forsikring'!C110+'Gjensidige Pensjon'!C110+'If Skadeforsikring NUF'!C110+KLP!C110+'KLP Skadeforsikring AS'!C110+'Landkreditt Forsikring'!C110+'Nordea Liv '!C110+'Oslo Pensjonsforsikring'!C110+'Protector Forsikring'!C110+'Sparebank 1 Fors.'!C110+'Storebrand Livsforsikring'!C110+'Telenor Forsikring'!C110+'Tryg Forsikring'!C110+'WaterCircles F'!C110+'Euro Accident'!C110+'Ly Forsikring'!C110+'Youplus Livsforsikring'!C110+'Oslo Forsikring'!C110</f>
        <v>3790071.2579199998</v>
      </c>
      <c r="D110" s="20">
        <f t="shared" si="23"/>
        <v>43</v>
      </c>
      <c r="E110" s="36"/>
      <c r="F110" s="36"/>
      <c r="G110" s="123"/>
      <c r="H110" s="184">
        <f t="shared" si="32"/>
        <v>2649743.7932099998</v>
      </c>
      <c r="I110" s="184">
        <f t="shared" si="33"/>
        <v>3790071.2579199998</v>
      </c>
      <c r="J110" s="20">
        <f t="shared" si="27"/>
        <v>43</v>
      </c>
    </row>
    <row r="111" spans="1:10" s="35" customFormat="1" ht="15.75" customHeight="1" x14ac:dyDescent="0.2">
      <c r="A111" s="10" t="s">
        <v>324</v>
      </c>
      <c r="B111" s="248">
        <f>'Fremtind Livsforsikring'!B111+'DNB Livsforsikring'!B111+'Eika Forsikring AS'!B111+'Frende Livsforsikring'!B111+'Frende Skadeforsikring'!B111+'Gjensidige Forsikring'!B111+'Gjensidige Pensjon'!B111+'If Skadeforsikring NUF'!B111+KLP!B111+'KLP Skadeforsikring AS'!B111+'Landkreditt Forsikring'!B111+'Nordea Liv '!B111+'Oslo Pensjonsforsikring'!B111+'Protector Forsikring'!B111+'Sparebank 1 Fors.'!B111+'Storebrand Livsforsikring'!B111+'Telenor Forsikring'!B111+'Tryg Forsikring'!B111+'WaterCircles F'!B111+'Euro Accident'!B111+'Ly Forsikring'!B111+'Youplus Livsforsikring'!B111+'Oslo Forsikring'!B111</f>
        <v>221664.91381</v>
      </c>
      <c r="C111" s="248">
        <f>'Fremtind Livsforsikring'!C111+'DNB Livsforsikring'!C111+'Eika Forsikring AS'!C111+'Frende Livsforsikring'!C111+'Frende Skadeforsikring'!C111+'Gjensidige Forsikring'!C111+'Gjensidige Pensjon'!C111+'If Skadeforsikring NUF'!C111+KLP!C111+'KLP Skadeforsikring AS'!C111+'Landkreditt Forsikring'!C111+'Nordea Liv '!C111+'Oslo Pensjonsforsikring'!C111+'Protector Forsikring'!C111+'Sparebank 1 Fors.'!C111+'Storebrand Livsforsikring'!C111+'Telenor Forsikring'!C111+'Tryg Forsikring'!C111+'WaterCircles F'!C111+'Euro Accident'!C111+'Ly Forsikring'!C111+'Youplus Livsforsikring'!C111+'Oslo Forsikring'!C111</f>
        <v>1135493.62424</v>
      </c>
      <c r="D111" s="21">
        <f t="shared" si="23"/>
        <v>412.3</v>
      </c>
      <c r="E111" s="183">
        <f>'Fremtind Livsforsikring'!F111+'DNB Livsforsikring'!F111+'Eika Forsikring AS'!F111+'Frende Livsforsikring'!F111+'Frende Skadeforsikring'!F111+'Gjensidige Forsikring'!F111+'Gjensidige Pensjon'!F111+'If Skadeforsikring NUF'!F111+KLP!F111+'KLP Skadeforsikring AS'!F111+'Landkreditt Forsikring'!F111+'Nordea Liv '!F111+'Oslo Pensjonsforsikring'!F111+'Protector Forsikring'!F111+'Sparebank 1 Fors.'!F111+'Storebrand Livsforsikring'!F111+'Telenor Forsikring'!F111+'Tryg Forsikring'!F111+'WaterCircles F'!F111+'Euro Accident'!F111+'Ly Forsikring'!F111+'Youplus Livsforsikring'!F111+'Oslo Forsikring'!F111</f>
        <v>13895686.955789998</v>
      </c>
      <c r="F111" s="183">
        <f>'Fremtind Livsforsikring'!G111+'DNB Livsforsikring'!G111+'Eika Forsikring AS'!G111+'Frende Livsforsikring'!G111+'Frende Skadeforsikring'!G111+'Gjensidige Forsikring'!G111+'Gjensidige Pensjon'!G111+'If Skadeforsikring NUF'!G111+KLP!G111+'KLP Skadeforsikring AS'!G111+'Landkreditt Forsikring'!G111+'Nordea Liv '!G111+'Oslo Pensjonsforsikring'!G111+'Protector Forsikring'!G111+'Sparebank 1 Fors.'!G111+'Storebrand Livsforsikring'!G111+'Telenor Forsikring'!G111+'Tryg Forsikring'!G111+'WaterCircles F'!G111+'Euro Accident'!G111+'Ly Forsikring'!G111+'Youplus Livsforsikring'!G111+'Oslo Forsikring'!G111</f>
        <v>19977944.200959999</v>
      </c>
      <c r="G111" s="127">
        <f t="shared" si="24"/>
        <v>43.8</v>
      </c>
      <c r="H111" s="268">
        <f t="shared" si="32"/>
        <v>14117351.869599998</v>
      </c>
      <c r="I111" s="268">
        <f t="shared" si="33"/>
        <v>21113437.825199999</v>
      </c>
      <c r="J111" s="21">
        <f t="shared" si="27"/>
        <v>49.6</v>
      </c>
    </row>
    <row r="112" spans="1:10" ht="15.75" customHeight="1" x14ac:dyDescent="0.2">
      <c r="A112" s="18" t="s">
        <v>9</v>
      </c>
      <c r="B112" s="181">
        <f>'Fremtind Livsforsikring'!B112+'DNB Livsforsikring'!B112+'Eika Forsikring AS'!B112+'Frende Livsforsikring'!B112+'Frende Skadeforsikring'!B112+'Gjensidige Forsikring'!B112+'Gjensidige Pensjon'!B112+'If Skadeforsikring NUF'!B112+KLP!B112+'KLP Skadeforsikring AS'!B112+'Landkreditt Forsikring'!B112+'Nordea Liv '!B112+'Oslo Pensjonsforsikring'!B112+'Protector Forsikring'!B112+'Sparebank 1 Fors.'!B112+'Storebrand Livsforsikring'!B112+'Telenor Forsikring'!B112+'Tryg Forsikring'!B112+'WaterCircles F'!B112+'Euro Accident'!B112+'Ly Forsikring'!B112+'Youplus Livsforsikring'!B112+'Oslo Forsikring'!B112</f>
        <v>160399.74997</v>
      </c>
      <c r="C112" s="181">
        <f>'Fremtind Livsforsikring'!C112+'DNB Livsforsikring'!C112+'Eika Forsikring AS'!C112+'Frende Livsforsikring'!C112+'Frende Skadeforsikring'!C112+'Gjensidige Forsikring'!C112+'Gjensidige Pensjon'!C112+'If Skadeforsikring NUF'!C112+KLP!C112+'KLP Skadeforsikring AS'!C112+'Landkreditt Forsikring'!C112+'Nordea Liv '!C112+'Oslo Pensjonsforsikring'!C112+'Protector Forsikring'!C112+'Sparebank 1 Fors.'!C112+'Storebrand Livsforsikring'!C112+'Telenor Forsikring'!C112+'Tryg Forsikring'!C112+'WaterCircles F'!C112+'Euro Accident'!C112+'Ly Forsikring'!C112+'Youplus Livsforsikring'!C112+'Oslo Forsikring'!C112</f>
        <v>1057841.1397199999</v>
      </c>
      <c r="D112" s="20">
        <f t="shared" ref="D112:D125" si="38">IF(B112=0, "    ---- ", IF(ABS(ROUND(100/B112*C112-100,1))&lt;999,ROUND(100/B112*C112-100,1),IF(ROUND(100/B112*C112-100,1)&gt;999,999,-999)))</f>
        <v>559.5</v>
      </c>
      <c r="E112" s="36">
        <f>'Fremtind Livsforsikring'!F112+'DNB Livsforsikring'!F112+'Eika Forsikring AS'!F112+'Frende Livsforsikring'!F112+'Frende Skadeforsikring'!F112+'Gjensidige Forsikring'!F112+'Gjensidige Pensjon'!F112+'If Skadeforsikring NUF'!F112+KLP!F112+'KLP Skadeforsikring AS'!F112+'Landkreditt Forsikring'!F112+'Nordea Liv '!F112+'Oslo Pensjonsforsikring'!F112+'Protector Forsikring'!F112+'Sparebank 1 Fors.'!F112+'Storebrand Livsforsikring'!F112+'Telenor Forsikring'!F112+'Tryg Forsikring'!F112+'WaterCircles F'!F112+'Euro Accident'!F112+'Ly Forsikring'!F112+'Youplus Livsforsikring'!F112+'Oslo Forsikring'!F112</f>
        <v>983.60799999999995</v>
      </c>
      <c r="F112" s="36">
        <f>'Fremtind Livsforsikring'!G112+'DNB Livsforsikring'!G112+'Eika Forsikring AS'!G112+'Frende Livsforsikring'!G112+'Frende Skadeforsikring'!G112+'Gjensidige Forsikring'!G112+'Gjensidige Pensjon'!G112+'If Skadeforsikring NUF'!G112+KLP!G112+'KLP Skadeforsikring AS'!G112+'Landkreditt Forsikring'!G112+'Nordea Liv '!G112+'Oslo Pensjonsforsikring'!G112+'Protector Forsikring'!G112+'Sparebank 1 Fors.'!G112+'Storebrand Livsforsikring'!G112+'Telenor Forsikring'!G112+'Tryg Forsikring'!G112+'WaterCircles F'!G112+'Euro Accident'!G112+'Ly Forsikring'!G112+'Youplus Livsforsikring'!G112+'Oslo Forsikring'!G112</f>
        <v>472.80700000000002</v>
      </c>
      <c r="G112" s="123">
        <f t="shared" si="24"/>
        <v>-51.9</v>
      </c>
      <c r="H112" s="184">
        <f t="shared" ref="H112:H125" si="39">SUM(B112,E112)</f>
        <v>161383.35797000001</v>
      </c>
      <c r="I112" s="184">
        <f t="shared" ref="I112:I125" si="40">SUM(C112,F112)</f>
        <v>1058313.9467199999</v>
      </c>
      <c r="J112" s="20">
        <f t="shared" ref="J112:J125" si="41">IF(H112=0, "    ---- ", IF(ABS(ROUND(100/H112*I112-100,1))&lt;999,ROUND(100/H112*I112-100,1),IF(ROUND(100/H112*I112-100,1)&gt;999,999,-999)))</f>
        <v>555.79999999999995</v>
      </c>
    </row>
    <row r="113" spans="1:10" ht="15.75" customHeight="1" x14ac:dyDescent="0.2">
      <c r="A113" s="18" t="s">
        <v>10</v>
      </c>
      <c r="B113" s="181"/>
      <c r="C113" s="181"/>
      <c r="D113" s="20"/>
      <c r="E113" s="36">
        <f>'Fremtind Livsforsikring'!F113+'DNB Livsforsikring'!F113+'Eika Forsikring AS'!F113+'Frende Livsforsikring'!F113+'Frende Skadeforsikring'!F113+'Gjensidige Forsikring'!F113+'Gjensidige Pensjon'!F113+'If Skadeforsikring NUF'!F113+KLP!F113+'KLP Skadeforsikring AS'!F113+'Landkreditt Forsikring'!F113+'Nordea Liv '!F113+'Oslo Pensjonsforsikring'!F113+'Protector Forsikring'!F113+'Sparebank 1 Fors.'!F113+'Storebrand Livsforsikring'!F113+'Telenor Forsikring'!F113+'Tryg Forsikring'!F113+'WaterCircles F'!F113+'Euro Accident'!F113+'Ly Forsikring'!F113+'Youplus Livsforsikring'!F113+'Oslo Forsikring'!F113</f>
        <v>13894703.347789999</v>
      </c>
      <c r="F113" s="36">
        <f>'Fremtind Livsforsikring'!G113+'DNB Livsforsikring'!G113+'Eika Forsikring AS'!G113+'Frende Livsforsikring'!G113+'Frende Skadeforsikring'!G113+'Gjensidige Forsikring'!G113+'Gjensidige Pensjon'!G113+'If Skadeforsikring NUF'!G113+KLP!G113+'KLP Skadeforsikring AS'!G113+'Landkreditt Forsikring'!G113+'Nordea Liv '!G113+'Oslo Pensjonsforsikring'!G113+'Protector Forsikring'!G113+'Sparebank 1 Fors.'!G113+'Storebrand Livsforsikring'!G113+'Telenor Forsikring'!G113+'Tryg Forsikring'!G113+'WaterCircles F'!G113+'Euro Accident'!G113+'Ly Forsikring'!G113+'Youplus Livsforsikring'!G113+'Oslo Forsikring'!G113</f>
        <v>19977471.393959999</v>
      </c>
      <c r="G113" s="127">
        <f t="shared" si="24"/>
        <v>43.8</v>
      </c>
      <c r="H113" s="184">
        <f t="shared" si="39"/>
        <v>13894703.347789999</v>
      </c>
      <c r="I113" s="184">
        <f t="shared" si="40"/>
        <v>19977471.393959999</v>
      </c>
      <c r="J113" s="21">
        <f t="shared" si="41"/>
        <v>43.8</v>
      </c>
    </row>
    <row r="114" spans="1:10" ht="15.75" customHeight="1" x14ac:dyDescent="0.2">
      <c r="A114" s="18" t="s">
        <v>26</v>
      </c>
      <c r="B114" s="181">
        <f>'Fremtind Livsforsikring'!B114+'DNB Livsforsikring'!B114+'Eika Forsikring AS'!B114+'Frende Livsforsikring'!B114+'Frende Skadeforsikring'!B114+'Gjensidige Forsikring'!B114+'Gjensidige Pensjon'!B114+'If Skadeforsikring NUF'!B114+KLP!B114+'KLP Skadeforsikring AS'!B114+'Landkreditt Forsikring'!B114+'Nordea Liv '!B114+'Oslo Pensjonsforsikring'!B114+'Protector Forsikring'!B114+'Sparebank 1 Fors.'!B114+'Storebrand Livsforsikring'!B114+'Telenor Forsikring'!B114+'Tryg Forsikring'!B114+'WaterCircles F'!B114+'Euro Accident'!B114+'Ly Forsikring'!B114+'Youplus Livsforsikring'!B114+'Oslo Forsikring'!B114</f>
        <v>61265.163840000001</v>
      </c>
      <c r="C114" s="181">
        <f>'Fremtind Livsforsikring'!C114+'DNB Livsforsikring'!C114+'Eika Forsikring AS'!C114+'Frende Livsforsikring'!C114+'Frende Skadeforsikring'!C114+'Gjensidige Forsikring'!C114+'Gjensidige Pensjon'!C114+'If Skadeforsikring NUF'!C114+KLP!C114+'KLP Skadeforsikring AS'!C114+'Landkreditt Forsikring'!C114+'Nordea Liv '!C114+'Oslo Pensjonsforsikring'!C114+'Protector Forsikring'!C114+'Sparebank 1 Fors.'!C114+'Storebrand Livsforsikring'!C114+'Telenor Forsikring'!C114+'Tryg Forsikring'!C114+'WaterCircles F'!C114+'Euro Accident'!C114+'Ly Forsikring'!C114+'Youplus Livsforsikring'!C114+'Oslo Forsikring'!C114</f>
        <v>77652.484519999998</v>
      </c>
      <c r="D114" s="20">
        <f t="shared" si="38"/>
        <v>26.7</v>
      </c>
      <c r="E114" s="36"/>
      <c r="F114" s="36"/>
      <c r="G114" s="127"/>
      <c r="H114" s="184">
        <f t="shared" si="39"/>
        <v>61265.163840000001</v>
      </c>
      <c r="I114" s="184">
        <f t="shared" si="40"/>
        <v>77652.484519999998</v>
      </c>
      <c r="J114" s="21">
        <f t="shared" si="41"/>
        <v>26.7</v>
      </c>
    </row>
    <row r="115" spans="1:10" ht="15.75" customHeight="1" x14ac:dyDescent="0.2">
      <c r="A115" s="238" t="s">
        <v>15</v>
      </c>
      <c r="B115" s="36"/>
      <c r="C115" s="36"/>
      <c r="D115" s="23"/>
      <c r="E115" s="36"/>
      <c r="F115" s="36"/>
      <c r="G115" s="123"/>
      <c r="H115" s="184"/>
      <c r="I115" s="184"/>
      <c r="J115" s="20"/>
    </row>
    <row r="116" spans="1:10" ht="15.75" customHeight="1" x14ac:dyDescent="0.2">
      <c r="A116" s="18" t="s">
        <v>344</v>
      </c>
      <c r="B116" s="181">
        <f>'Fremtind Livsforsikring'!B116+'DNB Livsforsikring'!B116+'Eika Forsikring AS'!B116+'Frende Livsforsikring'!B116+'Frende Skadeforsikring'!B116+'Gjensidige Forsikring'!B116+'Gjensidige Pensjon'!B116+'If Skadeforsikring NUF'!B116+KLP!B116+'KLP Skadeforsikring AS'!B116+'Landkreditt Forsikring'!B116+'Nordea Liv '!B116+'Oslo Pensjonsforsikring'!B116+'Protector Forsikring'!B116+'Sparebank 1 Fors.'!B116+'Storebrand Livsforsikring'!B116+'Telenor Forsikring'!B116+'Tryg Forsikring'!B116+'WaterCircles F'!B116+'Euro Accident'!B116+'Ly Forsikring'!B116+'Youplus Livsforsikring'!B116+'Oslo Forsikring'!B116</f>
        <v>25352.241000000002</v>
      </c>
      <c r="C116" s="181">
        <f>'Fremtind Livsforsikring'!C116+'DNB Livsforsikring'!C116+'Eika Forsikring AS'!C116+'Frende Livsforsikring'!C116+'Frende Skadeforsikring'!C116+'Gjensidige Forsikring'!C116+'Gjensidige Pensjon'!C116+'If Skadeforsikring NUF'!C116+KLP!C116+'KLP Skadeforsikring AS'!C116+'Landkreditt Forsikring'!C116+'Nordea Liv '!C116+'Oslo Pensjonsforsikring'!C116+'Protector Forsikring'!C116+'Sparebank 1 Fors.'!C116+'Storebrand Livsforsikring'!C116+'Telenor Forsikring'!C116+'Tryg Forsikring'!C116+'WaterCircles F'!C116+'Euro Accident'!C116+'Ly Forsikring'!C116+'Youplus Livsforsikring'!C116+'Oslo Forsikring'!C116</f>
        <v>915297.67884000007</v>
      </c>
      <c r="D116" s="20">
        <f t="shared" si="38"/>
        <v>999</v>
      </c>
      <c r="E116" s="36">
        <f>'Fremtind Livsforsikring'!F116+'DNB Livsforsikring'!F116+'Eika Forsikring AS'!F116+'Frende Livsforsikring'!F116+'Frende Skadeforsikring'!F116+'Gjensidige Forsikring'!F116+'Gjensidige Pensjon'!F116+'If Skadeforsikring NUF'!F116+KLP!F116+'KLP Skadeforsikring AS'!F116+'Landkreditt Forsikring'!F116+'Nordea Liv '!F116+'Oslo Pensjonsforsikring'!F116+'Protector Forsikring'!F116+'Sparebank 1 Fors.'!F116+'Storebrand Livsforsikring'!F116+'Telenor Forsikring'!F116+'Tryg Forsikring'!F116+'WaterCircles F'!F116+'Euro Accident'!F116+'Ly Forsikring'!F116+'Youplus Livsforsikring'!F116+'Oslo Forsikring'!F116</f>
        <v>983.60799999999995</v>
      </c>
      <c r="F116" s="36">
        <f>'Fremtind Livsforsikring'!G116+'DNB Livsforsikring'!G116+'Eika Forsikring AS'!G116+'Frende Livsforsikring'!G116+'Frende Skadeforsikring'!G116+'Gjensidige Forsikring'!G116+'Gjensidige Pensjon'!G116+'If Skadeforsikring NUF'!G116+KLP!G116+'KLP Skadeforsikring AS'!G116+'Landkreditt Forsikring'!G116+'Nordea Liv '!G116+'Oslo Pensjonsforsikring'!G116+'Protector Forsikring'!G116+'Sparebank 1 Fors.'!G116+'Storebrand Livsforsikring'!G116+'Telenor Forsikring'!G116+'Tryg Forsikring'!G116+'WaterCircles F'!G116+'Euro Accident'!G116+'Ly Forsikring'!G116+'Youplus Livsforsikring'!G116+'Oslo Forsikring'!G116</f>
        <v>472.80700000000002</v>
      </c>
      <c r="G116" s="123">
        <f t="shared" si="24"/>
        <v>-51.9</v>
      </c>
      <c r="H116" s="184">
        <f t="shared" si="39"/>
        <v>26335.849000000002</v>
      </c>
      <c r="I116" s="184">
        <f t="shared" si="40"/>
        <v>915770.4858400001</v>
      </c>
      <c r="J116" s="20">
        <f t="shared" si="41"/>
        <v>999</v>
      </c>
    </row>
    <row r="117" spans="1:10" ht="15.75" customHeight="1" x14ac:dyDescent="0.2">
      <c r="A117" s="18" t="s">
        <v>376</v>
      </c>
      <c r="B117" s="181"/>
      <c r="C117" s="181"/>
      <c r="D117" s="20"/>
      <c r="E117" s="36">
        <f>'Fremtind Livsforsikring'!F117+'DNB Livsforsikring'!F117+'Eika Forsikring AS'!F117+'Frende Livsforsikring'!F117+'Frende Skadeforsikring'!F117+'Gjensidige Forsikring'!F117+'Gjensidige Pensjon'!F117+'If Skadeforsikring NUF'!F117+KLP!F117+'KLP Skadeforsikring AS'!F117+'Landkreditt Forsikring'!F117+'Nordea Liv '!F117+'Oslo Pensjonsforsikring'!F117+'Protector Forsikring'!F117+'Sparebank 1 Fors.'!F117+'Storebrand Livsforsikring'!F117+'Telenor Forsikring'!F117+'Tryg Forsikring'!F117+'WaterCircles F'!F117+'Euro Accident'!F117+'Ly Forsikring'!F117+'Youplus Livsforsikring'!F117+'Oslo Forsikring'!F117</f>
        <v>8356966.11412</v>
      </c>
      <c r="F117" s="36">
        <f>'Fremtind Livsforsikring'!G117+'DNB Livsforsikring'!G117+'Eika Forsikring AS'!G117+'Frende Livsforsikring'!G117+'Frende Skadeforsikring'!G117+'Gjensidige Forsikring'!G117+'Gjensidige Pensjon'!G117+'If Skadeforsikring NUF'!G117+KLP!G117+'KLP Skadeforsikring AS'!G117+'Landkreditt Forsikring'!G117+'Nordea Liv '!G117+'Oslo Pensjonsforsikring'!G117+'Protector Forsikring'!G117+'Sparebank 1 Fors.'!G117+'Storebrand Livsforsikring'!G117+'Telenor Forsikring'!G117+'Tryg Forsikring'!G117+'WaterCircles F'!G117+'Euro Accident'!G117+'Ly Forsikring'!G117+'Youplus Livsforsikring'!G117+'Oslo Forsikring'!G117</f>
        <v>11197390.0682</v>
      </c>
      <c r="G117" s="123">
        <f t="shared" si="24"/>
        <v>34</v>
      </c>
      <c r="H117" s="184">
        <f t="shared" si="39"/>
        <v>8356966.11412</v>
      </c>
      <c r="I117" s="184">
        <f t="shared" si="40"/>
        <v>11197390.0682</v>
      </c>
      <c r="J117" s="20">
        <f t="shared" si="41"/>
        <v>34</v>
      </c>
    </row>
    <row r="118" spans="1:10" ht="15.75" customHeight="1" x14ac:dyDescent="0.2">
      <c r="A118" s="18" t="s">
        <v>343</v>
      </c>
      <c r="B118" s="181"/>
      <c r="C118" s="181"/>
      <c r="D118" s="20"/>
      <c r="E118" s="36"/>
      <c r="F118" s="36"/>
      <c r="G118" s="123"/>
      <c r="H118" s="184"/>
      <c r="I118" s="184"/>
      <c r="J118" s="20"/>
    </row>
    <row r="119" spans="1:10" s="35" customFormat="1" ht="15.75" customHeight="1" x14ac:dyDescent="0.2">
      <c r="A119" s="10" t="s">
        <v>325</v>
      </c>
      <c r="B119" s="268">
        <f>'Fremtind Livsforsikring'!B119+'DNB Livsforsikring'!B119+'Eika Forsikring AS'!B119+'Frende Livsforsikring'!B119+'Frende Skadeforsikring'!B119+'Gjensidige Forsikring'!B119+'Gjensidige Pensjon'!B119+'If Skadeforsikring NUF'!B119+KLP!B119+'KLP Skadeforsikring AS'!B119+'Landkreditt Forsikring'!B119+'Nordea Liv '!B119+'Oslo Pensjonsforsikring'!B119+'Protector Forsikring'!B119+'Sparebank 1 Fors.'!B119+'Storebrand Livsforsikring'!B119+'Telenor Forsikring'!B119+'Tryg Forsikring'!B119+'WaterCircles F'!B119+'Euro Accident'!B119+'Ly Forsikring'!B119+'Youplus Livsforsikring'!B119+'Oslo Forsikring'!B119</f>
        <v>104825.06533000006</v>
      </c>
      <c r="C119" s="268">
        <f>'Fremtind Livsforsikring'!C119+'DNB Livsforsikring'!C119+'Eika Forsikring AS'!C119+'Frende Livsforsikring'!C119+'Frende Skadeforsikring'!C119+'Gjensidige Forsikring'!C119+'Gjensidige Pensjon'!C119+'If Skadeforsikring NUF'!C119+KLP!C119+'KLP Skadeforsikring AS'!C119+'Landkreditt Forsikring'!C119+'Nordea Liv '!C119+'Oslo Pensjonsforsikring'!C119+'Protector Forsikring'!C119+'Sparebank 1 Fors.'!C119+'Storebrand Livsforsikring'!C119+'Telenor Forsikring'!C119+'Tryg Forsikring'!C119+'WaterCircles F'!C119+'Euro Accident'!C119+'Ly Forsikring'!C119+'Youplus Livsforsikring'!C119+'Oslo Forsikring'!C119</f>
        <v>215315.51566</v>
      </c>
      <c r="D119" s="21">
        <f t="shared" si="38"/>
        <v>105.4</v>
      </c>
      <c r="E119" s="183">
        <f>'Fremtind Livsforsikring'!F119+'DNB Livsforsikring'!F119+'Eika Forsikring AS'!F119+'Frende Livsforsikring'!F119+'Frende Skadeforsikring'!F119+'Gjensidige Forsikring'!F119+'Gjensidige Pensjon'!F119+'If Skadeforsikring NUF'!F119+KLP!F119+'KLP Skadeforsikring AS'!F119+'Landkreditt Forsikring'!F119+'Nordea Liv '!F119+'Oslo Pensjonsforsikring'!F119+'Protector Forsikring'!F119+'Sparebank 1 Fors.'!F119+'Storebrand Livsforsikring'!F119+'Telenor Forsikring'!F119+'Tryg Forsikring'!F119+'WaterCircles F'!F119+'Euro Accident'!F119+'Ly Forsikring'!F119+'Youplus Livsforsikring'!F119+'Oslo Forsikring'!F119</f>
        <v>15328502.457100002</v>
      </c>
      <c r="F119" s="183">
        <f>'Fremtind Livsforsikring'!G119+'DNB Livsforsikring'!G119+'Eika Forsikring AS'!G119+'Frende Livsforsikring'!G119+'Frende Skadeforsikring'!G119+'Gjensidige Forsikring'!G119+'Gjensidige Pensjon'!G119+'If Skadeforsikring NUF'!G119+KLP!G119+'KLP Skadeforsikring AS'!G119+'Landkreditt Forsikring'!G119+'Nordea Liv '!G119+'Oslo Pensjonsforsikring'!G119+'Protector Forsikring'!G119+'Sparebank 1 Fors.'!G119+'Storebrand Livsforsikring'!G119+'Telenor Forsikring'!G119+'Tryg Forsikring'!G119+'WaterCircles F'!G119+'Euro Accident'!G119+'Ly Forsikring'!G119+'Youplus Livsforsikring'!G119+'Oslo Forsikring'!G119</f>
        <v>21023794.571490001</v>
      </c>
      <c r="G119" s="127">
        <f t="shared" si="24"/>
        <v>37.200000000000003</v>
      </c>
      <c r="H119" s="268">
        <f t="shared" si="39"/>
        <v>15433327.522430003</v>
      </c>
      <c r="I119" s="268">
        <f t="shared" si="40"/>
        <v>21239110.08715</v>
      </c>
      <c r="J119" s="21">
        <f t="shared" si="41"/>
        <v>37.6</v>
      </c>
    </row>
    <row r="120" spans="1:10" ht="15.75" customHeight="1" x14ac:dyDescent="0.2">
      <c r="A120" s="18" t="s">
        <v>9</v>
      </c>
      <c r="B120" s="184">
        <f>'Fremtind Livsforsikring'!B120+'DNB Livsforsikring'!B120+'Eika Forsikring AS'!B120+'Frende Livsforsikring'!B120+'Frende Skadeforsikring'!B120+'Gjensidige Forsikring'!B120+'Gjensidige Pensjon'!B120+'If Skadeforsikring NUF'!B120+KLP!B120+'KLP Skadeforsikring AS'!B120+'Landkreditt Forsikring'!B120+'Nordea Liv '!B120+'Oslo Pensjonsforsikring'!B120+'Protector Forsikring'!B120+'Sparebank 1 Fors.'!B120+'Storebrand Livsforsikring'!B120+'Telenor Forsikring'!B120+'Tryg Forsikring'!B120+'WaterCircles F'!B120+'Euro Accident'!B120+'Ly Forsikring'!B120+'Youplus Livsforsikring'!B120+'Oslo Forsikring'!B120</f>
        <v>57845.917900000059</v>
      </c>
      <c r="C120" s="184">
        <f>'Fremtind Livsforsikring'!C120+'DNB Livsforsikring'!C120+'Eika Forsikring AS'!C120+'Frende Livsforsikring'!C120+'Frende Skadeforsikring'!C120+'Gjensidige Forsikring'!C120+'Gjensidige Pensjon'!C120+'If Skadeforsikring NUF'!C120+KLP!C120+'KLP Skadeforsikring AS'!C120+'Landkreditt Forsikring'!C120+'Nordea Liv '!C120+'Oslo Pensjonsforsikring'!C120+'Protector Forsikring'!C120+'Sparebank 1 Fors.'!C120+'Storebrand Livsforsikring'!C120+'Telenor Forsikring'!C120+'Tryg Forsikring'!C120+'WaterCircles F'!C120+'Euro Accident'!C120+'Ly Forsikring'!C120+'Youplus Livsforsikring'!C120+'Oslo Forsikring'!C120</f>
        <v>58174.167110000002</v>
      </c>
      <c r="D120" s="20">
        <f t="shared" si="38"/>
        <v>0.6</v>
      </c>
      <c r="E120" s="36"/>
      <c r="F120" s="36"/>
      <c r="G120" s="123"/>
      <c r="H120" s="184">
        <f t="shared" si="39"/>
        <v>57845.917900000059</v>
      </c>
      <c r="I120" s="184">
        <f t="shared" si="40"/>
        <v>58174.167110000002</v>
      </c>
      <c r="J120" s="20">
        <f t="shared" si="41"/>
        <v>0.6</v>
      </c>
    </row>
    <row r="121" spans="1:10" ht="15.75" customHeight="1" x14ac:dyDescent="0.2">
      <c r="A121" s="18" t="s">
        <v>10</v>
      </c>
      <c r="B121" s="184">
        <f>'Fremtind Livsforsikring'!B121+'DNB Livsforsikring'!B121+'Eika Forsikring AS'!B121+'Frende Livsforsikring'!B121+'Frende Skadeforsikring'!B121+'Gjensidige Forsikring'!B121+'Gjensidige Pensjon'!B121+'If Skadeforsikring NUF'!B121+KLP!B121+'KLP Skadeforsikring AS'!B121+'Landkreditt Forsikring'!B121+'Nordea Liv '!B121+'Oslo Pensjonsforsikring'!B121+'Protector Forsikring'!B121+'Sparebank 1 Fors.'!B121+'Storebrand Livsforsikring'!B121+'Telenor Forsikring'!B121+'Tryg Forsikring'!B121+'WaterCircles F'!B121+'Euro Accident'!B121+'Ly Forsikring'!B121+'Youplus Livsforsikring'!B121+'Oslo Forsikring'!B121</f>
        <v>6027.9584999999997</v>
      </c>
      <c r="C121" s="184">
        <f>'Fremtind Livsforsikring'!C121+'DNB Livsforsikring'!C121+'Eika Forsikring AS'!C121+'Frende Livsforsikring'!C121+'Frende Skadeforsikring'!C121+'Gjensidige Forsikring'!C121+'Gjensidige Pensjon'!C121+'If Skadeforsikring NUF'!C121+KLP!C121+'KLP Skadeforsikring AS'!C121+'Landkreditt Forsikring'!C121+'Nordea Liv '!C121+'Oslo Pensjonsforsikring'!C121+'Protector Forsikring'!C121+'Sparebank 1 Fors.'!C121+'Storebrand Livsforsikring'!C121+'Telenor Forsikring'!C121+'Tryg Forsikring'!C121+'WaterCircles F'!C121+'Euro Accident'!C121+'Ly Forsikring'!C121+'Youplus Livsforsikring'!C121+'Oslo Forsikring'!C121</f>
        <v>3892.3750700000001</v>
      </c>
      <c r="D121" s="20">
        <f t="shared" si="38"/>
        <v>-35.4</v>
      </c>
      <c r="E121" s="36">
        <f>'Fremtind Livsforsikring'!F121+'DNB Livsforsikring'!F121+'Eika Forsikring AS'!F121+'Frende Livsforsikring'!F121+'Frende Skadeforsikring'!F121+'Gjensidige Forsikring'!F121+'Gjensidige Pensjon'!F121+'If Skadeforsikring NUF'!F121+KLP!F121+'KLP Skadeforsikring AS'!F121+'Landkreditt Forsikring'!F121+'Nordea Liv '!F121+'Oslo Pensjonsforsikring'!F121+'Protector Forsikring'!F121+'Sparebank 1 Fors.'!F121+'Storebrand Livsforsikring'!F121+'Telenor Forsikring'!F121+'Tryg Forsikring'!F121+'WaterCircles F'!F121+'Euro Accident'!F121+'Ly Forsikring'!F121+'Youplus Livsforsikring'!F121+'Oslo Forsikring'!F121</f>
        <v>15328502.457100002</v>
      </c>
      <c r="F121" s="36">
        <f>'Fremtind Livsforsikring'!G121+'DNB Livsforsikring'!G121+'Eika Forsikring AS'!G121+'Frende Livsforsikring'!G121+'Frende Skadeforsikring'!G121+'Gjensidige Forsikring'!G121+'Gjensidige Pensjon'!G121+'If Skadeforsikring NUF'!G121+KLP!G121+'KLP Skadeforsikring AS'!G121+'Landkreditt Forsikring'!G121+'Nordea Liv '!G121+'Oslo Pensjonsforsikring'!G121+'Protector Forsikring'!G121+'Sparebank 1 Fors.'!G121+'Storebrand Livsforsikring'!G121+'Telenor Forsikring'!G121+'Tryg Forsikring'!G121+'WaterCircles F'!G121+'Euro Accident'!G121+'Ly Forsikring'!G121+'Youplus Livsforsikring'!G121+'Oslo Forsikring'!G121</f>
        <v>21023794.571490001</v>
      </c>
      <c r="G121" s="123">
        <f t="shared" si="24"/>
        <v>37.200000000000003</v>
      </c>
      <c r="H121" s="184">
        <f t="shared" si="39"/>
        <v>15334530.415600002</v>
      </c>
      <c r="I121" s="184">
        <f t="shared" si="40"/>
        <v>21027686.946559999</v>
      </c>
      <c r="J121" s="20">
        <f t="shared" si="41"/>
        <v>37.1</v>
      </c>
    </row>
    <row r="122" spans="1:10" ht="15.75" customHeight="1" x14ac:dyDescent="0.2">
      <c r="A122" s="18" t="s">
        <v>26</v>
      </c>
      <c r="B122" s="184">
        <f>'Fremtind Livsforsikring'!B122+'DNB Livsforsikring'!B122+'Eika Forsikring AS'!B122+'Frende Livsforsikring'!B122+'Frende Skadeforsikring'!B122+'Gjensidige Forsikring'!B122+'Gjensidige Pensjon'!B122+'If Skadeforsikring NUF'!B122+KLP!B122+'KLP Skadeforsikring AS'!B122+'Landkreditt Forsikring'!B122+'Nordea Liv '!B122+'Oslo Pensjonsforsikring'!B122+'Protector Forsikring'!B122+'Sparebank 1 Fors.'!B122+'Storebrand Livsforsikring'!B122+'Telenor Forsikring'!B122+'Tryg Forsikring'!B122+'WaterCircles F'!B122+'Euro Accident'!B122+'Ly Forsikring'!B122+'Youplus Livsforsikring'!B122+'Oslo Forsikring'!B122</f>
        <v>40951.188929999997</v>
      </c>
      <c r="C122" s="184">
        <f>'Fremtind Livsforsikring'!C122+'DNB Livsforsikring'!C122+'Eika Forsikring AS'!C122+'Frende Livsforsikring'!C122+'Frende Skadeforsikring'!C122+'Gjensidige Forsikring'!C122+'Gjensidige Pensjon'!C122+'If Skadeforsikring NUF'!C122+KLP!C122+'KLP Skadeforsikring AS'!C122+'Landkreditt Forsikring'!C122+'Nordea Liv '!C122+'Oslo Pensjonsforsikring'!C122+'Protector Forsikring'!C122+'Sparebank 1 Fors.'!C122+'Storebrand Livsforsikring'!C122+'Telenor Forsikring'!C122+'Tryg Forsikring'!C122+'WaterCircles F'!C122+'Euro Accident'!C122+'Ly Forsikring'!C122+'Youplus Livsforsikring'!C122+'Oslo Forsikring'!C122</f>
        <v>153248.97348000002</v>
      </c>
      <c r="D122" s="20">
        <f t="shared" si="38"/>
        <v>274.2</v>
      </c>
      <c r="E122" s="36"/>
      <c r="F122" s="36"/>
      <c r="G122" s="123"/>
      <c r="H122" s="184">
        <f t="shared" si="39"/>
        <v>40951.188929999997</v>
      </c>
      <c r="I122" s="184">
        <f t="shared" si="40"/>
        <v>153248.97348000002</v>
      </c>
      <c r="J122" s="20">
        <f t="shared" si="41"/>
        <v>274.2</v>
      </c>
    </row>
    <row r="123" spans="1:10" ht="15.75" customHeight="1" x14ac:dyDescent="0.2">
      <c r="A123" s="238" t="s">
        <v>14</v>
      </c>
      <c r="B123" s="36"/>
      <c r="C123" s="36"/>
      <c r="D123" s="23"/>
      <c r="E123" s="36"/>
      <c r="F123" s="36"/>
      <c r="G123" s="123"/>
      <c r="H123" s="184"/>
      <c r="I123" s="184"/>
      <c r="J123" s="20"/>
    </row>
    <row r="124" spans="1:10" ht="15.75" customHeight="1" x14ac:dyDescent="0.2">
      <c r="A124" s="18" t="s">
        <v>342</v>
      </c>
      <c r="B124" s="184">
        <f>'Fremtind Livsforsikring'!B124+'DNB Livsforsikring'!B124+'Eika Forsikring AS'!B124+'Frende Livsforsikring'!B124+'Frende Skadeforsikring'!B124+'Gjensidige Forsikring'!B124+'Gjensidige Pensjon'!B124+'If Skadeforsikring NUF'!B124+KLP!B124+'KLP Skadeforsikring AS'!B124+'Landkreditt Forsikring'!B124+'Nordea Liv '!B124+'Oslo Pensjonsforsikring'!B124+'Protector Forsikring'!B124+'Sparebank 1 Fors.'!B124+'Storebrand Livsforsikring'!B124+'Telenor Forsikring'!B124+'Tryg Forsikring'!B124+'WaterCircles F'!B124+'Euro Accident'!B124+'Ly Forsikring'!B124+'Youplus Livsforsikring'!B124+'Oslo Forsikring'!B124</f>
        <v>11248.478999999999</v>
      </c>
      <c r="C124" s="184">
        <f>'Fremtind Livsforsikring'!C124+'DNB Livsforsikring'!C124+'Eika Forsikring AS'!C124+'Frende Livsforsikring'!C124+'Frende Skadeforsikring'!C124+'Gjensidige Forsikring'!C124+'Gjensidige Pensjon'!C124+'If Skadeforsikring NUF'!C124+KLP!C124+'KLP Skadeforsikring AS'!C124+'Landkreditt Forsikring'!C124+'Nordea Liv '!C124+'Oslo Pensjonsforsikring'!C124+'Protector Forsikring'!C124+'Sparebank 1 Fors.'!C124+'Storebrand Livsforsikring'!C124+'Telenor Forsikring'!C124+'Tryg Forsikring'!C124+'WaterCircles F'!C124+'Euro Accident'!C124+'Ly Forsikring'!C124+'Youplus Livsforsikring'!C124+'Oslo Forsikring'!C124</f>
        <v>14051.918</v>
      </c>
      <c r="D124" s="20">
        <f t="shared" si="38"/>
        <v>24.9</v>
      </c>
      <c r="E124" s="36">
        <f>'Fremtind Livsforsikring'!F124+'DNB Livsforsikring'!F124+'Eika Forsikring AS'!F124+'Frende Livsforsikring'!F124+'Frende Skadeforsikring'!F124+'Gjensidige Forsikring'!F124+'Gjensidige Pensjon'!F124+'If Skadeforsikring NUF'!F124+KLP!F124+'KLP Skadeforsikring AS'!F124+'Landkreditt Forsikring'!F124+'Nordea Liv '!F124+'Oslo Pensjonsforsikring'!F124+'Protector Forsikring'!F124+'Sparebank 1 Fors.'!F124+'Storebrand Livsforsikring'!F124+'Telenor Forsikring'!F124+'Tryg Forsikring'!F124+'WaterCircles F'!F124+'Euro Accident'!F124+'Ly Forsikring'!F124+'Youplus Livsforsikring'!F124+'Oslo Forsikring'!F124</f>
        <v>6482.2259999999997</v>
      </c>
      <c r="F124" s="36">
        <f>'Fremtind Livsforsikring'!G124+'DNB Livsforsikring'!G124+'Eika Forsikring AS'!G124+'Frende Livsforsikring'!G124+'Frende Skadeforsikring'!G124+'Gjensidige Forsikring'!G124+'Gjensidige Pensjon'!G124+'If Skadeforsikring NUF'!G124+KLP!G124+'KLP Skadeforsikring AS'!G124+'Landkreditt Forsikring'!G124+'Nordea Liv '!G124+'Oslo Pensjonsforsikring'!G124+'Protector Forsikring'!G124+'Sparebank 1 Fors.'!G124+'Storebrand Livsforsikring'!G124+'Telenor Forsikring'!G124+'Tryg Forsikring'!G124+'WaterCircles F'!G124+'Euro Accident'!G124+'Ly Forsikring'!G124+'Youplus Livsforsikring'!G124+'Oslo Forsikring'!G124</f>
        <v>17578.107</v>
      </c>
      <c r="G124" s="123">
        <f t="shared" si="24"/>
        <v>171.2</v>
      </c>
      <c r="H124" s="184">
        <f t="shared" si="39"/>
        <v>17730.704999999998</v>
      </c>
      <c r="I124" s="184">
        <f t="shared" si="40"/>
        <v>31630.025000000001</v>
      </c>
      <c r="J124" s="20">
        <f t="shared" si="41"/>
        <v>78.400000000000006</v>
      </c>
    </row>
    <row r="125" spans="1:10" ht="15.75" customHeight="1" x14ac:dyDescent="0.2">
      <c r="A125" s="18" t="s">
        <v>376</v>
      </c>
      <c r="B125" s="184">
        <f>'Fremtind Livsforsikring'!B125+'DNB Livsforsikring'!B125+'Eika Forsikring AS'!B125+'Frende Livsforsikring'!B125+'Frende Skadeforsikring'!B125+'Gjensidige Forsikring'!B125+'Gjensidige Pensjon'!B125+'If Skadeforsikring NUF'!B125+KLP!B125+'KLP Skadeforsikring AS'!B125+'Landkreditt Forsikring'!B125+'Nordea Liv '!B125+'Oslo Pensjonsforsikring'!B125+'Protector Forsikring'!B125+'Sparebank 1 Fors.'!B125+'Storebrand Livsforsikring'!B125+'Telenor Forsikring'!B125+'Tryg Forsikring'!B125+'WaterCircles F'!B125+'Euro Accident'!B125+'Ly Forsikring'!B125+'Youplus Livsforsikring'!B125+'Oslo Forsikring'!B125</f>
        <v>0</v>
      </c>
      <c r="C125" s="184">
        <f>'Fremtind Livsforsikring'!C125+'DNB Livsforsikring'!C125+'Eika Forsikring AS'!C125+'Frende Livsforsikring'!C125+'Frende Skadeforsikring'!C125+'Gjensidige Forsikring'!C125+'Gjensidige Pensjon'!C125+'If Skadeforsikring NUF'!C125+KLP!C125+'KLP Skadeforsikring AS'!C125+'Landkreditt Forsikring'!C125+'Nordea Liv '!C125+'Oslo Pensjonsforsikring'!C125+'Protector Forsikring'!C125+'Sparebank 1 Fors.'!C125+'Storebrand Livsforsikring'!C125+'Telenor Forsikring'!C125+'Tryg Forsikring'!C125+'WaterCircles F'!C125+'Euro Accident'!C125+'Ly Forsikring'!C125+'Youplus Livsforsikring'!C125+'Oslo Forsikring'!C125</f>
        <v>948.16627000000005</v>
      </c>
      <c r="D125" s="20" t="str">
        <f t="shared" si="38"/>
        <v xml:space="preserve">    ---- </v>
      </c>
      <c r="E125" s="36">
        <f>'Fremtind Livsforsikring'!F125+'DNB Livsforsikring'!F125+'Eika Forsikring AS'!F125+'Frende Livsforsikring'!F125+'Frende Skadeforsikring'!F125+'Gjensidige Forsikring'!F125+'Gjensidige Pensjon'!F125+'If Skadeforsikring NUF'!F125+KLP!F125+'KLP Skadeforsikring AS'!F125+'Landkreditt Forsikring'!F125+'Nordea Liv '!F125+'Oslo Pensjonsforsikring'!F125+'Protector Forsikring'!F125+'Sparebank 1 Fors.'!F125+'Storebrand Livsforsikring'!F125+'Telenor Forsikring'!F125+'Tryg Forsikring'!F125+'WaterCircles F'!F125+'Euro Accident'!F125+'Ly Forsikring'!F125+'Youplus Livsforsikring'!F125+'Oslo Forsikring'!F125</f>
        <v>8481086.8785699997</v>
      </c>
      <c r="F125" s="36">
        <f>'Fremtind Livsforsikring'!G125+'DNB Livsforsikring'!G125+'Eika Forsikring AS'!G125+'Frende Livsforsikring'!G125+'Frende Skadeforsikring'!G125+'Gjensidige Forsikring'!G125+'Gjensidige Pensjon'!G125+'If Skadeforsikring NUF'!G125+KLP!G125+'KLP Skadeforsikring AS'!G125+'Landkreditt Forsikring'!G125+'Nordea Liv '!G125+'Oslo Pensjonsforsikring'!G125+'Protector Forsikring'!G125+'Sparebank 1 Fors.'!G125+'Storebrand Livsforsikring'!G125+'Telenor Forsikring'!G125+'Tryg Forsikring'!G125+'WaterCircles F'!G125+'Euro Accident'!G125+'Ly Forsikring'!G125+'Youplus Livsforsikring'!G125+'Oslo Forsikring'!G125</f>
        <v>11185465.604189999</v>
      </c>
      <c r="G125" s="123">
        <f t="shared" si="24"/>
        <v>31.9</v>
      </c>
      <c r="H125" s="184">
        <f t="shared" si="39"/>
        <v>8481086.8785699997</v>
      </c>
      <c r="I125" s="184">
        <f t="shared" si="40"/>
        <v>11186413.77046</v>
      </c>
      <c r="J125" s="20">
        <f t="shared" si="41"/>
        <v>31.9</v>
      </c>
    </row>
    <row r="126" spans="1:10" ht="15.75" customHeight="1" x14ac:dyDescent="0.2">
      <c r="A126" s="7" t="s">
        <v>343</v>
      </c>
      <c r="B126" s="185"/>
      <c r="C126" s="185"/>
      <c r="D126" s="19"/>
      <c r="E126" s="37"/>
      <c r="F126" s="37"/>
      <c r="G126" s="124"/>
      <c r="H126" s="185"/>
      <c r="I126" s="186"/>
      <c r="J126" s="19"/>
    </row>
    <row r="127" spans="1:10" ht="15.75" customHeight="1" x14ac:dyDescent="0.2">
      <c r="A127" s="115"/>
    </row>
    <row r="128" spans="1:10" ht="15.75" customHeight="1" x14ac:dyDescent="0.2">
      <c r="A128" s="22"/>
    </row>
    <row r="129" spans="1:10" ht="15.75" customHeight="1" x14ac:dyDescent="0.25">
      <c r="A129" s="110" t="s">
        <v>27</v>
      </c>
    </row>
    <row r="130" spans="1:10" ht="15.75" customHeight="1" x14ac:dyDescent="0.25">
      <c r="A130" s="22"/>
      <c r="B130" s="572"/>
      <c r="C130" s="572"/>
      <c r="D130" s="572"/>
      <c r="E130" s="572"/>
      <c r="F130" s="572"/>
      <c r="G130" s="572"/>
      <c r="H130" s="572"/>
      <c r="I130" s="572"/>
      <c r="J130" s="572"/>
    </row>
    <row r="131" spans="1:10" ht="20.100000000000001" customHeight="1" x14ac:dyDescent="0.2">
      <c r="A131" s="108"/>
      <c r="B131" s="569" t="s">
        <v>0</v>
      </c>
      <c r="C131" s="570"/>
      <c r="D131" s="571"/>
      <c r="E131" s="570" t="s">
        <v>1</v>
      </c>
      <c r="F131" s="570"/>
      <c r="G131" s="570"/>
      <c r="H131" s="569" t="s">
        <v>2</v>
      </c>
      <c r="I131" s="570"/>
      <c r="J131" s="571"/>
    </row>
    <row r="132" spans="1:10" ht="15.75" customHeight="1" x14ac:dyDescent="0.2">
      <c r="A132" s="105"/>
      <c r="B132" s="198" t="s">
        <v>417</v>
      </c>
      <c r="C132" s="198" t="s">
        <v>418</v>
      </c>
      <c r="D132" s="16" t="s">
        <v>3</v>
      </c>
      <c r="E132" s="198" t="s">
        <v>417</v>
      </c>
      <c r="F132" s="198" t="s">
        <v>418</v>
      </c>
      <c r="G132" s="16" t="s">
        <v>3</v>
      </c>
      <c r="H132" s="198" t="s">
        <v>417</v>
      </c>
      <c r="I132" s="198" t="s">
        <v>418</v>
      </c>
      <c r="J132" s="16" t="s">
        <v>3</v>
      </c>
    </row>
    <row r="133" spans="1:10" ht="15.75" customHeight="1" x14ac:dyDescent="0.2">
      <c r="A133" s="548"/>
      <c r="B133" s="12"/>
      <c r="C133" s="12"/>
      <c r="D133" s="14" t="s">
        <v>4</v>
      </c>
      <c r="E133" s="13"/>
      <c r="F133" s="13"/>
      <c r="G133" s="12" t="s">
        <v>4</v>
      </c>
      <c r="H133" s="13"/>
      <c r="I133" s="13"/>
      <c r="J133" s="12" t="s">
        <v>4</v>
      </c>
    </row>
    <row r="134" spans="1:10" s="35" customFormat="1" ht="15.75" customHeight="1" x14ac:dyDescent="0.2">
      <c r="A134" s="11" t="s">
        <v>345</v>
      </c>
      <c r="B134" s="183">
        <f>'Fremtind Livsforsikring'!B134+'DNB Livsforsikring'!B134+'Eika Forsikring AS'!B134+'Frende Livsforsikring'!B134+'Frende Skadeforsikring'!B134+'Gjensidige Forsikring'!B134+'Gjensidige Pensjon'!B134+'If Skadeforsikring NUF'!B134+KLP!B134+'KLP Skadeforsikring AS'!B134+'Landkreditt Forsikring'!B134+'Nordea Liv '!B134+'Oslo Pensjonsforsikring'!B134+'Protector Forsikring'!B134+'Sparebank 1 Fors.'!B134+'Storebrand Livsforsikring'!B134+'Telenor Forsikring'!B134+'Tryg Forsikring'!B134+'WaterCircles F'!B134+'Euro Accident'!B134+'Ly Forsikring'!B134+'Youplus Livsforsikring'!B134+'Oslo Forsikring'!B134</f>
        <v>9005792.8037100006</v>
      </c>
      <c r="C134" s="183">
        <f>'Fremtind Livsforsikring'!C134+'DNB Livsforsikring'!C134+'Eika Forsikring AS'!C134+'Frende Livsforsikring'!C134+'Frende Skadeforsikring'!C134+'Gjensidige Forsikring'!C134+'Gjensidige Pensjon'!C134+'If Skadeforsikring NUF'!C134+KLP!C134+'KLP Skadeforsikring AS'!C134+'Landkreditt Forsikring'!C134+'Nordea Liv '!C134+'Oslo Pensjonsforsikring'!C134+'Protector Forsikring'!C134+'Sparebank 1 Fors.'!C134+'Storebrand Livsforsikring'!C134+'Telenor Forsikring'!C134+'Tryg Forsikring'!C134+'WaterCircles F'!C134+'Euro Accident'!C134+'Ly Forsikring'!C134+'Youplus Livsforsikring'!C134+'Oslo Forsikring'!C134</f>
        <v>9379924.6689600013</v>
      </c>
      <c r="D134" s="8">
        <f t="shared" ref="D134:D137" si="42">IF(B134=0, "    ---- ", IF(ABS(ROUND(100/B134*C134-100,1))&lt;999,ROUND(100/B134*C134-100,1),IF(ROUND(100/B134*C134-100,1)&gt;999,999,-999)))</f>
        <v>4.2</v>
      </c>
      <c r="E134" s="183">
        <f>'Fremtind Livsforsikring'!F134+'DNB Livsforsikring'!F134+'Eika Forsikring AS'!F134+'Frende Livsforsikring'!F134+'Frende Skadeforsikring'!F134+'Gjensidige Forsikring'!F134+'Gjensidige Pensjon'!F134+'If Skadeforsikring NUF'!F134+KLP!F134+'KLP Skadeforsikring AS'!F134+'Landkreditt Forsikring'!F134+'Nordea Liv '!F134+'Oslo Pensjonsforsikring'!F134+'Protector Forsikring'!F134+'Sparebank 1 Fors.'!F134+'Storebrand Livsforsikring'!F134+'Telenor Forsikring'!F134+'Tryg Forsikring'!F134+'WaterCircles F'!F134+'Euro Accident'!F134+'Ly Forsikring'!F134+'Youplus Livsforsikring'!F134+'Oslo Forsikring'!F134</f>
        <v>22688.987000000001</v>
      </c>
      <c r="F134" s="183">
        <f>'Fremtind Livsforsikring'!G134+'DNB Livsforsikring'!G134+'Eika Forsikring AS'!G134+'Frende Livsforsikring'!G134+'Frende Skadeforsikring'!G134+'Gjensidige Forsikring'!G134+'Gjensidige Pensjon'!G134+'If Skadeforsikring NUF'!G134+KLP!G134+'KLP Skadeforsikring AS'!G134+'Landkreditt Forsikring'!G134+'Nordea Liv '!G134+'Oslo Pensjonsforsikring'!G134+'Protector Forsikring'!G134+'Sparebank 1 Fors.'!G134+'Storebrand Livsforsikring'!G134+'Telenor Forsikring'!G134+'Tryg Forsikring'!G134+'WaterCircles F'!G134+'Euro Accident'!G134+'Ly Forsikring'!G134+'Youplus Livsforsikring'!G134+'Oslo Forsikring'!G134</f>
        <v>20929.275000000001</v>
      </c>
      <c r="G134" s="8">
        <f t="shared" ref="G134:G136" si="43">IF(E134=0, "    ---- ", IF(ABS(ROUND(100/E134*F134-100,1))&lt;999,ROUND(100/E134*F134-100,1),IF(ROUND(100/E134*F134-100,1)&gt;999,999,-999)))</f>
        <v>-7.8</v>
      </c>
      <c r="H134" s="183">
        <f t="shared" ref="H134:I137" si="44">SUM(B134,E134)</f>
        <v>9028481.7907100003</v>
      </c>
      <c r="I134" s="183">
        <f t="shared" si="44"/>
        <v>9400853.9439600017</v>
      </c>
      <c r="J134" s="8">
        <f t="shared" ref="J134:J137" si="45">IF(H134=0, "    ---- ", IF(ABS(ROUND(100/H134*I134-100,1))&lt;999,ROUND(100/H134*I134-100,1),IF(ROUND(100/H134*I134-100,1)&gt;999,999,-999)))</f>
        <v>4.0999999999999996</v>
      </c>
    </row>
    <row r="135" spans="1:10" s="35" customFormat="1" ht="15.75" customHeight="1" x14ac:dyDescent="0.2">
      <c r="A135" s="10" t="s">
        <v>346</v>
      </c>
      <c r="B135" s="183">
        <f>'Fremtind Livsforsikring'!B135+'DNB Livsforsikring'!B135+'Eika Forsikring AS'!B135+'Frende Livsforsikring'!B135+'Frende Skadeforsikring'!B135+'Gjensidige Forsikring'!B135+'Gjensidige Pensjon'!B135+'If Skadeforsikring NUF'!B135+KLP!B135+'KLP Skadeforsikring AS'!B135+'Landkreditt Forsikring'!B135+'Nordea Liv '!B135+'Oslo Pensjonsforsikring'!B135+'Protector Forsikring'!B135+'Sparebank 1 Fors.'!B135+'Storebrand Livsforsikring'!B135+'Telenor Forsikring'!B135+'Tryg Forsikring'!B135+'WaterCircles F'!B135+'Euro Accident'!B135+'Ly Forsikring'!B135+'Youplus Livsforsikring'!B135+'Oslo Forsikring'!B135</f>
        <v>858986766.87336993</v>
      </c>
      <c r="C135" s="183">
        <f>'Fremtind Livsforsikring'!C135+'DNB Livsforsikring'!C135+'Eika Forsikring AS'!C135+'Frende Livsforsikring'!C135+'Frende Skadeforsikring'!C135+'Gjensidige Forsikring'!C135+'Gjensidige Pensjon'!C135+'If Skadeforsikring NUF'!C135+KLP!C135+'KLP Skadeforsikring AS'!C135+'Landkreditt Forsikring'!C135+'Nordea Liv '!C135+'Oslo Pensjonsforsikring'!C135+'Protector Forsikring'!C135+'Sparebank 1 Fors.'!C135+'Storebrand Livsforsikring'!C135+'Telenor Forsikring'!C135+'Tryg Forsikring'!C135+'WaterCircles F'!C135+'Euro Accident'!C135+'Ly Forsikring'!C135+'Youplus Livsforsikring'!C135+'Oslo Forsikring'!C135</f>
        <v>920369575.27947998</v>
      </c>
      <c r="D135" s="8">
        <f t="shared" si="42"/>
        <v>7.1</v>
      </c>
      <c r="E135" s="183">
        <f>'Fremtind Livsforsikring'!F135+'DNB Livsforsikring'!F135+'Eika Forsikring AS'!F135+'Frende Livsforsikring'!F135+'Frende Skadeforsikring'!F135+'Gjensidige Forsikring'!F135+'Gjensidige Pensjon'!F135+'If Skadeforsikring NUF'!F135+KLP!F135+'KLP Skadeforsikring AS'!F135+'Landkreditt Forsikring'!F135+'Nordea Liv '!F135+'Oslo Pensjonsforsikring'!F135+'Protector Forsikring'!F135+'Sparebank 1 Fors.'!F135+'Storebrand Livsforsikring'!F135+'Telenor Forsikring'!F135+'Tryg Forsikring'!F135+'WaterCircles F'!F135+'Euro Accident'!F135+'Ly Forsikring'!F135+'Youplus Livsforsikring'!F135+'Oslo Forsikring'!F135</f>
        <v>2764463.4104599999</v>
      </c>
      <c r="F135" s="183">
        <f>'Fremtind Livsforsikring'!G135+'DNB Livsforsikring'!G135+'Eika Forsikring AS'!G135+'Frende Livsforsikring'!G135+'Frende Skadeforsikring'!G135+'Gjensidige Forsikring'!G135+'Gjensidige Pensjon'!G135+'If Skadeforsikring NUF'!G135+KLP!G135+'KLP Skadeforsikring AS'!G135+'Landkreditt Forsikring'!G135+'Nordea Liv '!G135+'Oslo Pensjonsforsikring'!G135+'Protector Forsikring'!G135+'Sparebank 1 Fors.'!G135+'Storebrand Livsforsikring'!G135+'Telenor Forsikring'!G135+'Tryg Forsikring'!G135+'WaterCircles F'!G135+'Euro Accident'!G135+'Ly Forsikring'!G135+'Youplus Livsforsikring'!G135+'Oslo Forsikring'!G135</f>
        <v>2888738.0707899998</v>
      </c>
      <c r="G135" s="8">
        <f t="shared" si="43"/>
        <v>4.5</v>
      </c>
      <c r="H135" s="183">
        <f t="shared" si="44"/>
        <v>861751230.28382993</v>
      </c>
      <c r="I135" s="183">
        <f t="shared" si="44"/>
        <v>923258313.35027003</v>
      </c>
      <c r="J135" s="8">
        <f t="shared" si="45"/>
        <v>7.1</v>
      </c>
    </row>
    <row r="136" spans="1:10" s="35" customFormat="1" ht="15.75" customHeight="1" x14ac:dyDescent="0.2">
      <c r="A136" s="10" t="s">
        <v>347</v>
      </c>
      <c r="B136" s="183">
        <f>'Fremtind Livsforsikring'!B136+'DNB Livsforsikring'!B136+'Eika Forsikring AS'!B136+'Frende Livsforsikring'!B136+'Frende Skadeforsikring'!B136+'Gjensidige Forsikring'!B136+'Gjensidige Pensjon'!B136+'If Skadeforsikring NUF'!B136+KLP!B136+'KLP Skadeforsikring AS'!B136+'Landkreditt Forsikring'!B136+'Nordea Liv '!B136+'Oslo Pensjonsforsikring'!B136+'Protector Forsikring'!B136+'Sparebank 1 Fors.'!B136+'Storebrand Livsforsikring'!B136+'Telenor Forsikring'!B136+'Tryg Forsikring'!B136+'WaterCircles F'!B136+'Euro Accident'!B136+'Ly Forsikring'!B136+'Youplus Livsforsikring'!B136+'Oslo Forsikring'!B136</f>
        <v>2390808.298</v>
      </c>
      <c r="C136" s="183">
        <f>'Fremtind Livsforsikring'!C136+'DNB Livsforsikring'!C136+'Eika Forsikring AS'!C136+'Frende Livsforsikring'!C136+'Frende Skadeforsikring'!C136+'Gjensidige Forsikring'!C136+'Gjensidige Pensjon'!C136+'If Skadeforsikring NUF'!C136+KLP!C136+'KLP Skadeforsikring AS'!C136+'Landkreditt Forsikring'!C136+'Nordea Liv '!C136+'Oslo Pensjonsforsikring'!C136+'Protector Forsikring'!C136+'Sparebank 1 Fors.'!C136+'Storebrand Livsforsikring'!C136+'Telenor Forsikring'!C136+'Tryg Forsikring'!C136+'WaterCircles F'!C136+'Euro Accident'!C136+'Ly Forsikring'!C136+'Youplus Livsforsikring'!C136+'Oslo Forsikring'!C136</f>
        <v>3241225.6810000003</v>
      </c>
      <c r="D136" s="8">
        <f t="shared" si="42"/>
        <v>35.6</v>
      </c>
      <c r="E136" s="183">
        <f>'Fremtind Livsforsikring'!F136+'DNB Livsforsikring'!F136+'Eika Forsikring AS'!F136+'Frende Livsforsikring'!F136+'Frende Skadeforsikring'!F136+'Gjensidige Forsikring'!F136+'Gjensidige Pensjon'!F136+'If Skadeforsikring NUF'!F136+KLP!F136+'KLP Skadeforsikring AS'!F136+'Landkreditt Forsikring'!F136+'Nordea Liv '!F136+'Oslo Pensjonsforsikring'!F136+'Protector Forsikring'!F136+'Sparebank 1 Fors.'!F136+'Storebrand Livsforsikring'!F136+'Telenor Forsikring'!F136+'Tryg Forsikring'!F136+'WaterCircles F'!F136+'Euro Accident'!F136+'Ly Forsikring'!F136+'Youplus Livsforsikring'!F136+'Oslo Forsikring'!F136</f>
        <v>-182.05500000000001</v>
      </c>
      <c r="F136" s="183">
        <f>'Fremtind Livsforsikring'!G136+'DNB Livsforsikring'!G136+'Eika Forsikring AS'!G136+'Frende Livsforsikring'!G136+'Frende Skadeforsikring'!G136+'Gjensidige Forsikring'!G136+'Gjensidige Pensjon'!G136+'If Skadeforsikring NUF'!G136+KLP!G136+'KLP Skadeforsikring AS'!G136+'Landkreditt Forsikring'!G136+'Nordea Liv '!G136+'Oslo Pensjonsforsikring'!G136+'Protector Forsikring'!G136+'Sparebank 1 Fors.'!G136+'Storebrand Livsforsikring'!G136+'Telenor Forsikring'!G136+'Tryg Forsikring'!G136+'WaterCircles F'!G136+'Euro Accident'!G136+'Ly Forsikring'!G136+'Youplus Livsforsikring'!G136+'Oslo Forsikring'!G136</f>
        <v>0</v>
      </c>
      <c r="G136" s="8">
        <f t="shared" si="43"/>
        <v>-100</v>
      </c>
      <c r="H136" s="183">
        <f t="shared" si="44"/>
        <v>2390626.2429999998</v>
      </c>
      <c r="I136" s="183">
        <f t="shared" si="44"/>
        <v>3241225.6810000003</v>
      </c>
      <c r="J136" s="8">
        <f t="shared" si="45"/>
        <v>35.6</v>
      </c>
    </row>
    <row r="137" spans="1:10" s="35" customFormat="1" ht="15.75" customHeight="1" x14ac:dyDescent="0.2">
      <c r="A137" s="33" t="s">
        <v>348</v>
      </c>
      <c r="B137" s="221">
        <f>'Fremtind Livsforsikring'!B137+'DNB Livsforsikring'!B137+'Eika Forsikring AS'!B137+'Frende Livsforsikring'!B137+'Frende Skadeforsikring'!B137+'Gjensidige Forsikring'!B137+'Gjensidige Pensjon'!B137+'If Skadeforsikring NUF'!B137+KLP!B137+'KLP Skadeforsikring AS'!B137+'Landkreditt Forsikring'!B137+'Nordea Liv '!B137+'Oslo Pensjonsforsikring'!B137+'Protector Forsikring'!B137+'Sparebank 1 Fors.'!B137+'Storebrand Livsforsikring'!B137+'Telenor Forsikring'!B137+'Tryg Forsikring'!B137+'WaterCircles F'!B137+'Euro Accident'!B137+'Ly Forsikring'!B137+'Youplus Livsforsikring'!B137+'Oslo Forsikring'!B137</f>
        <v>2455531.2259999998</v>
      </c>
      <c r="C137" s="221">
        <f>'Fremtind Livsforsikring'!C137+'DNB Livsforsikring'!C137+'Eika Forsikring AS'!C137+'Frende Livsforsikring'!C137+'Frende Skadeforsikring'!C137+'Gjensidige Forsikring'!C137+'Gjensidige Pensjon'!C137+'If Skadeforsikring NUF'!C137+KLP!C137+'KLP Skadeforsikring AS'!C137+'Landkreditt Forsikring'!C137+'Nordea Liv '!C137+'Oslo Pensjonsforsikring'!C137+'Protector Forsikring'!C137+'Sparebank 1 Fors.'!C137+'Storebrand Livsforsikring'!C137+'Telenor Forsikring'!C137+'Tryg Forsikring'!C137+'WaterCircles F'!C137+'Euro Accident'!C137+'Ly Forsikring'!C137+'Youplus Livsforsikring'!C137+'Oslo Forsikring'!C137</f>
        <v>4289073.5640000002</v>
      </c>
      <c r="D137" s="6">
        <f t="shared" si="42"/>
        <v>74.7</v>
      </c>
      <c r="E137" s="221"/>
      <c r="F137" s="221"/>
      <c r="G137" s="6"/>
      <c r="H137" s="221">
        <f t="shared" si="44"/>
        <v>2455531.2259999998</v>
      </c>
      <c r="I137" s="221">
        <f t="shared" si="44"/>
        <v>4289073.5640000002</v>
      </c>
      <c r="J137" s="6">
        <f t="shared" si="45"/>
        <v>74.7</v>
      </c>
    </row>
    <row r="138" spans="1:10" ht="15.75" customHeight="1" x14ac:dyDescent="0.2">
      <c r="A138" s="5"/>
      <c r="G138" s="4"/>
      <c r="J138" s="4"/>
    </row>
    <row r="139" spans="1:10" ht="15.75" customHeight="1" x14ac:dyDescent="0.2"/>
    <row r="140" spans="1:10" ht="15.75" customHeight="1" x14ac:dyDescent="0.2"/>
    <row r="141" spans="1:10" ht="15.75" customHeight="1" x14ac:dyDescent="0.2"/>
    <row r="142" spans="1:10" ht="15.75" customHeight="1" x14ac:dyDescent="0.2"/>
    <row r="143" spans="1:10" ht="15.75" customHeight="1" x14ac:dyDescent="0.2"/>
    <row r="144" spans="1:10"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sheetData>
  <mergeCells count="27">
    <mergeCell ref="B18:D18"/>
    <mergeCell ref="E18:G18"/>
    <mergeCell ref="H18:J18"/>
    <mergeCell ref="B2:D2"/>
    <mergeCell ref="E2:G2"/>
    <mergeCell ref="H2:J2"/>
    <mergeCell ref="B4:D4"/>
    <mergeCell ref="E4:G4"/>
    <mergeCell ref="H4:J4"/>
    <mergeCell ref="B63:D63"/>
    <mergeCell ref="E63:G63"/>
    <mergeCell ref="H63:J63"/>
    <mergeCell ref="B19:D19"/>
    <mergeCell ref="E19:G19"/>
    <mergeCell ref="H19:J19"/>
    <mergeCell ref="B62:D62"/>
    <mergeCell ref="E62:G62"/>
    <mergeCell ref="H62:J62"/>
    <mergeCell ref="B42:D42"/>
    <mergeCell ref="E42:G42"/>
    <mergeCell ref="H42:J42"/>
    <mergeCell ref="B131:D131"/>
    <mergeCell ref="E131:G131"/>
    <mergeCell ref="H131:J131"/>
    <mergeCell ref="B130:D130"/>
    <mergeCell ref="E130:G130"/>
    <mergeCell ref="H130:J130"/>
  </mergeCells>
  <conditionalFormatting sqref="A50:A52">
    <cfRule type="expression" dxfId="456" priority="58">
      <formula>kvartal &lt; 4</formula>
    </cfRule>
  </conditionalFormatting>
  <conditionalFormatting sqref="A69:A74">
    <cfRule type="expression" dxfId="455" priority="56">
      <formula>kvartal &lt; 4</formula>
    </cfRule>
  </conditionalFormatting>
  <conditionalFormatting sqref="A80:A85">
    <cfRule type="expression" dxfId="454" priority="55">
      <formula>kvartal &lt; 4</formula>
    </cfRule>
  </conditionalFormatting>
  <conditionalFormatting sqref="A90:A95">
    <cfRule type="expression" dxfId="453" priority="52">
      <formula>kvartal &lt; 4</formula>
    </cfRule>
  </conditionalFormatting>
  <conditionalFormatting sqref="A101:A106">
    <cfRule type="expression" dxfId="452" priority="51">
      <formula>kvartal &lt; 4</formula>
    </cfRule>
  </conditionalFormatting>
  <conditionalFormatting sqref="A115">
    <cfRule type="expression" dxfId="451" priority="50">
      <formula>kvartal &lt; 4</formula>
    </cfRule>
  </conditionalFormatting>
  <conditionalFormatting sqref="A123">
    <cfRule type="expression" dxfId="450" priority="49">
      <formula>kvartal &lt; 4</formula>
    </cfRule>
  </conditionalFormatting>
  <conditionalFormatting sqref="B115:C115">
    <cfRule type="expression" dxfId="449" priority="8">
      <formula>kvartal&lt;4</formula>
    </cfRule>
  </conditionalFormatting>
  <conditionalFormatting sqref="B123:C123">
    <cfRule type="expression" dxfId="448" priority="7">
      <formula>kvartal&lt;4</formula>
    </cfRule>
  </conditionalFormatting>
  <conditionalFormatting sqref="E115:F115">
    <cfRule type="expression" dxfId="447" priority="2">
      <formula>kvartal&lt;4</formula>
    </cfRule>
  </conditionalFormatting>
  <conditionalFormatting sqref="E123:F123">
    <cfRule type="expression" dxfId="446" priority="1">
      <formula>kvartal&lt;4</formula>
    </cfRule>
  </conditionalFormatting>
  <conditionalFormatting sqref="H115:I115">
    <cfRule type="expression" dxfId="445" priority="63">
      <formula>kvartal&lt;4</formula>
    </cfRule>
  </conditionalFormatting>
  <conditionalFormatting sqref="H123:I123">
    <cfRule type="expression" dxfId="444" priority="62">
      <formula>kvartal&lt;4</formula>
    </cfRule>
  </conditionalFormatting>
  <pageMargins left="0.23622047244094491" right="0.23622047244094491" top="0.62992125984251968" bottom="0.59055118110236227" header="0.51181102362204722" footer="0.51181102362204722"/>
  <pageSetup paperSize="9" scale="55" fitToHeight="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7"/>
  <dimension ref="A1:Q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7" x14ac:dyDescent="0.2">
      <c r="A1" s="128" t="s">
        <v>124</v>
      </c>
      <c r="B1" s="550"/>
      <c r="C1" s="195" t="s">
        <v>117</v>
      </c>
    </row>
    <row r="2" spans="1:17" ht="15.75" x14ac:dyDescent="0.25">
      <c r="A2" s="110" t="s">
        <v>28</v>
      </c>
      <c r="B2" s="577"/>
      <c r="C2" s="577"/>
      <c r="D2" s="577"/>
      <c r="E2" s="240"/>
      <c r="F2" s="577"/>
      <c r="G2" s="577"/>
      <c r="H2" s="577"/>
      <c r="I2" s="240"/>
      <c r="J2" s="577"/>
      <c r="K2" s="577"/>
      <c r="L2" s="577"/>
      <c r="M2" s="240"/>
    </row>
    <row r="3" spans="1:17" ht="15.75" x14ac:dyDescent="0.25">
      <c r="A3" s="122"/>
      <c r="B3" s="240"/>
      <c r="C3" s="240"/>
      <c r="D3" s="240"/>
      <c r="E3" s="240"/>
      <c r="F3" s="240"/>
      <c r="G3" s="240"/>
      <c r="H3" s="240"/>
      <c r="I3" s="240"/>
      <c r="J3" s="240"/>
      <c r="K3" s="240"/>
      <c r="L3" s="240"/>
      <c r="M3" s="240"/>
    </row>
    <row r="4" spans="1:17" x14ac:dyDescent="0.2">
      <c r="A4" s="108"/>
      <c r="B4" s="573" t="s">
        <v>0</v>
      </c>
      <c r="C4" s="574"/>
      <c r="D4" s="574"/>
      <c r="E4" s="242"/>
      <c r="F4" s="573" t="s">
        <v>1</v>
      </c>
      <c r="G4" s="574"/>
      <c r="H4" s="574"/>
      <c r="I4" s="244"/>
      <c r="J4" s="573" t="s">
        <v>2</v>
      </c>
      <c r="K4" s="574"/>
      <c r="L4" s="574"/>
      <c r="M4" s="244"/>
    </row>
    <row r="5" spans="1:17"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7" x14ac:dyDescent="0.2">
      <c r="A6" s="549"/>
      <c r="B6" s="116"/>
      <c r="C6" s="116"/>
      <c r="D6" s="193" t="s">
        <v>4</v>
      </c>
      <c r="E6" s="116" t="s">
        <v>30</v>
      </c>
      <c r="F6" s="120"/>
      <c r="G6" s="120"/>
      <c r="H6" s="192" t="s">
        <v>4</v>
      </c>
      <c r="I6" s="116" t="s">
        <v>30</v>
      </c>
      <c r="J6" s="120"/>
      <c r="K6" s="120"/>
      <c r="L6" s="192" t="s">
        <v>4</v>
      </c>
      <c r="M6" s="116" t="s">
        <v>30</v>
      </c>
    </row>
    <row r="7" spans="1:17" ht="15.75" x14ac:dyDescent="0.2">
      <c r="A7" s="11" t="s">
        <v>23</v>
      </c>
      <c r="B7" s="246">
        <v>36909</v>
      </c>
      <c r="C7" s="247">
        <v>32493</v>
      </c>
      <c r="D7" s="283">
        <f>IF(B7=0, "    ---- ", IF(ABS(ROUND(100/B7*C7-100,1))&lt;999,ROUND(100/B7*C7-100,1),IF(ROUND(100/B7*C7-100,1)&gt;999,999,-999)))</f>
        <v>-12</v>
      </c>
      <c r="E7" s="8">
        <f>IFERROR(100/'Skjema total MA'!C7*C7,0)</f>
        <v>1.6184240419494231</v>
      </c>
      <c r="F7" s="246">
        <v>118735</v>
      </c>
      <c r="G7" s="247">
        <v>135391.18</v>
      </c>
      <c r="H7" s="283">
        <f>IF(F7=0, "    ---- ", IF(ABS(ROUND(100/F7*G7-100,1))&lt;999,ROUND(100/F7*G7-100,1),IF(ROUND(100/F7*G7-100,1)&gt;999,999,-999)))</f>
        <v>14</v>
      </c>
      <c r="I7" s="119">
        <f>IFERROR(100/'Skjema total MA'!F7*G7,0)</f>
        <v>4.5304280889157926</v>
      </c>
      <c r="J7" s="248">
        <f t="shared" ref="J7:K12" si="0">SUM(B7,F7)</f>
        <v>155644</v>
      </c>
      <c r="K7" s="249">
        <f t="shared" si="0"/>
        <v>167884.18</v>
      </c>
      <c r="L7" s="340">
        <f>IF(J7=0, "    ---- ", IF(ABS(ROUND(100/J7*K7-100,1))&lt;999,ROUND(100/J7*K7-100,1),IF(ROUND(100/J7*K7-100,1)&gt;999,999,-999)))</f>
        <v>7.9</v>
      </c>
      <c r="M7" s="8">
        <f>IFERROR(100/'Skjema total MA'!I7*K7,0)</f>
        <v>3.3602513638903293</v>
      </c>
    </row>
    <row r="8" spans="1:17" ht="15.75" x14ac:dyDescent="0.2">
      <c r="A8" s="18" t="s">
        <v>25</v>
      </c>
      <c r="B8" s="226">
        <v>6612.6959999999999</v>
      </c>
      <c r="C8" s="227">
        <v>5998.6130000000003</v>
      </c>
      <c r="D8" s="123">
        <f t="shared" ref="D8:D10" si="1">IF(B8=0, "    ---- ", IF(ABS(ROUND(100/B8*C8-100,1))&lt;999,ROUND(100/B8*C8-100,1),IF(ROUND(100/B8*C8-100,1)&gt;999,999,-999)))</f>
        <v>-9.3000000000000007</v>
      </c>
      <c r="E8" s="23">
        <f>IFERROR(100/'Skjema total MA'!C8*C8,0)</f>
        <v>0.43701936747564579</v>
      </c>
      <c r="F8" s="230"/>
      <c r="G8" s="231"/>
      <c r="H8" s="123"/>
      <c r="I8" s="132"/>
      <c r="J8" s="181">
        <f t="shared" si="0"/>
        <v>6612.6959999999999</v>
      </c>
      <c r="K8" s="232">
        <f t="shared" si="0"/>
        <v>5998.6130000000003</v>
      </c>
      <c r="L8" s="123">
        <f t="shared" ref="L8:L9" si="2">IF(J8=0, "    ---- ", IF(ABS(ROUND(100/J8*K8-100,1))&lt;999,ROUND(100/J8*K8-100,1),IF(ROUND(100/J8*K8-100,1)&gt;999,999,-999)))</f>
        <v>-9.3000000000000007</v>
      </c>
      <c r="M8" s="23">
        <f>IFERROR(100/'Skjema total MA'!I8*K8,0)</f>
        <v>0.43701936747564579</v>
      </c>
    </row>
    <row r="9" spans="1:17" ht="15.75" x14ac:dyDescent="0.2">
      <c r="A9" s="18" t="s">
        <v>24</v>
      </c>
      <c r="B9" s="226">
        <v>4884.5709999999999</v>
      </c>
      <c r="C9" s="227">
        <v>4280.5330000000004</v>
      </c>
      <c r="D9" s="123">
        <f t="shared" si="1"/>
        <v>-12.4</v>
      </c>
      <c r="E9" s="23">
        <f>IFERROR(100/'Skjema total MA'!C9*C9,0)</f>
        <v>1.0047914870722829</v>
      </c>
      <c r="F9" s="230"/>
      <c r="G9" s="231"/>
      <c r="H9" s="123"/>
      <c r="I9" s="132"/>
      <c r="J9" s="181">
        <f t="shared" si="0"/>
        <v>4884.5709999999999</v>
      </c>
      <c r="K9" s="232">
        <f t="shared" si="0"/>
        <v>4280.5330000000004</v>
      </c>
      <c r="L9" s="123">
        <f t="shared" si="2"/>
        <v>-12.4</v>
      </c>
      <c r="M9" s="23">
        <f>IFERROR(100/'Skjema total MA'!I9*K9,0)</f>
        <v>1.0047914870722829</v>
      </c>
    </row>
    <row r="10" spans="1:17" ht="15.75" x14ac:dyDescent="0.2">
      <c r="A10" s="10" t="s">
        <v>323</v>
      </c>
      <c r="B10" s="250">
        <v>6654425</v>
      </c>
      <c r="C10" s="251">
        <v>5412840.6699999999</v>
      </c>
      <c r="D10" s="127">
        <f t="shared" si="1"/>
        <v>-18.7</v>
      </c>
      <c r="E10" s="8">
        <f>IFERROR(100/'Skjema total MA'!C10*C10,0)</f>
        <v>42.778462662890938</v>
      </c>
      <c r="F10" s="250">
        <v>8491133.7599999998</v>
      </c>
      <c r="G10" s="251">
        <v>8925133.6711575203</v>
      </c>
      <c r="H10" s="127">
        <f t="shared" ref="H10:H12" si="3">IF(F10=0, "    ---- ", IF(ABS(ROUND(100/F10*G10-100,1))&lt;999,ROUND(100/F10*G10-100,1),IF(ROUND(100/F10*G10-100,1)&gt;999,999,-999)))</f>
        <v>5.0999999999999996</v>
      </c>
      <c r="I10" s="119">
        <f>IFERROR(100/'Skjema total MA'!F10*G10,0)</f>
        <v>9.4435675842635831</v>
      </c>
      <c r="J10" s="248">
        <f t="shared" si="0"/>
        <v>15145558.76</v>
      </c>
      <c r="K10" s="249">
        <f t="shared" si="0"/>
        <v>14337974.34115752</v>
      </c>
      <c r="L10" s="341">
        <f t="shared" ref="L10:L12" si="4">IF(J10=0, "    ---- ", IF(ABS(ROUND(100/J10*K10-100,1))&lt;999,ROUND(100/J10*K10-100,1),IF(ROUND(100/J10*K10-100,1)&gt;999,999,-999)))</f>
        <v>-5.3</v>
      </c>
      <c r="M10" s="8">
        <f>IFERROR(100/'Skjema total MA'!I10*K10,0)</f>
        <v>13.379546422692584</v>
      </c>
      <c r="Q10" s="22"/>
    </row>
    <row r="11" spans="1:17" s="35" customFormat="1" ht="15.75" x14ac:dyDescent="0.2">
      <c r="A11" s="10" t="s">
        <v>324</v>
      </c>
      <c r="B11" s="250"/>
      <c r="C11" s="251"/>
      <c r="D11" s="127"/>
      <c r="E11" s="8"/>
      <c r="F11" s="250">
        <v>16565</v>
      </c>
      <c r="G11" s="251">
        <v>15643</v>
      </c>
      <c r="H11" s="127">
        <f t="shared" si="3"/>
        <v>-5.6</v>
      </c>
      <c r="I11" s="119">
        <f>IFERROR(100/'Skjema total MA'!F11*G11,0)</f>
        <v>9.6245205735391757</v>
      </c>
      <c r="J11" s="248">
        <f t="shared" si="0"/>
        <v>16565</v>
      </c>
      <c r="K11" s="249">
        <f t="shared" si="0"/>
        <v>15643</v>
      </c>
      <c r="L11" s="341">
        <f t="shared" si="4"/>
        <v>-5.6</v>
      </c>
      <c r="M11" s="8">
        <f>IFERROR(100/'Skjema total MA'!I11*K11,0)</f>
        <v>9.6245205735391757</v>
      </c>
      <c r="N11" s="107"/>
    </row>
    <row r="12" spans="1:17" s="35" customFormat="1" ht="15.75" x14ac:dyDescent="0.2">
      <c r="A12" s="33" t="s">
        <v>325</v>
      </c>
      <c r="B12" s="252"/>
      <c r="C12" s="253"/>
      <c r="D12" s="125"/>
      <c r="E12" s="30"/>
      <c r="F12" s="252">
        <v>37808</v>
      </c>
      <c r="G12" s="253">
        <v>14238</v>
      </c>
      <c r="H12" s="125">
        <f t="shared" si="3"/>
        <v>-62.3</v>
      </c>
      <c r="I12" s="125">
        <f>IFERROR(100/'Skjema total MA'!F12*G12,0)</f>
        <v>6.5339912277392758</v>
      </c>
      <c r="J12" s="254">
        <f t="shared" si="0"/>
        <v>37808</v>
      </c>
      <c r="K12" s="255">
        <f t="shared" si="0"/>
        <v>14238</v>
      </c>
      <c r="L12" s="342">
        <f t="shared" si="4"/>
        <v>-62.3</v>
      </c>
      <c r="M12" s="30">
        <f>IFERROR(100/'Skjema total MA'!I12*K12,0)</f>
        <v>6.5339912277392758</v>
      </c>
      <c r="N12" s="107"/>
      <c r="Q12" s="107"/>
    </row>
    <row r="13" spans="1:17" s="35" customFormat="1" x14ac:dyDescent="0.2">
      <c r="A13" s="107"/>
      <c r="B13" s="109"/>
      <c r="C13" s="27"/>
      <c r="D13" s="118"/>
      <c r="E13" s="118"/>
      <c r="F13" s="109"/>
      <c r="G13" s="27"/>
      <c r="H13" s="118"/>
      <c r="I13" s="118"/>
      <c r="J13" s="38"/>
      <c r="K13" s="38"/>
      <c r="L13" s="118"/>
      <c r="M13" s="118"/>
      <c r="N13" s="107"/>
    </row>
    <row r="14" spans="1:17" x14ac:dyDescent="0.2">
      <c r="A14" s="114" t="s">
        <v>246</v>
      </c>
    </row>
    <row r="16" spans="1:17"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55538</v>
      </c>
      <c r="C22" s="250">
        <v>65939</v>
      </c>
      <c r="D22" s="283">
        <f t="shared" ref="D22:D39" si="5">IF(B22=0, "    ---- ", IF(ABS(ROUND(100/B22*C22-100,1))&lt;999,ROUND(100/B22*C22-100,1),IF(ROUND(100/B22*C22-100,1)&gt;999,999,-999)))</f>
        <v>18.7</v>
      </c>
      <c r="E22" s="8">
        <f>IFERROR(100/'Skjema total MA'!C22*C22,0)</f>
        <v>6.6425373478735539</v>
      </c>
      <c r="F22" s="258">
        <v>5052.9930000000004</v>
      </c>
      <c r="G22" s="258">
        <v>4752.7240000000002</v>
      </c>
      <c r="H22" s="283">
        <f t="shared" ref="H22:H35" si="6">IF(F22=0, "    ---- ", IF(ABS(ROUND(100/F22*G22-100,1))&lt;999,ROUND(100/F22*G22-100,1),IF(ROUND(100/F22*G22-100,1)&gt;999,999,-999)))</f>
        <v>-5.9</v>
      </c>
      <c r="I22" s="8">
        <f>IFERROR(100/'Skjema total MA'!F22*G22,0)</f>
        <v>1.6529639630165101</v>
      </c>
      <c r="J22" s="256">
        <f t="shared" ref="J22:K35" si="7">SUM(B22,F22)</f>
        <v>60590.993000000002</v>
      </c>
      <c r="K22" s="256">
        <f t="shared" si="7"/>
        <v>70691.724000000002</v>
      </c>
      <c r="L22" s="340">
        <f t="shared" ref="L22:L35" si="8">IF(J22=0, "    ---- ", IF(ABS(ROUND(100/J22*K22-100,1))&lt;999,ROUND(100/J22*K22-100,1),IF(ROUND(100/J22*K22-100,1)&gt;999,999,-999)))</f>
        <v>16.7</v>
      </c>
      <c r="M22" s="21">
        <f>IFERROR(100/'Skjema total MA'!I22*K22,0)</f>
        <v>5.5219053717942987</v>
      </c>
    </row>
    <row r="23" spans="1:13" ht="15.75" x14ac:dyDescent="0.2">
      <c r="A23" s="381" t="s">
        <v>326</v>
      </c>
      <c r="B23" s="226">
        <v>48676.523270055099</v>
      </c>
      <c r="C23" s="226">
        <v>56444</v>
      </c>
      <c r="D23" s="123">
        <f t="shared" si="5"/>
        <v>16</v>
      </c>
      <c r="E23" s="8">
        <f>IFERROR(100/'Skjema total MA'!C23*C23,0)</f>
        <v>7.7335805201968144</v>
      </c>
      <c r="F23" s="235">
        <v>3248.9929999999999</v>
      </c>
      <c r="G23" s="235">
        <v>3160.8910000000001</v>
      </c>
      <c r="H23" s="123">
        <f t="shared" si="6"/>
        <v>-2.7</v>
      </c>
      <c r="I23" s="333">
        <f>IFERROR(100/'Skjema total MA'!F23*G23,0)</f>
        <v>29.718853085861042</v>
      </c>
      <c r="J23" s="235">
        <f t="shared" ref="J23:J25" si="9">SUM(B23,F23)</f>
        <v>51925.516270055101</v>
      </c>
      <c r="K23" s="235">
        <f t="shared" ref="K23:K25" si="10">SUM(C23,G23)</f>
        <v>59604.891000000003</v>
      </c>
      <c r="L23" s="123">
        <f t="shared" si="8"/>
        <v>14.8</v>
      </c>
      <c r="M23" s="20">
        <f>IFERROR(100/'Skjema total MA'!I23*K23,0)</f>
        <v>8.0493636910958504</v>
      </c>
    </row>
    <row r="24" spans="1:13" ht="15.75" x14ac:dyDescent="0.2">
      <c r="A24" s="381" t="s">
        <v>327</v>
      </c>
      <c r="B24" s="226">
        <v>1768.50949173301</v>
      </c>
      <c r="C24" s="226">
        <v>3864.15</v>
      </c>
      <c r="D24" s="123">
        <f t="shared" si="5"/>
        <v>118.5</v>
      </c>
      <c r="E24" s="8">
        <f>IFERROR(100/'Skjema total MA'!C24*C24,0)</f>
        <v>81.351925880299689</v>
      </c>
      <c r="F24" s="235">
        <v>6</v>
      </c>
      <c r="G24" s="235">
        <v>2</v>
      </c>
      <c r="H24" s="123">
        <f t="shared" si="6"/>
        <v>-66.7</v>
      </c>
      <c r="I24" s="333">
        <f>IFERROR(100/'Skjema total MA'!F24*G24,0)</f>
        <v>30.052727510417025</v>
      </c>
      <c r="J24" s="235">
        <f t="shared" si="9"/>
        <v>1774.50949173301</v>
      </c>
      <c r="K24" s="235">
        <f t="shared" si="10"/>
        <v>3866.15</v>
      </c>
      <c r="L24" s="123">
        <f t="shared" si="8"/>
        <v>117.9</v>
      </c>
      <c r="M24" s="20">
        <f>IFERROR(100/'Skjema total MA'!I24*K24,0)</f>
        <v>81.280152650265848</v>
      </c>
    </row>
    <row r="25" spans="1:13" ht="15.75" x14ac:dyDescent="0.2">
      <c r="A25" s="381" t="s">
        <v>328</v>
      </c>
      <c r="B25" s="226">
        <v>5092.9672382118797</v>
      </c>
      <c r="C25" s="226">
        <v>5630.85</v>
      </c>
      <c r="D25" s="123">
        <f t="shared" si="5"/>
        <v>10.6</v>
      </c>
      <c r="E25" s="8">
        <f>IFERROR(100/'Skjema total MA'!C25*C25,0)</f>
        <v>100</v>
      </c>
      <c r="F25" s="235">
        <v>1798</v>
      </c>
      <c r="G25" s="235">
        <v>1589.8330000000001</v>
      </c>
      <c r="H25" s="123">
        <f t="shared" si="6"/>
        <v>-11.6</v>
      </c>
      <c r="I25" s="333">
        <f>IFERROR(100/'Skjema total MA'!F25*G25,0)</f>
        <v>46.83377371082544</v>
      </c>
      <c r="J25" s="235">
        <f t="shared" si="9"/>
        <v>6890.9672382118797</v>
      </c>
      <c r="K25" s="235">
        <f t="shared" si="10"/>
        <v>7220.6830000000009</v>
      </c>
      <c r="L25" s="123">
        <f t="shared" si="8"/>
        <v>4.8</v>
      </c>
      <c r="M25" s="20">
        <f>IFERROR(100/'Skjema total MA'!I25*K25,0)</f>
        <v>80.003319136750264</v>
      </c>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v>25988.107</v>
      </c>
      <c r="C28" s="232">
        <v>24887.668000000001</v>
      </c>
      <c r="D28" s="123">
        <f t="shared" si="5"/>
        <v>-4.2</v>
      </c>
      <c r="E28" s="8">
        <f>IFERROR(100/'Skjema total MA'!C28*C28,0)</f>
        <v>2.0893625878924178</v>
      </c>
      <c r="F28" s="181"/>
      <c r="G28" s="232"/>
      <c r="H28" s="123"/>
      <c r="I28" s="23"/>
      <c r="J28" s="36">
        <f t="shared" si="7"/>
        <v>25988.107</v>
      </c>
      <c r="K28" s="36">
        <f t="shared" si="7"/>
        <v>24887.668000000001</v>
      </c>
      <c r="L28" s="204">
        <f t="shared" si="8"/>
        <v>-4.2</v>
      </c>
      <c r="M28" s="20">
        <f>IFERROR(100/'Skjema total MA'!I28*K28,0)</f>
        <v>2.0893625878924178</v>
      </c>
    </row>
    <row r="29" spans="1:13" ht="15.75" x14ac:dyDescent="0.2">
      <c r="A29" s="10" t="s">
        <v>323</v>
      </c>
      <c r="B29" s="183">
        <v>19893776</v>
      </c>
      <c r="C29" s="183">
        <v>18905890.760000002</v>
      </c>
      <c r="D29" s="127">
        <f t="shared" si="5"/>
        <v>-5</v>
      </c>
      <c r="E29" s="8">
        <f>IFERROR(100/'Skjema total MA'!C29*C29,0)</f>
        <v>42.962000752799725</v>
      </c>
      <c r="F29" s="248">
        <v>4954203.4409999996</v>
      </c>
      <c r="G29" s="248">
        <v>4668992.0689591896</v>
      </c>
      <c r="H29" s="127">
        <f t="shared" si="6"/>
        <v>-5.8</v>
      </c>
      <c r="I29" s="8">
        <f>IFERROR(100/'Skjema total MA'!F29*G29,0)</f>
        <v>16.321950037635762</v>
      </c>
      <c r="J29" s="183">
        <f t="shared" si="7"/>
        <v>24847979.441</v>
      </c>
      <c r="K29" s="183">
        <f t="shared" si="7"/>
        <v>23574882.828959189</v>
      </c>
      <c r="L29" s="341">
        <f t="shared" si="8"/>
        <v>-5.0999999999999996</v>
      </c>
      <c r="M29" s="21">
        <f>IFERROR(100/'Skjema total MA'!I29*K29,0)</f>
        <v>32.467067873500071</v>
      </c>
    </row>
    <row r="30" spans="1:13" ht="15.75" x14ac:dyDescent="0.2">
      <c r="A30" s="381" t="s">
        <v>326</v>
      </c>
      <c r="B30" s="226">
        <v>4160639</v>
      </c>
      <c r="C30" s="226">
        <v>3667549.8430428701</v>
      </c>
      <c r="D30" s="123">
        <f t="shared" si="5"/>
        <v>-11.9</v>
      </c>
      <c r="E30" s="8">
        <f>IFERROR(100/'Skjema total MA'!C30*C30,0)</f>
        <v>19.552916196766134</v>
      </c>
      <c r="F30" s="235">
        <v>1606430.5889999999</v>
      </c>
      <c r="G30" s="235">
        <v>1539758.67753617</v>
      </c>
      <c r="H30" s="123">
        <f t="shared" si="6"/>
        <v>-4.2</v>
      </c>
      <c r="I30" s="333">
        <f>IFERROR(100/'Skjema total MA'!F30*G30,0)</f>
        <v>43.190848293056384</v>
      </c>
      <c r="J30" s="235">
        <f t="shared" ref="J30:J32" si="11">SUM(B30,F30)</f>
        <v>5767069.5889999997</v>
      </c>
      <c r="K30" s="235">
        <f t="shared" ref="K30:K32" si="12">SUM(C30,G30)</f>
        <v>5207308.5205790401</v>
      </c>
      <c r="L30" s="123">
        <f t="shared" si="8"/>
        <v>-9.6999999999999993</v>
      </c>
      <c r="M30" s="20">
        <f>IFERROR(100/'Skjema total MA'!I30*K30,0)</f>
        <v>23.328083043522103</v>
      </c>
    </row>
    <row r="31" spans="1:13" ht="15.75" x14ac:dyDescent="0.2">
      <c r="A31" s="381" t="s">
        <v>327</v>
      </c>
      <c r="B31" s="226">
        <v>14322079</v>
      </c>
      <c r="C31" s="226">
        <v>13888882.2613052</v>
      </c>
      <c r="D31" s="123">
        <f t="shared" si="5"/>
        <v>-3</v>
      </c>
      <c r="E31" s="8">
        <f>IFERROR(100/'Skjema total MA'!C31*C31,0)</f>
        <v>61.038370149636904</v>
      </c>
      <c r="F31" s="235">
        <v>2779755.0180000002</v>
      </c>
      <c r="G31" s="235">
        <v>2542082.6961687501</v>
      </c>
      <c r="H31" s="123">
        <f t="shared" si="6"/>
        <v>-8.6</v>
      </c>
      <c r="I31" s="333">
        <f>IFERROR(100/'Skjema total MA'!F31*G31,0)</f>
        <v>35.704863630413925</v>
      </c>
      <c r="J31" s="235">
        <f t="shared" si="11"/>
        <v>17101834.017999999</v>
      </c>
      <c r="K31" s="235">
        <f t="shared" si="12"/>
        <v>16430964.95747395</v>
      </c>
      <c r="L31" s="123">
        <f t="shared" si="8"/>
        <v>-3.9</v>
      </c>
      <c r="M31" s="20">
        <f>IFERROR(100/'Skjema total MA'!I31*K31,0)</f>
        <v>55.000783095015038</v>
      </c>
    </row>
    <row r="32" spans="1:13" ht="15.75" x14ac:dyDescent="0.2">
      <c r="A32" s="381" t="s">
        <v>328</v>
      </c>
      <c r="B32" s="226">
        <v>1411058</v>
      </c>
      <c r="C32" s="226">
        <v>1349458.89565195</v>
      </c>
      <c r="D32" s="123">
        <f t="shared" si="5"/>
        <v>-4.4000000000000004</v>
      </c>
      <c r="E32" s="8">
        <f>IFERROR(100/'Skjema total MA'!C32*C32,0)</f>
        <v>57.466764513383367</v>
      </c>
      <c r="F32" s="235">
        <v>568017.83400000003</v>
      </c>
      <c r="G32" s="235">
        <v>587150.69525426696</v>
      </c>
      <c r="H32" s="123">
        <f t="shared" si="6"/>
        <v>3.4</v>
      </c>
      <c r="I32" s="333">
        <f>IFERROR(100/'Skjema total MA'!F32*G32,0)</f>
        <v>8.9669208637530922</v>
      </c>
      <c r="J32" s="235">
        <f t="shared" si="11"/>
        <v>1979075.834</v>
      </c>
      <c r="K32" s="235">
        <f t="shared" si="12"/>
        <v>1936609.590906217</v>
      </c>
      <c r="L32" s="123">
        <f t="shared" si="8"/>
        <v>-2.1</v>
      </c>
      <c r="M32" s="20">
        <f>IFERROR(100/'Skjema total MA'!I32*K32,0)</f>
        <v>21.768938916101366</v>
      </c>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v>3030</v>
      </c>
      <c r="C34" s="249">
        <v>806</v>
      </c>
      <c r="D34" s="127">
        <f t="shared" si="5"/>
        <v>-73.400000000000006</v>
      </c>
      <c r="E34" s="8">
        <f>IFERROR(100/'Skjema total MA'!C34*C34,0)</f>
        <v>13.903145338756714</v>
      </c>
      <c r="F34" s="248">
        <v>-57692</v>
      </c>
      <c r="G34" s="249">
        <v>-152356</v>
      </c>
      <c r="H34" s="127">
        <f t="shared" si="6"/>
        <v>164.1</v>
      </c>
      <c r="I34" s="8">
        <f>IFERROR(100/'Skjema total MA'!F34*G34,0)</f>
        <v>145.97976102506036</v>
      </c>
      <c r="J34" s="183">
        <f t="shared" si="7"/>
        <v>-54662</v>
      </c>
      <c r="K34" s="183">
        <f t="shared" si="7"/>
        <v>-151550</v>
      </c>
      <c r="L34" s="341">
        <f t="shared" si="8"/>
        <v>177.2</v>
      </c>
      <c r="M34" s="21">
        <f>IFERROR(100/'Skjema total MA'!I34*K34,0)</f>
        <v>153.74760191036609</v>
      </c>
    </row>
    <row r="35" spans="1:13" ht="15.75" x14ac:dyDescent="0.2">
      <c r="A35" s="10" t="s">
        <v>325</v>
      </c>
      <c r="B35" s="183">
        <v>-57693</v>
      </c>
      <c r="C35" s="249">
        <v>-149296</v>
      </c>
      <c r="D35" s="127">
        <f t="shared" si="5"/>
        <v>158.80000000000001</v>
      </c>
      <c r="E35" s="8">
        <f>IFERROR(100/'Skjema total MA'!C35*C35,0)</f>
        <v>100.16247881565855</v>
      </c>
      <c r="F35" s="248">
        <v>2998</v>
      </c>
      <c r="G35" s="249">
        <v>-1225</v>
      </c>
      <c r="H35" s="127">
        <f t="shared" si="6"/>
        <v>-140.9</v>
      </c>
      <c r="I35" s="8">
        <f>IFERROR(100/'Skjema total MA'!F35*G35,0)</f>
        <v>-1.7791530615128581</v>
      </c>
      <c r="J35" s="183">
        <f t="shared" si="7"/>
        <v>-54695</v>
      </c>
      <c r="K35" s="183">
        <f t="shared" si="7"/>
        <v>-150521</v>
      </c>
      <c r="L35" s="341">
        <f t="shared" si="8"/>
        <v>175.2</v>
      </c>
      <c r="M35" s="21">
        <f>IFERROR(100/'Skjema total MA'!I35*K35,0)</f>
        <v>187.68009416147513</v>
      </c>
    </row>
    <row r="36" spans="1:13" ht="15.75" x14ac:dyDescent="0.2">
      <c r="A36" s="9" t="s">
        <v>255</v>
      </c>
      <c r="B36" s="183">
        <v>519</v>
      </c>
      <c r="C36" s="249">
        <v>607</v>
      </c>
      <c r="D36" s="127">
        <f t="shared" si="5"/>
        <v>17</v>
      </c>
      <c r="E36" s="8">
        <f>IFERROR(100/'Skjema total MA'!C36*C36,0)</f>
        <v>99.999999999999986</v>
      </c>
      <c r="F36" s="259"/>
      <c r="G36" s="260"/>
      <c r="H36" s="127"/>
      <c r="I36" s="347"/>
      <c r="J36" s="183">
        <f t="shared" ref="J36:J39" si="13">SUM(B36,F36)</f>
        <v>519</v>
      </c>
      <c r="K36" s="183">
        <f t="shared" ref="K36:K39" si="14">SUM(C36,G36)</f>
        <v>607</v>
      </c>
      <c r="L36" s="341"/>
      <c r="M36" s="21">
        <f>IFERROR(100/'Skjema total MA'!I36*K36,0)</f>
        <v>99.999999999999986</v>
      </c>
    </row>
    <row r="37" spans="1:13" ht="15.75" x14ac:dyDescent="0.2">
      <c r="A37" s="9" t="s">
        <v>331</v>
      </c>
      <c r="B37" s="183">
        <v>2234879</v>
      </c>
      <c r="C37" s="249">
        <v>2063057.1094500001</v>
      </c>
      <c r="D37" s="127">
        <f t="shared" si="5"/>
        <v>-7.7</v>
      </c>
      <c r="E37" s="8">
        <f>IFERROR(100/'Skjema total MA'!C37*C37,0)</f>
        <v>84.346039193683083</v>
      </c>
      <c r="F37" s="259"/>
      <c r="G37" s="261"/>
      <c r="H37" s="127"/>
      <c r="I37" s="347"/>
      <c r="J37" s="183">
        <f t="shared" si="13"/>
        <v>2234879</v>
      </c>
      <c r="K37" s="183">
        <f t="shared" si="14"/>
        <v>2063057.1094500001</v>
      </c>
      <c r="L37" s="341"/>
      <c r="M37" s="21">
        <f>IFERROR(100/'Skjema total MA'!I37*K37,0)</f>
        <v>84.346039193683083</v>
      </c>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v>0</v>
      </c>
      <c r="C39" s="255">
        <v>1</v>
      </c>
      <c r="D39" s="125" t="str">
        <f t="shared" si="5"/>
        <v xml:space="preserve">    ---- </v>
      </c>
      <c r="E39" s="30">
        <f>IFERROR(100/'Skjema total MA'!C38*C39,0)</f>
        <v>0</v>
      </c>
      <c r="F39" s="262"/>
      <c r="G39" s="263"/>
      <c r="H39" s="125"/>
      <c r="I39" s="30"/>
      <c r="J39" s="183">
        <f t="shared" si="13"/>
        <v>0</v>
      </c>
      <c r="K39" s="183">
        <f t="shared" si="14"/>
        <v>1</v>
      </c>
      <c r="L39" s="342"/>
      <c r="M39" s="30">
        <f>IFERROR(100/'Skjema total MA'!I39*K39,0)</f>
        <v>100</v>
      </c>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337769</v>
      </c>
      <c r="C47" s="251">
        <v>331071</v>
      </c>
      <c r="D47" s="340">
        <f t="shared" ref="D47:D57" si="15">IF(B47=0, "    ---- ", IF(ABS(ROUND(100/B47*C47-100,1))&lt;999,ROUND(100/B47*C47-100,1),IF(ROUND(100/B47*C47-100,1)&gt;999,999,-999)))</f>
        <v>-2</v>
      </c>
      <c r="E47" s="8">
        <f>IFERROR(100/'Skjema total MA'!C47*C47,0)</f>
        <v>7.4713346525427919</v>
      </c>
      <c r="F47" s="109"/>
      <c r="G47" s="27"/>
      <c r="H47" s="118"/>
      <c r="I47" s="118"/>
      <c r="J47" s="31"/>
      <c r="K47" s="31"/>
      <c r="L47" s="118"/>
      <c r="M47" s="118"/>
    </row>
    <row r="48" spans="1:13" ht="15.75" x14ac:dyDescent="0.2">
      <c r="A48" s="18" t="s">
        <v>334</v>
      </c>
      <c r="B48" s="226">
        <v>337769</v>
      </c>
      <c r="C48" s="227">
        <v>331071</v>
      </c>
      <c r="D48" s="204">
        <f t="shared" si="15"/>
        <v>-2</v>
      </c>
      <c r="E48" s="23">
        <f>IFERROR(100/'Skjema total MA'!C48*C48,0)</f>
        <v>13.762397311284214</v>
      </c>
      <c r="F48" s="109"/>
      <c r="G48" s="27"/>
      <c r="H48" s="109"/>
      <c r="I48" s="109"/>
      <c r="J48" s="27"/>
      <c r="K48" s="27"/>
      <c r="L48" s="118"/>
      <c r="M48" s="118"/>
    </row>
    <row r="49" spans="1:13" ht="15.75" x14ac:dyDescent="0.2">
      <c r="A49" s="18" t="s">
        <v>335</v>
      </c>
      <c r="B49" s="226"/>
      <c r="C49" s="227"/>
      <c r="D49" s="204"/>
      <c r="E49" s="23"/>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v>14500</v>
      </c>
      <c r="C53" s="251">
        <v>10898.752</v>
      </c>
      <c r="D53" s="341">
        <f t="shared" si="15"/>
        <v>-24.8</v>
      </c>
      <c r="E53" s="8">
        <f>IFERROR(100/'Skjema total MA'!C53*C53,0)</f>
        <v>6.2524487378609512</v>
      </c>
      <c r="F53" s="109"/>
      <c r="G53" s="27"/>
      <c r="H53" s="109"/>
      <c r="I53" s="109"/>
      <c r="J53" s="27"/>
      <c r="K53" s="27"/>
      <c r="L53" s="118"/>
      <c r="M53" s="118"/>
    </row>
    <row r="54" spans="1:13" ht="15.75" x14ac:dyDescent="0.2">
      <c r="A54" s="18" t="s">
        <v>334</v>
      </c>
      <c r="B54" s="226">
        <v>14500</v>
      </c>
      <c r="C54" s="227">
        <v>10898.752</v>
      </c>
      <c r="D54" s="204">
        <f t="shared" si="15"/>
        <v>-24.8</v>
      </c>
      <c r="E54" s="23">
        <f>IFERROR(100/'Skjema total MA'!C54*C54,0)</f>
        <v>6.2620045672247642</v>
      </c>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v>25800</v>
      </c>
      <c r="C56" s="251">
        <v>5871.3450000000003</v>
      </c>
      <c r="D56" s="341">
        <f t="shared" si="15"/>
        <v>-77.2</v>
      </c>
      <c r="E56" s="8">
        <f>IFERROR(100/'Skjema total MA'!C56*C56,0)</f>
        <v>17.938427787818007</v>
      </c>
      <c r="F56" s="109"/>
      <c r="G56" s="27"/>
      <c r="H56" s="109"/>
      <c r="I56" s="109"/>
      <c r="J56" s="27"/>
      <c r="K56" s="27"/>
      <c r="L56" s="118"/>
      <c r="M56" s="118"/>
    </row>
    <row r="57" spans="1:13" ht="15.75" x14ac:dyDescent="0.2">
      <c r="A57" s="18" t="s">
        <v>334</v>
      </c>
      <c r="B57" s="226">
        <v>25800</v>
      </c>
      <c r="C57" s="227">
        <v>5871.3450000000003</v>
      </c>
      <c r="D57" s="204">
        <f t="shared" si="15"/>
        <v>-77.2</v>
      </c>
      <c r="E57" s="23">
        <f>IFERROR(100/'Skjema total MA'!C57*C57,0)</f>
        <v>17.938427787818007</v>
      </c>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v>819278</v>
      </c>
      <c r="C66" s="286">
        <v>819578</v>
      </c>
      <c r="D66" s="283">
        <f t="shared" ref="D66:D111" si="16">IF(B66=0, "    ---- ", IF(ABS(ROUND(100/B66*C66-100,1))&lt;999,ROUND(100/B66*C66-100,1),IF(ROUND(100/B66*C66-100,1)&gt;999,999,-999)))</f>
        <v>0</v>
      </c>
      <c r="E66" s="8">
        <f>IFERROR(100/'Skjema total MA'!C66*C66,0)</f>
        <v>27.827094202046879</v>
      </c>
      <c r="F66" s="285">
        <v>3405129</v>
      </c>
      <c r="G66" s="285">
        <v>4276067</v>
      </c>
      <c r="H66" s="283">
        <f t="shared" ref="H66:H111" si="17">IF(F66=0, "    ---- ", IF(ABS(ROUND(100/F66*G66-100,1))&lt;999,ROUND(100/F66*G66-100,1),IF(ROUND(100/F66*G66-100,1)&gt;999,999,-999)))</f>
        <v>25.6</v>
      </c>
      <c r="I66" s="8">
        <f>IFERROR(100/'Skjema total MA'!F66*G66,0)</f>
        <v>29.338971176662977</v>
      </c>
      <c r="J66" s="249">
        <f t="shared" ref="J66:K86" si="18">SUM(B66,F66)</f>
        <v>4224407</v>
      </c>
      <c r="K66" s="256">
        <f t="shared" si="18"/>
        <v>5095645</v>
      </c>
      <c r="L66" s="341">
        <f t="shared" ref="L66:L111" si="19">IF(J66=0, "    ---- ", IF(ABS(ROUND(100/J66*K66-100,1))&lt;999,ROUND(100/J66*K66-100,1),IF(ROUND(100/J66*K66-100,1)&gt;999,999,-999)))</f>
        <v>20.6</v>
      </c>
      <c r="M66" s="8">
        <f>IFERROR(100/'Skjema total MA'!I66*K66,0)</f>
        <v>29.084811890627062</v>
      </c>
    </row>
    <row r="67" spans="1:13" x14ac:dyDescent="0.2">
      <c r="A67" s="18" t="s">
        <v>9</v>
      </c>
      <c r="B67" s="36">
        <v>703434</v>
      </c>
      <c r="C67" s="109">
        <v>675915.69400000002</v>
      </c>
      <c r="D67" s="123">
        <f t="shared" si="16"/>
        <v>-3.9</v>
      </c>
      <c r="E67" s="23">
        <f>IFERROR(100/'Skjema total MA'!C67*C67,0)</f>
        <v>36.923040608983968</v>
      </c>
      <c r="F67" s="181"/>
      <c r="G67" s="109"/>
      <c r="H67" s="123"/>
      <c r="I67" s="23"/>
      <c r="J67" s="232">
        <f t="shared" si="18"/>
        <v>703434</v>
      </c>
      <c r="K67" s="36">
        <f t="shared" si="18"/>
        <v>675915.69400000002</v>
      </c>
      <c r="L67" s="204">
        <f t="shared" si="19"/>
        <v>-3.9</v>
      </c>
      <c r="M67" s="23">
        <f>IFERROR(100/'Skjema total MA'!I67*K67,0)</f>
        <v>36.923040608983968</v>
      </c>
    </row>
    <row r="68" spans="1:13" x14ac:dyDescent="0.2">
      <c r="A68" s="18" t="s">
        <v>10</v>
      </c>
      <c r="B68" s="236"/>
      <c r="C68" s="237"/>
      <c r="D68" s="123"/>
      <c r="E68" s="23"/>
      <c r="F68" s="236">
        <v>3405129</v>
      </c>
      <c r="G68" s="237">
        <v>4276067</v>
      </c>
      <c r="H68" s="123">
        <f t="shared" si="17"/>
        <v>25.6</v>
      </c>
      <c r="I68" s="23">
        <f>IFERROR(100/'Skjema total MA'!F68*G68,0)</f>
        <v>30.454675037797351</v>
      </c>
      <c r="J68" s="232">
        <f t="shared" si="18"/>
        <v>3405129</v>
      </c>
      <c r="K68" s="36">
        <f t="shared" si="18"/>
        <v>4276067</v>
      </c>
      <c r="L68" s="204">
        <f t="shared" si="19"/>
        <v>25.6</v>
      </c>
      <c r="M68" s="23">
        <f>IFERROR(100/'Skjema total MA'!I68*K68,0)</f>
        <v>30.436795463297148</v>
      </c>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v>115844</v>
      </c>
      <c r="C76" s="109">
        <v>143662.30600000001</v>
      </c>
      <c r="D76" s="123">
        <f t="shared" ref="D76" si="20">IF(B76=0, "    ---- ", IF(ABS(ROUND(100/B76*C76-100,1))&lt;999,ROUND(100/B76*C76-100,1),IF(ROUND(100/B76*C76-100,1)&gt;999,999,-999)))</f>
        <v>24</v>
      </c>
      <c r="E76" s="23">
        <f>IFERROR(100/'Skjema total MA'!C77*C76,0)</f>
        <v>8.1408811714988421</v>
      </c>
      <c r="F76" s="181"/>
      <c r="G76" s="109"/>
      <c r="H76" s="123"/>
      <c r="I76" s="23"/>
      <c r="J76" s="232">
        <f t="shared" ref="J76" si="21">SUM(B76,F76)</f>
        <v>115844</v>
      </c>
      <c r="K76" s="36">
        <f t="shared" ref="K76" si="22">SUM(C76,G76)</f>
        <v>143662.30600000001</v>
      </c>
      <c r="L76" s="204">
        <f t="shared" ref="L76" si="23">IF(J76=0, "    ---- ", IF(ABS(ROUND(100/J76*K76-100,1))&lt;999,ROUND(100/J76*K76-100,1),IF(ROUND(100/J76*K76-100,1)&gt;999,999,-999)))</f>
        <v>24</v>
      </c>
      <c r="M76" s="23">
        <f>IFERROR(100/'Skjema total MA'!I77*K76,0)</f>
        <v>0.90914779803778134</v>
      </c>
    </row>
    <row r="77" spans="1:13" ht="15.75" x14ac:dyDescent="0.2">
      <c r="A77" s="18" t="s">
        <v>340</v>
      </c>
      <c r="B77" s="181">
        <v>676642</v>
      </c>
      <c r="C77" s="181">
        <v>651230.69400000002</v>
      </c>
      <c r="D77" s="123">
        <f t="shared" si="16"/>
        <v>-3.8</v>
      </c>
      <c r="E77" s="23">
        <f>IFERROR(100/'Skjema total MA'!C77*C77,0)</f>
        <v>36.903150469314646</v>
      </c>
      <c r="F77" s="181">
        <v>3405129</v>
      </c>
      <c r="G77" s="109">
        <v>4276067.1100000003</v>
      </c>
      <c r="H77" s="123">
        <f t="shared" si="17"/>
        <v>25.6</v>
      </c>
      <c r="I77" s="23">
        <f>IFERROR(100/'Skjema total MA'!F77*G77,0)</f>
        <v>30.462474618574422</v>
      </c>
      <c r="J77" s="232">
        <f t="shared" si="18"/>
        <v>4081771</v>
      </c>
      <c r="K77" s="36">
        <f t="shared" si="18"/>
        <v>4927297.8040000005</v>
      </c>
      <c r="L77" s="204">
        <f t="shared" si="19"/>
        <v>20.7</v>
      </c>
      <c r="M77" s="23">
        <f>IFERROR(100/'Skjema total MA'!I77*K77,0)</f>
        <v>31.181748877001844</v>
      </c>
    </row>
    <row r="78" spans="1:13" x14ac:dyDescent="0.2">
      <c r="A78" s="18" t="s">
        <v>9</v>
      </c>
      <c r="B78" s="181">
        <v>676642</v>
      </c>
      <c r="C78" s="109">
        <v>651230.69400000002</v>
      </c>
      <c r="D78" s="123">
        <f t="shared" si="16"/>
        <v>-3.8</v>
      </c>
      <c r="E78" s="23">
        <f>IFERROR(100/'Skjema total MA'!C78*C78,0)</f>
        <v>37.076441230424287</v>
      </c>
      <c r="F78" s="181"/>
      <c r="G78" s="109"/>
      <c r="H78" s="123"/>
      <c r="I78" s="23"/>
      <c r="J78" s="232">
        <f t="shared" si="18"/>
        <v>676642</v>
      </c>
      <c r="K78" s="36">
        <f t="shared" si="18"/>
        <v>651230.69400000002</v>
      </c>
      <c r="L78" s="204">
        <f t="shared" si="19"/>
        <v>-3.8</v>
      </c>
      <c r="M78" s="23">
        <f>IFERROR(100/'Skjema total MA'!I78*K78,0)</f>
        <v>37.076441230424287</v>
      </c>
    </row>
    <row r="79" spans="1:13" x14ac:dyDescent="0.2">
      <c r="A79" s="18" t="s">
        <v>368</v>
      </c>
      <c r="B79" s="236"/>
      <c r="C79" s="237"/>
      <c r="D79" s="123"/>
      <c r="E79" s="23"/>
      <c r="F79" s="236">
        <v>3405129</v>
      </c>
      <c r="G79" s="237">
        <v>4276067.1100000003</v>
      </c>
      <c r="H79" s="123">
        <f t="shared" si="17"/>
        <v>25.6</v>
      </c>
      <c r="I79" s="23">
        <f>IFERROR(100/'Skjema total MA'!F79*G79,0)</f>
        <v>30.462474618574422</v>
      </c>
      <c r="J79" s="232">
        <f t="shared" si="18"/>
        <v>3405129</v>
      </c>
      <c r="K79" s="36">
        <f t="shared" si="18"/>
        <v>4276067.1100000003</v>
      </c>
      <c r="L79" s="204">
        <f t="shared" si="19"/>
        <v>25.6</v>
      </c>
      <c r="M79" s="23">
        <f>IFERROR(100/'Skjema total MA'!I79*K79,0)</f>
        <v>30.444585887970412</v>
      </c>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v>26792.392</v>
      </c>
      <c r="C86" s="109">
        <v>24684.957999999999</v>
      </c>
      <c r="D86" s="123">
        <f t="shared" si="16"/>
        <v>-7.9</v>
      </c>
      <c r="E86" s="23">
        <f>IFERROR(100/'Skjema total MA'!C86*C86,0)</f>
        <v>33.289401407939764</v>
      </c>
      <c r="F86" s="181"/>
      <c r="G86" s="109"/>
      <c r="H86" s="123"/>
      <c r="I86" s="23"/>
      <c r="J86" s="232">
        <f t="shared" si="18"/>
        <v>26792.392</v>
      </c>
      <c r="K86" s="36">
        <f t="shared" si="18"/>
        <v>24684.957999999999</v>
      </c>
      <c r="L86" s="204">
        <f t="shared" si="19"/>
        <v>-7.9</v>
      </c>
      <c r="M86" s="23">
        <f>IFERROR(100/'Skjema total MA'!I86*K86,0)</f>
        <v>31.750230818204006</v>
      </c>
    </row>
    <row r="87" spans="1:13" ht="15.75" x14ac:dyDescent="0.2">
      <c r="A87" s="10" t="s">
        <v>323</v>
      </c>
      <c r="B87" s="286">
        <v>153895774</v>
      </c>
      <c r="C87" s="286">
        <v>153302614.183</v>
      </c>
      <c r="D87" s="127">
        <f t="shared" si="16"/>
        <v>-0.4</v>
      </c>
      <c r="E87" s="8">
        <f>IFERROR(100/'Skjema total MA'!C87*C87,0)</f>
        <v>37.704721431378822</v>
      </c>
      <c r="F87" s="285">
        <v>166004233.727</v>
      </c>
      <c r="G87" s="285">
        <v>189974574.17172101</v>
      </c>
      <c r="H87" s="127">
        <f t="shared" si="17"/>
        <v>14.4</v>
      </c>
      <c r="I87" s="8">
        <f>IFERROR(100/'Skjema total MA'!F87*G87,0)</f>
        <v>28.552982322365299</v>
      </c>
      <c r="J87" s="249">
        <f t="shared" ref="J87:K111" si="24">SUM(B87,F87)</f>
        <v>319900007.727</v>
      </c>
      <c r="K87" s="183">
        <f t="shared" si="24"/>
        <v>343277188.35472101</v>
      </c>
      <c r="L87" s="341">
        <f t="shared" si="19"/>
        <v>7.3</v>
      </c>
      <c r="M87" s="8">
        <f>IFERROR(100/'Skjema total MA'!I87*K87,0)</f>
        <v>32.024280245870393</v>
      </c>
    </row>
    <row r="88" spans="1:13" x14ac:dyDescent="0.2">
      <c r="A88" s="18" t="s">
        <v>9</v>
      </c>
      <c r="B88" s="181">
        <v>153752119</v>
      </c>
      <c r="C88" s="109">
        <v>153162961</v>
      </c>
      <c r="D88" s="123">
        <f t="shared" si="16"/>
        <v>-0.4</v>
      </c>
      <c r="E88" s="23">
        <f>IFERROR(100/'Skjema total MA'!C88*C88,0)</f>
        <v>39.860522980514837</v>
      </c>
      <c r="F88" s="181"/>
      <c r="G88" s="109"/>
      <c r="H88" s="123"/>
      <c r="I88" s="23"/>
      <c r="J88" s="232">
        <f t="shared" si="24"/>
        <v>153752119</v>
      </c>
      <c r="K88" s="36">
        <f t="shared" si="24"/>
        <v>153162961</v>
      </c>
      <c r="L88" s="204">
        <f t="shared" si="19"/>
        <v>-0.4</v>
      </c>
      <c r="M88" s="23">
        <f>IFERROR(100/'Skjema total MA'!I88*K88,0)</f>
        <v>39.860522980514837</v>
      </c>
    </row>
    <row r="89" spans="1:13" x14ac:dyDescent="0.2">
      <c r="A89" s="18" t="s">
        <v>10</v>
      </c>
      <c r="B89" s="181">
        <v>86679</v>
      </c>
      <c r="C89" s="109">
        <v>84639.837239999993</v>
      </c>
      <c r="D89" s="123">
        <f t="shared" si="16"/>
        <v>-2.4</v>
      </c>
      <c r="E89" s="23">
        <f>IFERROR(100/'Skjema total MA'!C89*C89,0)</f>
        <v>3.572439945755987</v>
      </c>
      <c r="F89" s="181">
        <v>166004233.727</v>
      </c>
      <c r="G89" s="109">
        <v>189974574.17172101</v>
      </c>
      <c r="H89" s="123">
        <f t="shared" si="17"/>
        <v>14.4</v>
      </c>
      <c r="I89" s="23">
        <f>IFERROR(100/'Skjema total MA'!F89*G89,0)</f>
        <v>28.998962812358879</v>
      </c>
      <c r="J89" s="232">
        <f t="shared" si="24"/>
        <v>166090912.727</v>
      </c>
      <c r="K89" s="36">
        <f t="shared" si="24"/>
        <v>190059214.00896102</v>
      </c>
      <c r="L89" s="204">
        <f t="shared" si="19"/>
        <v>14.4</v>
      </c>
      <c r="M89" s="23">
        <f>IFERROR(100/'Skjema total MA'!I89*K89,0)</f>
        <v>28.907337383892951</v>
      </c>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v>56976</v>
      </c>
      <c r="C97" s="109">
        <v>55013.345759999997</v>
      </c>
      <c r="D97" s="123">
        <f t="shared" ref="D97" si="25">IF(B97=0, "    ---- ", IF(ABS(ROUND(100/B97*C97-100,1))&lt;999,ROUND(100/B97*C97-100,1),IF(ROUND(100/B97*C97-100,1)&gt;999,999,-999)))</f>
        <v>-3.4</v>
      </c>
      <c r="E97" s="23">
        <f>IFERROR(100/'Skjema total MA'!C98*C97,0)</f>
        <v>1.4384382000567759E-2</v>
      </c>
      <c r="F97" s="181"/>
      <c r="G97" s="109"/>
      <c r="H97" s="123"/>
      <c r="I97" s="23"/>
      <c r="J97" s="232">
        <f t="shared" ref="J97" si="26">SUM(B97,F97)</f>
        <v>56976</v>
      </c>
      <c r="K97" s="36">
        <f t="shared" ref="K97" si="27">SUM(C97,G97)</f>
        <v>55013.345759999997</v>
      </c>
      <c r="L97" s="204">
        <f t="shared" ref="L97" si="28">IF(J97=0, "    ---- ", IF(ABS(ROUND(100/J97*K97-100,1))&lt;999,ROUND(100/J97*K97-100,1),IF(ROUND(100/J97*K97-100,1)&gt;999,999,-999)))</f>
        <v>-3.4</v>
      </c>
      <c r="M97" s="23">
        <f>IFERROR(100/'Skjema total MA'!I98*K97,0)</f>
        <v>5.3042030912063684E-3</v>
      </c>
    </row>
    <row r="98" spans="1:13" ht="15.75" x14ac:dyDescent="0.2">
      <c r="A98" s="18" t="s">
        <v>340</v>
      </c>
      <c r="B98" s="181">
        <v>152695858</v>
      </c>
      <c r="C98" s="181">
        <v>152143957.83724001</v>
      </c>
      <c r="D98" s="123">
        <f t="shared" si="16"/>
        <v>-0.4</v>
      </c>
      <c r="E98" s="23">
        <f>IFERROR(100/'Skjema total MA'!C98*C98,0)</f>
        <v>39.781198150656444</v>
      </c>
      <c r="F98" s="236">
        <v>165711536.727</v>
      </c>
      <c r="G98" s="236">
        <v>189681719.73363999</v>
      </c>
      <c r="H98" s="123">
        <f t="shared" si="17"/>
        <v>14.5</v>
      </c>
      <c r="I98" s="23">
        <f>IFERROR(100/'Skjema total MA'!F98*G98,0)</f>
        <v>28.971725835192494</v>
      </c>
      <c r="J98" s="232">
        <f t="shared" si="24"/>
        <v>318407394.727</v>
      </c>
      <c r="K98" s="36">
        <f t="shared" si="24"/>
        <v>341825677.57088</v>
      </c>
      <c r="L98" s="204">
        <f t="shared" si="19"/>
        <v>7.4</v>
      </c>
      <c r="M98" s="23">
        <f>IFERROR(100/'Skjema total MA'!I98*K98,0)</f>
        <v>32.957690367261407</v>
      </c>
    </row>
    <row r="99" spans="1:13" x14ac:dyDescent="0.2">
      <c r="A99" s="18" t="s">
        <v>9</v>
      </c>
      <c r="B99" s="236">
        <v>152609179</v>
      </c>
      <c r="C99" s="237">
        <v>152059318</v>
      </c>
      <c r="D99" s="123">
        <f t="shared" si="16"/>
        <v>-0.4</v>
      </c>
      <c r="E99" s="23">
        <f>IFERROR(100/'Skjema total MA'!C99*C99,0)</f>
        <v>40.006905361490666</v>
      </c>
      <c r="F99" s="181"/>
      <c r="G99" s="109"/>
      <c r="H99" s="123"/>
      <c r="I99" s="23"/>
      <c r="J99" s="232">
        <f t="shared" si="24"/>
        <v>152609179</v>
      </c>
      <c r="K99" s="36">
        <f t="shared" si="24"/>
        <v>152059318</v>
      </c>
      <c r="L99" s="204">
        <f t="shared" si="19"/>
        <v>-0.4</v>
      </c>
      <c r="M99" s="23">
        <f>IFERROR(100/'Skjema total MA'!I99*K99,0)</f>
        <v>40.006905361490666</v>
      </c>
    </row>
    <row r="100" spans="1:13" x14ac:dyDescent="0.2">
      <c r="A100" s="18" t="s">
        <v>368</v>
      </c>
      <c r="B100" s="236">
        <v>86679</v>
      </c>
      <c r="C100" s="237">
        <v>84639.837239999993</v>
      </c>
      <c r="D100" s="123">
        <f t="shared" si="16"/>
        <v>-2.4</v>
      </c>
      <c r="E100" s="23">
        <f>IFERROR(100/'Skjema total MA'!C100*C100,0)</f>
        <v>3.572439945755987</v>
      </c>
      <c r="F100" s="181">
        <v>165711536.727</v>
      </c>
      <c r="G100" s="181">
        <v>189681719.73363999</v>
      </c>
      <c r="H100" s="123">
        <f t="shared" si="17"/>
        <v>14.5</v>
      </c>
      <c r="I100" s="23">
        <f>IFERROR(100/'Skjema total MA'!F100*G100,0)</f>
        <v>28.971725835192494</v>
      </c>
      <c r="J100" s="232">
        <f t="shared" si="24"/>
        <v>165798215.727</v>
      </c>
      <c r="K100" s="36">
        <f t="shared" si="24"/>
        <v>189766359.57088</v>
      </c>
      <c r="L100" s="204">
        <f t="shared" si="19"/>
        <v>14.5</v>
      </c>
      <c r="M100" s="23">
        <f>IFERROR(100/'Skjema total MA'!I100*K100,0)</f>
        <v>28.88014354275716</v>
      </c>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v>1142940</v>
      </c>
      <c r="C107" s="109">
        <v>1103642.871</v>
      </c>
      <c r="D107" s="123">
        <f t="shared" si="16"/>
        <v>-3.4</v>
      </c>
      <c r="E107" s="23">
        <f>IFERROR(100/'Skjema total MA'!C107*C107,0)</f>
        <v>26.500801715240836</v>
      </c>
      <c r="F107" s="181">
        <v>292697.32</v>
      </c>
      <c r="G107" s="109">
        <v>292854.43808098702</v>
      </c>
      <c r="H107" s="123">
        <f t="shared" si="17"/>
        <v>0.1</v>
      </c>
      <c r="I107" s="23">
        <f>IFERROR(100/'Skjema total MA'!F107*G107,0)</f>
        <v>74.150434037793715</v>
      </c>
      <c r="J107" s="232">
        <f t="shared" si="24"/>
        <v>1435637.32</v>
      </c>
      <c r="K107" s="36">
        <f t="shared" si="24"/>
        <v>1396497.309080987</v>
      </c>
      <c r="L107" s="204">
        <f t="shared" si="19"/>
        <v>-2.7</v>
      </c>
      <c r="M107" s="23">
        <f>IFERROR(100/'Skjema total MA'!I107*K107,0)</f>
        <v>30.628229196341067</v>
      </c>
    </row>
    <row r="108" spans="1:13" ht="15.75" x14ac:dyDescent="0.2">
      <c r="A108" s="18" t="s">
        <v>342</v>
      </c>
      <c r="B108" s="181">
        <v>134390104</v>
      </c>
      <c r="C108" s="181">
        <v>132714229.199452</v>
      </c>
      <c r="D108" s="123">
        <f t="shared" si="16"/>
        <v>-1.2</v>
      </c>
      <c r="E108" s="23">
        <f>IFERROR(100/'Skjema total MA'!C108*C108,0)</f>
        <v>40.160707129610849</v>
      </c>
      <c r="F108" s="181">
        <v>1358361.3189999999</v>
      </c>
      <c r="G108" s="181">
        <v>2192421.1937123099</v>
      </c>
      <c r="H108" s="123">
        <f t="shared" si="17"/>
        <v>61.4</v>
      </c>
      <c r="I108" s="23">
        <f>IFERROR(100/'Skjema total MA'!F108*G108,0)</f>
        <v>9.4410754068714695</v>
      </c>
      <c r="J108" s="232">
        <f t="shared" si="24"/>
        <v>135748465.31900001</v>
      </c>
      <c r="K108" s="36">
        <f t="shared" si="24"/>
        <v>134906650.39316431</v>
      </c>
      <c r="L108" s="204">
        <f t="shared" si="19"/>
        <v>-0.6</v>
      </c>
      <c r="M108" s="23">
        <f>IFERROR(100/'Skjema total MA'!I108*K108,0)</f>
        <v>38.143697549358045</v>
      </c>
    </row>
    <row r="109" spans="1:13" ht="15.75" x14ac:dyDescent="0.2">
      <c r="A109" s="18" t="s">
        <v>376</v>
      </c>
      <c r="B109" s="181">
        <v>86679</v>
      </c>
      <c r="C109" s="181">
        <v>84639.837239999993</v>
      </c>
      <c r="D109" s="123">
        <f t="shared" si="16"/>
        <v>-2.4</v>
      </c>
      <c r="E109" s="23">
        <f>IFERROR(100/'Skjema total MA'!C109*C109,0)</f>
        <v>3.3003347986750939</v>
      </c>
      <c r="F109" s="181">
        <v>60935318</v>
      </c>
      <c r="G109" s="181">
        <v>75442626</v>
      </c>
      <c r="H109" s="123">
        <f t="shared" si="17"/>
        <v>23.8</v>
      </c>
      <c r="I109" s="23">
        <f>IFERROR(100/'Skjema total MA'!F109*G109,0)</f>
        <v>29.229317880276028</v>
      </c>
      <c r="J109" s="232">
        <f t="shared" si="24"/>
        <v>61021997</v>
      </c>
      <c r="K109" s="36">
        <f t="shared" si="24"/>
        <v>75527265.837239996</v>
      </c>
      <c r="L109" s="204">
        <f t="shared" si="19"/>
        <v>23.8</v>
      </c>
      <c r="M109" s="23">
        <f>IFERROR(100/'Skjema total MA'!I109*K109,0)</f>
        <v>28.974217993705128</v>
      </c>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v>120797</v>
      </c>
      <c r="C111" s="118">
        <v>38129</v>
      </c>
      <c r="D111" s="127">
        <f t="shared" si="16"/>
        <v>-68.400000000000006</v>
      </c>
      <c r="E111" s="8">
        <f>IFERROR(100/'Skjema total MA'!C111*C111,0)</f>
        <v>3.357922861567824</v>
      </c>
      <c r="F111" s="248">
        <v>3808715</v>
      </c>
      <c r="G111" s="118">
        <v>6006855.1211299999</v>
      </c>
      <c r="H111" s="127">
        <f t="shared" si="17"/>
        <v>57.7</v>
      </c>
      <c r="I111" s="8">
        <f>IFERROR(100/'Skjema total MA'!F111*G111,0)</f>
        <v>30.067433669383025</v>
      </c>
      <c r="J111" s="249">
        <f t="shared" si="24"/>
        <v>3929512</v>
      </c>
      <c r="K111" s="183">
        <f t="shared" si="24"/>
        <v>6044984.1211299999</v>
      </c>
      <c r="L111" s="341">
        <f t="shared" si="19"/>
        <v>53.8</v>
      </c>
      <c r="M111" s="8">
        <f>IFERROR(100/'Skjema total MA'!I111*K111,0)</f>
        <v>28.630979810947665</v>
      </c>
    </row>
    <row r="112" spans="1:13" x14ac:dyDescent="0.2">
      <c r="A112" s="18" t="s">
        <v>9</v>
      </c>
      <c r="B112" s="181">
        <v>120797</v>
      </c>
      <c r="C112" s="109">
        <v>38129</v>
      </c>
      <c r="D112" s="123">
        <f t="shared" ref="D112:D124" si="29">IF(B112=0, "    ---- ", IF(ABS(ROUND(100/B112*C112-100,1))&lt;999,ROUND(100/B112*C112-100,1),IF(ROUND(100/B112*C112-100,1)&gt;999,999,-999)))</f>
        <v>-68.400000000000006</v>
      </c>
      <c r="E112" s="23">
        <f>IFERROR(100/'Skjema total MA'!C112*C112,0)</f>
        <v>3.6044164448068612</v>
      </c>
      <c r="F112" s="181"/>
      <c r="G112" s="109"/>
      <c r="H112" s="123"/>
      <c r="I112" s="23"/>
      <c r="J112" s="232">
        <f t="shared" ref="J112:K125" si="30">SUM(B112,F112)</f>
        <v>120797</v>
      </c>
      <c r="K112" s="36">
        <f t="shared" si="30"/>
        <v>38129</v>
      </c>
      <c r="L112" s="204">
        <f t="shared" ref="L112:L125" si="31">IF(J112=0, "    ---- ", IF(ABS(ROUND(100/J112*K112-100,1))&lt;999,ROUND(100/J112*K112-100,1),IF(ROUND(100/J112*K112-100,1)&gt;999,999,-999)))</f>
        <v>-68.400000000000006</v>
      </c>
      <c r="M112" s="23">
        <f>IFERROR(100/'Skjema total MA'!I112*K112,0)</f>
        <v>3.6028061538990439</v>
      </c>
    </row>
    <row r="113" spans="1:13" x14ac:dyDescent="0.2">
      <c r="A113" s="18" t="s">
        <v>10</v>
      </c>
      <c r="B113" s="181"/>
      <c r="C113" s="109"/>
      <c r="D113" s="123"/>
      <c r="E113" s="23"/>
      <c r="F113" s="181">
        <v>3808715</v>
      </c>
      <c r="G113" s="109">
        <v>6006855.1211299999</v>
      </c>
      <c r="H113" s="123">
        <f t="shared" ref="H113:H125" si="32">IF(F113=0, "    ---- ", IF(ABS(ROUND(100/F113*G113-100,1))&lt;999,ROUND(100/F113*G113-100,1),IF(ROUND(100/F113*G113-100,1)&gt;999,999,-999)))</f>
        <v>57.7</v>
      </c>
      <c r="I113" s="23">
        <f>IFERROR(100/'Skjema total MA'!F113*G113,0)</f>
        <v>30.068145275613389</v>
      </c>
      <c r="J113" s="232">
        <f t="shared" si="30"/>
        <v>3808715</v>
      </c>
      <c r="K113" s="36">
        <f t="shared" si="30"/>
        <v>6006855.1211299999</v>
      </c>
      <c r="L113" s="204">
        <f t="shared" si="31"/>
        <v>57.7</v>
      </c>
      <c r="M113" s="23">
        <f>IFERROR(100/'Skjema total MA'!I113*K113,0)</f>
        <v>30.068145275613389</v>
      </c>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v>14157</v>
      </c>
      <c r="C116" s="181">
        <v>19597</v>
      </c>
      <c r="D116" s="123">
        <f t="shared" si="29"/>
        <v>38.4</v>
      </c>
      <c r="E116" s="23">
        <f>IFERROR(100/'Skjema total MA'!C116*C116,0)</f>
        <v>2.1410520809837741</v>
      </c>
      <c r="F116" s="181"/>
      <c r="G116" s="181"/>
      <c r="H116" s="123"/>
      <c r="I116" s="23"/>
      <c r="J116" s="232">
        <f t="shared" si="30"/>
        <v>14157</v>
      </c>
      <c r="K116" s="36">
        <f t="shared" si="30"/>
        <v>19597</v>
      </c>
      <c r="L116" s="204">
        <f t="shared" si="31"/>
        <v>38.4</v>
      </c>
      <c r="M116" s="23">
        <f>IFERROR(100/'Skjema total MA'!I116*K116,0)</f>
        <v>2.1399466681899502</v>
      </c>
    </row>
    <row r="117" spans="1:13" ht="15.75" x14ac:dyDescent="0.2">
      <c r="A117" s="18" t="s">
        <v>376</v>
      </c>
      <c r="B117" s="181"/>
      <c r="C117" s="181"/>
      <c r="D117" s="123"/>
      <c r="E117" s="23"/>
      <c r="F117" s="181">
        <v>2844902</v>
      </c>
      <c r="G117" s="181">
        <v>4188562.2442800002</v>
      </c>
      <c r="H117" s="123">
        <f t="shared" si="32"/>
        <v>47.2</v>
      </c>
      <c r="I117" s="23">
        <f>IFERROR(100/'Skjema total MA'!F117*G117,0)</f>
        <v>37.40659402564976</v>
      </c>
      <c r="J117" s="232">
        <f t="shared" si="30"/>
        <v>2844902</v>
      </c>
      <c r="K117" s="36">
        <f t="shared" si="30"/>
        <v>4188562.2442800002</v>
      </c>
      <c r="L117" s="204">
        <f t="shared" si="31"/>
        <v>47.2</v>
      </c>
      <c r="M117" s="23">
        <f>IFERROR(100/'Skjema total MA'!I117*K117,0)</f>
        <v>37.40659402564976</v>
      </c>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v>39427</v>
      </c>
      <c r="C119" s="118">
        <v>41154</v>
      </c>
      <c r="D119" s="127">
        <f t="shared" si="29"/>
        <v>4.4000000000000004</v>
      </c>
      <c r="E119" s="8">
        <f>IFERROR(100/'Skjema total MA'!C119*C119,0)</f>
        <v>19.11334623231954</v>
      </c>
      <c r="F119" s="248">
        <v>4626985</v>
      </c>
      <c r="G119" s="118">
        <v>5665441</v>
      </c>
      <c r="H119" s="127">
        <f t="shared" si="32"/>
        <v>22.4</v>
      </c>
      <c r="I119" s="8">
        <f>IFERROR(100/'Skjema total MA'!F119*G119,0)</f>
        <v>26.947756651326898</v>
      </c>
      <c r="J119" s="249">
        <f t="shared" si="30"/>
        <v>4666412</v>
      </c>
      <c r="K119" s="183">
        <f t="shared" si="30"/>
        <v>5706595</v>
      </c>
      <c r="L119" s="341">
        <f t="shared" si="31"/>
        <v>22.3</v>
      </c>
      <c r="M119" s="8">
        <f>IFERROR(100/'Skjema total MA'!I119*K119,0)</f>
        <v>26.868333826531558</v>
      </c>
    </row>
    <row r="120" spans="1:13" x14ac:dyDescent="0.2">
      <c r="A120" s="18" t="s">
        <v>9</v>
      </c>
      <c r="B120" s="181">
        <v>39427</v>
      </c>
      <c r="C120" s="109">
        <v>41154</v>
      </c>
      <c r="D120" s="123">
        <f t="shared" si="29"/>
        <v>4.4000000000000004</v>
      </c>
      <c r="E120" s="23">
        <f>IFERROR(100/'Skjema total MA'!C120*C120,0)</f>
        <v>70.742740368217028</v>
      </c>
      <c r="F120" s="181"/>
      <c r="G120" s="109"/>
      <c r="H120" s="123"/>
      <c r="I120" s="23"/>
      <c r="J120" s="232">
        <f t="shared" si="30"/>
        <v>39427</v>
      </c>
      <c r="K120" s="36">
        <f t="shared" si="30"/>
        <v>41154</v>
      </c>
      <c r="L120" s="204">
        <f t="shared" si="31"/>
        <v>4.4000000000000004</v>
      </c>
      <c r="M120" s="23">
        <f>IFERROR(100/'Skjema total MA'!I120*K120,0)</f>
        <v>70.742740368217028</v>
      </c>
    </row>
    <row r="121" spans="1:13" x14ac:dyDescent="0.2">
      <c r="A121" s="18" t="s">
        <v>10</v>
      </c>
      <c r="B121" s="181"/>
      <c r="C121" s="109"/>
      <c r="D121" s="123"/>
      <c r="E121" s="23"/>
      <c r="F121" s="181">
        <v>4626985</v>
      </c>
      <c r="G121" s="109">
        <v>5665441</v>
      </c>
      <c r="H121" s="123">
        <f t="shared" si="32"/>
        <v>22.4</v>
      </c>
      <c r="I121" s="23">
        <f>IFERROR(100/'Skjema total MA'!F121*G121,0)</f>
        <v>26.947756651326898</v>
      </c>
      <c r="J121" s="232">
        <f t="shared" si="30"/>
        <v>4626985</v>
      </c>
      <c r="K121" s="36">
        <f t="shared" si="30"/>
        <v>5665441</v>
      </c>
      <c r="L121" s="204">
        <f t="shared" si="31"/>
        <v>22.4</v>
      </c>
      <c r="M121" s="23">
        <f>IFERROR(100/'Skjema total MA'!I121*K121,0)</f>
        <v>26.942768429063147</v>
      </c>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v>10379</v>
      </c>
      <c r="C124" s="181">
        <v>11965</v>
      </c>
      <c r="D124" s="123">
        <f t="shared" si="29"/>
        <v>15.3</v>
      </c>
      <c r="E124" s="23">
        <f>IFERROR(100/'Skjema total MA'!C124*C124,0)</f>
        <v>85.148518515408369</v>
      </c>
      <c r="F124" s="181"/>
      <c r="G124" s="181"/>
      <c r="H124" s="123"/>
      <c r="I124" s="23"/>
      <c r="J124" s="232">
        <f t="shared" si="30"/>
        <v>10379</v>
      </c>
      <c r="K124" s="36">
        <f t="shared" si="30"/>
        <v>11965</v>
      </c>
      <c r="L124" s="204">
        <f t="shared" si="31"/>
        <v>15.3</v>
      </c>
      <c r="M124" s="23">
        <f>IFERROR(100/'Skjema total MA'!I124*K124,0)</f>
        <v>37.827981482784161</v>
      </c>
    </row>
    <row r="125" spans="1:13" ht="15.75" x14ac:dyDescent="0.2">
      <c r="A125" s="18" t="s">
        <v>376</v>
      </c>
      <c r="B125" s="181"/>
      <c r="C125" s="181"/>
      <c r="D125" s="123"/>
      <c r="E125" s="23"/>
      <c r="F125" s="181">
        <v>2959275</v>
      </c>
      <c r="G125" s="181">
        <v>3851408.9146199999</v>
      </c>
      <c r="H125" s="123">
        <f t="shared" si="32"/>
        <v>30.1</v>
      </c>
      <c r="I125" s="23">
        <f>IFERROR(100/'Skjema total MA'!F125*G125,0)</f>
        <v>34.432262821292731</v>
      </c>
      <c r="J125" s="232">
        <f t="shared" si="30"/>
        <v>2959275</v>
      </c>
      <c r="K125" s="36">
        <f t="shared" si="30"/>
        <v>3851408.9146199999</v>
      </c>
      <c r="L125" s="204">
        <f t="shared" si="31"/>
        <v>30.1</v>
      </c>
      <c r="M125" s="23">
        <f>IFERROR(100/'Skjema total MA'!I125*K125,0)</f>
        <v>34.429344324723871</v>
      </c>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443" priority="12">
      <formula>kvartal &lt; 4</formula>
    </cfRule>
  </conditionalFormatting>
  <conditionalFormatting sqref="A69:A74">
    <cfRule type="expression" dxfId="442" priority="10">
      <formula>kvartal &lt; 4</formula>
    </cfRule>
  </conditionalFormatting>
  <conditionalFormatting sqref="A80:A85">
    <cfRule type="expression" dxfId="441" priority="9">
      <formula>kvartal &lt; 4</formula>
    </cfRule>
  </conditionalFormatting>
  <conditionalFormatting sqref="A90:A95">
    <cfRule type="expression" dxfId="440" priority="6">
      <formula>kvartal &lt; 4</formula>
    </cfRule>
  </conditionalFormatting>
  <conditionalFormatting sqref="A101:A106">
    <cfRule type="expression" dxfId="439" priority="5">
      <formula>kvartal &lt; 4</formula>
    </cfRule>
  </conditionalFormatting>
  <conditionalFormatting sqref="A115:C115">
    <cfRule type="expression" dxfId="438" priority="4">
      <formula>kvartal &lt; 4</formula>
    </cfRule>
  </conditionalFormatting>
  <conditionalFormatting sqref="A123:C123">
    <cfRule type="expression" dxfId="437" priority="3">
      <formula>kvartal &lt; 4</formula>
    </cfRule>
  </conditionalFormatting>
  <conditionalFormatting sqref="F115:G115">
    <cfRule type="expression" dxfId="436" priority="57">
      <formula>kvartal &lt; 4</formula>
    </cfRule>
  </conditionalFormatting>
  <conditionalFormatting sqref="F123:G123">
    <cfRule type="expression" dxfId="435" priority="56">
      <formula>kvartal &lt; 4</formula>
    </cfRule>
  </conditionalFormatting>
  <conditionalFormatting sqref="J115:K115">
    <cfRule type="expression" dxfId="434" priority="32">
      <formula>kvartal &lt; 4</formula>
    </cfRule>
  </conditionalFormatting>
  <conditionalFormatting sqref="J123:K123">
    <cfRule type="expression" dxfId="433" priority="31">
      <formula>kvartal &lt; 4</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3"/>
  <dimension ref="A1:N144"/>
  <sheetViews>
    <sheetView showGridLines="0" zoomScaleNormal="100" workbookViewId="0"/>
  </sheetViews>
  <sheetFormatPr baseColWidth="10" defaultColWidth="11.42578125" defaultRowHeight="12.75" x14ac:dyDescent="0.2"/>
  <cols>
    <col min="1" max="1" width="46.140625" style="22" customWidth="1"/>
    <col min="2" max="2" width="10.7109375" style="22" customWidth="1"/>
    <col min="3" max="3" width="11" style="22" customWidth="1"/>
    <col min="4" max="5" width="8.7109375" style="22" customWidth="1"/>
    <col min="6" max="7" width="10.7109375" style="22" customWidth="1"/>
    <col min="8" max="9" width="8.7109375" style="22" customWidth="1"/>
    <col min="10" max="11" width="10.7109375" style="22" customWidth="1"/>
    <col min="12" max="13" width="8.7109375" style="22" customWidth="1"/>
    <col min="14" max="14" width="11.42578125" style="22"/>
    <col min="15" max="16384" width="11.42578125" style="1"/>
  </cols>
  <sheetData>
    <row r="1" spans="1:14" x14ac:dyDescent="0.2">
      <c r="A1" s="128" t="s">
        <v>124</v>
      </c>
      <c r="B1" s="550"/>
      <c r="C1" s="195" t="s">
        <v>55</v>
      </c>
    </row>
    <row r="2" spans="1:14" ht="15.75" x14ac:dyDescent="0.25">
      <c r="A2" s="110" t="s">
        <v>28</v>
      </c>
      <c r="B2" s="577"/>
      <c r="C2" s="577"/>
      <c r="D2" s="577"/>
      <c r="E2" s="240"/>
      <c r="F2" s="577"/>
      <c r="G2" s="577"/>
      <c r="H2" s="577"/>
      <c r="I2" s="240"/>
      <c r="J2" s="577"/>
      <c r="K2" s="577"/>
      <c r="L2" s="577"/>
      <c r="M2" s="240"/>
    </row>
    <row r="3" spans="1:14" ht="15.75" x14ac:dyDescent="0.25">
      <c r="A3" s="122"/>
      <c r="B3" s="240"/>
      <c r="C3" s="240"/>
      <c r="D3" s="240"/>
      <c r="E3" s="240"/>
      <c r="F3" s="240"/>
      <c r="G3" s="240"/>
      <c r="H3" s="240"/>
      <c r="I3" s="240"/>
      <c r="J3" s="240"/>
      <c r="K3" s="240"/>
      <c r="L3" s="240"/>
      <c r="M3" s="240"/>
    </row>
    <row r="4" spans="1:14" x14ac:dyDescent="0.2">
      <c r="A4" s="108"/>
      <c r="B4" s="573" t="s">
        <v>0</v>
      </c>
      <c r="C4" s="574"/>
      <c r="D4" s="574"/>
      <c r="E4" s="242"/>
      <c r="F4" s="573" t="s">
        <v>1</v>
      </c>
      <c r="G4" s="574"/>
      <c r="H4" s="574"/>
      <c r="I4" s="244"/>
      <c r="J4" s="573" t="s">
        <v>2</v>
      </c>
      <c r="K4" s="574"/>
      <c r="L4" s="574"/>
      <c r="M4" s="244"/>
    </row>
    <row r="5" spans="1:14" x14ac:dyDescent="0.2">
      <c r="A5" s="117"/>
      <c r="B5" s="113" t="s">
        <v>417</v>
      </c>
      <c r="C5" s="113" t="s">
        <v>418</v>
      </c>
      <c r="D5" s="192" t="s">
        <v>3</v>
      </c>
      <c r="E5" s="245" t="s">
        <v>29</v>
      </c>
      <c r="F5" s="113" t="s">
        <v>417</v>
      </c>
      <c r="G5" s="113" t="s">
        <v>418</v>
      </c>
      <c r="H5" s="192" t="s">
        <v>3</v>
      </c>
      <c r="I5" s="121" t="s">
        <v>29</v>
      </c>
      <c r="J5" s="113" t="s">
        <v>417</v>
      </c>
      <c r="K5" s="113" t="s">
        <v>418</v>
      </c>
      <c r="L5" s="192" t="s">
        <v>3</v>
      </c>
      <c r="M5" s="121" t="s">
        <v>29</v>
      </c>
    </row>
    <row r="6" spans="1:14" x14ac:dyDescent="0.2">
      <c r="A6" s="549"/>
      <c r="B6" s="116"/>
      <c r="C6" s="116"/>
      <c r="D6" s="193" t="s">
        <v>4</v>
      </c>
      <c r="E6" s="116" t="s">
        <v>30</v>
      </c>
      <c r="F6" s="120"/>
      <c r="G6" s="120"/>
      <c r="H6" s="192" t="s">
        <v>4</v>
      </c>
      <c r="I6" s="116" t="s">
        <v>30</v>
      </c>
      <c r="J6" s="120"/>
      <c r="K6" s="120"/>
      <c r="L6" s="192" t="s">
        <v>4</v>
      </c>
      <c r="M6" s="116" t="s">
        <v>30</v>
      </c>
    </row>
    <row r="7" spans="1:14" ht="15.75" x14ac:dyDescent="0.2">
      <c r="A7" s="11" t="s">
        <v>23</v>
      </c>
      <c r="B7" s="246">
        <v>106065</v>
      </c>
      <c r="C7" s="247"/>
      <c r="D7" s="283">
        <f>IF(B7=0, "    ---- ", IF(ABS(ROUND(100/B7*C7-100,1))&lt;999,ROUND(100/B7*C7-100,1),IF(ROUND(100/B7*C7-100,1)&gt;999,999,-999)))</f>
        <v>-100</v>
      </c>
      <c r="E7" s="8">
        <f>IFERROR(100/'Skjema total MA'!C7*C7,0)</f>
        <v>0</v>
      </c>
      <c r="F7" s="246"/>
      <c r="G7" s="247"/>
      <c r="H7" s="283"/>
      <c r="I7" s="119"/>
      <c r="J7" s="248">
        <f t="shared" ref="J7:K9" si="0">SUM(B7,F7)</f>
        <v>106065</v>
      </c>
      <c r="K7" s="249">
        <f t="shared" si="0"/>
        <v>0</v>
      </c>
      <c r="L7" s="340">
        <f>IF(J7=0, "    ---- ", IF(ABS(ROUND(100/J7*K7-100,1))&lt;999,ROUND(100/J7*K7-100,1),IF(ROUND(100/J7*K7-100,1)&gt;999,999,-999)))</f>
        <v>-100</v>
      </c>
      <c r="M7" s="8">
        <f>IFERROR(100/'Skjema total MA'!I7*K7,0)</f>
        <v>0</v>
      </c>
    </row>
    <row r="8" spans="1:14" ht="15.75" x14ac:dyDescent="0.2">
      <c r="A8" s="18" t="s">
        <v>25</v>
      </c>
      <c r="B8" s="226">
        <v>51200</v>
      </c>
      <c r="C8" s="227"/>
      <c r="D8" s="123">
        <f t="shared" ref="D8:D9" si="1">IF(B8=0, "    ---- ", IF(ABS(ROUND(100/B8*C8-100,1))&lt;999,ROUND(100/B8*C8-100,1),IF(ROUND(100/B8*C8-100,1)&gt;999,999,-999)))</f>
        <v>-100</v>
      </c>
      <c r="E8" s="23">
        <f>IFERROR(100/'Skjema total MA'!C8*C8,0)</f>
        <v>0</v>
      </c>
      <c r="F8" s="230"/>
      <c r="G8" s="231"/>
      <c r="H8" s="123"/>
      <c r="I8" s="132"/>
      <c r="J8" s="181">
        <f t="shared" si="0"/>
        <v>51200</v>
      </c>
      <c r="K8" s="232">
        <f t="shared" si="0"/>
        <v>0</v>
      </c>
      <c r="L8" s="123">
        <f t="shared" ref="L8:L9" si="2">IF(J8=0, "    ---- ", IF(ABS(ROUND(100/J8*K8-100,1))&lt;999,ROUND(100/J8*K8-100,1),IF(ROUND(100/J8*K8-100,1)&gt;999,999,-999)))</f>
        <v>-100</v>
      </c>
      <c r="M8" s="23">
        <f>IFERROR(100/'Skjema total MA'!I8*K8,0)</f>
        <v>0</v>
      </c>
    </row>
    <row r="9" spans="1:14" ht="15.75" x14ac:dyDescent="0.2">
      <c r="A9" s="18" t="s">
        <v>24</v>
      </c>
      <c r="B9" s="226">
        <v>54865</v>
      </c>
      <c r="C9" s="227"/>
      <c r="D9" s="123">
        <f t="shared" si="1"/>
        <v>-100</v>
      </c>
      <c r="E9" s="23">
        <f>IFERROR(100/'Skjema total MA'!C9*C9,0)</f>
        <v>0</v>
      </c>
      <c r="F9" s="230"/>
      <c r="G9" s="231"/>
      <c r="H9" s="123"/>
      <c r="I9" s="132"/>
      <c r="J9" s="181">
        <f t="shared" si="0"/>
        <v>54865</v>
      </c>
      <c r="K9" s="232">
        <f t="shared" si="0"/>
        <v>0</v>
      </c>
      <c r="L9" s="123">
        <f t="shared" si="2"/>
        <v>-100</v>
      </c>
      <c r="M9" s="23">
        <f>IFERROR(100/'Skjema total MA'!I9*K9,0)</f>
        <v>0</v>
      </c>
    </row>
    <row r="10" spans="1:14" ht="15.75" x14ac:dyDescent="0.2">
      <c r="A10" s="10" t="s">
        <v>323</v>
      </c>
      <c r="B10" s="250"/>
      <c r="C10" s="251"/>
      <c r="D10" s="127"/>
      <c r="E10" s="8"/>
      <c r="F10" s="250"/>
      <c r="G10" s="251"/>
      <c r="H10" s="127"/>
      <c r="I10" s="119"/>
      <c r="J10" s="248"/>
      <c r="K10" s="249"/>
      <c r="L10" s="341"/>
      <c r="M10" s="8"/>
    </row>
    <row r="11" spans="1:14" s="35" customFormat="1" ht="15.75" x14ac:dyDescent="0.2">
      <c r="A11" s="10" t="s">
        <v>324</v>
      </c>
      <c r="B11" s="250"/>
      <c r="C11" s="251"/>
      <c r="D11" s="127"/>
      <c r="E11" s="8"/>
      <c r="F11" s="250"/>
      <c r="G11" s="251"/>
      <c r="H11" s="127"/>
      <c r="I11" s="119"/>
      <c r="J11" s="248"/>
      <c r="K11" s="249"/>
      <c r="L11" s="341"/>
      <c r="M11" s="8"/>
      <c r="N11" s="107"/>
    </row>
    <row r="12" spans="1:14" s="35" customFormat="1" ht="15.75" x14ac:dyDescent="0.2">
      <c r="A12" s="33" t="s">
        <v>325</v>
      </c>
      <c r="B12" s="252"/>
      <c r="C12" s="253"/>
      <c r="D12" s="125"/>
      <c r="E12" s="30"/>
      <c r="F12" s="252"/>
      <c r="G12" s="253"/>
      <c r="H12" s="125"/>
      <c r="I12" s="125"/>
      <c r="J12" s="254"/>
      <c r="K12" s="255"/>
      <c r="L12" s="342"/>
      <c r="M12" s="30"/>
      <c r="N12" s="107"/>
    </row>
    <row r="13" spans="1:14" s="35" customFormat="1" x14ac:dyDescent="0.2">
      <c r="A13" s="107"/>
      <c r="B13" s="109"/>
      <c r="C13" s="27"/>
      <c r="D13" s="118"/>
      <c r="E13" s="118"/>
      <c r="F13" s="109"/>
      <c r="G13" s="27"/>
      <c r="H13" s="118"/>
      <c r="I13" s="118"/>
      <c r="J13" s="38"/>
      <c r="K13" s="38"/>
      <c r="L13" s="118"/>
      <c r="M13" s="118"/>
      <c r="N13" s="107"/>
    </row>
    <row r="14" spans="1:14" x14ac:dyDescent="0.2">
      <c r="A14" s="114" t="s">
        <v>246</v>
      </c>
    </row>
    <row r="16" spans="1:14" ht="15.75" x14ac:dyDescent="0.25">
      <c r="A16" s="115"/>
      <c r="C16" s="106"/>
      <c r="D16" s="106"/>
      <c r="E16" s="106"/>
      <c r="F16" s="106"/>
      <c r="G16" s="106"/>
      <c r="H16" s="106"/>
      <c r="I16" s="106"/>
      <c r="J16" s="106"/>
      <c r="K16" s="106"/>
      <c r="L16" s="106"/>
      <c r="M16" s="106"/>
    </row>
    <row r="17" spans="1:13" ht="15.75" x14ac:dyDescent="0.25">
      <c r="A17" s="110" t="s">
        <v>243</v>
      </c>
      <c r="B17" s="106"/>
      <c r="C17" s="106"/>
      <c r="D17" s="112"/>
      <c r="E17" s="112"/>
      <c r="F17" s="106"/>
      <c r="G17" s="106"/>
      <c r="H17" s="106"/>
      <c r="I17" s="106"/>
      <c r="J17" s="106"/>
      <c r="K17" s="106"/>
      <c r="L17" s="106"/>
      <c r="M17" s="106"/>
    </row>
    <row r="18" spans="1:13" ht="15.75" x14ac:dyDescent="0.25">
      <c r="B18" s="576"/>
      <c r="C18" s="576"/>
      <c r="D18" s="576"/>
      <c r="E18" s="240"/>
      <c r="F18" s="576"/>
      <c r="G18" s="576"/>
      <c r="H18" s="576"/>
      <c r="I18" s="240"/>
      <c r="J18" s="576"/>
      <c r="K18" s="576"/>
      <c r="L18" s="576"/>
      <c r="M18" s="240"/>
    </row>
    <row r="19" spans="1:13" x14ac:dyDescent="0.2">
      <c r="A19" s="108"/>
      <c r="B19" s="573" t="s">
        <v>0</v>
      </c>
      <c r="C19" s="574"/>
      <c r="D19" s="574"/>
      <c r="E19" s="242"/>
      <c r="F19" s="573" t="s">
        <v>1</v>
      </c>
      <c r="G19" s="574"/>
      <c r="H19" s="574"/>
      <c r="I19" s="244"/>
      <c r="J19" s="573" t="s">
        <v>2</v>
      </c>
      <c r="K19" s="574"/>
      <c r="L19" s="574"/>
      <c r="M19" s="244"/>
    </row>
    <row r="20" spans="1:13" x14ac:dyDescent="0.2">
      <c r="A20" s="105" t="s">
        <v>5</v>
      </c>
      <c r="B20" s="113">
        <v>45382</v>
      </c>
      <c r="C20" s="113" t="s">
        <v>418</v>
      </c>
      <c r="D20" s="192" t="s">
        <v>3</v>
      </c>
      <c r="E20" s="245" t="s">
        <v>29</v>
      </c>
      <c r="F20" s="113" t="s">
        <v>417</v>
      </c>
      <c r="G20" s="113" t="s">
        <v>418</v>
      </c>
      <c r="H20" s="192" t="s">
        <v>3</v>
      </c>
      <c r="I20" s="121" t="s">
        <v>29</v>
      </c>
      <c r="J20" s="113" t="s">
        <v>417</v>
      </c>
      <c r="K20" s="113" t="s">
        <v>418</v>
      </c>
      <c r="L20" s="192" t="s">
        <v>3</v>
      </c>
      <c r="M20" s="121" t="s">
        <v>29</v>
      </c>
    </row>
    <row r="21" spans="1:13" x14ac:dyDescent="0.2">
      <c r="A21" s="548"/>
      <c r="B21" s="116"/>
      <c r="C21" s="116"/>
      <c r="D21" s="193" t="s">
        <v>4</v>
      </c>
      <c r="E21" s="116" t="s">
        <v>30</v>
      </c>
      <c r="F21" s="120"/>
      <c r="G21" s="120"/>
      <c r="H21" s="192" t="s">
        <v>4</v>
      </c>
      <c r="I21" s="116" t="s">
        <v>30</v>
      </c>
      <c r="J21" s="120"/>
      <c r="K21" s="120"/>
      <c r="L21" s="116" t="s">
        <v>4</v>
      </c>
      <c r="M21" s="116" t="s">
        <v>30</v>
      </c>
    </row>
    <row r="22" spans="1:13" ht="15.75" x14ac:dyDescent="0.2">
      <c r="A22" s="11" t="s">
        <v>23</v>
      </c>
      <c r="B22" s="250">
        <v>44</v>
      </c>
      <c r="C22" s="250"/>
      <c r="D22" s="283">
        <f t="shared" ref="D22" si="3">IF(B22=0, "    ---- ", IF(ABS(ROUND(100/B22*C22-100,1))&lt;999,ROUND(100/B22*C22-100,1),IF(ROUND(100/B22*C22-100,1)&gt;999,999,-999)))</f>
        <v>-100</v>
      </c>
      <c r="E22" s="8">
        <f>IFERROR(100/'Skjema total MA'!C22*C22,0)</f>
        <v>0</v>
      </c>
      <c r="F22" s="258"/>
      <c r="G22" s="258"/>
      <c r="H22" s="283"/>
      <c r="I22" s="8"/>
      <c r="J22" s="256">
        <f t="shared" ref="J22" si="4">SUM(B22,F22)</f>
        <v>44</v>
      </c>
      <c r="K22" s="256"/>
      <c r="L22" s="340">
        <f t="shared" ref="L22" si="5">IF(J22=0, "    ---- ", IF(ABS(ROUND(100/J22*K22-100,1))&lt;999,ROUND(100/J22*K22-100,1),IF(ROUND(100/J22*K22-100,1)&gt;999,999,-999)))</f>
        <v>-100</v>
      </c>
      <c r="M22" s="21">
        <f>IFERROR(100/'Skjema total MA'!I22*K22,0)</f>
        <v>0</v>
      </c>
    </row>
    <row r="23" spans="1:13" ht="15.75" x14ac:dyDescent="0.2">
      <c r="A23" s="381" t="s">
        <v>326</v>
      </c>
      <c r="B23" s="226"/>
      <c r="C23" s="226"/>
      <c r="D23" s="123"/>
      <c r="E23" s="8"/>
      <c r="F23" s="235"/>
      <c r="G23" s="235"/>
      <c r="H23" s="123"/>
      <c r="I23" s="333"/>
      <c r="J23" s="235"/>
      <c r="K23" s="235"/>
      <c r="L23" s="123"/>
      <c r="M23" s="20"/>
    </row>
    <row r="24" spans="1:13" ht="15.75" x14ac:dyDescent="0.2">
      <c r="A24" s="381" t="s">
        <v>327</v>
      </c>
      <c r="B24" s="226"/>
      <c r="C24" s="226"/>
      <c r="D24" s="123"/>
      <c r="E24" s="8"/>
      <c r="F24" s="235"/>
      <c r="G24" s="235"/>
      <c r="H24" s="123"/>
      <c r="I24" s="333"/>
      <c r="J24" s="235"/>
      <c r="K24" s="235"/>
      <c r="L24" s="123"/>
      <c r="M24" s="20"/>
    </row>
    <row r="25" spans="1:13" ht="15.75" x14ac:dyDescent="0.2">
      <c r="A25" s="381" t="s">
        <v>328</v>
      </c>
      <c r="B25" s="226"/>
      <c r="C25" s="226"/>
      <c r="D25" s="123"/>
      <c r="E25" s="8"/>
      <c r="F25" s="235"/>
      <c r="G25" s="235"/>
      <c r="H25" s="123"/>
      <c r="I25" s="333"/>
      <c r="J25" s="235"/>
      <c r="K25" s="235"/>
      <c r="L25" s="123"/>
      <c r="M25" s="20"/>
    </row>
    <row r="26" spans="1:13" ht="15.75" x14ac:dyDescent="0.2">
      <c r="A26" s="381" t="s">
        <v>329</v>
      </c>
      <c r="B26" s="226"/>
      <c r="C26" s="226"/>
      <c r="D26" s="123"/>
      <c r="E26" s="8"/>
      <c r="F26" s="235"/>
      <c r="G26" s="235"/>
      <c r="H26" s="123"/>
      <c r="I26" s="333"/>
      <c r="J26" s="235"/>
      <c r="K26" s="235"/>
      <c r="L26" s="123"/>
      <c r="M26" s="20"/>
    </row>
    <row r="27" spans="1:13" x14ac:dyDescent="0.2">
      <c r="A27" s="381" t="s">
        <v>11</v>
      </c>
      <c r="B27" s="226"/>
      <c r="C27" s="226"/>
      <c r="D27" s="123"/>
      <c r="E27" s="8"/>
      <c r="F27" s="235"/>
      <c r="G27" s="235"/>
      <c r="H27" s="123"/>
      <c r="I27" s="333"/>
      <c r="J27" s="235"/>
      <c r="K27" s="235"/>
      <c r="L27" s="123"/>
      <c r="M27" s="20"/>
    </row>
    <row r="28" spans="1:13" ht="15.75" x14ac:dyDescent="0.2">
      <c r="A28" s="39" t="s">
        <v>247</v>
      </c>
      <c r="B28" s="36"/>
      <c r="C28" s="232"/>
      <c r="D28" s="123"/>
      <c r="E28" s="8"/>
      <c r="F28" s="181"/>
      <c r="G28" s="232"/>
      <c r="H28" s="123"/>
      <c r="I28" s="23"/>
      <c r="J28" s="36"/>
      <c r="K28" s="36"/>
      <c r="L28" s="204"/>
      <c r="M28" s="20"/>
    </row>
    <row r="29" spans="1:13" ht="15.75" x14ac:dyDescent="0.2">
      <c r="A29" s="10" t="s">
        <v>323</v>
      </c>
      <c r="B29" s="183"/>
      <c r="C29" s="183"/>
      <c r="D29" s="127"/>
      <c r="E29" s="8"/>
      <c r="F29" s="248"/>
      <c r="G29" s="248"/>
      <c r="H29" s="127"/>
      <c r="I29" s="8"/>
      <c r="J29" s="183"/>
      <c r="K29" s="183"/>
      <c r="L29" s="341"/>
      <c r="M29" s="21"/>
    </row>
    <row r="30" spans="1:13" ht="15.75" x14ac:dyDescent="0.2">
      <c r="A30" s="381" t="s">
        <v>326</v>
      </c>
      <c r="B30" s="226"/>
      <c r="C30" s="226"/>
      <c r="D30" s="123"/>
      <c r="E30" s="8"/>
      <c r="F30" s="235"/>
      <c r="G30" s="235"/>
      <c r="H30" s="123"/>
      <c r="I30" s="333"/>
      <c r="J30" s="235"/>
      <c r="K30" s="235"/>
      <c r="L30" s="123"/>
      <c r="M30" s="20"/>
    </row>
    <row r="31" spans="1:13" ht="15.75" x14ac:dyDescent="0.2">
      <c r="A31" s="381" t="s">
        <v>327</v>
      </c>
      <c r="B31" s="226"/>
      <c r="C31" s="226"/>
      <c r="D31" s="123"/>
      <c r="E31" s="8"/>
      <c r="F31" s="235"/>
      <c r="G31" s="235"/>
      <c r="H31" s="123"/>
      <c r="I31" s="333"/>
      <c r="J31" s="235"/>
      <c r="K31" s="235"/>
      <c r="L31" s="123"/>
      <c r="M31" s="20"/>
    </row>
    <row r="32" spans="1:13" ht="15.75" x14ac:dyDescent="0.2">
      <c r="A32" s="381" t="s">
        <v>328</v>
      </c>
      <c r="B32" s="226"/>
      <c r="C32" s="226"/>
      <c r="D32" s="123"/>
      <c r="E32" s="8"/>
      <c r="F32" s="235"/>
      <c r="G32" s="235"/>
      <c r="H32" s="123"/>
      <c r="I32" s="333"/>
      <c r="J32" s="235"/>
      <c r="K32" s="235"/>
      <c r="L32" s="123"/>
      <c r="M32" s="20"/>
    </row>
    <row r="33" spans="1:13" ht="15.75" x14ac:dyDescent="0.2">
      <c r="A33" s="381" t="s">
        <v>329</v>
      </c>
      <c r="B33" s="226"/>
      <c r="C33" s="226"/>
      <c r="D33" s="123"/>
      <c r="E33" s="8"/>
      <c r="F33" s="235"/>
      <c r="G33" s="235"/>
      <c r="H33" s="123"/>
      <c r="I33" s="333"/>
      <c r="J33" s="235"/>
      <c r="K33" s="235"/>
      <c r="L33" s="123"/>
      <c r="M33" s="20"/>
    </row>
    <row r="34" spans="1:13" ht="15.75" x14ac:dyDescent="0.2">
      <c r="A34" s="10" t="s">
        <v>324</v>
      </c>
      <c r="B34" s="183"/>
      <c r="C34" s="249"/>
      <c r="D34" s="127"/>
      <c r="E34" s="8"/>
      <c r="F34" s="248"/>
      <c r="G34" s="249"/>
      <c r="H34" s="127"/>
      <c r="I34" s="8"/>
      <c r="J34" s="183"/>
      <c r="K34" s="183"/>
      <c r="L34" s="341"/>
      <c r="M34" s="21"/>
    </row>
    <row r="35" spans="1:13" ht="15.75" x14ac:dyDescent="0.2">
      <c r="A35" s="10" t="s">
        <v>325</v>
      </c>
      <c r="B35" s="183"/>
      <c r="C35" s="249"/>
      <c r="D35" s="127"/>
      <c r="E35" s="8"/>
      <c r="F35" s="248"/>
      <c r="G35" s="249"/>
      <c r="H35" s="127"/>
      <c r="I35" s="8"/>
      <c r="J35" s="183"/>
      <c r="K35" s="183"/>
      <c r="L35" s="341"/>
      <c r="M35" s="21"/>
    </row>
    <row r="36" spans="1:13" ht="15.75" x14ac:dyDescent="0.2">
      <c r="A36" s="9" t="s">
        <v>255</v>
      </c>
      <c r="B36" s="183"/>
      <c r="C36" s="249"/>
      <c r="D36" s="127"/>
      <c r="E36" s="8"/>
      <c r="F36" s="259"/>
      <c r="G36" s="260"/>
      <c r="H36" s="127"/>
      <c r="I36" s="347"/>
      <c r="J36" s="183"/>
      <c r="K36" s="183"/>
      <c r="L36" s="341"/>
      <c r="M36" s="21"/>
    </row>
    <row r="37" spans="1:13" ht="15.75" x14ac:dyDescent="0.2">
      <c r="A37" s="9" t="s">
        <v>331</v>
      </c>
      <c r="B37" s="183"/>
      <c r="C37" s="249"/>
      <c r="D37" s="127"/>
      <c r="E37" s="8"/>
      <c r="F37" s="259"/>
      <c r="G37" s="261"/>
      <c r="H37" s="127"/>
      <c r="I37" s="347"/>
      <c r="J37" s="183"/>
      <c r="K37" s="183"/>
      <c r="L37" s="341"/>
      <c r="M37" s="21"/>
    </row>
    <row r="38" spans="1:13" ht="15.75" x14ac:dyDescent="0.2">
      <c r="A38" s="9" t="s">
        <v>332</v>
      </c>
      <c r="B38" s="183"/>
      <c r="C38" s="249"/>
      <c r="D38" s="127"/>
      <c r="E38" s="21"/>
      <c r="F38" s="259"/>
      <c r="G38" s="260"/>
      <c r="H38" s="127"/>
      <c r="I38" s="347"/>
      <c r="J38" s="183"/>
      <c r="K38" s="183"/>
      <c r="L38" s="341"/>
      <c r="M38" s="21"/>
    </row>
    <row r="39" spans="1:13" ht="15.75" x14ac:dyDescent="0.2">
      <c r="A39" s="15" t="s">
        <v>333</v>
      </c>
      <c r="B39" s="221"/>
      <c r="C39" s="255"/>
      <c r="D39" s="125"/>
      <c r="E39" s="30"/>
      <c r="F39" s="262"/>
      <c r="G39" s="263"/>
      <c r="H39" s="125"/>
      <c r="I39" s="30"/>
      <c r="J39" s="183"/>
      <c r="K39" s="183"/>
      <c r="L39" s="342"/>
      <c r="M39" s="30"/>
    </row>
    <row r="40" spans="1:13" ht="15.75" x14ac:dyDescent="0.25">
      <c r="A40" s="35"/>
      <c r="B40" s="203"/>
      <c r="C40" s="203"/>
      <c r="D40" s="578"/>
      <c r="E40" s="578"/>
      <c r="F40" s="578"/>
      <c r="G40" s="578"/>
      <c r="H40" s="578"/>
      <c r="I40" s="578"/>
      <c r="J40" s="578"/>
      <c r="K40" s="578"/>
      <c r="L40" s="578"/>
      <c r="M40" s="240"/>
    </row>
    <row r="41" spans="1:13" x14ac:dyDescent="0.2">
      <c r="A41" s="115"/>
    </row>
    <row r="42" spans="1:13" ht="15.75" x14ac:dyDescent="0.25">
      <c r="A42" s="110" t="s">
        <v>244</v>
      </c>
      <c r="B42" s="577"/>
      <c r="C42" s="577"/>
      <c r="D42" s="577"/>
      <c r="E42" s="240"/>
      <c r="F42" s="577"/>
      <c r="G42" s="577"/>
      <c r="H42" s="577"/>
      <c r="I42" s="240"/>
      <c r="J42" s="577"/>
      <c r="K42" s="577"/>
      <c r="L42" s="577"/>
      <c r="M42" s="240"/>
    </row>
    <row r="43" spans="1:13" ht="15.75" x14ac:dyDescent="0.25">
      <c r="A43" s="122"/>
      <c r="B43" s="243"/>
      <c r="C43" s="243"/>
      <c r="D43" s="243"/>
      <c r="E43" s="243"/>
      <c r="F43" s="240"/>
      <c r="G43" s="240"/>
      <c r="H43" s="240"/>
      <c r="I43" s="240"/>
      <c r="J43" s="240"/>
      <c r="K43" s="240"/>
      <c r="L43" s="240"/>
      <c r="M43" s="240"/>
    </row>
    <row r="44" spans="1:13" ht="15.75" x14ac:dyDescent="0.25">
      <c r="A44" s="194"/>
      <c r="B44" s="573" t="s">
        <v>0</v>
      </c>
      <c r="C44" s="574"/>
      <c r="D44" s="574"/>
      <c r="E44" s="190"/>
      <c r="F44" s="240"/>
      <c r="G44" s="240"/>
      <c r="H44" s="240"/>
      <c r="I44" s="240"/>
      <c r="J44" s="240"/>
      <c r="K44" s="240"/>
      <c r="L44" s="240"/>
      <c r="M44" s="240"/>
    </row>
    <row r="45" spans="1:13" x14ac:dyDescent="0.2">
      <c r="A45" s="105"/>
      <c r="B45" s="129" t="s">
        <v>417</v>
      </c>
      <c r="C45" s="129" t="s">
        <v>418</v>
      </c>
      <c r="D45" s="121" t="s">
        <v>3</v>
      </c>
      <c r="E45" s="121" t="s">
        <v>29</v>
      </c>
      <c r="F45" s="131"/>
      <c r="G45" s="131"/>
      <c r="H45" s="130"/>
      <c r="I45" s="130"/>
      <c r="J45" s="131"/>
      <c r="K45" s="131"/>
      <c r="L45" s="130"/>
      <c r="M45" s="130"/>
    </row>
    <row r="46" spans="1:13" x14ac:dyDescent="0.2">
      <c r="A46" s="548"/>
      <c r="B46" s="191"/>
      <c r="C46" s="191"/>
      <c r="D46" s="192" t="s">
        <v>4</v>
      </c>
      <c r="E46" s="116" t="s">
        <v>30</v>
      </c>
      <c r="F46" s="130"/>
      <c r="G46" s="130"/>
      <c r="H46" s="130"/>
      <c r="I46" s="130"/>
      <c r="J46" s="130"/>
      <c r="K46" s="130"/>
      <c r="L46" s="130"/>
      <c r="M46" s="130"/>
    </row>
    <row r="47" spans="1:13" ht="15.75" x14ac:dyDescent="0.2">
      <c r="A47" s="11" t="s">
        <v>23</v>
      </c>
      <c r="B47" s="250">
        <v>98980</v>
      </c>
      <c r="C47" s="251"/>
      <c r="D47" s="340">
        <f t="shared" ref="D47:D48" si="6">IF(B47=0, "    ---- ", IF(ABS(ROUND(100/B47*C47-100,1))&lt;999,ROUND(100/B47*C47-100,1),IF(ROUND(100/B47*C47-100,1)&gt;999,999,-999)))</f>
        <v>-100</v>
      </c>
      <c r="E47" s="8">
        <f>IFERROR(100/'Skjema total MA'!C47*C47,0)</f>
        <v>0</v>
      </c>
      <c r="F47" s="109"/>
      <c r="G47" s="27"/>
      <c r="H47" s="118"/>
      <c r="I47" s="118"/>
      <c r="J47" s="31"/>
      <c r="K47" s="31"/>
      <c r="L47" s="118"/>
      <c r="M47" s="118"/>
    </row>
    <row r="48" spans="1:13" ht="15.75" x14ac:dyDescent="0.2">
      <c r="A48" s="18" t="s">
        <v>334</v>
      </c>
      <c r="B48" s="226">
        <v>28721</v>
      </c>
      <c r="C48" s="227"/>
      <c r="D48" s="204">
        <f t="shared" si="6"/>
        <v>-100</v>
      </c>
      <c r="E48" s="23">
        <f>IFERROR(100/'Skjema total MA'!C48*C48,0)</f>
        <v>0</v>
      </c>
      <c r="F48" s="109"/>
      <c r="G48" s="27"/>
      <c r="H48" s="109"/>
      <c r="I48" s="109"/>
      <c r="J48" s="27"/>
      <c r="K48" s="27"/>
      <c r="L48" s="118"/>
      <c r="M48" s="118"/>
    </row>
    <row r="49" spans="1:13" ht="15.75" x14ac:dyDescent="0.2">
      <c r="A49" s="18" t="s">
        <v>335</v>
      </c>
      <c r="B49" s="226">
        <v>70259</v>
      </c>
      <c r="C49" s="227"/>
      <c r="D49" s="204">
        <f>IF(B49=0, "    ---- ", IF(ABS(ROUND(100/B49*C49-100,1))&lt;999,ROUND(100/B49*C49-100,1),IF(ROUND(100/B49*C49-100,1)&gt;999,999,-999)))</f>
        <v>-100</v>
      </c>
      <c r="E49" s="23">
        <f>IFERROR(100/'Skjema total MA'!C49*C49,0)</f>
        <v>0</v>
      </c>
      <c r="F49" s="109"/>
      <c r="G49" s="27"/>
      <c r="H49" s="109"/>
      <c r="I49" s="109"/>
      <c r="J49" s="31"/>
      <c r="K49" s="31"/>
      <c r="L49" s="118"/>
      <c r="M49" s="118"/>
    </row>
    <row r="50" spans="1:13" x14ac:dyDescent="0.2">
      <c r="A50" s="238" t="s">
        <v>6</v>
      </c>
      <c r="B50" s="230"/>
      <c r="C50" s="231"/>
      <c r="D50" s="204"/>
      <c r="E50" s="20"/>
      <c r="F50" s="109"/>
      <c r="G50" s="27"/>
      <c r="H50" s="109"/>
      <c r="I50" s="109"/>
      <c r="J50" s="27"/>
      <c r="K50" s="27"/>
      <c r="L50" s="118"/>
      <c r="M50" s="118"/>
    </row>
    <row r="51" spans="1:13" x14ac:dyDescent="0.2">
      <c r="A51" s="238" t="s">
        <v>7</v>
      </c>
      <c r="B51" s="230"/>
      <c r="C51" s="231"/>
      <c r="D51" s="204"/>
      <c r="E51" s="20"/>
      <c r="F51" s="109"/>
      <c r="G51" s="27"/>
      <c r="H51" s="109"/>
      <c r="I51" s="109"/>
      <c r="J51" s="27"/>
      <c r="K51" s="27"/>
      <c r="L51" s="118"/>
      <c r="M51" s="118"/>
    </row>
    <row r="52" spans="1:13" x14ac:dyDescent="0.2">
      <c r="A52" s="238" t="s">
        <v>8</v>
      </c>
      <c r="B52" s="230"/>
      <c r="C52" s="231"/>
      <c r="D52" s="204"/>
      <c r="E52" s="20"/>
      <c r="F52" s="109"/>
      <c r="G52" s="27"/>
      <c r="H52" s="109"/>
      <c r="I52" s="109"/>
      <c r="J52" s="27"/>
      <c r="K52" s="27"/>
      <c r="L52" s="118"/>
      <c r="M52" s="118"/>
    </row>
    <row r="53" spans="1:13" ht="15.75" x14ac:dyDescent="0.2">
      <c r="A53" s="10" t="s">
        <v>336</v>
      </c>
      <c r="B53" s="250"/>
      <c r="C53" s="251"/>
      <c r="D53" s="341"/>
      <c r="E53" s="8"/>
      <c r="F53" s="109"/>
      <c r="G53" s="27"/>
      <c r="H53" s="109"/>
      <c r="I53" s="109"/>
      <c r="J53" s="27"/>
      <c r="K53" s="27"/>
      <c r="L53" s="118"/>
      <c r="M53" s="118"/>
    </row>
    <row r="54" spans="1:13" ht="15.75" x14ac:dyDescent="0.2">
      <c r="A54" s="18" t="s">
        <v>334</v>
      </c>
      <c r="B54" s="226"/>
      <c r="C54" s="227"/>
      <c r="D54" s="204"/>
      <c r="E54" s="23"/>
      <c r="F54" s="109"/>
      <c r="G54" s="27"/>
      <c r="H54" s="109"/>
      <c r="I54" s="109"/>
      <c r="J54" s="27"/>
      <c r="K54" s="27"/>
      <c r="L54" s="118"/>
      <c r="M54" s="118"/>
    </row>
    <row r="55" spans="1:13" ht="15.75" x14ac:dyDescent="0.2">
      <c r="A55" s="18" t="s">
        <v>335</v>
      </c>
      <c r="B55" s="226"/>
      <c r="C55" s="227"/>
      <c r="D55" s="204"/>
      <c r="E55" s="23"/>
      <c r="F55" s="109"/>
      <c r="G55" s="27"/>
      <c r="H55" s="109"/>
      <c r="I55" s="109"/>
      <c r="J55" s="27"/>
      <c r="K55" s="27"/>
      <c r="L55" s="118"/>
      <c r="M55" s="118"/>
    </row>
    <row r="56" spans="1:13" ht="15.75" x14ac:dyDescent="0.2">
      <c r="A56" s="10" t="s">
        <v>337</v>
      </c>
      <c r="B56" s="250"/>
      <c r="C56" s="251"/>
      <c r="D56" s="341"/>
      <c r="E56" s="8"/>
      <c r="F56" s="109"/>
      <c r="G56" s="27"/>
      <c r="H56" s="109"/>
      <c r="I56" s="109"/>
      <c r="J56" s="27"/>
      <c r="K56" s="27"/>
      <c r="L56" s="118"/>
      <c r="M56" s="118"/>
    </row>
    <row r="57" spans="1:13" ht="15.75" x14ac:dyDescent="0.2">
      <c r="A57" s="18" t="s">
        <v>334</v>
      </c>
      <c r="B57" s="226"/>
      <c r="C57" s="227"/>
      <c r="D57" s="204"/>
      <c r="E57" s="23"/>
      <c r="F57" s="109"/>
      <c r="G57" s="27"/>
      <c r="H57" s="109"/>
      <c r="I57" s="109"/>
      <c r="J57" s="27"/>
      <c r="K57" s="27"/>
      <c r="L57" s="118"/>
      <c r="M57" s="118"/>
    </row>
    <row r="58" spans="1:13" ht="15.75" x14ac:dyDescent="0.2">
      <c r="A58" s="7" t="s">
        <v>335</v>
      </c>
      <c r="B58" s="228"/>
      <c r="C58" s="229"/>
      <c r="D58" s="205"/>
      <c r="E58" s="19"/>
      <c r="F58" s="109"/>
      <c r="G58" s="27"/>
      <c r="H58" s="109"/>
      <c r="I58" s="109"/>
      <c r="J58" s="27"/>
      <c r="K58" s="27"/>
      <c r="L58" s="118"/>
      <c r="M58" s="118"/>
    </row>
    <row r="59" spans="1:13" ht="15.75" x14ac:dyDescent="0.25">
      <c r="A59" s="115"/>
      <c r="B59" s="106"/>
      <c r="C59" s="106"/>
      <c r="D59" s="106"/>
      <c r="E59" s="106"/>
      <c r="F59" s="106"/>
      <c r="G59" s="106"/>
      <c r="H59" s="106"/>
      <c r="I59" s="106"/>
      <c r="J59" s="106"/>
      <c r="K59" s="106"/>
      <c r="L59" s="106"/>
      <c r="M59" s="106"/>
    </row>
    <row r="60" spans="1:13" x14ac:dyDescent="0.2">
      <c r="A60" s="115"/>
    </row>
    <row r="61" spans="1:13" ht="15.75" x14ac:dyDescent="0.25">
      <c r="A61" s="110" t="s">
        <v>245</v>
      </c>
    </row>
    <row r="62" spans="1:13" ht="15.75" x14ac:dyDescent="0.25">
      <c r="B62" s="576"/>
      <c r="C62" s="576"/>
      <c r="D62" s="576"/>
      <c r="E62" s="240"/>
      <c r="F62" s="576"/>
      <c r="G62" s="576"/>
      <c r="H62" s="576"/>
      <c r="I62" s="240"/>
      <c r="J62" s="576"/>
      <c r="K62" s="576"/>
      <c r="L62" s="576"/>
      <c r="M62" s="240"/>
    </row>
    <row r="63" spans="1:13" x14ac:dyDescent="0.2">
      <c r="A63" s="108"/>
      <c r="B63" s="573" t="s">
        <v>0</v>
      </c>
      <c r="C63" s="574"/>
      <c r="D63" s="575"/>
      <c r="E63" s="241"/>
      <c r="F63" s="574" t="s">
        <v>1</v>
      </c>
      <c r="G63" s="574"/>
      <c r="H63" s="574"/>
      <c r="I63" s="244"/>
      <c r="J63" s="573" t="s">
        <v>2</v>
      </c>
      <c r="K63" s="574"/>
      <c r="L63" s="574"/>
      <c r="M63" s="244"/>
    </row>
    <row r="64" spans="1:13" x14ac:dyDescent="0.2">
      <c r="A64" s="105"/>
      <c r="B64" s="113" t="s">
        <v>417</v>
      </c>
      <c r="C64" s="113" t="s">
        <v>418</v>
      </c>
      <c r="D64" s="192" t="s">
        <v>3</v>
      </c>
      <c r="E64" s="245" t="s">
        <v>29</v>
      </c>
      <c r="F64" s="113" t="s">
        <v>417</v>
      </c>
      <c r="G64" s="113" t="s">
        <v>418</v>
      </c>
      <c r="H64" s="192" t="s">
        <v>3</v>
      </c>
      <c r="I64" s="245" t="s">
        <v>29</v>
      </c>
      <c r="J64" s="113" t="s">
        <v>417</v>
      </c>
      <c r="K64" s="113" t="s">
        <v>418</v>
      </c>
      <c r="L64" s="192" t="s">
        <v>3</v>
      </c>
      <c r="M64" s="121" t="s">
        <v>29</v>
      </c>
    </row>
    <row r="65" spans="1:13" x14ac:dyDescent="0.2">
      <c r="A65" s="548"/>
      <c r="B65" s="116"/>
      <c r="C65" s="116"/>
      <c r="D65" s="193" t="s">
        <v>4</v>
      </c>
      <c r="E65" s="116" t="s">
        <v>30</v>
      </c>
      <c r="F65" s="120"/>
      <c r="G65" s="120"/>
      <c r="H65" s="192" t="s">
        <v>4</v>
      </c>
      <c r="I65" s="116" t="s">
        <v>30</v>
      </c>
      <c r="J65" s="120"/>
      <c r="K65" s="157"/>
      <c r="L65" s="116" t="s">
        <v>4</v>
      </c>
      <c r="M65" s="116" t="s">
        <v>30</v>
      </c>
    </row>
    <row r="66" spans="1:13" ht="15.75" x14ac:dyDescent="0.2">
      <c r="A66" s="11" t="s">
        <v>23</v>
      </c>
      <c r="B66" s="286"/>
      <c r="C66" s="286"/>
      <c r="D66" s="283"/>
      <c r="E66" s="8"/>
      <c r="F66" s="285"/>
      <c r="G66" s="285"/>
      <c r="H66" s="283"/>
      <c r="I66" s="8"/>
      <c r="J66" s="249"/>
      <c r="K66" s="256"/>
      <c r="L66" s="341"/>
      <c r="M66" s="8"/>
    </row>
    <row r="67" spans="1:13" x14ac:dyDescent="0.2">
      <c r="A67" s="39" t="s">
        <v>9</v>
      </c>
      <c r="B67" s="36"/>
      <c r="C67" s="109"/>
      <c r="D67" s="123"/>
      <c r="E67" s="23"/>
      <c r="F67" s="181"/>
      <c r="G67" s="109"/>
      <c r="H67" s="123"/>
      <c r="I67" s="23"/>
      <c r="J67" s="232"/>
      <c r="K67" s="36"/>
      <c r="L67" s="204"/>
      <c r="M67" s="23"/>
    </row>
    <row r="68" spans="1:13" x14ac:dyDescent="0.2">
      <c r="A68" s="18" t="s">
        <v>10</v>
      </c>
      <c r="B68" s="236"/>
      <c r="C68" s="237"/>
      <c r="D68" s="123"/>
      <c r="E68" s="23"/>
      <c r="F68" s="236"/>
      <c r="G68" s="237"/>
      <c r="H68" s="123"/>
      <c r="I68" s="23"/>
      <c r="J68" s="232"/>
      <c r="K68" s="36"/>
      <c r="L68" s="204"/>
      <c r="M68" s="23"/>
    </row>
    <row r="69" spans="1:13" ht="15.75" x14ac:dyDescent="0.2">
      <c r="A69" s="238" t="s">
        <v>338</v>
      </c>
      <c r="B69" s="230"/>
      <c r="C69" s="231"/>
      <c r="D69" s="123"/>
      <c r="E69" s="333"/>
      <c r="F69" s="230"/>
      <c r="G69" s="231"/>
      <c r="H69" s="123"/>
      <c r="I69" s="333"/>
      <c r="J69" s="230"/>
      <c r="K69" s="231"/>
      <c r="L69" s="123"/>
      <c r="M69" s="20"/>
    </row>
    <row r="70" spans="1:13" x14ac:dyDescent="0.2">
      <c r="A70" s="238" t="s">
        <v>12</v>
      </c>
      <c r="B70" s="230"/>
      <c r="C70" s="231"/>
      <c r="D70" s="123"/>
      <c r="E70" s="333"/>
      <c r="F70" s="230"/>
      <c r="G70" s="231"/>
      <c r="H70" s="123"/>
      <c r="I70" s="333"/>
      <c r="J70" s="230"/>
      <c r="K70" s="231"/>
      <c r="L70" s="123"/>
      <c r="M70" s="20"/>
    </row>
    <row r="71" spans="1:13" x14ac:dyDescent="0.2">
      <c r="A71" s="238" t="s">
        <v>13</v>
      </c>
      <c r="B71" s="230"/>
      <c r="C71" s="231"/>
      <c r="D71" s="123"/>
      <c r="E71" s="333"/>
      <c r="F71" s="230"/>
      <c r="G71" s="231"/>
      <c r="H71" s="123"/>
      <c r="I71" s="333"/>
      <c r="J71" s="230"/>
      <c r="K71" s="231"/>
      <c r="L71" s="123"/>
      <c r="M71" s="20"/>
    </row>
    <row r="72" spans="1:13" ht="15.75" x14ac:dyDescent="0.2">
      <c r="A72" s="238" t="s">
        <v>339</v>
      </c>
      <c r="B72" s="230"/>
      <c r="C72" s="231"/>
      <c r="D72" s="123"/>
      <c r="E72" s="333"/>
      <c r="F72" s="230"/>
      <c r="G72" s="231"/>
      <c r="H72" s="123"/>
      <c r="I72" s="333"/>
      <c r="J72" s="230"/>
      <c r="K72" s="231"/>
      <c r="L72" s="123"/>
      <c r="M72" s="20"/>
    </row>
    <row r="73" spans="1:13" x14ac:dyDescent="0.2">
      <c r="A73" s="238" t="s">
        <v>12</v>
      </c>
      <c r="B73" s="230"/>
      <c r="C73" s="231"/>
      <c r="D73" s="123"/>
      <c r="E73" s="333"/>
      <c r="F73" s="230"/>
      <c r="G73" s="231"/>
      <c r="H73" s="123"/>
      <c r="I73" s="333"/>
      <c r="J73" s="230"/>
      <c r="K73" s="231"/>
      <c r="L73" s="123"/>
      <c r="M73" s="20"/>
    </row>
    <row r="74" spans="1:13" x14ac:dyDescent="0.2">
      <c r="A74" s="238" t="s">
        <v>13</v>
      </c>
      <c r="B74" s="230"/>
      <c r="C74" s="231"/>
      <c r="D74" s="123"/>
      <c r="E74" s="333"/>
      <c r="F74" s="230"/>
      <c r="G74" s="231"/>
      <c r="H74" s="123"/>
      <c r="I74" s="333"/>
      <c r="J74" s="230"/>
      <c r="K74" s="231"/>
      <c r="L74" s="123"/>
      <c r="M74" s="20"/>
    </row>
    <row r="75" spans="1:13" x14ac:dyDescent="0.2">
      <c r="A75" s="18" t="s">
        <v>310</v>
      </c>
      <c r="B75" s="181"/>
      <c r="C75" s="109"/>
      <c r="D75" s="123"/>
      <c r="E75" s="23"/>
      <c r="F75" s="181"/>
      <c r="G75" s="109"/>
      <c r="H75" s="123"/>
      <c r="I75" s="23"/>
      <c r="J75" s="232"/>
      <c r="K75" s="36"/>
      <c r="L75" s="204"/>
      <c r="M75" s="23"/>
    </row>
    <row r="76" spans="1:13" x14ac:dyDescent="0.2">
      <c r="A76" s="18" t="s">
        <v>309</v>
      </c>
      <c r="B76" s="181"/>
      <c r="C76" s="109"/>
      <c r="D76" s="123"/>
      <c r="E76" s="23"/>
      <c r="F76" s="181"/>
      <c r="G76" s="109"/>
      <c r="H76" s="123"/>
      <c r="I76" s="23"/>
      <c r="J76" s="232"/>
      <c r="K76" s="36"/>
      <c r="L76" s="204"/>
      <c r="M76" s="23"/>
    </row>
    <row r="77" spans="1:13" ht="15.75" x14ac:dyDescent="0.2">
      <c r="A77" s="18" t="s">
        <v>340</v>
      </c>
      <c r="B77" s="181"/>
      <c r="C77" s="181"/>
      <c r="D77" s="123"/>
      <c r="E77" s="23"/>
      <c r="F77" s="181"/>
      <c r="G77" s="109"/>
      <c r="H77" s="123"/>
      <c r="I77" s="23"/>
      <c r="J77" s="232"/>
      <c r="K77" s="36"/>
      <c r="L77" s="204"/>
      <c r="M77" s="23"/>
    </row>
    <row r="78" spans="1:13" x14ac:dyDescent="0.2">
      <c r="A78" s="18" t="s">
        <v>9</v>
      </c>
      <c r="B78" s="181"/>
      <c r="C78" s="109"/>
      <c r="D78" s="123"/>
      <c r="E78" s="23"/>
      <c r="F78" s="181"/>
      <c r="G78" s="109"/>
      <c r="H78" s="123"/>
      <c r="I78" s="23"/>
      <c r="J78" s="232"/>
      <c r="K78" s="36"/>
      <c r="L78" s="204"/>
      <c r="M78" s="23"/>
    </row>
    <row r="79" spans="1:13" x14ac:dyDescent="0.2">
      <c r="A79" s="18" t="s">
        <v>368</v>
      </c>
      <c r="B79" s="236"/>
      <c r="C79" s="237"/>
      <c r="D79" s="123"/>
      <c r="E79" s="23"/>
      <c r="F79" s="236"/>
      <c r="G79" s="237"/>
      <c r="H79" s="123"/>
      <c r="I79" s="23"/>
      <c r="J79" s="232"/>
      <c r="K79" s="36"/>
      <c r="L79" s="204"/>
      <c r="M79" s="23"/>
    </row>
    <row r="80" spans="1:13" ht="15.75" x14ac:dyDescent="0.2">
      <c r="A80" s="238" t="s">
        <v>338</v>
      </c>
      <c r="B80" s="230"/>
      <c r="C80" s="231"/>
      <c r="D80" s="123"/>
      <c r="E80" s="333"/>
      <c r="F80" s="230"/>
      <c r="G80" s="231"/>
      <c r="H80" s="123"/>
      <c r="I80" s="333"/>
      <c r="J80" s="230"/>
      <c r="K80" s="231"/>
      <c r="L80" s="123"/>
      <c r="M80" s="20"/>
    </row>
    <row r="81" spans="1:13" x14ac:dyDescent="0.2">
      <c r="A81" s="238" t="s">
        <v>12</v>
      </c>
      <c r="B81" s="230"/>
      <c r="C81" s="231"/>
      <c r="D81" s="123"/>
      <c r="E81" s="333"/>
      <c r="F81" s="230"/>
      <c r="G81" s="231"/>
      <c r="H81" s="123"/>
      <c r="I81" s="333"/>
      <c r="J81" s="230"/>
      <c r="K81" s="231"/>
      <c r="L81" s="123"/>
      <c r="M81" s="20"/>
    </row>
    <row r="82" spans="1:13" x14ac:dyDescent="0.2">
      <c r="A82" s="238" t="s">
        <v>13</v>
      </c>
      <c r="B82" s="230"/>
      <c r="C82" s="231"/>
      <c r="D82" s="123"/>
      <c r="E82" s="333"/>
      <c r="F82" s="230"/>
      <c r="G82" s="231"/>
      <c r="H82" s="123"/>
      <c r="I82" s="333"/>
      <c r="J82" s="230"/>
      <c r="K82" s="231"/>
      <c r="L82" s="123"/>
      <c r="M82" s="20"/>
    </row>
    <row r="83" spans="1:13" ht="15.75" x14ac:dyDescent="0.2">
      <c r="A83" s="238" t="s">
        <v>339</v>
      </c>
      <c r="B83" s="230"/>
      <c r="C83" s="231"/>
      <c r="D83" s="123"/>
      <c r="E83" s="333"/>
      <c r="F83" s="230"/>
      <c r="G83" s="231"/>
      <c r="H83" s="123"/>
      <c r="I83" s="333"/>
      <c r="J83" s="230"/>
      <c r="K83" s="231"/>
      <c r="L83" s="123"/>
      <c r="M83" s="20"/>
    </row>
    <row r="84" spans="1:13" x14ac:dyDescent="0.2">
      <c r="A84" s="238" t="s">
        <v>12</v>
      </c>
      <c r="B84" s="230"/>
      <c r="C84" s="231"/>
      <c r="D84" s="123"/>
      <c r="E84" s="333"/>
      <c r="F84" s="230"/>
      <c r="G84" s="231"/>
      <c r="H84" s="123"/>
      <c r="I84" s="333"/>
      <c r="J84" s="230"/>
      <c r="K84" s="231"/>
      <c r="L84" s="123"/>
      <c r="M84" s="20"/>
    </row>
    <row r="85" spans="1:13" x14ac:dyDescent="0.2">
      <c r="A85" s="238" t="s">
        <v>13</v>
      </c>
      <c r="B85" s="182"/>
      <c r="C85" s="234"/>
      <c r="D85" s="123"/>
      <c r="E85" s="333"/>
      <c r="F85" s="230"/>
      <c r="G85" s="231"/>
      <c r="H85" s="123"/>
      <c r="I85" s="333"/>
      <c r="J85" s="230"/>
      <c r="K85" s="231"/>
      <c r="L85" s="123"/>
      <c r="M85" s="20"/>
    </row>
    <row r="86" spans="1:13" ht="15.75" x14ac:dyDescent="0.2">
      <c r="A86" s="18" t="s">
        <v>341</v>
      </c>
      <c r="B86" s="181"/>
      <c r="C86" s="109"/>
      <c r="D86" s="123"/>
      <c r="E86" s="23"/>
      <c r="F86" s="181"/>
      <c r="G86" s="109"/>
      <c r="H86" s="123"/>
      <c r="I86" s="23"/>
      <c r="J86" s="232"/>
      <c r="K86" s="36"/>
      <c r="L86" s="204"/>
      <c r="M86" s="23"/>
    </row>
    <row r="87" spans="1:13" ht="15.75" x14ac:dyDescent="0.2">
      <c r="A87" s="10" t="s">
        <v>323</v>
      </c>
      <c r="B87" s="286"/>
      <c r="C87" s="286"/>
      <c r="D87" s="127"/>
      <c r="E87" s="8"/>
      <c r="F87" s="285"/>
      <c r="G87" s="285"/>
      <c r="H87" s="127"/>
      <c r="I87" s="8"/>
      <c r="J87" s="249"/>
      <c r="K87" s="183"/>
      <c r="L87" s="341"/>
      <c r="M87" s="8"/>
    </row>
    <row r="88" spans="1:13" x14ac:dyDescent="0.2">
      <c r="A88" s="18" t="s">
        <v>9</v>
      </c>
      <c r="B88" s="181"/>
      <c r="C88" s="109"/>
      <c r="D88" s="123"/>
      <c r="E88" s="23"/>
      <c r="F88" s="181"/>
      <c r="G88" s="109"/>
      <c r="H88" s="123"/>
      <c r="I88" s="23"/>
      <c r="J88" s="232"/>
      <c r="K88" s="36"/>
      <c r="L88" s="204"/>
      <c r="M88" s="23"/>
    </row>
    <row r="89" spans="1:13" x14ac:dyDescent="0.2">
      <c r="A89" s="18" t="s">
        <v>10</v>
      </c>
      <c r="B89" s="181"/>
      <c r="C89" s="109"/>
      <c r="D89" s="123"/>
      <c r="E89" s="23"/>
      <c r="F89" s="181"/>
      <c r="G89" s="109"/>
      <c r="H89" s="123"/>
      <c r="I89" s="23"/>
      <c r="J89" s="232"/>
      <c r="K89" s="36"/>
      <c r="L89" s="204"/>
      <c r="M89" s="23"/>
    </row>
    <row r="90" spans="1:13" ht="15.75" x14ac:dyDescent="0.2">
      <c r="A90" s="238" t="s">
        <v>338</v>
      </c>
      <c r="B90" s="230"/>
      <c r="C90" s="231"/>
      <c r="D90" s="123"/>
      <c r="E90" s="333"/>
      <c r="F90" s="230"/>
      <c r="G90" s="231"/>
      <c r="H90" s="123"/>
      <c r="I90" s="333"/>
      <c r="J90" s="230"/>
      <c r="K90" s="231"/>
      <c r="L90" s="123"/>
      <c r="M90" s="20"/>
    </row>
    <row r="91" spans="1:13" x14ac:dyDescent="0.2">
      <c r="A91" s="238" t="s">
        <v>12</v>
      </c>
      <c r="B91" s="230"/>
      <c r="C91" s="231"/>
      <c r="D91" s="123"/>
      <c r="E91" s="333"/>
      <c r="F91" s="230"/>
      <c r="G91" s="231"/>
      <c r="H91" s="123"/>
      <c r="I91" s="333"/>
      <c r="J91" s="230"/>
      <c r="K91" s="231"/>
      <c r="L91" s="123"/>
      <c r="M91" s="20"/>
    </row>
    <row r="92" spans="1:13" x14ac:dyDescent="0.2">
      <c r="A92" s="238" t="s">
        <v>13</v>
      </c>
      <c r="B92" s="230"/>
      <c r="C92" s="231"/>
      <c r="D92" s="123"/>
      <c r="E92" s="333"/>
      <c r="F92" s="230"/>
      <c r="G92" s="231"/>
      <c r="H92" s="123"/>
      <c r="I92" s="333"/>
      <c r="J92" s="230"/>
      <c r="K92" s="231"/>
      <c r="L92" s="123"/>
      <c r="M92" s="20"/>
    </row>
    <row r="93" spans="1:13" ht="15.75" x14ac:dyDescent="0.2">
      <c r="A93" s="238" t="s">
        <v>339</v>
      </c>
      <c r="B93" s="230"/>
      <c r="C93" s="231"/>
      <c r="D93" s="123"/>
      <c r="E93" s="333"/>
      <c r="F93" s="230"/>
      <c r="G93" s="231"/>
      <c r="H93" s="123"/>
      <c r="I93" s="333"/>
      <c r="J93" s="230"/>
      <c r="K93" s="231"/>
      <c r="L93" s="123"/>
      <c r="M93" s="20"/>
    </row>
    <row r="94" spans="1:13" x14ac:dyDescent="0.2">
      <c r="A94" s="238" t="s">
        <v>12</v>
      </c>
      <c r="B94" s="230"/>
      <c r="C94" s="231"/>
      <c r="D94" s="123"/>
      <c r="E94" s="333"/>
      <c r="F94" s="230"/>
      <c r="G94" s="231"/>
      <c r="H94" s="123"/>
      <c r="I94" s="333"/>
      <c r="J94" s="230"/>
      <c r="K94" s="231"/>
      <c r="L94" s="123"/>
      <c r="M94" s="20"/>
    </row>
    <row r="95" spans="1:13" x14ac:dyDescent="0.2">
      <c r="A95" s="238" t="s">
        <v>13</v>
      </c>
      <c r="B95" s="230"/>
      <c r="C95" s="231"/>
      <c r="D95" s="123"/>
      <c r="E95" s="333"/>
      <c r="F95" s="230"/>
      <c r="G95" s="231"/>
      <c r="H95" s="123"/>
      <c r="I95" s="333"/>
      <c r="J95" s="230"/>
      <c r="K95" s="231"/>
      <c r="L95" s="123"/>
      <c r="M95" s="20"/>
    </row>
    <row r="96" spans="1:13" x14ac:dyDescent="0.2">
      <c r="A96" s="18" t="s">
        <v>308</v>
      </c>
      <c r="B96" s="181"/>
      <c r="C96" s="109"/>
      <c r="D96" s="123"/>
      <c r="E96" s="23"/>
      <c r="F96" s="181"/>
      <c r="G96" s="109"/>
      <c r="H96" s="123"/>
      <c r="I96" s="23"/>
      <c r="J96" s="232"/>
      <c r="K96" s="36"/>
      <c r="L96" s="204"/>
      <c r="M96" s="23"/>
    </row>
    <row r="97" spans="1:13" x14ac:dyDescent="0.2">
      <c r="A97" s="18" t="s">
        <v>307</v>
      </c>
      <c r="B97" s="181"/>
      <c r="C97" s="109"/>
      <c r="D97" s="123"/>
      <c r="E97" s="23"/>
      <c r="F97" s="181"/>
      <c r="G97" s="109"/>
      <c r="H97" s="123"/>
      <c r="I97" s="23"/>
      <c r="J97" s="232"/>
      <c r="K97" s="36"/>
      <c r="L97" s="204"/>
      <c r="M97" s="23"/>
    </row>
    <row r="98" spans="1:13" ht="15.75" x14ac:dyDescent="0.2">
      <c r="A98" s="18" t="s">
        <v>340</v>
      </c>
      <c r="B98" s="181"/>
      <c r="C98" s="181"/>
      <c r="D98" s="123"/>
      <c r="E98" s="23"/>
      <c r="F98" s="236"/>
      <c r="G98" s="236"/>
      <c r="H98" s="123"/>
      <c r="I98" s="23"/>
      <c r="J98" s="232"/>
      <c r="K98" s="36"/>
      <c r="L98" s="204"/>
      <c r="M98" s="23"/>
    </row>
    <row r="99" spans="1:13" x14ac:dyDescent="0.2">
      <c r="A99" s="18" t="s">
        <v>9</v>
      </c>
      <c r="B99" s="236"/>
      <c r="C99" s="237"/>
      <c r="D99" s="123"/>
      <c r="E99" s="23"/>
      <c r="F99" s="181"/>
      <c r="G99" s="109"/>
      <c r="H99" s="123"/>
      <c r="I99" s="23"/>
      <c r="J99" s="232"/>
      <c r="K99" s="36"/>
      <c r="L99" s="204"/>
      <c r="M99" s="23"/>
    </row>
    <row r="100" spans="1:13" x14ac:dyDescent="0.2">
      <c r="A100" s="18" t="s">
        <v>368</v>
      </c>
      <c r="B100" s="236"/>
      <c r="C100" s="237"/>
      <c r="D100" s="123"/>
      <c r="E100" s="23"/>
      <c r="F100" s="181"/>
      <c r="G100" s="181"/>
      <c r="H100" s="123"/>
      <c r="I100" s="23"/>
      <c r="J100" s="232"/>
      <c r="K100" s="36"/>
      <c r="L100" s="204"/>
      <c r="M100" s="23"/>
    </row>
    <row r="101" spans="1:13" ht="15.75" x14ac:dyDescent="0.2">
      <c r="A101" s="547" t="s">
        <v>338</v>
      </c>
      <c r="B101" s="230"/>
      <c r="C101" s="231"/>
      <c r="D101" s="123"/>
      <c r="E101" s="333"/>
      <c r="F101" s="230"/>
      <c r="G101" s="231"/>
      <c r="H101" s="123"/>
      <c r="I101" s="333"/>
      <c r="J101" s="230"/>
      <c r="K101" s="231"/>
      <c r="L101" s="123"/>
      <c r="M101" s="20"/>
    </row>
    <row r="102" spans="1:13" x14ac:dyDescent="0.2">
      <c r="A102" s="238" t="s">
        <v>12</v>
      </c>
      <c r="B102" s="230"/>
      <c r="C102" s="231"/>
      <c r="D102" s="123"/>
      <c r="E102" s="333"/>
      <c r="F102" s="230"/>
      <c r="G102" s="231"/>
      <c r="H102" s="123"/>
      <c r="I102" s="333"/>
      <c r="J102" s="230"/>
      <c r="K102" s="231"/>
      <c r="L102" s="123"/>
      <c r="M102" s="20"/>
    </row>
    <row r="103" spans="1:13" x14ac:dyDescent="0.2">
      <c r="A103" s="238" t="s">
        <v>13</v>
      </c>
      <c r="B103" s="230"/>
      <c r="C103" s="231"/>
      <c r="D103" s="123"/>
      <c r="E103" s="333"/>
      <c r="F103" s="230"/>
      <c r="G103" s="231"/>
      <c r="H103" s="123"/>
      <c r="I103" s="333"/>
      <c r="J103" s="230"/>
      <c r="K103" s="231"/>
      <c r="L103" s="123"/>
      <c r="M103" s="20"/>
    </row>
    <row r="104" spans="1:13" ht="15.75" x14ac:dyDescent="0.2">
      <c r="A104" s="238" t="s">
        <v>339</v>
      </c>
      <c r="B104" s="230"/>
      <c r="C104" s="231"/>
      <c r="D104" s="123"/>
      <c r="E104" s="333"/>
      <c r="F104" s="230"/>
      <c r="G104" s="231"/>
      <c r="H104" s="123"/>
      <c r="I104" s="333"/>
      <c r="J104" s="230"/>
      <c r="K104" s="231"/>
      <c r="L104" s="123"/>
      <c r="M104" s="20"/>
    </row>
    <row r="105" spans="1:13" x14ac:dyDescent="0.2">
      <c r="A105" s="238" t="s">
        <v>12</v>
      </c>
      <c r="B105" s="230"/>
      <c r="C105" s="231"/>
      <c r="D105" s="123"/>
      <c r="E105" s="333"/>
      <c r="F105" s="230"/>
      <c r="G105" s="231"/>
      <c r="H105" s="123"/>
      <c r="I105" s="333"/>
      <c r="J105" s="230"/>
      <c r="K105" s="231"/>
      <c r="L105" s="123"/>
      <c r="M105" s="20"/>
    </row>
    <row r="106" spans="1:13" x14ac:dyDescent="0.2">
      <c r="A106" s="238" t="s">
        <v>13</v>
      </c>
      <c r="B106" s="230"/>
      <c r="C106" s="231"/>
      <c r="D106" s="123"/>
      <c r="E106" s="333"/>
      <c r="F106" s="230"/>
      <c r="G106" s="231"/>
      <c r="H106" s="123"/>
      <c r="I106" s="333"/>
      <c r="J106" s="230"/>
      <c r="K106" s="231"/>
      <c r="L106" s="123"/>
      <c r="M106" s="20"/>
    </row>
    <row r="107" spans="1:13" ht="15.75" x14ac:dyDescent="0.2">
      <c r="A107" s="18" t="s">
        <v>341</v>
      </c>
      <c r="B107" s="181"/>
      <c r="C107" s="109"/>
      <c r="D107" s="123"/>
      <c r="E107" s="23"/>
      <c r="F107" s="181"/>
      <c r="G107" s="109"/>
      <c r="H107" s="123"/>
      <c r="I107" s="23"/>
      <c r="J107" s="232"/>
      <c r="K107" s="36"/>
      <c r="L107" s="204"/>
      <c r="M107" s="23"/>
    </row>
    <row r="108" spans="1:13" ht="15.75" x14ac:dyDescent="0.2">
      <c r="A108" s="18" t="s">
        <v>342</v>
      </c>
      <c r="B108" s="181"/>
      <c r="C108" s="181"/>
      <c r="D108" s="123"/>
      <c r="E108" s="23"/>
      <c r="F108" s="181"/>
      <c r="G108" s="181"/>
      <c r="H108" s="123"/>
      <c r="I108" s="23"/>
      <c r="J108" s="232"/>
      <c r="K108" s="36"/>
      <c r="L108" s="204"/>
      <c r="M108" s="23"/>
    </row>
    <row r="109" spans="1:13" ht="15.75" x14ac:dyDescent="0.2">
      <c r="A109" s="18" t="s">
        <v>376</v>
      </c>
      <c r="B109" s="181"/>
      <c r="C109" s="181"/>
      <c r="D109" s="123"/>
      <c r="E109" s="23"/>
      <c r="F109" s="181"/>
      <c r="G109" s="181"/>
      <c r="H109" s="123"/>
      <c r="I109" s="23"/>
      <c r="J109" s="232"/>
      <c r="K109" s="36"/>
      <c r="L109" s="204"/>
      <c r="M109" s="23"/>
    </row>
    <row r="110" spans="1:13" ht="15.75" x14ac:dyDescent="0.2">
      <c r="A110" s="18" t="s">
        <v>343</v>
      </c>
      <c r="B110" s="181"/>
      <c r="C110" s="181"/>
      <c r="D110" s="123"/>
      <c r="E110" s="23"/>
      <c r="F110" s="181"/>
      <c r="G110" s="181"/>
      <c r="H110" s="123"/>
      <c r="I110" s="23"/>
      <c r="J110" s="232"/>
      <c r="K110" s="36"/>
      <c r="L110" s="204"/>
      <c r="M110" s="23"/>
    </row>
    <row r="111" spans="1:13" ht="15.75" x14ac:dyDescent="0.2">
      <c r="A111" s="10" t="s">
        <v>324</v>
      </c>
      <c r="B111" s="248"/>
      <c r="C111" s="118"/>
      <c r="D111" s="127"/>
      <c r="E111" s="8"/>
      <c r="F111" s="248"/>
      <c r="G111" s="118"/>
      <c r="H111" s="127"/>
      <c r="I111" s="8"/>
      <c r="J111" s="249"/>
      <c r="K111" s="183"/>
      <c r="L111" s="341"/>
      <c r="M111" s="8"/>
    </row>
    <row r="112" spans="1:13" x14ac:dyDescent="0.2">
      <c r="A112" s="18" t="s">
        <v>9</v>
      </c>
      <c r="B112" s="181"/>
      <c r="C112" s="109"/>
      <c r="D112" s="123"/>
      <c r="E112" s="23"/>
      <c r="F112" s="181"/>
      <c r="G112" s="109"/>
      <c r="H112" s="123"/>
      <c r="I112" s="23"/>
      <c r="J112" s="232"/>
      <c r="K112" s="36"/>
      <c r="L112" s="204"/>
      <c r="M112" s="23"/>
    </row>
    <row r="113" spans="1:13" x14ac:dyDescent="0.2">
      <c r="A113" s="18" t="s">
        <v>10</v>
      </c>
      <c r="B113" s="181"/>
      <c r="C113" s="109"/>
      <c r="D113" s="123"/>
      <c r="E113" s="23"/>
      <c r="F113" s="181"/>
      <c r="G113" s="109"/>
      <c r="H113" s="123"/>
      <c r="I113" s="23"/>
      <c r="J113" s="232"/>
      <c r="K113" s="36"/>
      <c r="L113" s="204"/>
      <c r="M113" s="23"/>
    </row>
    <row r="114" spans="1:13" x14ac:dyDescent="0.2">
      <c r="A114" s="18" t="s">
        <v>26</v>
      </c>
      <c r="B114" s="181"/>
      <c r="C114" s="109"/>
      <c r="D114" s="123"/>
      <c r="E114" s="23"/>
      <c r="F114" s="181"/>
      <c r="G114" s="109"/>
      <c r="H114" s="123"/>
      <c r="I114" s="23"/>
      <c r="J114" s="232"/>
      <c r="K114" s="36"/>
      <c r="L114" s="204"/>
      <c r="M114" s="23"/>
    </row>
    <row r="115" spans="1:13" x14ac:dyDescent="0.2">
      <c r="A115" s="238" t="s">
        <v>15</v>
      </c>
      <c r="B115" s="226"/>
      <c r="C115" s="226"/>
      <c r="D115" s="123"/>
      <c r="E115" s="333"/>
      <c r="F115" s="226"/>
      <c r="G115" s="226"/>
      <c r="H115" s="123"/>
      <c r="I115" s="333"/>
      <c r="J115" s="235"/>
      <c r="K115" s="235"/>
      <c r="L115" s="123"/>
      <c r="M115" s="20"/>
    </row>
    <row r="116" spans="1:13" ht="15.75" x14ac:dyDescent="0.2">
      <c r="A116" s="18" t="s">
        <v>344</v>
      </c>
      <c r="B116" s="181"/>
      <c r="C116" s="181"/>
      <c r="D116" s="123"/>
      <c r="E116" s="23"/>
      <c r="F116" s="181"/>
      <c r="G116" s="181"/>
      <c r="H116" s="123"/>
      <c r="I116" s="23"/>
      <c r="J116" s="232"/>
      <c r="K116" s="36"/>
      <c r="L116" s="204"/>
      <c r="M116" s="23"/>
    </row>
    <row r="117" spans="1:13" ht="15.75" x14ac:dyDescent="0.2">
      <c r="A117" s="18" t="s">
        <v>376</v>
      </c>
      <c r="B117" s="181"/>
      <c r="C117" s="181"/>
      <c r="D117" s="123"/>
      <c r="E117" s="23"/>
      <c r="F117" s="181"/>
      <c r="G117" s="181"/>
      <c r="H117" s="123"/>
      <c r="I117" s="23"/>
      <c r="J117" s="232"/>
      <c r="K117" s="36"/>
      <c r="L117" s="204"/>
      <c r="M117" s="23"/>
    </row>
    <row r="118" spans="1:13" ht="15.75" x14ac:dyDescent="0.2">
      <c r="A118" s="18" t="s">
        <v>343</v>
      </c>
      <c r="B118" s="181"/>
      <c r="C118" s="181"/>
      <c r="D118" s="123"/>
      <c r="E118" s="23"/>
      <c r="F118" s="181"/>
      <c r="G118" s="181"/>
      <c r="H118" s="123"/>
      <c r="I118" s="23"/>
      <c r="J118" s="232"/>
      <c r="K118" s="36"/>
      <c r="L118" s="204"/>
      <c r="M118" s="23"/>
    </row>
    <row r="119" spans="1:13" ht="15.75" x14ac:dyDescent="0.2">
      <c r="A119" s="10" t="s">
        <v>325</v>
      </c>
      <c r="B119" s="248"/>
      <c r="C119" s="118"/>
      <c r="D119" s="127"/>
      <c r="E119" s="8"/>
      <c r="F119" s="248"/>
      <c r="G119" s="118"/>
      <c r="H119" s="127"/>
      <c r="I119" s="8"/>
      <c r="J119" s="249"/>
      <c r="K119" s="183"/>
      <c r="L119" s="341"/>
      <c r="M119" s="8"/>
    </row>
    <row r="120" spans="1:13" x14ac:dyDescent="0.2">
      <c r="A120" s="18" t="s">
        <v>9</v>
      </c>
      <c r="B120" s="181"/>
      <c r="C120" s="109"/>
      <c r="D120" s="123"/>
      <c r="E120" s="23"/>
      <c r="F120" s="181"/>
      <c r="G120" s="109"/>
      <c r="H120" s="123"/>
      <c r="I120" s="23"/>
      <c r="J120" s="232"/>
      <c r="K120" s="36"/>
      <c r="L120" s="204"/>
      <c r="M120" s="23"/>
    </row>
    <row r="121" spans="1:13" x14ac:dyDescent="0.2">
      <c r="A121" s="18" t="s">
        <v>10</v>
      </c>
      <c r="B121" s="181"/>
      <c r="C121" s="109"/>
      <c r="D121" s="123"/>
      <c r="E121" s="23"/>
      <c r="F121" s="181"/>
      <c r="G121" s="109"/>
      <c r="H121" s="123"/>
      <c r="I121" s="23"/>
      <c r="J121" s="232"/>
      <c r="K121" s="36"/>
      <c r="L121" s="204"/>
      <c r="M121" s="23"/>
    </row>
    <row r="122" spans="1:13" x14ac:dyDescent="0.2">
      <c r="A122" s="18" t="s">
        <v>26</v>
      </c>
      <c r="B122" s="181"/>
      <c r="C122" s="109"/>
      <c r="D122" s="123"/>
      <c r="E122" s="23"/>
      <c r="F122" s="181"/>
      <c r="G122" s="109"/>
      <c r="H122" s="123"/>
      <c r="I122" s="23"/>
      <c r="J122" s="232"/>
      <c r="K122" s="36"/>
      <c r="L122" s="204"/>
      <c r="M122" s="23"/>
    </row>
    <row r="123" spans="1:13" x14ac:dyDescent="0.2">
      <c r="A123" s="238" t="s">
        <v>14</v>
      </c>
      <c r="B123" s="226"/>
      <c r="C123" s="226"/>
      <c r="D123" s="123"/>
      <c r="E123" s="333"/>
      <c r="F123" s="226"/>
      <c r="G123" s="226"/>
      <c r="H123" s="123"/>
      <c r="I123" s="333"/>
      <c r="J123" s="235"/>
      <c r="K123" s="235"/>
      <c r="L123" s="123"/>
      <c r="M123" s="20"/>
    </row>
    <row r="124" spans="1:13" ht="15.75" x14ac:dyDescent="0.2">
      <c r="A124" s="18" t="s">
        <v>349</v>
      </c>
      <c r="B124" s="181"/>
      <c r="C124" s="181"/>
      <c r="D124" s="123"/>
      <c r="E124" s="23"/>
      <c r="F124" s="181"/>
      <c r="G124" s="181"/>
      <c r="H124" s="123"/>
      <c r="I124" s="23"/>
      <c r="J124" s="232"/>
      <c r="K124" s="36"/>
      <c r="L124" s="204"/>
      <c r="M124" s="23"/>
    </row>
    <row r="125" spans="1:13" ht="15.75" x14ac:dyDescent="0.2">
      <c r="A125" s="18" t="s">
        <v>376</v>
      </c>
      <c r="B125" s="181"/>
      <c r="C125" s="181"/>
      <c r="D125" s="123"/>
      <c r="E125" s="23"/>
      <c r="F125" s="181"/>
      <c r="G125" s="181"/>
      <c r="H125" s="123"/>
      <c r="I125" s="23"/>
      <c r="J125" s="232"/>
      <c r="K125" s="36"/>
      <c r="L125" s="204"/>
      <c r="M125" s="23"/>
    </row>
    <row r="126" spans="1:13" ht="15.75" x14ac:dyDescent="0.2">
      <c r="A126" s="7" t="s">
        <v>343</v>
      </c>
      <c r="B126" s="37"/>
      <c r="C126" s="37"/>
      <c r="D126" s="124"/>
      <c r="E126" s="334"/>
      <c r="F126" s="37"/>
      <c r="G126" s="37"/>
      <c r="H126" s="124"/>
      <c r="I126" s="19"/>
      <c r="J126" s="233"/>
      <c r="K126" s="37"/>
      <c r="L126" s="205"/>
      <c r="M126" s="19"/>
    </row>
    <row r="127" spans="1:13" x14ac:dyDescent="0.2">
      <c r="A127" s="115"/>
    </row>
    <row r="129" spans="1:14" ht="15.75" x14ac:dyDescent="0.25">
      <c r="A129" s="110" t="s">
        <v>27</v>
      </c>
    </row>
    <row r="130" spans="1:14" ht="15.75" x14ac:dyDescent="0.25">
      <c r="B130" s="576"/>
      <c r="C130" s="576"/>
      <c r="D130" s="576"/>
      <c r="E130" s="240"/>
      <c r="F130" s="576"/>
      <c r="G130" s="576"/>
      <c r="H130" s="576"/>
      <c r="I130" s="240"/>
      <c r="J130" s="576"/>
      <c r="K130" s="576"/>
      <c r="L130" s="576"/>
      <c r="M130" s="240"/>
    </row>
    <row r="131" spans="1:14" x14ac:dyDescent="0.2">
      <c r="A131" s="108"/>
      <c r="B131" s="573" t="s">
        <v>0</v>
      </c>
      <c r="C131" s="574"/>
      <c r="D131" s="574"/>
      <c r="E131" s="242"/>
      <c r="F131" s="573" t="s">
        <v>1</v>
      </c>
      <c r="G131" s="574"/>
      <c r="H131" s="574"/>
      <c r="I131" s="244"/>
      <c r="J131" s="573" t="s">
        <v>2</v>
      </c>
      <c r="K131" s="574"/>
      <c r="L131" s="574"/>
      <c r="M131" s="244"/>
    </row>
    <row r="132" spans="1:14" x14ac:dyDescent="0.2">
      <c r="A132" s="105"/>
      <c r="B132" s="113" t="s">
        <v>417</v>
      </c>
      <c r="C132" s="113" t="s">
        <v>418</v>
      </c>
      <c r="D132" s="192" t="s">
        <v>3</v>
      </c>
      <c r="E132" s="245" t="s">
        <v>29</v>
      </c>
      <c r="F132" s="113" t="s">
        <v>417</v>
      </c>
      <c r="G132" s="113" t="s">
        <v>418</v>
      </c>
      <c r="H132" s="192" t="s">
        <v>3</v>
      </c>
      <c r="I132" s="245" t="s">
        <v>29</v>
      </c>
      <c r="J132" s="113" t="s">
        <v>417</v>
      </c>
      <c r="K132" s="113" t="s">
        <v>418</v>
      </c>
      <c r="L132" s="193" t="s">
        <v>3</v>
      </c>
      <c r="M132" s="121" t="s">
        <v>29</v>
      </c>
    </row>
    <row r="133" spans="1:14" x14ac:dyDescent="0.2">
      <c r="A133" s="548"/>
      <c r="B133" s="116"/>
      <c r="C133" s="116"/>
      <c r="D133" s="193" t="s">
        <v>4</v>
      </c>
      <c r="E133" s="116" t="s">
        <v>30</v>
      </c>
      <c r="F133" s="120"/>
      <c r="G133" s="120"/>
      <c r="H133" s="157" t="s">
        <v>4</v>
      </c>
      <c r="I133" s="116" t="s">
        <v>30</v>
      </c>
      <c r="J133" s="116"/>
      <c r="K133" s="116"/>
      <c r="L133" s="111" t="s">
        <v>4</v>
      </c>
      <c r="M133" s="116" t="s">
        <v>30</v>
      </c>
    </row>
    <row r="134" spans="1:14" ht="15.75" x14ac:dyDescent="0.2">
      <c r="A134" s="11" t="s">
        <v>345</v>
      </c>
      <c r="B134" s="183"/>
      <c r="C134" s="249"/>
      <c r="D134" s="283"/>
      <c r="E134" s="8"/>
      <c r="F134" s="256"/>
      <c r="G134" s="257"/>
      <c r="H134" s="344"/>
      <c r="I134" s="21"/>
      <c r="J134" s="258"/>
      <c r="K134" s="258"/>
      <c r="L134" s="340"/>
      <c r="M134" s="8"/>
    </row>
    <row r="135" spans="1:14" ht="15.75" x14ac:dyDescent="0.2">
      <c r="A135" s="10" t="s">
        <v>350</v>
      </c>
      <c r="B135" s="183"/>
      <c r="C135" s="249"/>
      <c r="D135" s="127"/>
      <c r="E135" s="8"/>
      <c r="F135" s="183"/>
      <c r="G135" s="249"/>
      <c r="H135" s="345"/>
      <c r="I135" s="21"/>
      <c r="J135" s="248"/>
      <c r="K135" s="248"/>
      <c r="L135" s="341"/>
      <c r="M135" s="8"/>
    </row>
    <row r="136" spans="1:14" ht="15.75" x14ac:dyDescent="0.2">
      <c r="A136" s="10" t="s">
        <v>347</v>
      </c>
      <c r="B136" s="183"/>
      <c r="C136" s="249"/>
      <c r="D136" s="127"/>
      <c r="E136" s="8"/>
      <c r="F136" s="183"/>
      <c r="G136" s="249"/>
      <c r="H136" s="345"/>
      <c r="I136" s="21"/>
      <c r="J136" s="248"/>
      <c r="K136" s="248"/>
      <c r="L136" s="341"/>
      <c r="M136" s="8"/>
    </row>
    <row r="137" spans="1:14" ht="15.75" x14ac:dyDescent="0.2">
      <c r="A137" s="33" t="s">
        <v>348</v>
      </c>
      <c r="B137" s="221"/>
      <c r="C137" s="255"/>
      <c r="D137" s="125"/>
      <c r="E137" s="6"/>
      <c r="F137" s="221"/>
      <c r="G137" s="255"/>
      <c r="H137" s="346"/>
      <c r="I137" s="30"/>
      <c r="J137" s="254"/>
      <c r="K137" s="254"/>
      <c r="L137" s="342"/>
      <c r="M137" s="30"/>
    </row>
    <row r="138" spans="1:14" x14ac:dyDescent="0.2">
      <c r="A138" s="107"/>
      <c r="B138" s="27"/>
      <c r="C138" s="27"/>
      <c r="D138" s="118"/>
      <c r="E138" s="118"/>
      <c r="F138" s="27"/>
      <c r="G138" s="27"/>
      <c r="H138" s="118"/>
      <c r="I138" s="118"/>
      <c r="J138" s="27"/>
      <c r="K138" s="27"/>
      <c r="L138" s="118"/>
      <c r="M138" s="118"/>
    </row>
    <row r="139" spans="1:14" x14ac:dyDescent="0.2">
      <c r="A139" s="107"/>
      <c r="B139" s="27"/>
      <c r="C139" s="27"/>
      <c r="D139" s="118"/>
      <c r="E139" s="118"/>
      <c r="F139" s="27"/>
      <c r="G139" s="27"/>
      <c r="H139" s="118"/>
      <c r="I139" s="118"/>
      <c r="J139" s="27"/>
      <c r="K139" s="27"/>
      <c r="L139" s="118"/>
      <c r="M139" s="118"/>
    </row>
    <row r="140" spans="1:14" x14ac:dyDescent="0.2">
      <c r="A140" s="107"/>
      <c r="B140" s="27"/>
      <c r="C140" s="27"/>
      <c r="D140" s="118"/>
      <c r="E140" s="118"/>
      <c r="F140" s="27"/>
      <c r="G140" s="27"/>
      <c r="H140" s="118"/>
      <c r="I140" s="118"/>
      <c r="J140" s="27"/>
      <c r="K140" s="27"/>
      <c r="L140" s="118"/>
      <c r="M140" s="118"/>
    </row>
    <row r="142" spans="1:14" ht="15.75" x14ac:dyDescent="0.25">
      <c r="B142" s="106"/>
      <c r="C142" s="106"/>
      <c r="D142" s="106"/>
      <c r="E142" s="106"/>
      <c r="F142" s="106"/>
      <c r="G142" s="106"/>
      <c r="H142" s="106"/>
      <c r="I142" s="106"/>
      <c r="J142" s="106"/>
      <c r="K142" s="106"/>
      <c r="L142" s="106"/>
      <c r="M142" s="106"/>
      <c r="N142" s="106"/>
    </row>
    <row r="143" spans="1:14" ht="15.75" x14ac:dyDescent="0.25">
      <c r="B143" s="106"/>
      <c r="C143" s="106"/>
      <c r="D143" s="106"/>
      <c r="E143" s="106"/>
      <c r="F143" s="106"/>
      <c r="G143" s="106"/>
      <c r="H143" s="106"/>
      <c r="I143" s="106"/>
      <c r="J143" s="106"/>
      <c r="K143" s="106"/>
      <c r="L143" s="106"/>
      <c r="M143" s="106"/>
      <c r="N143" s="106"/>
    </row>
    <row r="144" spans="1:14" ht="15.75" x14ac:dyDescent="0.25">
      <c r="B144" s="106"/>
      <c r="C144" s="106"/>
      <c r="D144" s="106"/>
      <c r="E144" s="106"/>
      <c r="F144" s="106"/>
      <c r="G144" s="106"/>
      <c r="H144" s="106"/>
      <c r="I144" s="106"/>
      <c r="J144" s="106"/>
      <c r="K144" s="106"/>
      <c r="L144" s="106"/>
      <c r="M144" s="106"/>
      <c r="N144" s="106"/>
    </row>
  </sheetData>
  <mergeCells count="31">
    <mergeCell ref="B18:D18"/>
    <mergeCell ref="F18:H18"/>
    <mergeCell ref="J18:L18"/>
    <mergeCell ref="B44:D44"/>
    <mergeCell ref="B2:D2"/>
    <mergeCell ref="F2:H2"/>
    <mergeCell ref="J2:L2"/>
    <mergeCell ref="B4:D4"/>
    <mergeCell ref="F4:H4"/>
    <mergeCell ref="J4:L4"/>
    <mergeCell ref="B19:D19"/>
    <mergeCell ref="F19:H19"/>
    <mergeCell ref="J19:L19"/>
    <mergeCell ref="D40:F40"/>
    <mergeCell ref="G40:I40"/>
    <mergeCell ref="J40:L40"/>
    <mergeCell ref="B62:D62"/>
    <mergeCell ref="F62:H62"/>
    <mergeCell ref="J62:L62"/>
    <mergeCell ref="B42:D42"/>
    <mergeCell ref="F42:H42"/>
    <mergeCell ref="J42:L42"/>
    <mergeCell ref="B131:D131"/>
    <mergeCell ref="F131:H131"/>
    <mergeCell ref="J131:L131"/>
    <mergeCell ref="B63:D63"/>
    <mergeCell ref="F63:H63"/>
    <mergeCell ref="J63:L63"/>
    <mergeCell ref="B130:D130"/>
    <mergeCell ref="F130:H130"/>
    <mergeCell ref="J130:L130"/>
  </mergeCells>
  <conditionalFormatting sqref="A50:A52">
    <cfRule type="expression" dxfId="432" priority="12">
      <formula>kvartal &lt; 4</formula>
    </cfRule>
  </conditionalFormatting>
  <conditionalFormatting sqref="A69:A74">
    <cfRule type="expression" dxfId="431" priority="10">
      <formula>kvartal &lt; 4</formula>
    </cfRule>
  </conditionalFormatting>
  <conditionalFormatting sqref="A80:A85">
    <cfRule type="expression" dxfId="430" priority="9">
      <formula>kvartal &lt; 4</formula>
    </cfRule>
  </conditionalFormatting>
  <conditionalFormatting sqref="A90:A95">
    <cfRule type="expression" dxfId="429" priority="6">
      <formula>kvartal &lt; 4</formula>
    </cfRule>
  </conditionalFormatting>
  <conditionalFormatting sqref="A101:A106">
    <cfRule type="expression" dxfId="428" priority="5">
      <formula>kvartal &lt; 4</formula>
    </cfRule>
  </conditionalFormatting>
  <conditionalFormatting sqref="A115:C115">
    <cfRule type="expression" dxfId="427" priority="4">
      <formula>kvartal &lt; 4</formula>
    </cfRule>
  </conditionalFormatting>
  <conditionalFormatting sqref="A123:C123">
    <cfRule type="expression" dxfId="426" priority="3">
      <formula>kvartal &lt; 4</formula>
    </cfRule>
  </conditionalFormatting>
  <conditionalFormatting sqref="F115:G115">
    <cfRule type="expression" dxfId="425" priority="57">
      <formula>kvartal &lt; 4</formula>
    </cfRule>
  </conditionalFormatting>
  <conditionalFormatting sqref="F123:G123">
    <cfRule type="expression" dxfId="424" priority="56">
      <formula>kvartal &lt; 4</formula>
    </cfRule>
  </conditionalFormatting>
  <conditionalFormatting sqref="J115:K115">
    <cfRule type="expression" dxfId="423" priority="32">
      <formula>kvartal &lt; 4</formula>
    </cfRule>
  </conditionalFormatting>
  <conditionalFormatting sqref="J123:K123">
    <cfRule type="expression" dxfId="422" priority="31">
      <formula>kvartal &lt; 4</formula>
    </cfRule>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8 f 6 9 7 3 f 7 - 0 8 c 0 - 4 5 7 9 - b f 5 c - 6 c 7 f a d 0 9 0 d 4 1 "   x m l n s = " h t t p : / / s c h e m a s . m i c r o s o f t . c o m / D a t a M a s h u p " > A A A A A A Y E A A B Q S w M E F A A C A A g A R m 3 D W g G 1 S V O k A A A A 9 g A A A B I A H A B D b 2 5 m a W c v U G F j a 2 F n Z S 5 4 b W w g o h g A K K A U A A A A A A A A A A A A A A A A A A A A A A A A A A A A h Y 9 N D o I w G E S v Q r q n f x p j S C k L t 6 I m J s Y t l g q N 8 G F o s d z N h U f y C m I U d e d y 3 r z F z P 1 6 E 0 l f V 8 F F t 9 Y 0 E C O G K Q o 0 q C Y 3 U M S o c 8 d w j h I p N p k 6 Z Y U O B h l s 1 N s 8 R q V z 5 4 g Q 7 z 3 2 E 9 y 0 B e G U M r J P l 1 t V 6 j p D H 9 n 8 l 0 M D 1 m W g N J J i 9 x o j O W Z T h m e U Y y r I C E V q 4 C v w Y e + z / Y F i 0 V W u a 7 W E Q 7 h a C z J G Q d 4 f 5 A N Q S w M E F A A C A A g A R m 3 D 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t w 1 p A 1 T O R A A E A A G I B A A A T A B w A R m 9 y b X V s Y X M v U 2 V j d G l v b j E u b S C i G A A o o B Q A A A A A A A A A A A A A A A A A A A A A A A A A A A B 9 j 8 9 K w 0 A Q x s 8 N 9 B 2 G P Z Q E 0 t A e e i o B J c 1 B I k F N 0 M K 6 h E 0 z Y M y f r Z N N q Z Q e f R S f p C / m x h b F i 3 O Z g f l 9 8 8 3 X 4 U a X q o X k 3 O f L s T W 2 u h d J W M B K a g k + 1 K g t M H U n S T a o k R 6 R i t I s w v 0 G a y / o i b D V T 4 q q X K n K d g 4 8 N p z P f n h k 4 s g D 1 W q D C R e + j 0 V l X a C 5 k b z V 3 u C T y w 5 t l k b T Z L 1 a h N P Z f P F 8 E 6 f h Q 3 x 9 y 1 x g d b n L G m k m f t 8 j v f s s X I c B 8 C J X w u P b D I d P s i 1 h Z y x k 9 6 p a Y Y 1 G V 6 d P M h Y M J h D 3 T Y 7 k p S r F v b b / J u G n D x K H 2 d G B C X M H W b W T p G V 9 k f 6 v j c 7 s R Q 9 s y Y R j l e 1 v x u U X U E s B A i 0 A F A A C A A g A R m 3 D W g G 1 S V O k A A A A 9 g A A A B I A A A A A A A A A A A A A A A A A A A A A A E N v b m Z p Z y 9 Q Y W N r Y W d l L n h t b F B L A Q I t A B Q A A g A I A E Z t w 1 o P y u m r p A A A A O k A A A A T A A A A A A A A A A A A A A A A A P A A A A B b Q 2 9 u d G V u d F 9 U e X B l c 1 0 u e G 1 s U E s B A i 0 A F A A C A A g A R m 3 D W k D V M 5 E A A Q A A Y g E A A B M A A A A A A A A A A A A A A A A A 4 Q E A A E Z v c m 1 1 b G F z L 1 N l Y 3 R p b 2 4 x L m 1 Q S w U G A A A A A A M A A w D C A A A A L g M A A A A A R Q 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T 5 P c m d h b m l 6 Y X R p b 2 5 h b D w v V 2 9 y a 2 J v b 2 t H c m 9 1 c F R 5 c G U + P C 9 Q Z X J t a X N z a W 9 u T G l z d D 6 v D A A A A A A A A I 0 M 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E Y X R h P C 9 J d G V t U G F 0 a D 4 8 L 0 l 0 Z W 1 M b 2 N h d G l v b j 4 8 U 3 R h Y m x l R W 5 0 c m l l c z 4 8 R W 5 0 c n k g V H l w Z T 0 i S X N Q c m l 2 Y X R l I i B W Y W x 1 Z T 0 i b D A i I C 8 + P E V u d H J 5 I F R 5 c G U 9 I k J 1 Z m Z l c k 5 l e H R S Z W Z y Z X N o I i B W Y W x 1 Z T 0 i b D E i I C 8 + P E V u d H J 5 I F R 5 c G U 9 I k Z p b G x F b m F i b G V k I i B W Y W x 1 Z T 0 i b D A i I C 8 + P E V u d H J 5 I F R 5 c G U 9 I k Z p b G x U b 0 R h d G F N b 2 R l b E V u Y W J s Z W Q i I F Z h b H V l P S J s M C I g L z 4 8 R W 5 0 c n k g V H l w Z T 0 i U m V z d W x 0 V H l w Z S I g V m F s d W U 9 I n N U Y W J s Z S I g L z 4 8 R W 5 0 c n k g V H l w Z T 0 i T m F t Z V V w Z G F 0 Z W R B Z n R l c k Z p b G w i I F Z h b H V l P S J s M C I g L z 4 8 R W 5 0 c n k g V H l w Z T 0 i R m l s b G V k Q 2 9 t c G x l d G V S Z X N 1 b H R U b 1 d v c m t z a G V l d C I g V m F s d W U 9 I m w x I i A v P j x F b n R y e S B U e X B l P S J S Z W N v d m V y e V R h c m d l d F N o Z W V 0 I i B W Y W x 1 Z T 0 i c 0 F y a z I i I C 8 + P E V u d H J 5 I F R 5 c G U 9 I l J l Y 2 9 2 Z X J 5 V G F y Z 2 V 0 Q 2 9 s d W 1 u I i B W Y W x 1 Z T 0 i b D E i I C 8 + P E V u d H J 5 I F R 5 c G U 9 I l J l Y 2 9 2 Z X J 5 V G F y Z 2 V 0 U m 9 3 I i B W Y W x 1 Z T 0 i b D E i I C 8 + P E V u d H J 5 I F R 5 c G U 9 I l F 1 Z X J 5 S U Q i I F Z h b H V l P S J z N G U 4 M 2 F k Z D k t Z W N j Y i 0 0 Z W Y 2 L T l j Z j g t N m I y O T h k Z j A 0 N G M 5 I i A v P j x F b n R y e S B U e X B l P S J O Y X Z p Z 2 F 0 a W 9 u U 3 R l c E 5 h b W U i I F Z h b H V l P S J z T m F 2 a W d h d G l v b i I g L z 4 8 R W 5 0 c n k g V H l w Z T 0 i R m l s b E x h c 3 R V c G R h d G V k I i B W Y W x 1 Z T 0 i Z D I w M j U t M D Y t M D N U M T E 6 N D I 6 M T I u N j A 3 O T U 0 N 1 o i I C 8 + P E V u d H J 5 I F R 5 c G U 9 I k Z p b G x D b 2 x 1 b W 5 U e X B l c y I g V m F s d W U 9 I n N C Z 0 l D Q W d J Q 0 F n V T 0 i I C 8 + P E V u d H J 5 I F R 5 c G U 9 I k Z p b G x F c n J v c k N v d W 5 0 I i B W Y W x 1 Z T 0 i b D A i I C 8 + P E V u d H J 5 I F R 5 c G U 9 I k Z p b G x F c n J v c k N v Z G U i I F Z h b H V l P S J z V W 5 r b m 9 3 b i I g L z 4 8 R W 5 0 c n k g V H l w Z T 0 i R m l s b E 9 i a m V j d F R 5 c G U i I F Z h b H V l P S J z Q 2 9 u b m V j d G l v b k 9 u b H k i I C 8 + P E V u d H J 5 I F R 5 c G U 9 I k Z p b G x D b 2 x 1 b W 5 O Y W 1 l c y I g V m F s d W U 9 I n N b J n F 1 b 3 Q 7 c 8 O 4 a 2 V u w 7 h r a 2 V s J n F 1 b 3 Q 7 L C Z x d W 9 0 O 3 N l b H N r Y X B f a W Q m c X V v d D s s J n F 1 b 3 Q 7 w 6 V y J n F 1 b 3 Q 7 L C Z x d W 9 0 O 2 t 2 Y X J 0 Y W w m c X V v d D s s J n F 1 b 3 Q 7 d G F i Z W x s X 2 l k J n F 1 b 3 Q 7 L C Z x d W 9 0 O 3 J h Z F 9 p Z C Z x d W 9 0 O y w m c X V v d D t r Y X R l Z 2 9 y a V 9 p Z C Z x d W 9 0 O y w m c X V v d D t 2 Z X J k a S Z x d W 9 0 O 1 0 i I C 8 + P E V u d H J 5 I F R 5 c G U 9 I k Z p b G x D b 3 V u d C I g V m F s d W U 9 I m w 2 M S I g L z 4 8 R W 5 0 c n k g V H l w Z T 0 i R m l s b F N 0 Y X R 1 c y I g V m F s d W U 9 I n N X Y W l 0 a W 5 n R m 9 y R X h j Z W x S Z W Z y Z X N o I i A v P j x F b n R y e S B U e X B l P S J B Z G R l Z F R v R G F 0 Y U 1 v Z G V s I i B W Y W x 1 Z T 0 i b D A i I C 8 + P E V u d H J 5 I F R 5 c G U 9 I l J l b G F 0 a W 9 u c 2 h p c E l u Z m 9 D b 2 5 0 Y W l u Z X I i I F Z h b H V l P S J z e y Z x d W 9 0 O 2 N v b H V t b k N v d W 5 0 J n F 1 b 3 Q 7 O j g s J n F 1 b 3 Q 7 a 2 V 5 Q 2 9 s d W 1 u T m F t Z X M m c X V v d D s 6 W 1 0 s J n F 1 b 3 Q 7 c X V l c n l S Z W x h d G l v b n N o a X B z J n F 1 b 3 Q 7 O l t d L C Z x d W 9 0 O 2 N v b H V t b k l k Z W 5 0 a X R p Z X M m c X V v d D s 6 W y Z x d W 9 0 O 1 N l Y 3 R p b 2 4 x L 0 R h d G E v Q X V 0 b 1 J l b W 9 2 Z W R D b 2 x 1 b W 5 z M S 5 7 c 8 O 4 a 2 V u w 7 h r a 2 V s L D B 9 J n F 1 b 3 Q 7 L C Z x d W 9 0 O 1 N l Y 3 R p b 2 4 x L 0 R h d G E v Q X V 0 b 1 J l b W 9 2 Z W R D b 2 x 1 b W 5 z M S 5 7 c 2 V s c 2 t h c F 9 p Z C w x f S Z x d W 9 0 O y w m c X V v d D t T Z W N 0 a W 9 u M S 9 E Y X R h L 0 F 1 d G 9 S Z W 1 v d m V k Q 2 9 s d W 1 u c z E u e 8 O l c i w y f S Z x d W 9 0 O y w m c X V v d D t T Z W N 0 a W 9 u M S 9 E Y X R h L 0 F 1 d G 9 S Z W 1 v d m V k Q 2 9 s d W 1 u c z E u e 2 t 2 Y X J 0 Y W w s M 3 0 m c X V v d D s s J n F 1 b 3 Q 7 U 2 V j d G l v b j E v R G F 0 Y S 9 B d X R v U m V t b 3 Z l Z E N v b H V t b n M x L n t 0 Y W J l b G x f a W Q s N H 0 m c X V v d D s s J n F 1 b 3 Q 7 U 2 V j d G l v b j E v R G F 0 Y S 9 B d X R v U m V t b 3 Z l Z E N v b H V t b n M x L n t y Y W R f a W Q s N X 0 m c X V v d D s s J n F 1 b 3 Q 7 U 2 V j d G l v b j E v R G F 0 Y S 9 B d X R v U m V t b 3 Z l Z E N v b H V t b n M x L n t r Y X R l Z 2 9 y a V 9 p Z C w 2 f S Z x d W 9 0 O y w m c X V v d D t T Z W N 0 a W 9 u M S 9 E Y X R h L 0 F 1 d G 9 S Z W 1 v d m V k Q 2 9 s d W 1 u c z E u e 3 Z l c m R p L D d 9 J n F 1 b 3 Q 7 X S w m c X V v d D t D b 2 x 1 b W 5 D b 3 V u d C Z x d W 9 0 O z o 4 L C Z x d W 9 0 O 0 t l e U N v b H V t b k 5 h b W V z J n F 1 b 3 Q 7 O l t d L C Z x d W 9 0 O 0 N v b H V t b k l k Z W 5 0 a X R p Z X M m c X V v d D s 6 W y Z x d W 9 0 O 1 N l Y 3 R p b 2 4 x L 0 R h d G E v Q X V 0 b 1 J l b W 9 2 Z W R D b 2 x 1 b W 5 z M S 5 7 c 8 O 4 a 2 V u w 7 h r a 2 V s L D B 9 J n F 1 b 3 Q 7 L C Z x d W 9 0 O 1 N l Y 3 R p b 2 4 x L 0 R h d G E v Q X V 0 b 1 J l b W 9 2 Z W R D b 2 x 1 b W 5 z M S 5 7 c 2 V s c 2 t h c F 9 p Z C w x f S Z x d W 9 0 O y w m c X V v d D t T Z W N 0 a W 9 u M S 9 E Y X R h L 0 F 1 d G 9 S Z W 1 v d m V k Q 2 9 s d W 1 u c z E u e 8 O l c i w y f S Z x d W 9 0 O y w m c X V v d D t T Z W N 0 a W 9 u M S 9 E Y X R h L 0 F 1 d G 9 S Z W 1 v d m V k Q 2 9 s d W 1 u c z E u e 2 t 2 Y X J 0 Y W w s M 3 0 m c X V v d D s s J n F 1 b 3 Q 7 U 2 V j d G l v b j E v R G F 0 Y S 9 B d X R v U m V t b 3 Z l Z E N v b H V t b n M x L n t 0 Y W J l b G x f a W Q s N H 0 m c X V v d D s s J n F 1 b 3 Q 7 U 2 V j d G l v b j E v R G F 0 Y S 9 B d X R v U m V t b 3 Z l Z E N v b H V t b n M x L n t y Y W R f a W Q s N X 0 m c X V v d D s s J n F 1 b 3 Q 7 U 2 V j d G l v b j E v R G F 0 Y S 9 B d X R v U m V t b 3 Z l Z E N v b H V t b n M x L n t r Y X R l Z 2 9 y a V 9 p Z C w 2 f S Z x d W 9 0 O y w m c X V v d D t T Z W N 0 a W 9 u M S 9 E Y X R h L 0 F 1 d G 9 S Z W 1 v d m V k Q 2 9 s d W 1 u c z E u e 3 Z l c m R p L D d 9 J n F 1 b 3 Q 7 X S w m c X V v d D t S Z W x h d G l v b n N o a X B J b m Z v J n F 1 b 3 Q 7 O l t d f S I g L z 4 8 L 1 N 0 Y W J s Z U V u d H J p Z X M + P C 9 J d G V t P j x J d G V t P j x J d G V t T G 9 j Y X R p b 2 4 + P E l 0 Z W 1 U e X B l P k Z v c m 1 1 b G E 8 L 0 l 0 Z W 1 U e X B l P j x J d G V t U G F 0 a D 5 T Z W N 0 a W 9 u M S 9 E Y X R h L 0 t p b G R l P C 9 J d G V t U G F 0 a D 4 8 L 0 l 0 Z W 1 M b 2 N h d G l v b j 4 8 U 3 R h Y m x l R W 5 0 c m l l c y A v P j w v S X R l b T 4 8 S X R l b T 4 8 S X R l b U x v Y 2 F 0 a W 9 u P j x J d G V t V H l w Z T 5 G b 3 J t d W x h P C 9 J d G V t V H l w Z T 4 8 S X R l b V B h d G g + U 2 V j d G l v b j E v R G F 0 Y S 9 Q Y X J h b W V 0 Z X J W Z X J k a T w v S X R l b V B h d G g + P C 9 J d G V t T G 9 j Y X R p b 2 4 + P F N 0 Y W J s Z U V u d H J p Z X M g L z 4 8 L 0 l 0 Z W 0 + P C 9 J d G V t c z 4 8 L 0 x v Y 2 F s U G F j a 2 F n Z U 1 l d G F k Y X R h R m l s Z T 4 W A A A A U E s F B g A A A A A A A A A A A A A A A A A A A A A A A C Y B A A A B A A A A 0 I y d 3 w E V 0 R G M e g D A T 8 K X 6 w E A A A D 4 S / b 2 / g f t T 5 s u w Y l p 3 s w x A A A A A A I A A A A A A B B m A A A A A Q A A I A A A A L / 0 O 6 m U T / a Q Q N 5 t a G 4 n j l s o c Y m Z H 5 d Y v 3 e x y H D n K 0 6 B A A A A A A 6 A A A A A A g A A I A A A A B N H C 2 e S e M 2 2 d i A s / y h g b C / c / t m 9 e a 4 Q B n R 1 k G K O o G f l U A A A A H O 6 L o w 1 i 4 s 3 o b I h k r t I T D Q 9 V c W 4 U H s V 7 r r 4 o d 1 A b 4 Z T Z g 9 n z d H c H a 7 y / o M p t 4 V r D Z g K A m T g E M v u p l m 3 m 0 1 J 7 B T Y 9 K E / D F s o 0 j t T s q Q q + 3 x t Q A A A A O v T n g u s z U c a P D 5 g z j 8 Q L a 9 S T 8 Z M 1 k A L q Q 8 R K J n / D 2 G G Y g 0 K 1 u X 6 G G M W m 0 r I y W Z E 8 l 7 3 G m N j 2 u n Q A f g 2 Y C s d 8 G w = < / D a t a M a s h u p > 
</file>

<file path=customXml/itemProps1.xml><?xml version="1.0" encoding="utf-8"?>
<ds:datastoreItem xmlns:ds="http://schemas.openxmlformats.org/officeDocument/2006/customXml" ds:itemID="{90A5026E-7503-4E4B-BD83-E9801AFFB72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Navngitte områder</vt:lpstr>
      </vt:variant>
      <vt:variant>
        <vt:i4>3</vt:i4>
      </vt:variant>
    </vt:vector>
  </HeadingPairs>
  <TitlesOfParts>
    <vt:vector size="37" baseType="lpstr">
      <vt:lpstr>Forside</vt:lpstr>
      <vt:lpstr>Innhold</vt:lpstr>
      <vt:lpstr>Figurer</vt:lpstr>
      <vt:lpstr>Tabel 1.1</vt:lpstr>
      <vt:lpstr>Tabell 1.2</vt:lpstr>
      <vt:lpstr>Tabell 1.3</vt:lpstr>
      <vt:lpstr>Skjema total MA</vt:lpstr>
      <vt:lpstr>DNB Livsforsikring</vt:lpstr>
      <vt:lpstr>Eika Forsikring AS</vt:lpstr>
      <vt:lpstr>Euro Accident</vt:lpstr>
      <vt:lpstr>Fremtind Livsforsikring</vt:lpstr>
      <vt:lpstr>Frende Livsforsikring</vt:lpstr>
      <vt:lpstr>Frende Skadeforsikring</vt:lpstr>
      <vt:lpstr>Gjensidige Forsikring</vt:lpstr>
      <vt:lpstr>Gjensidige Pensjon</vt:lpstr>
      <vt:lpstr>If Skadeforsikring NUF</vt:lpstr>
      <vt:lpstr>KLP</vt:lpstr>
      <vt:lpstr>KLP Skadeforsikring AS</vt:lpstr>
      <vt:lpstr>Landkreditt Forsikring</vt:lpstr>
      <vt:lpstr>Ly Forsikring</vt:lpstr>
      <vt:lpstr>Nordea Liv </vt:lpstr>
      <vt:lpstr>Oslo Forsikring</vt:lpstr>
      <vt:lpstr>Oslo Pensjonsforsikring</vt:lpstr>
      <vt:lpstr>Protector Forsikring</vt:lpstr>
      <vt:lpstr>Sparebank 1 Fors.</vt:lpstr>
      <vt:lpstr>Storebrand Livsforsikring</vt:lpstr>
      <vt:lpstr>Telenor Forsikring</vt:lpstr>
      <vt:lpstr>Tryg Forsikring</vt:lpstr>
      <vt:lpstr>WaterCircles F</vt:lpstr>
      <vt:lpstr>Youplus Livsforsikring</vt:lpstr>
      <vt:lpstr>Tabell 4</vt:lpstr>
      <vt:lpstr>Tabell 6</vt:lpstr>
      <vt:lpstr>Tabell 8</vt:lpstr>
      <vt:lpstr>Noter og kommentarer</vt:lpstr>
      <vt:lpstr>'Fremtind Livsforsikring'!Utskriftsområde</vt:lpstr>
      <vt:lpstr>'Noter og kommentarer'!Utskriftsområde</vt:lpstr>
      <vt:lpstr>'Skjema total MA'!Utskriftsområde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Anne-Kathrine Johansen</dc:creator>
  <cp:lastModifiedBy>Randi Mørk</cp:lastModifiedBy>
  <cp:lastPrinted>2016-06-01T05:37:12Z</cp:lastPrinted>
  <dcterms:created xsi:type="dcterms:W3CDTF">2010-12-15T10:21:26Z</dcterms:created>
  <dcterms:modified xsi:type="dcterms:W3CDTF">2025-06-03T12:01:47Z</dcterms:modified>
</cp:coreProperties>
</file>